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71.xml"/>
  <Override ContentType="application/vnd.openxmlformats-officedocument.spreadsheetml.table+xml" PartName="/xl/tables/table8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90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5"/>
    <sheet state="visible" name="Strzelcy" sheetId="2" r:id="rId6"/>
    <sheet state="visible" name="Ajax" sheetId="3" r:id="rId7"/>
    <sheet state="visible" name="Arsenal" sheetId="4" r:id="rId8"/>
    <sheet state="visible" name="Atalanta" sheetId="5" r:id="rId9"/>
    <sheet state="visible" name="Athletic" sheetId="6" r:id="rId10"/>
    <sheet state="visible" name="Atletico" sheetId="7" r:id="rId11"/>
    <sheet state="visible" name="Borussia" sheetId="8" r:id="rId12"/>
    <sheet state="visible" name="Barcelona" sheetId="9" r:id="rId13"/>
    <sheet state="visible" name="Bayern" sheetId="10" r:id="rId14"/>
    <sheet state="visible" name="Benfica" sheetId="11" r:id="rId15"/>
    <sheet state="visible" name="Bodo" sheetId="12" r:id="rId16"/>
    <sheet state="visible" name="Chelsea" sheetId="13" r:id="rId17"/>
    <sheet state="visible" name="Brugge" sheetId="14" r:id="rId18"/>
    <sheet state="visible" name="Kopenhaga" sheetId="15" r:id="rId19"/>
    <sheet state="visible" name="Frankfurt" sheetId="16" r:id="rId20"/>
    <sheet state="visible" name="Galatasaray" sheetId="17" r:id="rId21"/>
    <sheet state="visible" name="Inter" sheetId="18" r:id="rId22"/>
    <sheet state="visible" name="Kairat" sheetId="19" r:id="rId23"/>
    <sheet state="visible" name="Juventus" sheetId="20" r:id="rId24"/>
    <sheet state="visible" name="Leverkusen" sheetId="21" r:id="rId25"/>
    <sheet state="visible" name="Liverpool" sheetId="22" r:id="rId26"/>
    <sheet state="visible" name="City" sheetId="23" r:id="rId27"/>
    <sheet state="visible" name="Marsylia" sheetId="24" r:id="rId28"/>
    <sheet state="visible" name="Monaco" sheetId="25" r:id="rId29"/>
    <sheet state="visible" name="Napoli" sheetId="26" r:id="rId30"/>
    <sheet state="visible" name="Newcastle" sheetId="27" r:id="rId31"/>
    <sheet state="visible" name="Olympiacos" sheetId="28" r:id="rId32"/>
    <sheet state="visible" name="Pafos" sheetId="29" r:id="rId33"/>
    <sheet state="visible" name="PSG" sheetId="30" r:id="rId34"/>
    <sheet state="visible" name="PSV" sheetId="31" r:id="rId35"/>
    <sheet state="visible" name="Real" sheetId="32" r:id="rId36"/>
    <sheet state="visible" name="Slavia" sheetId="33" r:id="rId37"/>
    <sheet state="visible" name="Sporting" sheetId="34" r:id="rId38"/>
    <sheet state="visible" name="Karabach" sheetId="35" r:id="rId39"/>
    <sheet state="visible" name="Tottenham" sheetId="36" r:id="rId40"/>
    <sheet state="visible" name="USG" sheetId="37" r:id="rId41"/>
    <sheet state="visible" name="Villarreal" sheetId="38" r:id="rId42"/>
  </sheets>
  <definedNames>
    <definedName hidden="1" localSheetId="2" name="_xlnm._FilterDatabase">Ajax!$A$1:$P$48</definedName>
    <definedName hidden="1" localSheetId="4" name="_xlnm._FilterDatabase">Atalanta!$A$1:$P$29</definedName>
    <definedName hidden="1" localSheetId="5" name="_xlnm._FilterDatabase">Athletic!$A$1:$P$34</definedName>
    <definedName hidden="1" localSheetId="6" name="_xlnm._FilterDatabase">Atletico!$A$1:$Q$39</definedName>
    <definedName hidden="1" localSheetId="7" name="_xlnm._FilterDatabase">Borussia!$A$1:$Q$28</definedName>
  </definedNames>
  <calcPr/>
</workbook>
</file>

<file path=xl/sharedStrings.xml><?xml version="1.0" encoding="utf-8"?>
<sst xmlns="http://schemas.openxmlformats.org/spreadsheetml/2006/main" count="6295" uniqueCount="2131">
  <si>
    <t>Miejsce</t>
  </si>
  <si>
    <t>klub</t>
  </si>
  <si>
    <t>logo</t>
  </si>
  <si>
    <t>liga</t>
  </si>
  <si>
    <t>mecze</t>
  </si>
  <si>
    <t>punkty</t>
  </si>
  <si>
    <t>strzelone</t>
  </si>
  <si>
    <t>stracone</t>
  </si>
  <si>
    <t>wygrane</t>
  </si>
  <si>
    <t>remisy</t>
  </si>
  <si>
    <t>porażki</t>
  </si>
  <si>
    <t>bilans</t>
  </si>
  <si>
    <t>Arsenal</t>
  </si>
  <si>
    <t>Bayern Monachium</t>
  </si>
  <si>
    <t>Atalanta</t>
  </si>
  <si>
    <t>Paris Saint-Germain</t>
  </si>
  <si>
    <t>Inter Mediolan</t>
  </si>
  <si>
    <t>Real Madryt</t>
  </si>
  <si>
    <t>Liverpool</t>
  </si>
  <si>
    <t>Atlético Madryt</t>
  </si>
  <si>
    <t>Tottenham Hotspur</t>
  </si>
  <si>
    <t>Borussia Dortmund</t>
  </si>
  <si>
    <t>Chelsea</t>
  </si>
  <si>
    <t>Manchester City</t>
  </si>
  <si>
    <t>Sporting CP</t>
  </si>
  <si>
    <t>Barcelona</t>
  </si>
  <si>
    <t>Newcastle United</t>
  </si>
  <si>
    <t>Galatasaray</t>
  </si>
  <si>
    <t>Marsylia</t>
  </si>
  <si>
    <t>Monaco</t>
  </si>
  <si>
    <t>PSV Eindhoven</t>
  </si>
  <si>
    <t>Bayer Leverkusen</t>
  </si>
  <si>
    <t>Karabach</t>
  </si>
  <si>
    <t>Napoli</t>
  </si>
  <si>
    <t>Kopenhaga</t>
  </si>
  <si>
    <t>Juventus</t>
  </si>
  <si>
    <t>Pafos</t>
  </si>
  <si>
    <t>Union Saint-Gilloise</t>
  </si>
  <si>
    <t>Olympiacos</t>
  </si>
  <si>
    <t>Club Brugge</t>
  </si>
  <si>
    <t>Athletic Bilbao</t>
  </si>
  <si>
    <t>Eintracht Frankfurt</t>
  </si>
  <si>
    <t>Benfica</t>
  </si>
  <si>
    <t>Ajax</t>
  </si>
  <si>
    <t>Bodø/Glimt</t>
  </si>
  <si>
    <t>Slavia Praga</t>
  </si>
  <si>
    <t>Villarreal</t>
  </si>
  <si>
    <t>Kairat</t>
  </si>
  <si>
    <t>numer</t>
  </si>
  <si>
    <t>imię i nazwisko</t>
  </si>
  <si>
    <t>pozycja</t>
  </si>
  <si>
    <t>kraj</t>
  </si>
  <si>
    <t>data urodzenia</t>
  </si>
  <si>
    <t>wiek</t>
  </si>
  <si>
    <t>liczba goli</t>
  </si>
  <si>
    <t>t</t>
  </si>
  <si>
    <t>narodowość</t>
  </si>
  <si>
    <t>flaga</t>
  </si>
  <si>
    <t>minuty</t>
  </si>
  <si>
    <t>gole</t>
  </si>
  <si>
    <t>asysty</t>
  </si>
  <si>
    <t>żółte kartki</t>
  </si>
  <si>
    <t>czerwone kartki</t>
  </si>
  <si>
    <t>czyste konta</t>
  </si>
  <si>
    <t>kanadyjka</t>
  </si>
  <si>
    <t>obronione karne</t>
  </si>
  <si>
    <r>
      <rPr>
        <rFont val="Arial"/>
        <color rgb="FFCB2A43"/>
      </rPr>
      <t xml:space="preserve">Vítězslav </t>
    </r>
    <r>
      <rPr>
        <rFont val="Arial"/>
        <b/>
        <color rgb="FFCB2A43"/>
      </rPr>
      <t>Jaroš</t>
    </r>
  </si>
  <si>
    <t>bramkarz</t>
  </si>
  <si>
    <t>Czechy</t>
  </si>
  <si>
    <t>Lucas Rosa</t>
  </si>
  <si>
    <t>obrońca</t>
  </si>
  <si>
    <r>
      <rPr>
        <rFont val="Arial"/>
        <b/>
        <color rgb="FFCB2A43"/>
      </rPr>
      <t>Brazylia /</t>
    </r>
    <r>
      <rPr>
        <rFont val="Arial"/>
        <b val="0"/>
        <i/>
        <color rgb="FFCB2A43"/>
      </rPr>
      <t>Włochy</t>
    </r>
  </si>
  <si>
    <r>
      <rPr>
        <rFont val="Arial"/>
        <color rgb="FFCB2A43"/>
      </rPr>
      <t xml:space="preserve">Anton </t>
    </r>
    <r>
      <rPr>
        <rFont val="Arial"/>
        <b/>
        <color rgb="FFCB2A43"/>
      </rPr>
      <t>Gaaei</t>
    </r>
  </si>
  <si>
    <t>Dania</t>
  </si>
  <si>
    <r>
      <rPr>
        <rFont val="Arial"/>
        <color rgb="FFCB2A43"/>
      </rPr>
      <t xml:space="preserve">Kō </t>
    </r>
    <r>
      <rPr>
        <rFont val="Arial"/>
        <b/>
        <color rgb="FFCB2A43"/>
      </rPr>
      <t>Itakura</t>
    </r>
  </si>
  <si>
    <t>Japonia</t>
  </si>
  <si>
    <r>
      <rPr>
        <rFont val="Arial"/>
        <color rgb="FFCB2A43"/>
      </rPr>
      <t xml:space="preserve">Owen </t>
    </r>
    <r>
      <rPr>
        <rFont val="Arial"/>
        <b/>
        <color rgb="FFCB2A43"/>
      </rPr>
      <t>Wijndal</t>
    </r>
  </si>
  <si>
    <r>
      <rPr>
        <rFont val="Arial"/>
        <b/>
        <color rgb="FFCB2A43"/>
      </rPr>
      <t>Holandia /</t>
    </r>
    <r>
      <rPr>
        <rFont val="Arial"/>
        <b val="0"/>
        <i/>
        <color rgb="FFCB2A43"/>
      </rPr>
      <t>Surinam</t>
    </r>
  </si>
  <si>
    <r>
      <rPr>
        <rFont val="Arial"/>
        <color rgb="FFCB2A43"/>
      </rPr>
      <t xml:space="preserve">Youri </t>
    </r>
    <r>
      <rPr>
        <rFont val="Arial"/>
        <b/>
        <color rgb="FFCB2A43"/>
      </rPr>
      <t>Regger</t>
    </r>
  </si>
  <si>
    <t>pomocnik</t>
  </si>
  <si>
    <t>Holandia</t>
  </si>
  <si>
    <r>
      <rPr>
        <rFont val="Arial"/>
        <color rgb="FFCB2A43"/>
      </rPr>
      <t xml:space="preserve">Raúl </t>
    </r>
    <r>
      <rPr>
        <rFont val="Arial"/>
        <b/>
        <color rgb="FFCB2A43"/>
      </rPr>
      <t>Moro</t>
    </r>
  </si>
  <si>
    <t>napastnik</t>
  </si>
  <si>
    <t>Hiszpania</t>
  </si>
  <si>
    <r>
      <rPr>
        <rFont val="Arial"/>
        <color rgb="FFCB2A43"/>
      </rPr>
      <t xml:space="preserve">Kenneth </t>
    </r>
    <r>
      <rPr>
        <rFont val="Arial"/>
        <b/>
        <color rgb="FFCB2A43"/>
      </rPr>
      <t>Taylor</t>
    </r>
  </si>
  <si>
    <r>
      <rPr>
        <rFont val="Arial"/>
        <color rgb="FFCB2A43"/>
      </rPr>
      <t xml:space="preserve">Kasper </t>
    </r>
    <r>
      <rPr>
        <rFont val="Arial"/>
        <b/>
        <color rgb="FFCB2A43"/>
      </rPr>
      <t>Dolberg</t>
    </r>
  </si>
  <si>
    <r>
      <rPr>
        <rFont val="Arial"/>
        <color rgb="FFCB2A43"/>
      </rPr>
      <t xml:space="preserve">Oscar </t>
    </r>
    <r>
      <rPr>
        <rFont val="Arial"/>
        <b/>
        <color rgb="FFCB2A43"/>
      </rPr>
      <t>Gloukh</t>
    </r>
  </si>
  <si>
    <t>Izrael</t>
  </si>
  <si>
    <r>
      <rPr>
        <rFont val="Arial"/>
        <color rgb="FFCB2A43"/>
        <u/>
      </rPr>
      <t xml:space="preserve">Mika </t>
    </r>
    <r>
      <rPr>
        <rFont val="Arial"/>
        <b/>
        <color rgb="FFCB2A43"/>
        <u/>
      </rPr>
      <t>Godts</t>
    </r>
  </si>
  <si>
    <t>Belgia</t>
  </si>
  <si>
    <r>
      <rPr>
        <rFont val="Arial"/>
        <color rgb="FFCB2A43"/>
      </rPr>
      <t xml:space="preserve">Joeri </t>
    </r>
    <r>
      <rPr>
        <rFont val="Arial"/>
        <b/>
        <color rgb="FFCB2A43"/>
      </rPr>
      <t>Heerkens</t>
    </r>
  </si>
  <si>
    <r>
      <rPr>
        <rFont val="Arial"/>
        <b/>
        <color rgb="FFCB2A43"/>
      </rPr>
      <t>Holandia /</t>
    </r>
    <r>
      <rPr>
        <rFont val="Arial"/>
        <b val="0"/>
        <i/>
        <color rgb="FFCB2A43"/>
      </rPr>
      <t>Czechy</t>
    </r>
  </si>
  <si>
    <r>
      <rPr>
        <rFont val="Arial"/>
        <color rgb="FFCB2A43"/>
      </rPr>
      <t xml:space="preserve">Youri </t>
    </r>
    <r>
      <rPr>
        <rFont val="Arial"/>
        <b/>
        <color rgb="FFCB2A43"/>
      </rPr>
      <t>Baas</t>
    </r>
  </si>
  <si>
    <r>
      <rPr>
        <rFont val="Arial"/>
        <color rgb="FFCB2A43"/>
      </rPr>
      <t xml:space="preserve">James </t>
    </r>
    <r>
      <rPr>
        <rFont val="Arial"/>
        <b/>
        <color rgb="FFCB2A43"/>
      </rPr>
      <t>McConnell</t>
    </r>
  </si>
  <si>
    <t>Anglia</t>
  </si>
  <si>
    <r>
      <rPr>
        <rFont val="Arial"/>
        <color rgb="FFCB2A43"/>
      </rPr>
      <t xml:space="preserve">Oliver </t>
    </r>
    <r>
      <rPr>
        <rFont val="Arial"/>
        <b/>
        <color rgb="FFCB2A43"/>
      </rPr>
      <t>Edvardsen</t>
    </r>
  </si>
  <si>
    <t>Norwegia</t>
  </si>
  <si>
    <r>
      <rPr>
        <rFont val="Arial"/>
        <color rgb="FFCB2A43"/>
      </rPr>
      <t xml:space="preserve">Davy </t>
    </r>
    <r>
      <rPr>
        <rFont val="Arial"/>
        <b/>
        <color rgb="FFCB2A43"/>
      </rPr>
      <t>Klaassen</t>
    </r>
  </si>
  <si>
    <r>
      <rPr>
        <rFont val="Arial"/>
        <color rgb="FFCB2A43"/>
        <u/>
      </rPr>
      <t xml:space="preserve">Don-Angelo </t>
    </r>
    <r>
      <rPr>
        <rFont val="Arial"/>
        <b/>
        <color rgb="FFCB2A43"/>
        <u/>
      </rPr>
      <t>Konadu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</si>
  <si>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Ghana</t>
    </r>
  </si>
  <si>
    <r>
      <rPr>
        <rFont val="Arial"/>
        <color rgb="FFCB2A43"/>
      </rPr>
      <t xml:space="preserve">Branco </t>
    </r>
    <r>
      <rPr>
        <rFont val="Arial"/>
        <b/>
        <color rgb="FFCB2A43"/>
      </rPr>
      <t>van den Boomen</t>
    </r>
  </si>
  <si>
    <r>
      <rPr>
        <rFont val="Arial"/>
        <color rgb="FFCB2A43"/>
      </rPr>
      <t xml:space="preserve">Remko </t>
    </r>
    <r>
      <rPr>
        <rFont val="Arial"/>
        <b/>
        <color rgb="FFCB2A43"/>
      </rPr>
      <t>Pasveer</t>
    </r>
  </si>
  <si>
    <r>
      <rPr>
        <rFont val="Arial"/>
        <color rgb="FFCB2A43"/>
      </rPr>
      <t xml:space="preserve">Steven </t>
    </r>
    <r>
      <rPr>
        <rFont val="Arial"/>
        <b/>
        <color rgb="FFCB2A43"/>
      </rPr>
      <t>Berghuis</t>
    </r>
  </si>
  <si>
    <r>
      <rPr>
        <rFont val="Arial"/>
        <color rgb="FFCB2A43"/>
      </rPr>
      <t xml:space="preserve">Jorthy </t>
    </r>
    <r>
      <rPr>
        <rFont val="Arial"/>
        <b/>
        <color rgb="FFCB2A43"/>
      </rPr>
      <t>Mokio</t>
    </r>
  </si>
  <si>
    <r>
      <rPr>
        <rFont val="Arial"/>
        <b/>
        <color rgb="FFCB2A43"/>
      </rPr>
      <t>Belgia /</t>
    </r>
    <r>
      <rPr>
        <rFont val="Arial"/>
        <b val="0"/>
        <i/>
        <color rgb="FFCB2A43"/>
      </rPr>
      <t>Demokratyczna Republika Konga</t>
    </r>
  </si>
  <si>
    <r>
      <rPr>
        <rFont val="Arial"/>
        <color rgb="FFCB2A43"/>
      </rPr>
      <t xml:space="preserve">Wout </t>
    </r>
    <r>
      <rPr>
        <rFont val="Arial"/>
        <b/>
        <color rgb="FFCB2A43"/>
      </rPr>
      <t>Weghorst</t>
    </r>
  </si>
  <si>
    <r>
      <rPr>
        <rFont val="Arial"/>
        <color rgb="FFCB2A43"/>
      </rPr>
      <t xml:space="preserve">Kian </t>
    </r>
    <r>
      <rPr>
        <rFont val="Arial"/>
        <b/>
        <color rgb="FFCB2A43"/>
      </rPr>
      <t>Fitz-Jim</t>
    </r>
  </si>
  <si>
    <r>
      <rPr>
        <rFont val="Arial"/>
        <b/>
        <color rgb="FFCB2A43"/>
      </rPr>
      <t>Holandia /</t>
    </r>
    <r>
      <rPr>
        <rFont val="Arial"/>
        <b val="0"/>
        <i/>
        <color rgb="FFCB2A43"/>
      </rPr>
      <t>Surinam</t>
    </r>
  </si>
  <si>
    <r>
      <rPr>
        <rFont val="Arial"/>
        <color rgb="FFCB2A43"/>
        <u/>
      </rPr>
      <t xml:space="preserve">Aaron </t>
    </r>
    <r>
      <rPr>
        <rFont val="Arial"/>
        <b/>
        <color rgb="FFCB2A43"/>
        <u/>
      </rPr>
      <t>Bouwman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</si>
  <si>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Anglia</t>
    </r>
  </si>
  <si>
    <r>
      <rPr>
        <rFont val="Arial"/>
        <color rgb="FFCB2A43"/>
      </rPr>
      <t xml:space="preserve">Josip </t>
    </r>
    <r>
      <rPr>
        <rFont val="Arial"/>
        <b/>
        <color rgb="FFCB2A43"/>
      </rPr>
      <t>Šutalo</t>
    </r>
  </si>
  <si>
    <t>Chorwacja</t>
  </si>
  <si>
    <r>
      <rPr>
        <rFont val="Arial"/>
        <color rgb="FFCB2A43"/>
        <u/>
      </rPr>
      <t xml:space="preserve">Gerald </t>
    </r>
    <r>
      <rPr>
        <rFont val="Arial"/>
        <b/>
        <color rgb="FFCB2A43"/>
        <u/>
      </rPr>
      <t>Alders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</si>
  <si>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Nambia</t>
    </r>
  </si>
  <si>
    <r>
      <rPr>
        <rFont val="Arial"/>
        <color rgb="FFCB2A43"/>
        <u/>
      </rPr>
      <t xml:space="preserve">Rayane </t>
    </r>
    <r>
      <rPr>
        <rFont val="Arial"/>
        <b/>
        <color rgb="FFCB2A43"/>
        <u/>
      </rPr>
      <t>Bounida</t>
    </r>
  </si>
  <si>
    <r>
      <rPr>
        <rFont val="Arial"/>
        <b/>
        <color rgb="FFCB2A43"/>
        <u/>
      </rPr>
      <t>Belgia /</t>
    </r>
    <r>
      <rPr>
        <rFont val="Arial"/>
        <b val="0"/>
        <i/>
        <color rgb="FFCB2A43"/>
        <u/>
      </rPr>
      <t>Maroko</t>
    </r>
  </si>
  <si>
    <r>
      <rPr>
        <rFont val="Arial"/>
        <color rgb="FFCB2A43"/>
        <u/>
      </rPr>
      <t xml:space="preserve">Mark </t>
    </r>
    <r>
      <rPr>
        <rFont val="Arial"/>
        <b/>
        <color rgb="FFCB2A43"/>
        <u/>
      </rPr>
      <t>Verkuijl</t>
    </r>
  </si>
  <si>
    <r>
      <rPr>
        <rFont val="Arial"/>
        <color rgb="FFCB2A43"/>
        <u/>
      </rPr>
      <t xml:space="preserve">Ryan </t>
    </r>
    <r>
      <rPr>
        <rFont val="Arial"/>
        <b/>
        <color rgb="FFCB2A43"/>
        <u/>
      </rPr>
      <t>van de Pavert</t>
    </r>
  </si>
  <si>
    <r>
      <rPr>
        <rFont val="Arial"/>
        <color rgb="FFCB2A43"/>
        <u/>
      </rPr>
      <t xml:space="preserve">Lucas </t>
    </r>
    <r>
      <rPr>
        <rFont val="Arial"/>
        <b/>
        <color rgb="FFCB2A43"/>
        <u/>
      </rPr>
      <t>Jetten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</si>
  <si>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RPA</t>
    </r>
  </si>
  <si>
    <r>
      <rPr>
        <rFont val="Arial"/>
        <color rgb="FFCB2A43"/>
        <u/>
      </rPr>
      <t xml:space="preserve">Sean </t>
    </r>
    <r>
      <rPr>
        <rFont val="Arial"/>
        <b/>
        <color rgb="FFCB2A43"/>
        <u/>
      </rPr>
      <t>Steur</t>
    </r>
  </si>
  <si>
    <r>
      <rPr>
        <rFont val="Arial"/>
        <color rgb="FFCB2A43"/>
        <u/>
      </rPr>
      <t xml:space="preserve">Kayden </t>
    </r>
    <r>
      <rPr>
        <rFont val="Arial"/>
        <b/>
        <color rgb="FFCB2A43"/>
        <u/>
      </rPr>
      <t>Wolff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</si>
  <si>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Surinam</t>
    </r>
  </si>
  <si>
    <r>
      <rPr>
        <rFont val="Arial"/>
        <color rgb="FFCB2A43"/>
        <u/>
      </rPr>
      <t xml:space="preserve">Charlie </t>
    </r>
    <r>
      <rPr>
        <rFont val="Arial"/>
        <b/>
        <color rgb="FFCB2A43"/>
        <u/>
      </rPr>
      <t>Setford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</si>
  <si>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Anglia</t>
    </r>
  </si>
  <si>
    <r>
      <rPr>
        <rFont val="Arial"/>
        <color rgb="FFCB2A43"/>
        <u/>
      </rPr>
      <t xml:space="preserve">Paul </t>
    </r>
    <r>
      <rPr>
        <rFont val="Arial"/>
        <b/>
        <color rgb="FFCB2A43"/>
        <u/>
      </rPr>
      <t>Reverson</t>
    </r>
  </si>
  <si>
    <r>
      <rPr>
        <rFont val="Arial"/>
        <b/>
        <color rgb="FFCB2A43"/>
        <u/>
      </rPr>
      <t>Ghana /</t>
    </r>
    <r>
      <rPr>
        <rFont val="Arial"/>
        <b val="0"/>
        <i/>
        <color rgb="FFCB2A43"/>
        <u/>
      </rPr>
      <t>Holandia</t>
    </r>
  </si>
  <si>
    <r>
      <rPr>
        <rFont val="Arial"/>
        <b val="0"/>
        <color rgb="FFCB2A43"/>
        <u/>
      </rPr>
      <t xml:space="preserve">Mylo </t>
    </r>
    <r>
      <rPr>
        <rFont val="Arial"/>
        <b/>
        <color rgb="FFCB2A43"/>
        <u/>
      </rPr>
      <t>van der Lans</t>
    </r>
  </si>
  <si>
    <r>
      <rPr>
        <rFont val="Arial"/>
        <color rgb="FFCB2A43"/>
        <u/>
      </rPr>
      <t xml:space="preserve">Skye </t>
    </r>
    <r>
      <rPr>
        <rFont val="Arial"/>
        <b/>
        <color rgb="FFCB2A43"/>
        <u/>
      </rPr>
      <t>Vink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</si>
  <si>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Surinam</t>
    </r>
  </si>
  <si>
    <r>
      <rPr>
        <rFont val="Arial"/>
        <color rgb="FFCB2A43"/>
        <u/>
      </rPr>
      <t xml:space="preserve">Tijn </t>
    </r>
    <r>
      <rPr>
        <rFont val="Arial"/>
        <b/>
        <color rgb="FFCB2A43"/>
        <u/>
      </rPr>
      <t>Peters</t>
    </r>
  </si>
  <si>
    <r>
      <rPr>
        <rFont val="Arial"/>
        <color rgb="FFCB2A43"/>
        <u/>
      </rPr>
      <t xml:space="preserve">David </t>
    </r>
    <r>
      <rPr>
        <rFont val="Arial"/>
        <b/>
        <color rgb="FFCB2A43"/>
        <u/>
      </rPr>
      <t>Kalokoh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</si>
  <si>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Sierra Leone</t>
    </r>
  </si>
  <si>
    <r>
      <rPr>
        <rFont val="Arial"/>
        <color rgb="FFCB2A43"/>
        <u/>
      </rPr>
      <t xml:space="preserve">Jinairo </t>
    </r>
    <r>
      <rPr>
        <rFont val="Arial"/>
        <b/>
        <color rgb="FFCB2A43"/>
        <u/>
      </rPr>
      <t>Johnson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</si>
  <si>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Jamajka</t>
    </r>
  </si>
  <si>
    <r>
      <rPr>
        <rFont val="Arial"/>
        <b val="0"/>
        <color rgb="FFCB2A43"/>
        <u/>
      </rPr>
      <t xml:space="preserve">Nassef </t>
    </r>
    <r>
      <rPr>
        <rFont val="Arial"/>
        <b/>
        <color rgb="FFCB2A43"/>
        <u/>
      </rPr>
      <t>Chourak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</si>
  <si>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Maroko</t>
    </r>
  </si>
  <si>
    <r>
      <rPr>
        <rFont val="Arial"/>
        <color rgb="FFCB2A43"/>
        <u/>
      </rPr>
      <t xml:space="preserve">Emre </t>
    </r>
    <r>
      <rPr>
        <rFont val="Arial"/>
        <b/>
        <color rgb="FFCB2A43"/>
        <u/>
      </rPr>
      <t>Ünüvar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</si>
  <si>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Turcja</t>
    </r>
  </si>
  <si>
    <r>
      <rPr>
        <rFont val="Arial"/>
        <color rgb="FFCB2A43"/>
        <u/>
      </rPr>
      <t xml:space="preserve">Avery </t>
    </r>
    <r>
      <rPr>
        <rFont val="Arial"/>
        <b/>
        <color rgb="FFCB2A43"/>
        <u/>
      </rPr>
      <t>Appiah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</si>
  <si>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Ghana</t>
    </r>
  </si>
  <si>
    <r>
      <rPr>
        <rFont val="Arial"/>
        <color rgb="FFCB2A43"/>
        <u/>
      </rPr>
      <t xml:space="preserve">Aymean </t>
    </r>
    <r>
      <rPr>
        <rFont val="Arial"/>
        <b/>
        <color rgb="FFCB2A43"/>
        <u/>
      </rPr>
      <t>El Hani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</si>
  <si>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Maroko</t>
    </r>
  </si>
  <si>
    <r>
      <rPr>
        <rFont val="Arial"/>
        <color rgb="FFCB2A43"/>
        <u/>
      </rPr>
      <t xml:space="preserve">Don </t>
    </r>
    <r>
      <rPr>
        <rFont val="Arial"/>
        <b/>
        <color rgb="FFCB2A43"/>
        <u/>
      </rPr>
      <t>O'Niel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</si>
  <si>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Surinam</t>
    </r>
  </si>
  <si>
    <r>
      <rPr>
        <rFont val="Arial"/>
        <color rgb="FFCB2A43"/>
        <u/>
      </rPr>
      <t xml:space="preserve">Damian </t>
    </r>
    <r>
      <rPr>
        <rFont val="Arial"/>
        <b/>
        <color rgb="FFCB2A43"/>
        <u/>
      </rPr>
      <t>van der Vaart</t>
    </r>
  </si>
  <si>
    <r>
      <rPr>
        <rFont val="Arial"/>
        <color rgb="FFCB2A43"/>
        <u/>
      </rPr>
      <t xml:space="preserve">Luca </t>
    </r>
    <r>
      <rPr>
        <rFont val="Arial"/>
        <b/>
        <color rgb="FFCB2A43"/>
        <u/>
      </rPr>
      <t>Messori</t>
    </r>
  </si>
  <si>
    <r>
      <rPr>
        <rFont val="Arial"/>
        <b/>
        <color rgb="FFCB2A43"/>
        <u/>
      </rPr>
      <t>Holandia /</t>
    </r>
    <r>
      <rPr>
        <rFont val="Arial"/>
        <b val="0"/>
        <i/>
        <color rgb="FFCB2A43"/>
        <u/>
      </rPr>
      <t>Włochy</t>
    </r>
  </si>
  <si>
    <r>
      <rPr>
        <rFont val="Arial"/>
        <color rgb="FFCB2A43"/>
        <u/>
      </rPr>
      <t xml:space="preserve">Abdellah </t>
    </r>
    <r>
      <rPr>
        <rFont val="Arial"/>
        <b/>
        <color rgb="FFCB2A43"/>
        <u/>
      </rPr>
      <t>Ouazane</t>
    </r>
  </si>
  <si>
    <r>
      <rPr>
        <rFont val="Arial"/>
        <b/>
        <color rgb="FFCB2A43"/>
        <u/>
      </rPr>
      <t>Maroko /</t>
    </r>
    <r>
      <rPr>
        <rFont val="Arial"/>
        <b val="0"/>
        <i/>
        <color rgb="FFCB2A43"/>
        <u/>
      </rPr>
      <t>Holandia</t>
    </r>
  </si>
  <si>
    <t>lp</t>
  </si>
  <si>
    <t>funkcja</t>
  </si>
  <si>
    <r>
      <rPr>
        <rFont val="Arial"/>
        <color rgb="FFCB2A43"/>
      </rPr>
      <t xml:space="preserve">John </t>
    </r>
    <r>
      <rPr>
        <rFont val="Arial"/>
        <b/>
        <color rgb="FFCB2A43"/>
      </rPr>
      <t>Heitinga</t>
    </r>
  </si>
  <si>
    <t>trener</t>
  </si>
  <si>
    <r>
      <rPr>
        <rFont val="Arial"/>
        <color rgb="FFCB2A43"/>
      </rPr>
      <t xml:space="preserve">Fred </t>
    </r>
    <r>
      <rPr>
        <rFont val="Arial"/>
        <b/>
        <color rgb="FFCB2A43"/>
      </rPr>
      <t>Grim</t>
    </r>
  </si>
  <si>
    <t>trener tymczasowy</t>
  </si>
  <si>
    <t>kolejka</t>
  </si>
  <si>
    <t>gospodarze</t>
  </si>
  <si>
    <t>goście</t>
  </si>
  <si>
    <t>gole dla Ajaxu</t>
  </si>
  <si>
    <t>wynik</t>
  </si>
  <si>
    <t>stadion</t>
  </si>
  <si>
    <t>0-2</t>
  </si>
  <si>
    <t>Amsterdam (Johan Cruyff Arena)</t>
  </si>
  <si>
    <t>4-0</t>
  </si>
  <si>
    <t>Marsylia (Stade Vélodrome)</t>
  </si>
  <si>
    <t>Wout Weghorst 33 (k)</t>
  </si>
  <si>
    <t>Londyn (Stamford Bridge)</t>
  </si>
  <si>
    <t>0-3</t>
  </si>
  <si>
    <t>Kasper Dolberg 39, Oscar Gloukh 79, 90, Anton Gaaei 83</t>
  </si>
  <si>
    <t>Baku (Tofiq Bəhramov adına Respublika stadionu)</t>
  </si>
  <si>
    <t>Oscar Gloukh 61, Oliver Edvardsen 90</t>
  </si>
  <si>
    <t>Villarreal (Estadio de la Cerámica)</t>
  </si>
  <si>
    <r>
      <rPr>
        <rFont val="Roboto"/>
        <color rgb="FFFFFFF0"/>
      </rPr>
      <t xml:space="preserve">David </t>
    </r>
    <r>
      <rPr>
        <rFont val="Roboto"/>
        <b/>
        <color rgb="FFFFFFF0"/>
      </rPr>
      <t>Raya</t>
    </r>
  </si>
  <si>
    <r>
      <rPr>
        <rFont val="Roboto"/>
        <color rgb="FFFFFFF0"/>
      </rPr>
      <t xml:space="preserve">William </t>
    </r>
    <r>
      <rPr>
        <rFont val="Roboto"/>
        <b/>
        <color rgb="FFFFFFF0"/>
      </rPr>
      <t>Saliba</t>
    </r>
  </si>
  <si>
    <r>
      <rPr>
        <rFont val="Roboto"/>
        <b/>
        <color rgb="FFFFFFF0"/>
      </rPr>
      <t>Francja /</t>
    </r>
    <r>
      <rPr>
        <rFont val="Roboto"/>
        <b val="0"/>
        <i/>
        <color rgb="FFFFFFF0"/>
      </rPr>
      <t>Kamerun</t>
    </r>
  </si>
  <si>
    <r>
      <rPr>
        <rFont val="Roboto"/>
        <color rgb="FFFFFFF0"/>
      </rPr>
      <t xml:space="preserve">Cristhian </t>
    </r>
    <r>
      <rPr>
        <rFont val="Roboto"/>
        <b/>
        <color rgb="FFFFFFF0"/>
      </rPr>
      <t>Mosquera</t>
    </r>
  </si>
  <si>
    <r>
      <rPr>
        <rFont val="Roboto"/>
        <b/>
        <color rgb="FFFFFFF0"/>
      </rPr>
      <t>Hiszpania /</t>
    </r>
    <r>
      <rPr>
        <rFont val="Roboto"/>
        <b val="0"/>
        <i/>
        <color rgb="FFFFFFF0"/>
      </rPr>
      <t>Kolumbia</t>
    </r>
  </si>
  <si>
    <r>
      <rPr>
        <rFont val="Roboto"/>
        <color rgb="FFFFFFF0"/>
      </rPr>
      <t xml:space="preserve">Ben </t>
    </r>
    <r>
      <rPr>
        <rFont val="Roboto"/>
        <b/>
        <color rgb="FFFFFFF0"/>
      </rPr>
      <t>White</t>
    </r>
  </si>
  <si>
    <r>
      <rPr>
        <rFont val="Roboto"/>
        <color rgb="FFFFFFF0"/>
      </rPr>
      <t xml:space="preserve">Piero </t>
    </r>
    <r>
      <rPr>
        <rFont val="Roboto"/>
        <b/>
        <color rgb="FFFFFFF0"/>
      </rPr>
      <t>Hincapié</t>
    </r>
  </si>
  <si>
    <t>Ekwador</t>
  </si>
  <si>
    <r>
      <rPr>
        <rFont val="Roboto"/>
        <b/>
        <i/>
        <color rgb="FFFFFFF0"/>
      </rPr>
      <t xml:space="preserve">Gabriel </t>
    </r>
    <r>
      <rPr>
        <rFont val="Roboto"/>
        <b/>
        <i/>
        <color rgb="FFFFFFF0"/>
      </rPr>
      <t>Magalhães</t>
    </r>
  </si>
  <si>
    <t>Brazylia</t>
  </si>
  <si>
    <r>
      <rPr>
        <rFont val="Roboto"/>
        <color rgb="FFFFFFF0"/>
      </rPr>
      <t xml:space="preserve">Bukayo </t>
    </r>
    <r>
      <rPr>
        <rFont val="Roboto"/>
        <b/>
        <color rgb="FFFFFFF0"/>
      </rPr>
      <t>Saka</t>
    </r>
  </si>
  <si>
    <r>
      <rPr>
        <rFont val="Roboto"/>
        <b/>
        <color rgb="FFFFFFF0"/>
      </rPr>
      <t>Anglia /</t>
    </r>
    <r>
      <rPr>
        <rFont val="Roboto"/>
        <b val="0"/>
        <i/>
        <color rgb="FFFFFFF0"/>
      </rPr>
      <t>Nigeria</t>
    </r>
  </si>
  <si>
    <r>
      <rPr>
        <rFont val="Roboto"/>
        <color rgb="FFFFFFF0"/>
      </rPr>
      <t xml:space="preserve">Martin </t>
    </r>
    <r>
      <rPr>
        <rFont val="Roboto"/>
        <b/>
        <color rgb="FFFFFFF0"/>
      </rPr>
      <t>Ødegaard</t>
    </r>
  </si>
  <si>
    <r>
      <rPr>
        <rFont val="Roboto"/>
        <b/>
        <i/>
        <color rgb="FFFFFFF0"/>
      </rPr>
      <t xml:space="preserve">Gabriel </t>
    </r>
    <r>
      <rPr>
        <rFont val="Roboto"/>
        <b/>
        <i/>
        <color rgb="FFFFFFF0"/>
      </rPr>
      <t>Jesus</t>
    </r>
  </si>
  <si>
    <r>
      <rPr>
        <rFont val="Roboto"/>
        <color rgb="FFFFFFF0"/>
      </rPr>
      <t xml:space="preserve">Eberechi </t>
    </r>
    <r>
      <rPr>
        <rFont val="Roboto"/>
        <b/>
        <color rgb="FFFFFFF0"/>
      </rPr>
      <t>Eze</t>
    </r>
  </si>
  <si>
    <r>
      <rPr>
        <rFont val="Roboto"/>
        <b/>
        <color rgb="FFFFFFF0"/>
      </rPr>
      <t>Anglia /</t>
    </r>
    <r>
      <rPr>
        <rFont val="Roboto"/>
        <b val="0"/>
        <i/>
        <color rgb="FFFFFFF0"/>
      </rPr>
      <t>Nigeria</t>
    </r>
  </si>
  <si>
    <r>
      <rPr>
        <rFont val="Roboto"/>
        <b/>
        <i/>
        <color rgb="FFFFFFF0"/>
      </rPr>
      <t xml:space="preserve">Gabriel </t>
    </r>
    <r>
      <rPr>
        <rFont val="Roboto"/>
        <b/>
        <i/>
        <color rgb="FFFFFFF0"/>
      </rPr>
      <t>Martinelli</t>
    </r>
  </si>
  <si>
    <r>
      <rPr>
        <rFont val="Roboto"/>
        <b/>
        <color rgb="FFFFFFF0"/>
      </rPr>
      <t>Brazylia /</t>
    </r>
    <r>
      <rPr>
        <rFont val="Roboto"/>
        <b val="0"/>
        <i/>
        <color rgb="FFFFFFF0"/>
      </rPr>
      <t>Włochy</t>
    </r>
  </si>
  <si>
    <r>
      <rPr>
        <rFont val="Roboto"/>
        <color rgb="FFFFFFF0"/>
      </rPr>
      <t xml:space="preserve">Jurriën </t>
    </r>
    <r>
      <rPr>
        <rFont val="Roboto"/>
        <b/>
        <color rgb="FFFFFFF0"/>
      </rPr>
      <t>Timber</t>
    </r>
  </si>
  <si>
    <r>
      <rPr>
        <rFont val="Roboto"/>
        <b/>
        <color rgb="FFFFFFF0"/>
      </rPr>
      <t>Holandia /</t>
    </r>
    <r>
      <rPr>
        <rFont val="Roboto"/>
        <b val="0"/>
        <i/>
        <color rgb="FFFFFFF0"/>
      </rPr>
      <t>Curaçao</t>
    </r>
  </si>
  <si>
    <r>
      <rPr>
        <rFont val="Roboto"/>
        <color rgb="FFFFFFF0"/>
      </rPr>
      <t xml:space="preserve">Kepa </t>
    </r>
    <r>
      <rPr>
        <rFont val="Roboto"/>
        <b/>
        <color rgb="FFFFFFF0"/>
      </rPr>
      <t>Arrizabalaga</t>
    </r>
  </si>
  <si>
    <r>
      <rPr>
        <rFont val="Roboto"/>
        <color rgb="FFFFFFF0"/>
      </rPr>
      <t xml:space="preserve">Viktor </t>
    </r>
    <r>
      <rPr>
        <rFont val="Roboto"/>
        <b/>
        <color rgb="FFFFFFF0"/>
      </rPr>
      <t>Gyökeres</t>
    </r>
  </si>
  <si>
    <r>
      <rPr>
        <rFont val="Roboto"/>
        <b/>
        <color rgb="FFFFFFF0"/>
      </rPr>
      <t>Szwecja /</t>
    </r>
    <r>
      <rPr>
        <rFont val="Roboto"/>
        <b val="0"/>
        <i/>
        <color rgb="FFFFFFF0"/>
      </rPr>
      <t>Węgry</t>
    </r>
  </si>
  <si>
    <r>
      <rPr>
        <rFont val="Roboto"/>
        <color rgb="FFFFFFF0"/>
      </rPr>
      <t xml:space="preserve">Christian </t>
    </r>
    <r>
      <rPr>
        <rFont val="Roboto"/>
        <b/>
        <color rgb="FFFFFFF0"/>
      </rPr>
      <t>Nørgaard</t>
    </r>
  </si>
  <si>
    <r>
      <rPr>
        <rFont val="Roboto"/>
        <color rgb="FFFFFFF0"/>
      </rPr>
      <t xml:space="preserve">Leandro </t>
    </r>
    <r>
      <rPr>
        <rFont val="Roboto"/>
        <b/>
        <color rgb="FFFFFFF0"/>
      </rPr>
      <t>Trossard</t>
    </r>
  </si>
  <si>
    <r>
      <rPr>
        <rFont val="Roboto"/>
        <color rgb="FFFFFFF0"/>
      </rPr>
      <t xml:space="preserve">Noni </t>
    </r>
    <r>
      <rPr>
        <rFont val="Roboto"/>
        <b/>
        <color rgb="FFFFFFF0"/>
      </rPr>
      <t>Madueke</t>
    </r>
  </si>
  <si>
    <r>
      <rPr>
        <rFont val="Roboto"/>
        <b/>
        <color rgb="FFFFFFF0"/>
      </rPr>
      <t>Anglia /</t>
    </r>
    <r>
      <rPr>
        <rFont val="Roboto"/>
        <b val="0"/>
        <i/>
        <color rgb="FFFFFFF0"/>
      </rPr>
      <t>Nigeria</t>
    </r>
  </si>
  <si>
    <r>
      <rPr>
        <rFont val="Roboto"/>
        <color rgb="FFFFFFF0"/>
        <u/>
      </rPr>
      <t xml:space="preserve">Ethan </t>
    </r>
    <r>
      <rPr>
        <rFont val="Roboto"/>
        <b/>
        <color rgb="FFFFFFF0"/>
        <u/>
      </rPr>
      <t>Nwaneri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</si>
  <si>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Nigeria</t>
    </r>
  </si>
  <si>
    <r>
      <rPr>
        <rFont val="Roboto"/>
        <color rgb="FFFFFFF0"/>
      </rPr>
      <t xml:space="preserve">Mikel </t>
    </r>
    <r>
      <rPr>
        <rFont val="Roboto"/>
        <b/>
        <color rgb="FFFFFFF0"/>
      </rPr>
      <t>Merino</t>
    </r>
  </si>
  <si>
    <r>
      <rPr>
        <rFont val="Roboto"/>
        <color rgb="FFFFFFF0"/>
      </rPr>
      <t xml:space="preserve">Kai </t>
    </r>
    <r>
      <rPr>
        <rFont val="Roboto"/>
        <b/>
        <color rgb="FFFFFFF0"/>
      </rPr>
      <t>Havertz</t>
    </r>
  </si>
  <si>
    <t>Niemcy</t>
  </si>
  <si>
    <r>
      <rPr>
        <rFont val="Roboto"/>
        <color rgb="FFFFFFF0"/>
      </rPr>
      <t xml:space="preserve">Ricciardo </t>
    </r>
    <r>
      <rPr>
        <rFont val="Roboto"/>
        <b/>
        <color rgb="FFFFFFF0"/>
      </rPr>
      <t>Calafiori</t>
    </r>
  </si>
  <si>
    <t>Włochy</t>
  </si>
  <si>
    <r>
      <rPr>
        <rFont val="Roboto"/>
        <color rgb="FFFFFFF0"/>
      </rPr>
      <t xml:space="preserve">Tommy </t>
    </r>
    <r>
      <rPr>
        <rFont val="Roboto"/>
        <b/>
        <color rgb="FFFFFFF0"/>
      </rPr>
      <t>Setford</t>
    </r>
  </si>
  <si>
    <r>
      <rPr>
        <rFont val="Roboto"/>
        <b/>
        <color rgb="FFFFFFF0"/>
      </rPr>
      <t>Anglia /</t>
    </r>
    <r>
      <rPr>
        <rFont val="Roboto"/>
        <b val="0"/>
        <i/>
        <color rgb="FFFFFFF0"/>
      </rPr>
      <t>Holandia</t>
    </r>
  </si>
  <si>
    <r>
      <rPr>
        <rFont val="Roboto"/>
        <color rgb="FFFFFFF0"/>
      </rPr>
      <t xml:space="preserve">Martín </t>
    </r>
    <r>
      <rPr>
        <rFont val="Roboto"/>
        <b/>
        <color rgb="FFFFFFF0"/>
      </rPr>
      <t>Zubimendi</t>
    </r>
  </si>
  <si>
    <r>
      <rPr>
        <rFont val="Roboto"/>
        <color rgb="FFFFFFF0"/>
        <u/>
      </rPr>
      <t xml:space="preserve">Louie </t>
    </r>
    <r>
      <rPr>
        <rFont val="Roboto"/>
        <b/>
        <color rgb="FFFFFFF0"/>
        <u/>
      </rPr>
      <t>Copley</t>
    </r>
  </si>
  <si>
    <r>
      <rPr>
        <rFont val="Roboto"/>
        <color rgb="FFFFFFF0"/>
        <u/>
      </rPr>
      <t xml:space="preserve">Harrison </t>
    </r>
    <r>
      <rPr>
        <rFont val="Roboto"/>
        <b/>
        <color rgb="FFFFFFF0"/>
        <u/>
      </rPr>
      <t>Dudziak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</si>
  <si>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Polska</t>
    </r>
  </si>
  <si>
    <r>
      <rPr>
        <rFont val="Roboto"/>
        <color rgb="FFFFFFF0"/>
        <u/>
      </rPr>
      <t xml:space="preserve">Sebastian </t>
    </r>
    <r>
      <rPr>
        <rFont val="Roboto"/>
        <b/>
        <color rgb="FFFFFFF0"/>
        <u/>
      </rPr>
      <t>Ferdinand</t>
    </r>
  </si>
  <si>
    <r>
      <rPr>
        <rFont val="Roboto"/>
        <color rgb="FFFFFFF0"/>
      </rPr>
      <t xml:space="preserve">Declan </t>
    </r>
    <r>
      <rPr>
        <rFont val="Roboto"/>
        <b/>
        <color rgb="FFFFFFF0"/>
      </rPr>
      <t>Rice</t>
    </r>
  </si>
  <si>
    <r>
      <rPr>
        <rFont val="Roboto"/>
        <b/>
        <color rgb="FFFFFFF0"/>
      </rPr>
      <t>Anglia /</t>
    </r>
    <r>
      <rPr>
        <rFont val="Roboto"/>
        <b val="0"/>
        <i/>
        <color rgb="FFFFFFF0"/>
      </rPr>
      <t>Irlandia</t>
    </r>
  </si>
  <si>
    <r>
      <rPr>
        <rFont val="Roboto"/>
        <color rgb="FFFFFFF0"/>
        <u/>
      </rPr>
      <t xml:space="preserve">Cam'ron </t>
    </r>
    <r>
      <rPr>
        <rFont val="Roboto"/>
        <b/>
        <color rgb="FFFFFFF0"/>
        <u/>
      </rPr>
      <t>Ismail</t>
    </r>
  </si>
  <si>
    <r>
      <rPr>
        <rFont val="Roboto"/>
        <b/>
        <color rgb="FFFFFFF0"/>
        <u/>
      </rPr>
      <t>Egipt /</t>
    </r>
    <r>
      <rPr>
        <rFont val="Roboto"/>
        <b val="0"/>
        <i/>
        <color rgb="FFFFFFF0"/>
        <u/>
      </rPr>
      <t>Anglia</t>
    </r>
  </si>
  <si>
    <r>
      <rPr>
        <rFont val="Roboto"/>
        <color rgb="FFFFFFF0"/>
        <u/>
      </rPr>
      <t xml:space="preserve">Maldini </t>
    </r>
    <r>
      <rPr>
        <rFont val="Roboto"/>
        <b/>
        <color rgb="FFFFFFF0"/>
        <u/>
      </rPr>
      <t>Kacurri</t>
    </r>
  </si>
  <si>
    <r>
      <rPr>
        <rFont val="Roboto"/>
        <b/>
        <color rgb="FFFFFFF0"/>
        <u/>
      </rPr>
      <t>Albania /</t>
    </r>
    <r>
      <rPr>
        <rFont val="Roboto"/>
        <b val="0"/>
        <i/>
        <color rgb="FFFFFFF0"/>
        <u/>
      </rPr>
      <t>Anglia</t>
    </r>
  </si>
  <si>
    <r>
      <rPr>
        <rFont val="Roboto"/>
        <color rgb="FFFFFFF0"/>
        <u/>
      </rPr>
      <t xml:space="preserve">Osman </t>
    </r>
    <r>
      <rPr>
        <rFont val="Roboto"/>
        <b/>
        <color rgb="FFFFFFF0"/>
        <u/>
      </rPr>
      <t>Kamara</t>
    </r>
  </si>
  <si>
    <r>
      <rPr>
        <rFont val="Roboto"/>
        <b/>
        <color rgb="FFFFFFF0"/>
        <u/>
      </rPr>
      <t>Sierra Leone /</t>
    </r>
    <r>
      <rPr>
        <rFont val="Roboto"/>
        <b val="0"/>
        <i/>
        <color rgb="FFFFFFF0"/>
        <u/>
      </rPr>
      <t>Anglia</t>
    </r>
  </si>
  <si>
    <r>
      <rPr>
        <rFont val="Roboto"/>
        <color rgb="FFFFFFF0"/>
        <u/>
      </rPr>
      <t xml:space="preserve">Josh </t>
    </r>
    <r>
      <rPr>
        <rFont val="Roboto"/>
        <b/>
        <color rgb="FFFFFFF0"/>
        <u/>
      </rPr>
      <t>Nichols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</si>
  <si>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Nigeria</t>
    </r>
  </si>
  <si>
    <r>
      <rPr>
        <rFont val="Roboto"/>
        <color rgb="FFFFFFF0"/>
        <u/>
      </rPr>
      <t xml:space="preserve">Myles </t>
    </r>
    <r>
      <rPr>
        <rFont val="Roboto"/>
        <b/>
        <color rgb="FFFFFFF0"/>
        <u/>
      </rPr>
      <t>Lewis-Skelly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</si>
  <si>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Barbados</t>
    </r>
  </si>
  <si>
    <r>
      <rPr>
        <rFont val="Roboto"/>
        <color rgb="FFFFFFF0"/>
        <u/>
      </rPr>
      <t xml:space="preserve">Daniel </t>
    </r>
    <r>
      <rPr>
        <rFont val="Roboto"/>
        <b/>
        <color rgb="FFFFFFF0"/>
        <u/>
      </rPr>
      <t>Oyetunde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</si>
  <si>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Nigeria</t>
    </r>
  </si>
  <si>
    <r>
      <rPr>
        <rFont val="Roboto"/>
        <color rgb="FFFFFFF0"/>
        <u/>
      </rPr>
      <t xml:space="preserve">Alexéi </t>
    </r>
    <r>
      <rPr>
        <rFont val="Roboto"/>
        <b/>
        <color rgb="FFFFFFF0"/>
        <u/>
      </rPr>
      <t>Rojas</t>
    </r>
  </si>
  <si>
    <r>
      <rPr>
        <rFont val="Roboto"/>
        <b/>
        <color rgb="FFFFFFF0"/>
        <u/>
      </rPr>
      <t>Kolumbia /</t>
    </r>
    <r>
      <rPr>
        <rFont val="Roboto"/>
        <b val="0"/>
        <i/>
        <color rgb="FFFFFFF0"/>
        <u/>
      </rPr>
      <t>Anglia</t>
    </r>
  </si>
  <si>
    <r>
      <rPr>
        <rFont val="Roboto"/>
        <color rgb="FFFFFFF0"/>
        <u/>
      </rPr>
      <t xml:space="preserve">Charles </t>
    </r>
    <r>
      <rPr>
        <rFont val="Roboto"/>
        <b/>
        <color rgb="FFFFFFF0"/>
        <u/>
      </rPr>
      <t xml:space="preserve">Sagoe Jr 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</si>
  <si>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Ghana</t>
    </r>
  </si>
  <si>
    <r>
      <rPr>
        <rFont val="Roboto"/>
        <color rgb="FFFFFFF0"/>
        <u/>
      </rPr>
      <t xml:space="preserve">William </t>
    </r>
    <r>
      <rPr>
        <rFont val="Roboto"/>
        <b/>
        <color rgb="FFFFFFF0"/>
        <u/>
      </rPr>
      <t>Sweet</t>
    </r>
  </si>
  <si>
    <r>
      <rPr>
        <rFont val="Roboto"/>
        <b/>
        <color rgb="FFFFFFF0"/>
        <u/>
      </rPr>
      <t>Walia /</t>
    </r>
    <r>
      <rPr>
        <rFont val="Roboto"/>
        <b val="0"/>
        <i/>
        <color rgb="FFFFFFF0"/>
        <u/>
      </rPr>
      <t>Anglia</t>
    </r>
  </si>
  <si>
    <r>
      <rPr>
        <rFont val="Roboto"/>
        <color rgb="FFFFFFF0"/>
      </rPr>
      <t xml:space="preserve">Max </t>
    </r>
    <r>
      <rPr>
        <rFont val="Roboto"/>
        <b/>
        <color rgb="FFFFFFF0"/>
      </rPr>
      <t>Dowman</t>
    </r>
  </si>
  <si>
    <r>
      <rPr>
        <rFont val="Roboto"/>
        <color rgb="FFFFFFF0"/>
        <u/>
      </rPr>
      <t xml:space="preserve">Samuel </t>
    </r>
    <r>
      <rPr>
        <rFont val="Roboto"/>
        <b/>
        <color rgb="FFFFFFF0"/>
        <u/>
      </rPr>
      <t>Chapman</t>
    </r>
  </si>
  <si>
    <r>
      <rPr>
        <rFont val="Roboto"/>
        <color rgb="FFFFFFF0"/>
        <u/>
      </rPr>
      <t xml:space="preserve">Andre </t>
    </r>
    <r>
      <rPr>
        <rFont val="Roboto"/>
        <b/>
        <color rgb="FFFFFFF0"/>
        <u/>
      </rPr>
      <t>Harriman-Annous</t>
    </r>
  </si>
  <si>
    <r>
      <rPr>
        <rFont val="Roboto"/>
        <color rgb="FFFFFFF0"/>
        <u/>
      </rPr>
      <t xml:space="preserve">Ife </t>
    </r>
    <r>
      <rPr>
        <rFont val="Roboto"/>
        <b/>
        <color rgb="FFFFFFF0"/>
        <u/>
      </rPr>
      <t>Ibrahim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</si>
  <si>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Nigeria</t>
    </r>
  </si>
  <si>
    <r>
      <rPr>
        <rFont val="Roboto"/>
        <color rgb="FFFFFFF0"/>
        <u/>
      </rPr>
      <t xml:space="preserve">Theo </t>
    </r>
    <r>
      <rPr>
        <rFont val="Roboto"/>
        <b/>
        <color rgb="FFFFFFF0"/>
        <u/>
      </rPr>
      <t>Julienne</t>
    </r>
  </si>
  <si>
    <r>
      <rPr>
        <rFont val="Roboto"/>
        <color rgb="FFFFFFF0"/>
        <u/>
      </rPr>
      <t xml:space="preserve">Aleksander </t>
    </r>
    <r>
      <rPr>
        <rFont val="Roboto"/>
        <b/>
        <color rgb="FFFFFFF0"/>
        <u/>
      </rPr>
      <t>Marciniak</t>
    </r>
  </si>
  <si>
    <r>
      <rPr>
        <rFont val="Roboto"/>
        <b/>
        <color rgb="FFFFFFF0"/>
        <u/>
      </rPr>
      <t>Walia /</t>
    </r>
    <r>
      <rPr>
        <rFont val="Roboto"/>
        <b val="0"/>
        <i/>
        <color rgb="FFFFFFF0"/>
        <u/>
      </rPr>
      <t>Polska</t>
    </r>
  </si>
  <si>
    <r>
      <rPr>
        <rFont val="Roboto"/>
        <color rgb="FFFFFFF0"/>
        <u/>
      </rPr>
      <t xml:space="preserve">Josh </t>
    </r>
    <r>
      <rPr>
        <rFont val="Roboto"/>
        <b/>
        <color rgb="FFFFFFF0"/>
        <u/>
      </rPr>
      <t>Ohunnaike</t>
    </r>
  </si>
  <si>
    <r>
      <rPr>
        <rFont val="Roboto"/>
        <color rgb="FFFFFFF0"/>
        <u/>
      </rPr>
      <t xml:space="preserve">Samuel </t>
    </r>
    <r>
      <rPr>
        <rFont val="Roboto"/>
        <b/>
        <color rgb="FFFFFFF0"/>
        <u/>
      </rPr>
      <t>Onyekachukwu</t>
    </r>
  </si>
  <si>
    <r>
      <rPr>
        <rFont val="Roboto"/>
        <color rgb="FFFFFFF0"/>
        <u/>
      </rPr>
      <t xml:space="preserve">Jack </t>
    </r>
    <r>
      <rPr>
        <rFont val="Roboto"/>
        <b/>
        <color rgb="FFFFFFF0"/>
        <u/>
      </rPr>
      <t>Porter</t>
    </r>
  </si>
  <si>
    <r>
      <rPr>
        <rFont val="Roboto"/>
        <color rgb="FFFFFFF0"/>
        <u/>
      </rPr>
      <t xml:space="preserve">Khari </t>
    </r>
    <r>
      <rPr>
        <rFont val="Roboto"/>
        <b/>
        <color rgb="FFFFFFF0"/>
        <u/>
      </rPr>
      <t>Ranson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</si>
  <si>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Nigeria</t>
    </r>
  </si>
  <si>
    <r>
      <rPr>
        <rFont val="Roboto"/>
        <color rgb="FFFFFFF0"/>
        <u/>
      </rPr>
      <t xml:space="preserve">Louis </t>
    </r>
    <r>
      <rPr>
        <rFont val="Roboto"/>
        <b/>
        <color rgb="FFFFFFF0"/>
        <u/>
      </rPr>
      <t>Zečević-John</t>
    </r>
  </si>
  <si>
    <r>
      <rPr>
        <rFont val="Roboto"/>
        <b/>
        <color rgb="FFFFFFF0"/>
        <u/>
      </rPr>
      <t>Serbia /</t>
    </r>
    <r>
      <rPr>
        <rFont val="Roboto"/>
        <b val="0"/>
        <i/>
        <color rgb="FFFFFFF0"/>
        <u/>
      </rPr>
      <t>Anglia</t>
    </r>
  </si>
  <si>
    <r>
      <rPr>
        <rFont val="Roboto"/>
        <color rgb="FFFFFFF0"/>
        <u/>
      </rPr>
      <t xml:space="preserve">Brandon </t>
    </r>
    <r>
      <rPr>
        <rFont val="Roboto"/>
        <b/>
        <color rgb="FFFFFFF0"/>
        <u/>
      </rPr>
      <t>Bailey-Joseph</t>
    </r>
  </si>
  <si>
    <r>
      <rPr>
        <rFont val="Roboto"/>
        <color rgb="FFFFFFF0"/>
        <u/>
      </rPr>
      <t xml:space="preserve">Marley </t>
    </r>
    <r>
      <rPr>
        <rFont val="Roboto"/>
        <b/>
        <color rgb="FFFFFFF0"/>
        <u/>
      </rPr>
      <t>Frohock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</si>
  <si>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Nigeria</t>
    </r>
  </si>
  <si>
    <r>
      <rPr>
        <rFont val="Roboto"/>
        <color rgb="FFFFFFF0"/>
        <u/>
      </rPr>
      <t xml:space="preserve">Maalik </t>
    </r>
    <r>
      <rPr>
        <rFont val="Roboto"/>
        <b/>
        <color rgb="FFFFFFF0"/>
        <u/>
      </rPr>
      <t>Hashi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</si>
  <si>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Somalia</t>
    </r>
  </si>
  <si>
    <r>
      <rPr>
        <rFont val="Roboto"/>
        <color rgb="FFFFFFF0"/>
        <u/>
      </rPr>
      <t xml:space="preserve">Josiah </t>
    </r>
    <r>
      <rPr>
        <rFont val="Roboto"/>
        <b/>
        <color rgb="FFFFFFF0"/>
        <u/>
      </rPr>
      <t>King</t>
    </r>
  </si>
  <si>
    <r>
      <rPr>
        <rFont val="Roboto"/>
        <color rgb="FFFFFFF0"/>
        <u/>
      </rPr>
      <t xml:space="preserve">Teshaun </t>
    </r>
    <r>
      <rPr>
        <rFont val="Roboto"/>
        <b/>
        <color rgb="FFFFFFF0"/>
        <u/>
      </rPr>
      <t>Murisa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</si>
  <si>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Zimbabwe</t>
    </r>
  </si>
  <si>
    <r>
      <rPr>
        <rFont val="Roboto"/>
        <color rgb="FFFFFFF0"/>
        <u/>
      </rPr>
      <t xml:space="preserve">Abraham </t>
    </r>
    <r>
      <rPr>
        <rFont val="Roboto"/>
        <b/>
        <color rgb="FFFFFFF0"/>
        <u/>
      </rPr>
      <t>Owusu-Gyasi</t>
    </r>
  </si>
  <si>
    <r>
      <rPr>
        <rFont val="Roboto"/>
        <color rgb="FFFFFFF0"/>
        <u/>
      </rPr>
      <t xml:space="preserve">Marli </t>
    </r>
    <r>
      <rPr>
        <rFont val="Roboto"/>
        <b/>
        <color rgb="FFFFFFF0"/>
        <u/>
      </rPr>
      <t>Salmon</t>
    </r>
  </si>
  <si>
    <r>
      <rPr>
        <rFont val="Roboto"/>
        <color rgb="FFFFFFF0"/>
        <u/>
      </rPr>
      <t xml:space="preserve">Saurap </t>
    </r>
    <r>
      <rPr>
        <rFont val="Roboto"/>
        <b/>
        <color rgb="FFFFFFF0"/>
        <u/>
      </rPr>
      <t>Sampang</t>
    </r>
  </si>
  <si>
    <r>
      <rPr>
        <rFont val="Roboto"/>
        <b/>
        <color rgb="FFFFFFF0"/>
        <u/>
      </rPr>
      <t>Anglia /</t>
    </r>
    <r>
      <rPr>
        <rFont val="Roboto"/>
        <b val="0"/>
        <i/>
        <color rgb="FFFFFFF0"/>
        <u/>
      </rPr>
      <t>Nepal</t>
    </r>
  </si>
  <si>
    <r>
      <rPr>
        <rFont val="Roboto"/>
        <color rgb="FFFFFFF0"/>
        <u/>
      </rPr>
      <t xml:space="preserve">Patrick </t>
    </r>
    <r>
      <rPr>
        <rFont val="Roboto"/>
        <b/>
        <color rgb="FFFFFFF0"/>
        <u/>
      </rPr>
      <t>Stachow</t>
    </r>
  </si>
  <si>
    <r>
      <rPr>
        <rFont val="Roboto"/>
        <b/>
        <color rgb="FFFFFFF0"/>
        <u/>
      </rPr>
      <t>Polska /</t>
    </r>
    <r>
      <rPr>
        <rFont val="Roboto"/>
        <b val="0"/>
        <i/>
        <color rgb="FFFFFFF0"/>
        <u/>
      </rPr>
      <t>Anglia</t>
    </r>
  </si>
  <si>
    <r>
      <rPr>
        <rFont val="Roboto"/>
        <color rgb="FFFFFFF0"/>
        <u/>
      </rPr>
      <t xml:space="preserve">Joshua </t>
    </r>
    <r>
      <rPr>
        <rFont val="Roboto"/>
        <b/>
        <color rgb="FFFFFFF0"/>
        <u/>
      </rPr>
      <t>Tahou</t>
    </r>
  </si>
  <si>
    <r>
      <rPr>
        <rFont val="Roboto"/>
        <color rgb="FFFFFFF0"/>
        <u/>
      </rPr>
      <t xml:space="preserve">Jack </t>
    </r>
    <r>
      <rPr>
        <rFont val="Roboto"/>
        <b/>
        <color rgb="FFFFFFF0"/>
        <u/>
      </rPr>
      <t>Talbot</t>
    </r>
  </si>
  <si>
    <t>rola</t>
  </si>
  <si>
    <r>
      <rPr>
        <rFont val="Arial"/>
        <color rgb="FFFFFFF0"/>
      </rPr>
      <t xml:space="preserve">Mikel </t>
    </r>
    <r>
      <rPr>
        <rFont val="Arial"/>
        <b/>
        <color rgb="FFFFFFF0"/>
      </rPr>
      <t>Arteta</t>
    </r>
  </si>
  <si>
    <t>gole dla Arsenalu</t>
  </si>
  <si>
    <t>Gabriel Martinelli 72, Leonardo Trossard 87</t>
  </si>
  <si>
    <t>Bilbao (San Mamés)</t>
  </si>
  <si>
    <t>Gabriel Martinelli 12, Bukayo Saka 90</t>
  </si>
  <si>
    <t>2-0</t>
  </si>
  <si>
    <t>Londyn (Emirates Stadium)</t>
  </si>
  <si>
    <t>Atlético Madyt</t>
  </si>
  <si>
    <t>Gabriel 57, Gabriel Martinelli 64, Viktor Gyökeres 67, 70</t>
  </si>
  <si>
    <t>Bukayo Saka 32 (k), Mikel Merino 46, 68</t>
  </si>
  <si>
    <t>Praga (Fortuna Arena)</t>
  </si>
  <si>
    <t>Jurriën Timber 22, Noni Madueke 69, Gabriel Martinelli 77</t>
  </si>
  <si>
    <t>Noni Madueke 25, 47, Gabriel Martinelli 56</t>
  </si>
  <si>
    <t>Brugia (Jan Breydel Stadium)</t>
  </si>
  <si>
    <t>Gabriel Jesus 10, 31, Viktor Gyökeres 84</t>
  </si>
  <si>
    <t>Mediolan (Stadio Giuseppe Meazza)</t>
  </si>
  <si>
    <t>kandyjka</t>
  </si>
  <si>
    <r>
      <rPr>
        <rFont val="Arial"/>
        <color rgb="FF1E191A"/>
      </rPr>
      <t xml:space="preserve">Odilon </t>
    </r>
    <r>
      <rPr>
        <rFont val="Arial"/>
        <b/>
        <color rgb="FF1E191A"/>
      </rPr>
      <t>Kossounou</t>
    </r>
  </si>
  <si>
    <t>Wybrzeże Kości Słoniowej</t>
  </si>
  <si>
    <r>
      <rPr>
        <rFont val="Arial"/>
        <color rgb="FF1E191A"/>
      </rPr>
      <t xml:space="preserve">Isak </t>
    </r>
    <r>
      <rPr>
        <rFont val="Arial"/>
        <b/>
        <color rgb="FF1E191A"/>
      </rPr>
      <t>Hien</t>
    </r>
  </si>
  <si>
    <r>
      <rPr>
        <rFont val="Arial"/>
        <b/>
        <color rgb="FF1E191A"/>
      </rPr>
      <t>Szwecja /</t>
    </r>
    <r>
      <rPr>
        <rFont val="Arial"/>
        <b val="0"/>
        <i/>
        <color rgb="FF1E191A"/>
      </rPr>
      <t>Ghana</t>
    </r>
  </si>
  <si>
    <r>
      <rPr>
        <rFont val="Arial"/>
        <color rgb="FF1E191A"/>
      </rPr>
      <t xml:space="preserve">Mitchel </t>
    </r>
    <r>
      <rPr>
        <rFont val="Arial"/>
        <b/>
        <color rgb="FF1E191A"/>
      </rPr>
      <t>Bakker</t>
    </r>
  </si>
  <si>
    <r>
      <rPr>
        <rFont val="Arial"/>
        <color rgb="FF1E191A"/>
      </rPr>
      <t xml:space="preserve">Yunus </t>
    </r>
    <r>
      <rPr>
        <rFont val="Arial"/>
        <b/>
        <color rgb="FF1E191A"/>
      </rPr>
      <t>Musah</t>
    </r>
  </si>
  <si>
    <r>
      <rPr>
        <rFont val="Arial"/>
        <b/>
        <color rgb="FF1E191A"/>
      </rPr>
      <t>USA /</t>
    </r>
    <r>
      <rPr>
        <rFont val="Arial"/>
        <b val="0"/>
        <i/>
        <color rgb="FF1E191A"/>
      </rPr>
      <t>Anglia</t>
    </r>
  </si>
  <si>
    <r>
      <rPr>
        <rFont val="Arial"/>
        <color rgb="FF1E191A"/>
      </rPr>
      <t xml:space="preserve">Kamaldeen </t>
    </r>
    <r>
      <rPr>
        <rFont val="Arial"/>
        <b/>
        <color rgb="FF1E191A"/>
      </rPr>
      <t>Sulemana</t>
    </r>
  </si>
  <si>
    <t>Ghana</t>
  </si>
  <si>
    <r>
      <rPr>
        <rFont val="Arial"/>
        <color rgb="FF1E191A"/>
      </rPr>
      <t xml:space="preserve">Mario </t>
    </r>
    <r>
      <rPr>
        <rFont val="Arial"/>
        <b/>
        <color rgb="FF1E191A"/>
      </rPr>
      <t>Pašalić</t>
    </r>
  </si>
  <si>
    <r>
      <rPr>
        <rFont val="Arial"/>
        <color rgb="FF1E191A"/>
      </rPr>
      <t xml:space="preserve">Gianluca </t>
    </r>
    <r>
      <rPr>
        <rFont val="Arial"/>
        <b/>
        <color rgb="FF1E191A"/>
      </rPr>
      <t>Scamacca</t>
    </r>
  </si>
  <si>
    <r>
      <rPr>
        <rFont val="Arial"/>
        <color rgb="FF1E191A"/>
      </rPr>
      <t xml:space="preserve">Lazar </t>
    </r>
    <r>
      <rPr>
        <rFont val="Arial"/>
        <b/>
        <color rgb="FF1E191A"/>
      </rPr>
      <t>Samardžić</t>
    </r>
  </si>
  <si>
    <r>
      <rPr>
        <rFont val="Arial"/>
        <b/>
        <color rgb="FF1E191A"/>
      </rPr>
      <t>Serbia /</t>
    </r>
    <r>
      <rPr>
        <rFont val="Arial"/>
        <b val="0"/>
        <i/>
        <color rgb="FF1E191A"/>
      </rPr>
      <t>Niemcy</t>
    </r>
  </si>
  <si>
    <r>
      <rPr>
        <rFont val="Arial"/>
        <color rgb="FF1E191A"/>
      </rPr>
      <t xml:space="preserve">Ademola </t>
    </r>
    <r>
      <rPr>
        <rFont val="Arial"/>
        <b/>
        <color rgb="FF1E191A"/>
      </rPr>
      <t>Lookman</t>
    </r>
  </si>
  <si>
    <r>
      <rPr>
        <rFont val="Arial"/>
        <b/>
        <color rgb="FF1E191A"/>
      </rPr>
      <t>Nigeria /</t>
    </r>
    <r>
      <rPr>
        <rFont val="Arial"/>
        <b val="0"/>
        <i/>
        <color rgb="FF1E191A"/>
      </rPr>
      <t>Anglia</t>
    </r>
  </si>
  <si>
    <t>Éderson</t>
  </si>
  <si>
    <r>
      <rPr>
        <rFont val="Arial"/>
        <color rgb="FF1E191A"/>
      </rPr>
      <t xml:space="preserve">Marten </t>
    </r>
    <r>
      <rPr>
        <rFont val="Arial"/>
        <b/>
        <color rgb="FF1E191A"/>
      </rPr>
      <t>de Roon</t>
    </r>
  </si>
  <si>
    <r>
      <rPr>
        <rFont val="Arial"/>
        <color rgb="FF1E191A"/>
      </rPr>
      <t xml:space="preserve">Raoul </t>
    </r>
    <r>
      <rPr>
        <rFont val="Arial"/>
        <b/>
        <color rgb="FF1E191A"/>
      </rPr>
      <t>Bellanova</t>
    </r>
  </si>
  <si>
    <r>
      <rPr>
        <rFont val="Arial"/>
        <color rgb="FF1E191A"/>
      </rPr>
      <t xml:space="preserve">Charles </t>
    </r>
    <r>
      <rPr>
        <rFont val="Arial"/>
        <b/>
        <color rgb="FF1E191A"/>
      </rPr>
      <t>De Keteleare</t>
    </r>
  </si>
  <si>
    <r>
      <rPr>
        <rFont val="Arial"/>
        <color rgb="FF1E191A"/>
      </rPr>
      <t xml:space="preserve">Berat </t>
    </r>
    <r>
      <rPr>
        <rFont val="Arial"/>
        <b/>
        <color rgb="FF1E191A"/>
      </rPr>
      <t>Djimsiti</t>
    </r>
  </si>
  <si>
    <r>
      <rPr>
        <rFont val="Arial"/>
        <b/>
        <color rgb="FF1E191A"/>
      </rPr>
      <t>Albania /</t>
    </r>
    <r>
      <rPr>
        <rFont val="Arial"/>
        <b val="0"/>
        <i/>
        <color rgb="FF1E191A"/>
      </rPr>
      <t>Szwajcaria</t>
    </r>
  </si>
  <si>
    <r>
      <rPr>
        <rFont val="Arial"/>
        <color rgb="FF1E191A"/>
      </rPr>
      <t xml:space="preserve">Sead </t>
    </r>
    <r>
      <rPr>
        <rFont val="Arial"/>
        <b/>
        <color rgb="FF1E191A"/>
      </rPr>
      <t>Kolašinac</t>
    </r>
  </si>
  <si>
    <r>
      <rPr>
        <rFont val="Arial"/>
        <b/>
        <color rgb="FF1E191A"/>
      </rPr>
      <t>Bośnia i Hercegowina /</t>
    </r>
    <r>
      <rPr>
        <rFont val="Arial"/>
        <b val="0"/>
        <i/>
        <color rgb="FF1E191A"/>
      </rPr>
      <t>Niemcy</t>
    </r>
  </si>
  <si>
    <r>
      <rPr>
        <rFont val="Arial"/>
        <color rgb="FF1E191A"/>
      </rPr>
      <t xml:space="preserve">Marco </t>
    </r>
    <r>
      <rPr>
        <rFont val="Arial"/>
        <b/>
        <color rgb="FF1E191A"/>
      </rPr>
      <t>Carnesecchi</t>
    </r>
  </si>
  <si>
    <r>
      <rPr>
        <rFont val="Arial"/>
        <color rgb="FF1E191A"/>
      </rPr>
      <t xml:space="preserve">Francesco </t>
    </r>
    <r>
      <rPr>
        <rFont val="Arial"/>
        <b/>
        <color rgb="FF1E191A"/>
      </rPr>
      <t>Rossi</t>
    </r>
  </si>
  <si>
    <r>
      <rPr>
        <rFont val="Arial"/>
        <color rgb="FF1E191A"/>
        <u/>
      </rPr>
      <t xml:space="preserve">Relja </t>
    </r>
    <r>
      <rPr>
        <rFont val="Arial"/>
        <b/>
        <color rgb="FF1E191A"/>
        <u/>
      </rPr>
      <t>Obrić</t>
    </r>
  </si>
  <si>
    <r>
      <rPr>
        <rFont val="Arial"/>
        <b/>
        <color rgb="FF1E191A"/>
        <u/>
      </rPr>
      <t>Słowenia /</t>
    </r>
    <r>
      <rPr>
        <rFont val="Arial"/>
        <b val="0"/>
        <i/>
        <color rgb="FF1E191A"/>
        <u/>
      </rPr>
      <t>Serbia</t>
    </r>
  </si>
  <si>
    <r>
      <rPr>
        <rFont val="Arial"/>
        <color rgb="FF1E191A"/>
        <u/>
      </rPr>
      <t xml:space="preserve">Henry </t>
    </r>
    <r>
      <rPr>
        <rFont val="Arial"/>
        <b/>
        <color rgb="FF1E191A"/>
        <u/>
      </rPr>
      <t>Camara</t>
    </r>
  </si>
  <si>
    <r>
      <rPr>
        <rFont val="Arial"/>
        <b/>
        <color rgb="FF1E191A"/>
        <u/>
      </rPr>
      <t>Gwinea /</t>
    </r>
    <r>
      <rPr>
        <rFont val="Arial"/>
        <b val="0"/>
        <i/>
        <color rgb="FF1E191A"/>
        <u/>
      </rPr>
      <t>Francja</t>
    </r>
  </si>
  <si>
    <r>
      <rPr>
        <rFont val="Arial"/>
        <color rgb="FF1E191A"/>
      </rPr>
      <t xml:space="preserve">Giorgio </t>
    </r>
    <r>
      <rPr>
        <rFont val="Arial"/>
        <b/>
        <color rgb="FF1E191A"/>
      </rPr>
      <t>Scalvini</t>
    </r>
  </si>
  <si>
    <r>
      <rPr>
        <rFont val="Arial"/>
        <color rgb="FF1E191A"/>
      </rPr>
      <t xml:space="preserve">Marco </t>
    </r>
    <r>
      <rPr>
        <rFont val="Arial"/>
        <b/>
        <color rgb="FF1E191A"/>
      </rPr>
      <t>Brescianini</t>
    </r>
  </si>
  <si>
    <r>
      <rPr>
        <rFont val="Arial"/>
        <color rgb="FF1E191A"/>
      </rPr>
      <t xml:space="preserve">Lorenzo </t>
    </r>
    <r>
      <rPr>
        <rFont val="Arial"/>
        <b/>
        <color rgb="FF1E191A"/>
      </rPr>
      <t>Bernasconi</t>
    </r>
  </si>
  <si>
    <r>
      <rPr>
        <rFont val="Arial"/>
        <color rgb="FF1E191A"/>
      </rPr>
      <t xml:space="preserve">Marco </t>
    </r>
    <r>
      <rPr>
        <rFont val="Arial"/>
        <b/>
        <color rgb="FF1E191A"/>
      </rPr>
      <t>Sportiello</t>
    </r>
  </si>
  <si>
    <r>
      <rPr>
        <rFont val="Arial"/>
        <color rgb="FF1E191A"/>
      </rPr>
      <t xml:space="preserve">Nicola </t>
    </r>
    <r>
      <rPr>
        <rFont val="Arial"/>
        <b/>
        <color rgb="FF1E191A"/>
      </rPr>
      <t>Zalewski</t>
    </r>
  </si>
  <si>
    <r>
      <rPr>
        <rFont val="Arial"/>
        <b/>
        <color rgb="FF1E191A"/>
      </rPr>
      <t>Polska /</t>
    </r>
    <r>
      <rPr>
        <rFont val="Arial"/>
        <b val="0"/>
        <i/>
        <color rgb="FF1E191A"/>
      </rPr>
      <t>Włochy</t>
    </r>
  </si>
  <si>
    <r>
      <rPr>
        <rFont val="Arial"/>
        <color rgb="FF1E191A"/>
      </rPr>
      <t xml:space="preserve">Honest </t>
    </r>
    <r>
      <rPr>
        <rFont val="Arial"/>
        <b/>
        <color rgb="FF1E191A"/>
      </rPr>
      <t>Ahanor</t>
    </r>
  </si>
  <si>
    <r>
      <rPr>
        <rFont val="Arial"/>
        <b/>
        <color rgb="FF1E191A"/>
      </rPr>
      <t>Włochy /</t>
    </r>
    <r>
      <rPr>
        <rFont val="Arial"/>
        <b val="0"/>
        <i/>
        <color rgb="FF1E191A"/>
      </rPr>
      <t>Nigeria</t>
    </r>
  </si>
  <si>
    <r>
      <rPr>
        <rFont val="Arial"/>
        <color rgb="FF1E191A"/>
      </rPr>
      <t xml:space="preserve">Daniel </t>
    </r>
    <r>
      <rPr>
        <rFont val="Arial"/>
        <b/>
        <color rgb="FF1E191A"/>
      </rPr>
      <t>Maldini</t>
    </r>
  </si>
  <si>
    <r>
      <rPr>
        <rFont val="Arial"/>
        <b/>
        <color rgb="FF1E191A"/>
      </rPr>
      <t>Włochy /</t>
    </r>
    <r>
      <rPr>
        <rFont val="Arial"/>
        <b val="0"/>
        <i/>
        <color rgb="FF1E191A"/>
      </rPr>
      <t>Wenezuela</t>
    </r>
  </si>
  <si>
    <r>
      <rPr>
        <rFont val="Arial"/>
        <color rgb="FF1E191A"/>
      </rPr>
      <t xml:space="preserve">Davide </t>
    </r>
    <r>
      <rPr>
        <rFont val="Arial"/>
        <b/>
        <color rgb="FF1E191A"/>
      </rPr>
      <t>Zappacosta</t>
    </r>
  </si>
  <si>
    <r>
      <rPr>
        <rFont val="Arial"/>
        <color rgb="FF1E191A"/>
      </rPr>
      <t xml:space="preserve">Nikola </t>
    </r>
    <r>
      <rPr>
        <rFont val="Arial"/>
        <b/>
        <color rgb="FF1E191A"/>
      </rPr>
      <t>Krstović</t>
    </r>
  </si>
  <si>
    <r>
      <rPr>
        <rFont val="Arial"/>
        <b/>
        <color rgb="FF1E191A"/>
      </rPr>
      <t>Czarnogóra /</t>
    </r>
    <r>
      <rPr>
        <rFont val="Arial"/>
        <b val="0"/>
        <i/>
        <color rgb="FF1E191A"/>
      </rPr>
      <t>Serbia</t>
    </r>
  </si>
  <si>
    <r>
      <rPr>
        <rFont val="Arial"/>
        <color rgb="FF1E191A"/>
      </rPr>
      <t xml:space="preserve">Ivan </t>
    </r>
    <r>
      <rPr>
        <rFont val="Arial"/>
        <b/>
        <color rgb="FF1E191A"/>
      </rPr>
      <t>Jurić</t>
    </r>
  </si>
  <si>
    <r>
      <rPr>
        <rFont val="Arial"/>
        <color rgb="FF1E191A"/>
      </rPr>
      <t xml:space="preserve">Raffaele </t>
    </r>
    <r>
      <rPr>
        <rFont val="Arial"/>
        <b/>
        <color rgb="FF1E191A"/>
      </rPr>
      <t>Palladino</t>
    </r>
  </si>
  <si>
    <t>gole dla Atalanty</t>
  </si>
  <si>
    <t>Paryż (Parc des Princes)</t>
  </si>
  <si>
    <t>Lazar Samardžić 74 (k), Mario Pašalić 87</t>
  </si>
  <si>
    <t>Bergamo (Stadio Atleti Azzurri d'Italia)</t>
  </si>
  <si>
    <t>0-0</t>
  </si>
  <si>
    <t>Lazar Samardžić 90</t>
  </si>
  <si>
    <t>0-1</t>
  </si>
  <si>
    <t>Ademola Lookman 60, Éderson 63, Charles De Ketelaere 65</t>
  </si>
  <si>
    <t>Frankfurt (Waldstadion)</t>
  </si>
  <si>
    <t>Gianluca Scamacca 55, Charles De Keteleare 83</t>
  </si>
  <si>
    <t>Gianluca Scamacca 16, Nikola Krstović 88</t>
  </si>
  <si>
    <t>Bruksela (Constant Vanden Stock Stadium)</t>
  </si>
  <si>
    <r>
      <rPr>
        <rFont val="Arial"/>
        <color rgb="FFFF1E11"/>
      </rPr>
      <t xml:space="preserve">Unai </t>
    </r>
    <r>
      <rPr>
        <rFont val="Arial"/>
        <b/>
        <color rgb="FFFF1E11"/>
      </rPr>
      <t>Simón</t>
    </r>
  </si>
  <si>
    <r>
      <rPr>
        <rFont val="Arial"/>
        <color rgb="FFFF1E11"/>
      </rPr>
      <t xml:space="preserve">Andoni </t>
    </r>
    <r>
      <rPr>
        <rFont val="Arial"/>
        <b/>
        <color rgb="FFFF1E11"/>
      </rPr>
      <t>Gorosabel</t>
    </r>
  </si>
  <si>
    <r>
      <rPr>
        <rFont val="Arial"/>
        <color rgb="FFFF1E11"/>
      </rPr>
      <t xml:space="preserve">Dani </t>
    </r>
    <r>
      <rPr>
        <rFont val="Arial"/>
        <b/>
        <color rgb="FFFF1E11"/>
      </rPr>
      <t>Vivian</t>
    </r>
  </si>
  <si>
    <r>
      <rPr>
        <rFont val="Arial"/>
        <color rgb="FFFF1E11"/>
      </rPr>
      <t xml:space="preserve">Aitor </t>
    </r>
    <r>
      <rPr>
        <rFont val="Arial"/>
        <b/>
        <color rgb="FFFF1E11"/>
      </rPr>
      <t>Paredes</t>
    </r>
  </si>
  <si>
    <r>
      <rPr>
        <rFont val="Arial"/>
        <color rgb="FFFF1E11"/>
      </rPr>
      <t xml:space="preserve">Yeray </t>
    </r>
    <r>
      <rPr>
        <rFont val="Arial"/>
        <b/>
        <color rgb="FFFF1E11"/>
      </rPr>
      <t>Álvarez</t>
    </r>
  </si>
  <si>
    <r>
      <rPr>
        <rFont val="Arial"/>
        <color rgb="FFFF1E11"/>
      </rPr>
      <t xml:space="preserve">Mikel </t>
    </r>
    <r>
      <rPr>
        <rFont val="Arial"/>
        <b/>
        <color rgb="FFFF1E11"/>
      </rPr>
      <t>Vesga</t>
    </r>
  </si>
  <si>
    <r>
      <rPr>
        <rFont val="Arial"/>
        <color rgb="FFFF1E11"/>
      </rPr>
      <t xml:space="preserve">Álex </t>
    </r>
    <r>
      <rPr>
        <rFont val="Arial"/>
        <b/>
        <color rgb="FFFF1E11"/>
      </rPr>
      <t>Berenguer</t>
    </r>
  </si>
  <si>
    <r>
      <rPr>
        <rFont val="Arial"/>
        <color rgb="FFFF1E11"/>
      </rPr>
      <t xml:space="preserve">Oihan </t>
    </r>
    <r>
      <rPr>
        <rFont val="Arial"/>
        <b/>
        <color rgb="FFFF1E11"/>
      </rPr>
      <t>Sancet</t>
    </r>
  </si>
  <si>
    <r>
      <rPr>
        <rFont val="Arial"/>
        <color rgb="FFFF1E11"/>
      </rPr>
      <t xml:space="preserve">Iñaki </t>
    </r>
    <r>
      <rPr>
        <rFont val="Arial"/>
        <b/>
        <color rgb="FFFF1E11"/>
      </rPr>
      <t>Williams</t>
    </r>
  </si>
  <si>
    <r>
      <rPr>
        <rFont val="Arial"/>
        <b/>
        <color rgb="FFFF1E11"/>
      </rPr>
      <t>Ghana /</t>
    </r>
    <r>
      <rPr>
        <rFont val="Arial"/>
        <b val="0"/>
        <i/>
        <color rgb="FFFF1E11"/>
      </rPr>
      <t>Hiszpania</t>
    </r>
  </si>
  <si>
    <r>
      <rPr>
        <rFont val="Arial"/>
        <color rgb="FFFF1E11"/>
      </rPr>
      <t xml:space="preserve">Nico </t>
    </r>
    <r>
      <rPr>
        <rFont val="Arial"/>
        <b/>
        <color rgb="FFFF1E11"/>
      </rPr>
      <t>Williams</t>
    </r>
  </si>
  <si>
    <r>
      <rPr>
        <rFont val="Arial"/>
        <b/>
        <color rgb="FFFF1E11"/>
      </rPr>
      <t>Hiszpania /</t>
    </r>
    <r>
      <rPr>
        <rFont val="Arial"/>
        <b val="0"/>
        <i/>
        <color rgb="FFFF1E11"/>
      </rPr>
      <t>Ghana</t>
    </r>
  </si>
  <si>
    <r>
      <rPr>
        <rFont val="Arial"/>
        <color rgb="FFFF1E11"/>
      </rPr>
      <t xml:space="preserve">Gorka </t>
    </r>
    <r>
      <rPr>
        <rFont val="Arial"/>
        <b/>
        <color rgb="FFFF1E11"/>
      </rPr>
      <t>Guruzeta</t>
    </r>
  </si>
  <si>
    <r>
      <rPr>
        <rFont val="Arial"/>
        <color rgb="FFFF1E11"/>
      </rPr>
      <t xml:space="preserve">Jesús </t>
    </r>
    <r>
      <rPr>
        <rFont val="Arial"/>
        <b/>
        <color rgb="FFFF1E11"/>
      </rPr>
      <t>Areso</t>
    </r>
  </si>
  <si>
    <r>
      <rPr>
        <rFont val="Arial"/>
        <color rgb="FFFF1E11"/>
      </rPr>
      <t xml:space="preserve">Aymeric </t>
    </r>
    <r>
      <rPr>
        <rFont val="Arial"/>
        <b/>
        <color rgb="FFFF1E11"/>
      </rPr>
      <t>Laporte</t>
    </r>
  </si>
  <si>
    <r>
      <rPr>
        <rFont val="Arial"/>
        <b/>
        <color rgb="FFFF1E11"/>
      </rPr>
      <t>Hiszpania /</t>
    </r>
    <r>
      <rPr>
        <rFont val="Arial"/>
        <b val="0"/>
        <i/>
        <color rgb="FFFF1E11"/>
      </rPr>
      <t>Francja</t>
    </r>
  </si>
  <si>
    <r>
      <rPr>
        <rFont val="Arial"/>
        <color rgb="FFFF1E11"/>
      </rPr>
      <t xml:space="preserve">Iñigo </t>
    </r>
    <r>
      <rPr>
        <rFont val="Arial"/>
        <b/>
        <color rgb="FFFF1E11"/>
      </rPr>
      <t>Lekue</t>
    </r>
  </si>
  <si>
    <r>
      <rPr>
        <rFont val="Arial"/>
        <color rgb="FFFF1E11"/>
      </rPr>
      <t xml:space="preserve">Iñigo </t>
    </r>
    <r>
      <rPr>
        <rFont val="Arial"/>
        <b/>
        <color rgb="FFFF1E11"/>
      </rPr>
      <t>Ruiz de Galarreta</t>
    </r>
  </si>
  <si>
    <r>
      <rPr>
        <rFont val="Arial"/>
        <color rgb="FFFF1E11"/>
      </rPr>
      <t xml:space="preserve">Yuri </t>
    </r>
    <r>
      <rPr>
        <rFont val="Arial"/>
        <b/>
        <color rgb="FFFF1E11"/>
      </rPr>
      <t>Berchiche</t>
    </r>
  </si>
  <si>
    <r>
      <rPr>
        <rFont val="Arial"/>
        <b/>
        <color rgb="FFFF1E11"/>
      </rPr>
      <t>Hiszpania /</t>
    </r>
    <r>
      <rPr>
        <rFont val="Arial"/>
        <b val="0"/>
        <i/>
        <color rgb="FFFF1E11"/>
      </rPr>
      <t>Algieria</t>
    </r>
  </si>
  <si>
    <r>
      <rPr>
        <rFont val="Arial"/>
        <color rgb="FFFF1E11"/>
      </rPr>
      <t xml:space="preserve">Mikel </t>
    </r>
    <r>
      <rPr>
        <rFont val="Arial"/>
        <b/>
        <color rgb="FFFF1E11"/>
      </rPr>
      <t>Jauregizar</t>
    </r>
  </si>
  <si>
    <r>
      <rPr>
        <rFont val="Arial"/>
        <color rgb="FFFF1E11"/>
      </rPr>
      <t xml:space="preserve">Adama </t>
    </r>
    <r>
      <rPr>
        <rFont val="Arial"/>
        <b/>
        <color rgb="FFFF1E11"/>
      </rPr>
      <t>Boiro</t>
    </r>
  </si>
  <si>
    <r>
      <rPr>
        <rFont val="Arial"/>
        <b/>
        <color rgb="FFFF1E11"/>
      </rPr>
      <t>Hiszpania /</t>
    </r>
    <r>
      <rPr>
        <rFont val="Arial"/>
        <b val="0"/>
        <i/>
        <color rgb="FFFF1E11"/>
      </rPr>
      <t>Senegal</t>
    </r>
  </si>
  <si>
    <r>
      <rPr>
        <rFont val="Arial"/>
        <color rgb="FFFF1E11"/>
      </rPr>
      <t xml:space="preserve">Unai </t>
    </r>
    <r>
      <rPr>
        <rFont val="Arial"/>
        <b/>
        <color rgb="FFFF1E11"/>
      </rPr>
      <t>Gómez</t>
    </r>
  </si>
  <si>
    <r>
      <rPr>
        <rFont val="Arial"/>
        <color rgb="FFFF1E11"/>
      </rPr>
      <t xml:space="preserve">Maroan </t>
    </r>
    <r>
      <rPr>
        <rFont val="Arial"/>
        <b/>
        <color rgb="FFFF1E11"/>
      </rPr>
      <t>Sannadi</t>
    </r>
  </si>
  <si>
    <r>
      <rPr>
        <rFont val="Arial"/>
        <b/>
        <color rgb="FFFF1E11"/>
      </rPr>
      <t>Maroko /</t>
    </r>
    <r>
      <rPr>
        <rFont val="Arial"/>
        <b val="0"/>
        <i/>
        <color rgb="FFFF1E11"/>
      </rPr>
      <t>Hiszpania</t>
    </r>
  </si>
  <si>
    <r>
      <rPr>
        <rFont val="Arial"/>
        <color rgb="FFFF1E11"/>
      </rPr>
      <t xml:space="preserve">Nico </t>
    </r>
    <r>
      <rPr>
        <rFont val="Arial"/>
        <b/>
        <color rgb="FFFF1E11"/>
      </rPr>
      <t>Serrano</t>
    </r>
  </si>
  <si>
    <r>
      <rPr>
        <rFont val="Arial"/>
        <color rgb="FFFF1E11"/>
      </rPr>
      <t xml:space="preserve">Robert </t>
    </r>
    <r>
      <rPr>
        <rFont val="Arial"/>
        <b/>
        <color rgb="FFFF1E11"/>
      </rPr>
      <t>Navarro</t>
    </r>
  </si>
  <si>
    <r>
      <rPr>
        <rFont val="Arial"/>
        <color rgb="FFFF1E11"/>
      </rPr>
      <t xml:space="preserve">Beñat </t>
    </r>
    <r>
      <rPr>
        <rFont val="Arial"/>
        <b/>
        <color rgb="FFFF1E11"/>
      </rPr>
      <t>Prados</t>
    </r>
  </si>
  <si>
    <r>
      <rPr>
        <rFont val="Arial"/>
        <color rgb="FFFF1E11"/>
        <u/>
      </rPr>
      <t xml:space="preserve">Mikel </t>
    </r>
    <r>
      <rPr>
        <rFont val="Arial"/>
        <b/>
        <color rgb="FFFF1E11"/>
        <u/>
      </rPr>
      <t>Santos</t>
    </r>
  </si>
  <si>
    <r>
      <rPr>
        <rFont val="Arial"/>
        <color rgb="FFFF1E11"/>
      </rPr>
      <t xml:space="preserve">Álex </t>
    </r>
    <r>
      <rPr>
        <rFont val="Arial"/>
        <b/>
        <color rgb="FFFF1E11"/>
      </rPr>
      <t>Padilla</t>
    </r>
  </si>
  <si>
    <r>
      <rPr>
        <rFont val="Arial"/>
        <b/>
        <color rgb="FFFF1E11"/>
      </rPr>
      <t>Meksyk /</t>
    </r>
    <r>
      <rPr>
        <rFont val="Arial"/>
        <b val="0"/>
        <i/>
        <color rgb="FFFF1E11"/>
      </rPr>
      <t>Hiszpania</t>
    </r>
  </si>
  <si>
    <r>
      <rPr>
        <rFont val="Arial"/>
        <color rgb="FFFF1E11"/>
      </rPr>
      <t xml:space="preserve">Unai </t>
    </r>
    <r>
      <rPr>
        <rFont val="Arial"/>
        <b/>
        <color rgb="FFFF1E11"/>
      </rPr>
      <t>Egiluz</t>
    </r>
  </si>
  <si>
    <r>
      <rPr>
        <rFont val="Arial"/>
        <color rgb="FFFF1E11"/>
      </rPr>
      <t xml:space="preserve">Alejandro </t>
    </r>
    <r>
      <rPr>
        <rFont val="Arial"/>
        <b/>
        <color rgb="FFFF1E11"/>
      </rPr>
      <t>Rego</t>
    </r>
  </si>
  <si>
    <r>
      <rPr>
        <rFont val="Arial"/>
        <color rgb="FFFF1E11"/>
        <u/>
      </rPr>
      <t xml:space="preserve">Asier </t>
    </r>
    <r>
      <rPr>
        <rFont val="Arial"/>
        <b/>
        <color rgb="FFFF1E11"/>
        <u/>
      </rPr>
      <t>Hierro</t>
    </r>
  </si>
  <si>
    <r>
      <rPr>
        <rFont val="Arial"/>
        <color rgb="FFFF1E11"/>
        <u/>
      </rPr>
      <t xml:space="preserve">Adrián </t>
    </r>
    <r>
      <rPr>
        <rFont val="Arial"/>
        <b/>
        <color rgb="FFFF1E11"/>
        <u/>
      </rPr>
      <t>Pérez</t>
    </r>
  </si>
  <si>
    <r>
      <rPr>
        <rFont val="Arial"/>
        <color rgb="FFFF1E11"/>
      </rPr>
      <t xml:space="preserve">Jon </t>
    </r>
    <r>
      <rPr>
        <rFont val="Arial"/>
        <b/>
        <color rgb="FFFF1E11"/>
      </rPr>
      <t>de Luis</t>
    </r>
  </si>
  <si>
    <r>
      <rPr>
        <rFont val="Arial"/>
        <color rgb="FFFF1E11"/>
        <u/>
      </rPr>
      <t xml:space="preserve">Ibon </t>
    </r>
    <r>
      <rPr>
        <rFont val="Arial"/>
        <b/>
        <color rgb="FFFF1E11"/>
        <u/>
      </rPr>
      <t>Sánchez</t>
    </r>
  </si>
  <si>
    <r>
      <rPr>
        <rFont val="Arial"/>
        <color rgb="FFFF1E11"/>
      </rPr>
      <t xml:space="preserve">Ander </t>
    </r>
    <r>
      <rPr>
        <rFont val="Arial"/>
        <b/>
        <color rgb="FFFF1E11"/>
      </rPr>
      <t>Izagirre</t>
    </r>
  </si>
  <si>
    <r>
      <rPr>
        <rFont val="Arial"/>
        <color rgb="FFFF1E11"/>
        <u/>
      </rPr>
      <t xml:space="preserve">Selton </t>
    </r>
    <r>
      <rPr>
        <rFont val="Arial"/>
        <b/>
        <color rgb="FFFF1E11"/>
        <u/>
      </rPr>
      <t>Sánchez</t>
    </r>
  </si>
  <si>
    <r>
      <rPr>
        <rFont val="Arial"/>
        <b/>
        <color rgb="FFFF1E11"/>
        <u/>
      </rPr>
      <t>Hiszpania /</t>
    </r>
    <r>
      <rPr>
        <rFont val="Arial"/>
        <b val="0"/>
        <i/>
        <color rgb="FFFF1E11"/>
        <u/>
      </rPr>
      <t>Brazylia</t>
    </r>
  </si>
  <si>
    <r>
      <rPr>
        <rFont val="Arial"/>
        <color rgb="FFFF1E11"/>
      </rPr>
      <t xml:space="preserve">Ernesto </t>
    </r>
    <r>
      <rPr>
        <rFont val="Arial"/>
        <b/>
        <color rgb="FFFF1E11"/>
      </rPr>
      <t>Valverde</t>
    </r>
  </si>
  <si>
    <t>gole dla Bilbao</t>
  </si>
  <si>
    <t>Gorka Guruzeta 61</t>
  </si>
  <si>
    <t>Dortmund (Westfalenstadion)</t>
  </si>
  <si>
    <t>Gorka Guruzeta 40, 88, Robert Navarro 70</t>
  </si>
  <si>
    <t>Newcastle upon Tyne (St James' Park)</t>
  </si>
  <si>
    <t>Gorka Guruzeta 58, Nico Serrano 70, Robert Navarro 74</t>
  </si>
  <si>
    <t>gole samobójcze</t>
  </si>
  <si>
    <r>
      <rPr>
        <rFont val="Arial"/>
        <color rgb="FFE2211C"/>
      </rPr>
      <t xml:space="preserve">Juan </t>
    </r>
    <r>
      <rPr>
        <rFont val="Arial"/>
        <b/>
        <color rgb="FFE2211C"/>
      </rPr>
      <t>Musso</t>
    </r>
  </si>
  <si>
    <r>
      <rPr>
        <rFont val="Arial"/>
        <b/>
        <color rgb="FFE2211C"/>
      </rPr>
      <t>Argentyna /</t>
    </r>
    <r>
      <rPr>
        <rFont val="Arial"/>
        <b val="0"/>
        <i/>
        <color rgb="FFE2211C"/>
      </rPr>
      <t>Włochy</t>
    </r>
  </si>
  <si>
    <r>
      <rPr>
        <rFont val="Arial"/>
        <color rgb="FFE2211C"/>
      </rPr>
      <t xml:space="preserve">José María </t>
    </r>
    <r>
      <rPr>
        <rFont val="Arial"/>
        <b/>
        <color rgb="FFE2211C"/>
      </rPr>
      <t>Giménez</t>
    </r>
  </si>
  <si>
    <r>
      <rPr>
        <rFont val="Arial"/>
        <b/>
        <color rgb="FFE2211C"/>
      </rPr>
      <t>Urugwaj /</t>
    </r>
    <r>
      <rPr>
        <rFont val="Arial"/>
        <b val="0"/>
        <i/>
        <color rgb="FFE2211C"/>
      </rPr>
      <t>Hiszpania</t>
    </r>
  </si>
  <si>
    <r>
      <rPr>
        <rFont val="Arial"/>
        <color rgb="FFE2211C"/>
      </rPr>
      <t xml:space="preserve">Matteo </t>
    </r>
    <r>
      <rPr>
        <rFont val="Arial"/>
        <b/>
        <color rgb="FFE2211C"/>
      </rPr>
      <t>Ruggeri</t>
    </r>
  </si>
  <si>
    <r>
      <rPr>
        <rFont val="Arial"/>
        <color rgb="FFE2211C"/>
      </rPr>
      <t xml:space="preserve">Conor </t>
    </r>
    <r>
      <rPr>
        <rFont val="Arial"/>
        <b/>
        <color rgb="FFE2211C"/>
      </rPr>
      <t>Gallagher</t>
    </r>
  </si>
  <si>
    <r>
      <rPr>
        <rFont val="Arial"/>
        <color rgb="FFE2211C"/>
      </rPr>
      <t xml:space="preserve">Johnny </t>
    </r>
    <r>
      <rPr>
        <rFont val="Arial"/>
        <b/>
        <color rgb="FFE2211C"/>
      </rPr>
      <t>Cardoso</t>
    </r>
  </si>
  <si>
    <r>
      <rPr>
        <rFont val="Arial"/>
        <b/>
        <color rgb="FFE2211C"/>
      </rPr>
      <t>USA /</t>
    </r>
    <r>
      <rPr>
        <rFont val="Arial"/>
        <b val="0"/>
        <i/>
        <color rgb="FFE2211C"/>
      </rPr>
      <t>Włochy</t>
    </r>
  </si>
  <si>
    <t>Koke</t>
  </si>
  <si>
    <r>
      <rPr>
        <rFont val="Arial"/>
        <color rgb="FFE2211C"/>
      </rPr>
      <t xml:space="preserve">Antoine </t>
    </r>
    <r>
      <rPr>
        <rFont val="Arial"/>
        <b/>
        <color rgb="FFE2211C"/>
      </rPr>
      <t>Griezmann</t>
    </r>
  </si>
  <si>
    <t>Francja</t>
  </si>
  <si>
    <r>
      <rPr>
        <rFont val="Arial"/>
        <color rgb="FFE2211C"/>
      </rPr>
      <t xml:space="preserve">Pablo </t>
    </r>
    <r>
      <rPr>
        <rFont val="Arial"/>
        <b/>
        <color rgb="FFE2211C"/>
      </rPr>
      <t>Barrios</t>
    </r>
  </si>
  <si>
    <r>
      <rPr>
        <rFont val="Arial"/>
        <color rgb="FFE2211C"/>
      </rPr>
      <t xml:space="preserve">Alexander </t>
    </r>
    <r>
      <rPr>
        <rFont val="Arial"/>
        <b/>
        <color rgb="FFE2211C"/>
      </rPr>
      <t>Sørloth</t>
    </r>
  </si>
  <si>
    <r>
      <rPr>
        <rFont val="Arial"/>
        <color rgb="FFE2211C"/>
      </rPr>
      <t xml:space="preserve">Álex </t>
    </r>
    <r>
      <rPr>
        <rFont val="Arial"/>
        <b/>
        <color rgb="FFE2211C"/>
      </rPr>
      <t>Baena</t>
    </r>
  </si>
  <si>
    <r>
      <rPr>
        <rFont val="Arial"/>
        <color rgb="FFE2211C"/>
      </rPr>
      <t xml:space="preserve">Thiago </t>
    </r>
    <r>
      <rPr>
        <rFont val="Arial"/>
        <b/>
        <color rgb="FFE2211C"/>
      </rPr>
      <t>Almada</t>
    </r>
  </si>
  <si>
    <t>Argentyna</t>
  </si>
  <si>
    <r>
      <rPr>
        <rFont val="Arial"/>
        <color rgb="FFE2211C"/>
      </rPr>
      <t xml:space="preserve">Carlos </t>
    </r>
    <r>
      <rPr>
        <rFont val="Arial"/>
        <b/>
        <color rgb="FFE2211C"/>
      </rPr>
      <t>Martín</t>
    </r>
  </si>
  <si>
    <r>
      <rPr>
        <rFont val="Arial"/>
        <color rgb="FFE2211C"/>
      </rPr>
      <t xml:space="preserve">Jan </t>
    </r>
    <r>
      <rPr>
        <rFont val="Arial"/>
        <b/>
        <color rgb="FFE2211C"/>
      </rPr>
      <t>Oblak</t>
    </r>
  </si>
  <si>
    <t>Słowenia</t>
  </si>
  <si>
    <r>
      <rPr>
        <rFont val="Arial"/>
        <color rgb="FFE2211C"/>
      </rPr>
      <t xml:space="preserve">Marcos </t>
    </r>
    <r>
      <rPr>
        <rFont val="Arial"/>
        <b/>
        <color rgb="FFE2211C"/>
      </rPr>
      <t>Llorente</t>
    </r>
  </si>
  <si>
    <r>
      <rPr>
        <rFont val="Arial"/>
        <color rgb="FFE2211C"/>
      </rPr>
      <t xml:space="preserve">Clément </t>
    </r>
    <r>
      <rPr>
        <rFont val="Arial"/>
        <b/>
        <color rgb="FFE2211C"/>
      </rPr>
      <t>Lenglet</t>
    </r>
  </si>
  <si>
    <r>
      <rPr>
        <rFont val="Arial"/>
        <color rgb="FFE2211C"/>
      </rPr>
      <t xml:space="preserve">Nahuel </t>
    </r>
    <r>
      <rPr>
        <rFont val="Arial"/>
        <b/>
        <color rgb="FFE2211C"/>
      </rPr>
      <t>Molina</t>
    </r>
  </si>
  <si>
    <r>
      <rPr>
        <rFont val="Arial"/>
        <color rgb="FFE2211C"/>
      </rPr>
      <t xml:space="preserve">Dávid </t>
    </r>
    <r>
      <rPr>
        <rFont val="Arial"/>
        <b/>
        <color rgb="FFE2211C"/>
      </rPr>
      <t>Hancko</t>
    </r>
  </si>
  <si>
    <t>Słowacja</t>
  </si>
  <si>
    <r>
      <rPr>
        <rFont val="Arial"/>
        <color rgb="FFE2211C"/>
      </rPr>
      <t xml:space="preserve">Marc </t>
    </r>
    <r>
      <rPr>
        <rFont val="Arial"/>
        <b/>
        <color rgb="FFE2211C"/>
      </rPr>
      <t>Pubill</t>
    </r>
  </si>
  <si>
    <r>
      <rPr>
        <rFont val="Arial"/>
        <color rgb="FFE2211C"/>
      </rPr>
      <t xml:space="preserve">Julián </t>
    </r>
    <r>
      <rPr>
        <rFont val="Arial"/>
        <b/>
        <color rgb="FFE2211C"/>
      </rPr>
      <t>Alvarez</t>
    </r>
  </si>
  <si>
    <r>
      <rPr>
        <rFont val="Arial"/>
        <b/>
        <color rgb="FFE2211C"/>
      </rPr>
      <t>Argentyna /</t>
    </r>
    <r>
      <rPr>
        <rFont val="Arial"/>
        <b val="0"/>
        <i/>
        <color rgb="FFE2211C"/>
      </rPr>
      <t>Włochy</t>
    </r>
  </si>
  <si>
    <r>
      <rPr>
        <rFont val="Arial"/>
        <color rgb="FFE2211C"/>
      </rPr>
      <t xml:space="preserve">Giuliano </t>
    </r>
    <r>
      <rPr>
        <rFont val="Arial"/>
        <b/>
        <color rgb="FFE2211C"/>
      </rPr>
      <t>Simeone</t>
    </r>
  </si>
  <si>
    <r>
      <rPr>
        <rFont val="Arial"/>
        <b/>
        <color rgb="FFE2211C"/>
      </rPr>
      <t>Argentyna /</t>
    </r>
    <r>
      <rPr>
        <rFont val="Arial"/>
        <b val="0"/>
        <i/>
        <color rgb="FFE2211C"/>
      </rPr>
      <t>Włochy</t>
    </r>
  </si>
  <si>
    <r>
      <rPr>
        <rFont val="Arial"/>
        <color rgb="FFE2211C"/>
      </rPr>
      <t xml:space="preserve">Javi </t>
    </r>
    <r>
      <rPr>
        <rFont val="Arial"/>
        <b/>
        <color rgb="FFE2211C"/>
      </rPr>
      <t>Galán</t>
    </r>
  </si>
  <si>
    <r>
      <rPr>
        <rFont val="Arial"/>
        <color rgb="FFE2211C"/>
      </rPr>
      <t xml:space="preserve">Giacomo </t>
    </r>
    <r>
      <rPr>
        <rFont val="Arial"/>
        <b/>
        <color rgb="FFE2211C"/>
      </rPr>
      <t>Raspadori</t>
    </r>
  </si>
  <si>
    <r>
      <rPr>
        <rFont val="Arial"/>
        <color rgb="FFE2211C"/>
      </rPr>
      <t xml:space="preserve">Nicolás </t>
    </r>
    <r>
      <rPr>
        <rFont val="Arial"/>
        <b/>
        <color rgb="FFE2211C"/>
      </rPr>
      <t>Gonzalez</t>
    </r>
  </si>
  <si>
    <r>
      <rPr>
        <rFont val="Arial"/>
        <b/>
        <color rgb="FFE2211C"/>
      </rPr>
      <t>Argentyna /</t>
    </r>
    <r>
      <rPr>
        <rFont val="Arial"/>
        <b val="0"/>
        <i/>
        <color rgb="FFE2211C"/>
      </rPr>
      <t>Włochy</t>
    </r>
  </si>
  <si>
    <r>
      <rPr>
        <rFont val="Arial"/>
        <color rgb="FFE2211C"/>
      </rPr>
      <t xml:space="preserve">Robin </t>
    </r>
    <r>
      <rPr>
        <rFont val="Arial"/>
        <b/>
        <color rgb="FFE2211C"/>
      </rPr>
      <t>Le Normand</t>
    </r>
  </si>
  <si>
    <r>
      <rPr>
        <rFont val="Arial"/>
        <b/>
        <color rgb="FFE2211C"/>
      </rPr>
      <t>Hiszpania /</t>
    </r>
    <r>
      <rPr>
        <rFont val="Arial"/>
        <b val="0"/>
        <i/>
        <color rgb="FFE2211C"/>
      </rPr>
      <t>Francja</t>
    </r>
  </si>
  <si>
    <r>
      <rPr>
        <rFont val="Arial"/>
        <b val="0"/>
        <color rgb="FFE2211C"/>
        <u/>
      </rPr>
      <t xml:space="preserve">Taufik </t>
    </r>
    <r>
      <rPr>
        <rFont val="Arial"/>
        <b/>
        <color rgb="FFE2211C"/>
        <u/>
      </rPr>
      <t>Zanzi</t>
    </r>
  </si>
  <si>
    <r>
      <rPr>
        <rFont val="Arial"/>
        <b/>
        <color rgb="FFE2211C"/>
        <u/>
      </rPr>
      <t>Hiszpania /</t>
    </r>
    <r>
      <rPr>
        <rFont val="Arial"/>
        <b val="0"/>
        <i/>
        <color rgb="FFE2211C"/>
        <u/>
      </rPr>
      <t>Ghana</t>
    </r>
  </si>
  <si>
    <r>
      <rPr>
        <rFont val="Arial"/>
        <color rgb="FFE2211C"/>
        <u/>
      </rPr>
      <t xml:space="preserve">Rayane </t>
    </r>
    <r>
      <rPr>
        <rFont val="Arial"/>
        <b/>
        <color rgb="FFE2211C"/>
        <u/>
      </rPr>
      <t>Belaid</t>
    </r>
  </si>
  <si>
    <r>
      <rPr>
        <rFont val="Arial"/>
        <b/>
        <color rgb="FFE2211C"/>
        <u/>
      </rPr>
      <t>Hiszpania /</t>
    </r>
    <r>
      <rPr>
        <rFont val="Arial"/>
        <b val="0"/>
        <i/>
        <color rgb="FFE2211C"/>
        <u/>
      </rPr>
      <t>Algieria</t>
    </r>
  </si>
  <si>
    <r>
      <rPr>
        <rFont val="Arial"/>
        <color rgb="FFE2211C"/>
        <u/>
      </rPr>
      <t xml:space="preserve">Dani </t>
    </r>
    <r>
      <rPr>
        <rFont val="Arial"/>
        <b/>
        <color rgb="FFE2211C"/>
        <u/>
      </rPr>
      <t>Martinez</t>
    </r>
  </si>
  <si>
    <r>
      <rPr>
        <rFont val="Arial"/>
        <color rgb="FFE2211C"/>
        <u/>
      </rPr>
      <t xml:space="preserve">Salvador </t>
    </r>
    <r>
      <rPr>
        <rFont val="Arial"/>
        <b/>
        <color rgb="FFE2211C"/>
        <u/>
      </rPr>
      <t>Esquivel</t>
    </r>
  </si>
  <si>
    <r>
      <rPr>
        <rFont val="Arial"/>
        <color rgb="FFE2211C"/>
        <u/>
      </rPr>
      <t xml:space="preserve">Javier </t>
    </r>
    <r>
      <rPr>
        <rFont val="Arial"/>
        <b/>
        <color rgb="FFE2211C"/>
        <u/>
      </rPr>
      <t>Boñar</t>
    </r>
  </si>
  <si>
    <r>
      <rPr>
        <rFont val="Arial"/>
        <color rgb="FFE2211C"/>
      </rPr>
      <t xml:space="preserve">Mario </t>
    </r>
    <r>
      <rPr>
        <rFont val="Arial"/>
        <b/>
        <color rgb="FFE2211C"/>
      </rPr>
      <t>de Luis</t>
    </r>
  </si>
  <si>
    <r>
      <rPr>
        <rFont val="Arial"/>
        <color rgb="FFE2211C"/>
        <u/>
      </rPr>
      <t xml:space="preserve">Julio </t>
    </r>
    <r>
      <rPr>
        <rFont val="Arial"/>
        <b/>
        <color rgb="FFE2211C"/>
        <u/>
      </rPr>
      <t>Díaz</t>
    </r>
  </si>
  <si>
    <r>
      <rPr>
        <rFont val="Arial"/>
        <color rgb="FFE2211C"/>
        <u/>
      </rPr>
      <t xml:space="preserve">Iker </t>
    </r>
    <r>
      <rPr>
        <rFont val="Arial"/>
        <b/>
        <color rgb="FFE2211C"/>
        <u/>
      </rPr>
      <t>Luque</t>
    </r>
  </si>
  <si>
    <r>
      <rPr>
        <rFont val="Arial"/>
        <color rgb="FFE2211C"/>
        <u/>
      </rPr>
      <t xml:space="preserve">Omar </t>
    </r>
    <r>
      <rPr>
        <rFont val="Arial"/>
        <b/>
        <color rgb="FFE2211C"/>
        <u/>
      </rPr>
      <t>Janneh</t>
    </r>
  </si>
  <si>
    <r>
      <rPr>
        <rFont val="Arial"/>
        <b/>
        <color rgb="FFE2211C"/>
        <u/>
      </rPr>
      <t>Hiszpania /</t>
    </r>
    <r>
      <rPr>
        <rFont val="Arial"/>
        <b val="0"/>
        <i/>
        <color rgb="FFE2211C"/>
        <u/>
      </rPr>
      <t>Gambia</t>
    </r>
  </si>
  <si>
    <r>
      <rPr>
        <rFont val="Arial"/>
        <color rgb="FFE2211C"/>
        <u/>
      </rPr>
      <t xml:space="preserve">Jorge </t>
    </r>
    <r>
      <rPr>
        <rFont val="Arial"/>
        <b/>
        <color rgb="FFE2211C"/>
        <u/>
      </rPr>
      <t>Rajado</t>
    </r>
  </si>
  <si>
    <r>
      <rPr>
        <rFont val="Arial"/>
        <color rgb="FFE2211C"/>
        <u/>
      </rPr>
      <t xml:space="preserve">Álvaro </t>
    </r>
    <r>
      <rPr>
        <rFont val="Arial"/>
        <b/>
        <color rgb="FFE2211C"/>
        <u/>
      </rPr>
      <t>Moreno</t>
    </r>
  </si>
  <si>
    <r>
      <rPr>
        <rFont val="Arial"/>
        <color rgb="FFE2211C"/>
        <u/>
      </rPr>
      <t xml:space="preserve">Diego </t>
    </r>
    <r>
      <rPr>
        <rFont val="Arial"/>
        <b/>
        <color rgb="FFE2211C"/>
        <u/>
      </rPr>
      <t>Díaz</t>
    </r>
  </si>
  <si>
    <r>
      <rPr>
        <rFont val="Arial"/>
        <color rgb="FFE2211C"/>
        <u/>
      </rPr>
      <t xml:space="preserve">Daniel </t>
    </r>
    <r>
      <rPr>
        <rFont val="Arial"/>
        <b/>
        <color rgb="FFE2211C"/>
        <u/>
      </rPr>
      <t>Rubio</t>
    </r>
  </si>
  <si>
    <r>
      <rPr>
        <rFont val="Arial"/>
        <color rgb="FFE2211C"/>
        <u/>
      </rPr>
      <t xml:space="preserve">Miguel </t>
    </r>
    <r>
      <rPr>
        <rFont val="Arial"/>
        <b/>
        <color rgb="FFE2211C"/>
        <u/>
      </rPr>
      <t>Lopez</t>
    </r>
  </si>
  <si>
    <r>
      <rPr>
        <rFont val="Arial"/>
        <color rgb="FFE2211C"/>
      </rPr>
      <t xml:space="preserve">Diego </t>
    </r>
    <r>
      <rPr>
        <rFont val="Arial"/>
        <b/>
        <color rgb="FFE2211C"/>
      </rPr>
      <t>Simeone</t>
    </r>
  </si>
  <si>
    <r>
      <rPr>
        <rFont val="Arial"/>
        <b/>
        <color rgb="FFE2211C"/>
      </rPr>
      <t>Argentyna /</t>
    </r>
    <r>
      <rPr>
        <rFont val="Arial"/>
        <b val="0"/>
        <i/>
        <color rgb="FFE2211C"/>
      </rPr>
      <t>Włochy</t>
    </r>
  </si>
  <si>
    <r>
      <rPr>
        <rFont val="Arial"/>
        <color rgb="FFE2211C"/>
      </rPr>
      <t xml:space="preserve">Nelson </t>
    </r>
    <r>
      <rPr>
        <rFont val="Arial"/>
        <b/>
        <color rgb="FFE2211C"/>
      </rPr>
      <t>Vivas</t>
    </r>
  </si>
  <si>
    <t>gole dla Atletico</t>
  </si>
  <si>
    <t>Marcos Llorente 45, 81</t>
  </si>
  <si>
    <t>Liverpool (Anfield)</t>
  </si>
  <si>
    <t>Giacomo Raspadori 4, Robin Le Normand 33, Antoine Griezmann 45, Giuliano Simeone 70, Julián Alvarez 82 (k)</t>
  </si>
  <si>
    <t xml:space="preserve"> Madryt (Metropolitano Stadium)</t>
  </si>
  <si>
    <t>Julián Alvarez 39, Conor Gallagher 72, Marcos Llorente 90</t>
  </si>
  <si>
    <t>Julián Alvarez 9, José María Giménez 90</t>
  </si>
  <si>
    <t>Julián Alvarez 37, Dávid Hancko 52, Alexander Sørloth 56</t>
  </si>
  <si>
    <t>Eindhoven (Phillips Stadion)</t>
  </si>
  <si>
    <t>Giuliano Simeone 4</t>
  </si>
  <si>
    <t>Stambuł (Rams Park)</t>
  </si>
  <si>
    <r>
      <rPr>
        <rFont val="Arial"/>
        <color rgb="FF231F20"/>
      </rPr>
      <t xml:space="preserve">Gregor </t>
    </r>
    <r>
      <rPr>
        <rFont val="Arial"/>
        <b/>
        <color rgb="FF231F20"/>
      </rPr>
      <t>Kobel</t>
    </r>
  </si>
  <si>
    <t>Szwajcaria</t>
  </si>
  <si>
    <t>Yan Couto</t>
  </si>
  <si>
    <r>
      <rPr>
        <rFont val="Arial"/>
        <b/>
        <color rgb="FF231F20"/>
      </rPr>
      <t>Brazylia /</t>
    </r>
    <r>
      <rPr>
        <rFont val="Arial"/>
        <b val="0"/>
        <i/>
        <color rgb="FF231F20"/>
      </rPr>
      <t>Portugalia</t>
    </r>
  </si>
  <si>
    <r>
      <rPr>
        <rFont val="Arial"/>
        <color rgb="FF231F20"/>
      </rPr>
      <t xml:space="preserve">Waldemar </t>
    </r>
    <r>
      <rPr>
        <rFont val="Arial"/>
        <b/>
        <color rgb="FF231F20"/>
      </rPr>
      <t>Anton</t>
    </r>
  </si>
  <si>
    <r>
      <rPr>
        <rFont val="Arial"/>
        <color rgb="FF231F20"/>
      </rPr>
      <t xml:space="preserve">Nico </t>
    </r>
    <r>
      <rPr>
        <rFont val="Arial"/>
        <b/>
        <color rgb="FF231F20"/>
      </rPr>
      <t>Schlotterbeck</t>
    </r>
  </si>
  <si>
    <r>
      <rPr>
        <rFont val="Arial"/>
        <color rgb="FF231F20"/>
      </rPr>
      <t xml:space="preserve">Ramy </t>
    </r>
    <r>
      <rPr>
        <rFont val="Arial"/>
        <b/>
        <color rgb="FF231F20"/>
      </rPr>
      <t>Bensebaini</t>
    </r>
  </si>
  <si>
    <t>Algieria</t>
  </si>
  <si>
    <r>
      <rPr>
        <rFont val="Arial"/>
        <color rgb="FF231F20"/>
      </rPr>
      <t xml:space="preserve">Jobe </t>
    </r>
    <r>
      <rPr>
        <rFont val="Arial"/>
        <b/>
        <color rgb="FF231F20"/>
      </rPr>
      <t>Bellingham</t>
    </r>
  </si>
  <si>
    <r>
      <rPr>
        <rFont val="Arial"/>
        <b/>
        <color rgb="FF231F20"/>
      </rPr>
      <t>Anglia /</t>
    </r>
    <r>
      <rPr>
        <rFont val="Arial"/>
        <b val="0"/>
        <i/>
        <color rgb="FF231F20"/>
      </rPr>
      <t>Irlandia</t>
    </r>
  </si>
  <si>
    <r>
      <rPr>
        <rFont val="Arial"/>
        <color rgb="FF231F20"/>
      </rPr>
      <t xml:space="preserve">Felix </t>
    </r>
    <r>
      <rPr>
        <rFont val="Arial"/>
        <b/>
        <color rgb="FF231F20"/>
      </rPr>
      <t>Nmecha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</si>
  <si>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Anglia</t>
    </r>
  </si>
  <si>
    <r>
      <rPr>
        <rFont val="Arial"/>
        <color rgb="FF231F20"/>
      </rPr>
      <t xml:space="preserve">Serhou </t>
    </r>
    <r>
      <rPr>
        <rFont val="Arial"/>
        <b/>
        <color rgb="FF231F20"/>
      </rPr>
      <t>Guirassy</t>
    </r>
  </si>
  <si>
    <r>
      <rPr>
        <rFont val="Arial"/>
        <b/>
        <color rgb="FF231F20"/>
      </rPr>
      <t>Gwinea /</t>
    </r>
    <r>
      <rPr>
        <rFont val="Arial"/>
        <b val="0"/>
        <i/>
        <color rgb="FF231F20"/>
      </rPr>
      <t>Mali</t>
    </r>
  </si>
  <si>
    <r>
      <rPr>
        <rFont val="Arial"/>
        <color rgb="FF231F20"/>
      </rPr>
      <t xml:space="preserve">Julian </t>
    </r>
    <r>
      <rPr>
        <rFont val="Arial"/>
        <b/>
        <color rgb="FF231F20"/>
      </rPr>
      <t>Brandt</t>
    </r>
  </si>
  <si>
    <r>
      <rPr>
        <rFont val="Arial"/>
        <color rgb="FF231F20"/>
      </rPr>
      <t xml:space="preserve">Pascal </t>
    </r>
    <r>
      <rPr>
        <rFont val="Arial"/>
        <b/>
        <color rgb="FF231F20"/>
      </rPr>
      <t>Groß</t>
    </r>
  </si>
  <si>
    <r>
      <rPr>
        <rFont val="Arial"/>
        <color rgb="FF231F20"/>
      </rPr>
      <t xml:space="preserve">Maximilian </t>
    </r>
    <r>
      <rPr>
        <rFont val="Arial"/>
        <b/>
        <color rgb="FF231F20"/>
      </rPr>
      <t>Beier</t>
    </r>
  </si>
  <si>
    <r>
      <rPr>
        <rFont val="Arial"/>
        <color rgb="FF231F20"/>
        <u/>
      </rPr>
      <t xml:space="preserve">Julien </t>
    </r>
    <r>
      <rPr>
        <rFont val="Arial"/>
        <b/>
        <color rgb="FF231F20"/>
        <u/>
      </rPr>
      <t>Duranville</t>
    </r>
  </si>
  <si>
    <r>
      <rPr>
        <rFont val="Arial"/>
        <color rgb="FF231F20"/>
      </rPr>
      <t xml:space="preserve">Carney </t>
    </r>
    <r>
      <rPr>
        <rFont val="Arial"/>
        <b/>
        <color rgb="FF231F20"/>
      </rPr>
      <t>Chukwuemeka</t>
    </r>
  </si>
  <si>
    <r>
      <rPr>
        <rFont val="Arial"/>
        <b/>
        <color rgb="FF231F20"/>
      </rPr>
      <t>Anglia /</t>
    </r>
    <r>
      <rPr>
        <rFont val="Arial"/>
        <b val="0"/>
        <i/>
        <color rgb="FF231F20"/>
      </rPr>
      <t>Nigeria</t>
    </r>
  </si>
  <si>
    <r>
      <rPr>
        <rFont val="Arial"/>
        <color rgb="FF231F20"/>
      </rPr>
      <t xml:space="preserve">Marcel </t>
    </r>
    <r>
      <rPr>
        <rFont val="Arial"/>
        <b/>
        <color rgb="FF231F20"/>
      </rPr>
      <t>Sabitzer</t>
    </r>
  </si>
  <si>
    <t>Austria</t>
  </si>
  <si>
    <t>Fábio Silva</t>
  </si>
  <si>
    <t>Portugalia</t>
  </si>
  <si>
    <r>
      <rPr>
        <rFont val="Arial"/>
        <color rgb="FF231F20"/>
      </rPr>
      <t xml:space="preserve">Emre </t>
    </r>
    <r>
      <rPr>
        <rFont val="Arial"/>
        <b/>
        <color rgb="FF231F20"/>
      </rPr>
      <t>Can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</si>
  <si>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Turcja</t>
    </r>
  </si>
  <si>
    <r>
      <rPr>
        <rFont val="Arial"/>
        <color rgb="FF231F20"/>
      </rPr>
      <t xml:space="preserve">Daniel </t>
    </r>
    <r>
      <rPr>
        <rFont val="Arial"/>
        <b/>
        <color rgb="FF231F20"/>
      </rPr>
      <t>Svensson</t>
    </r>
  </si>
  <si>
    <t>Szwecja</t>
  </si>
  <si>
    <r>
      <rPr>
        <rFont val="Arial"/>
        <color rgb="FF231F20"/>
      </rPr>
      <t xml:space="preserve">Niklas </t>
    </r>
    <r>
      <rPr>
        <rFont val="Arial"/>
        <b/>
        <color rgb="FF231F20"/>
      </rPr>
      <t>Süle</t>
    </r>
  </si>
  <si>
    <r>
      <rPr>
        <rFont val="Arial"/>
        <color rgb="FF231F20"/>
      </rPr>
      <t xml:space="preserve">Julian </t>
    </r>
    <r>
      <rPr>
        <rFont val="Arial"/>
        <b/>
        <color rgb="FF231F20"/>
      </rPr>
      <t>Ryerson</t>
    </r>
  </si>
  <si>
    <r>
      <rPr>
        <rFont val="Arial"/>
        <b/>
        <color rgb="FF231F20"/>
      </rPr>
      <t>Norwegia /</t>
    </r>
    <r>
      <rPr>
        <rFont val="Arial"/>
        <b val="0"/>
        <i/>
        <color rgb="FF231F20"/>
      </rPr>
      <t>USA</t>
    </r>
  </si>
  <si>
    <r>
      <rPr>
        <rFont val="Arial"/>
        <color rgb="FF231F20"/>
      </rPr>
      <t xml:space="preserve">Karim </t>
    </r>
    <r>
      <rPr>
        <rFont val="Arial"/>
        <b/>
        <color rgb="FF231F20"/>
      </rPr>
      <t>Adeyemi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</si>
  <si>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Nigeria</t>
    </r>
  </si>
  <si>
    <r>
      <rPr>
        <rFont val="Arial"/>
        <color rgb="FF231F20"/>
      </rPr>
      <t xml:space="preserve">Aarón </t>
    </r>
    <r>
      <rPr>
        <rFont val="Arial"/>
        <b/>
        <color rgb="FF231F20"/>
      </rPr>
      <t>Anselmino</t>
    </r>
  </si>
  <si>
    <r>
      <rPr>
        <rFont val="Arial"/>
        <color rgb="FF231F20"/>
      </rPr>
      <t xml:space="preserve">Silas </t>
    </r>
    <r>
      <rPr>
        <rFont val="Arial"/>
        <b/>
        <color rgb="FF231F20"/>
      </rPr>
      <t>Ostrzinski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</si>
  <si>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Polska</t>
    </r>
  </si>
  <si>
    <r>
      <rPr>
        <rFont val="Arial"/>
        <color rgb="FF231F20"/>
      </rPr>
      <t xml:space="preserve">Alexander </t>
    </r>
    <r>
      <rPr>
        <rFont val="Arial"/>
        <b/>
        <color rgb="FF231F20"/>
      </rPr>
      <t>Meyer</t>
    </r>
  </si>
  <si>
    <r>
      <rPr>
        <rFont val="Arial"/>
        <color rgb="FF231F20"/>
      </rPr>
      <t xml:space="preserve">Cole </t>
    </r>
    <r>
      <rPr>
        <rFont val="Arial"/>
        <b/>
        <color rgb="FF231F20"/>
      </rPr>
      <t>Campbell</t>
    </r>
  </si>
  <si>
    <r>
      <rPr>
        <rFont val="Arial"/>
        <b/>
        <color rgb="FF231F20"/>
      </rPr>
      <t>USA /</t>
    </r>
    <r>
      <rPr>
        <rFont val="Arial"/>
        <b val="0"/>
        <i/>
        <color rgb="FF231F20"/>
      </rPr>
      <t>Islandia</t>
    </r>
  </si>
  <si>
    <r>
      <rPr>
        <rFont val="Arial"/>
        <color rgb="FF231F20"/>
      </rPr>
      <t xml:space="preserve">Filippo </t>
    </r>
    <r>
      <rPr>
        <rFont val="Arial"/>
        <b/>
        <color rgb="FF231F20"/>
      </rPr>
      <t>Mane</t>
    </r>
  </si>
  <si>
    <r>
      <rPr>
        <rFont val="Arial"/>
        <b/>
        <color rgb="FF231F20"/>
      </rPr>
      <t>Włochy /</t>
    </r>
    <r>
      <rPr>
        <rFont val="Arial"/>
        <b val="0"/>
        <i/>
        <color rgb="FF231F20"/>
      </rPr>
      <t>Senegal</t>
    </r>
  </si>
  <si>
    <r>
      <rPr>
        <rFont val="Arial"/>
        <color rgb="FF231F20"/>
      </rPr>
      <t xml:space="preserve">Almugera </t>
    </r>
    <r>
      <rPr>
        <rFont val="Arial"/>
        <b/>
        <color rgb="FF231F20"/>
      </rPr>
      <t>Kabar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</si>
  <si>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Libia</t>
    </r>
  </si>
  <si>
    <r>
      <rPr>
        <rFont val="Arial"/>
        <color rgb="FF231F20"/>
        <u/>
      </rPr>
      <t xml:space="preserve">Elias </t>
    </r>
    <r>
      <rPr>
        <rFont val="Arial"/>
        <b/>
        <color rgb="FF231F20"/>
        <u/>
      </rPr>
      <t>Benkara</t>
    </r>
  </si>
  <si>
    <r>
      <rPr>
        <rFont val="Arial"/>
        <b/>
        <color rgb="FF231F20"/>
        <u/>
      </rPr>
      <t>Niemcy /</t>
    </r>
    <r>
      <rPr>
        <rFont val="Arial"/>
        <b val="0"/>
        <i/>
        <color rgb="FF231F20"/>
        <u/>
      </rPr>
      <t>Algieria</t>
    </r>
  </si>
  <si>
    <r>
      <rPr>
        <rFont val="Arial"/>
        <color rgb="FF231F20"/>
      </rPr>
      <t xml:space="preserve">Niko </t>
    </r>
    <r>
      <rPr>
        <rFont val="Arial"/>
        <b/>
        <color rgb="FF231F20"/>
      </rPr>
      <t>Kovač</t>
    </r>
  </si>
  <si>
    <t>gole dla Borussi</t>
  </si>
  <si>
    <t>Karim Adeyemi 52, Felix Nmecha 65, Yan Couto 74, Ramy Bensebaini 86 (k)</t>
  </si>
  <si>
    <t>Turyn (Juventus Stadium)</t>
  </si>
  <si>
    <t>Daniel Svensson 28, Carney Chukwuemeka 50, Serhou Guirassy 82, Julian Brandt 90</t>
  </si>
  <si>
    <t>Felix Nmecha 20, 76, Ramy Bensebaini 61 (k), Fábio Silva 87</t>
  </si>
  <si>
    <t>Kopenhaga (Parken Stadium)</t>
  </si>
  <si>
    <t>Waldemar Anton 72</t>
  </si>
  <si>
    <t>Manchester (Etihad Stadium)</t>
  </si>
  <si>
    <t>Serhou Guirassy 45, 54, Karim Adeyemi 58, Daniel Svensson 90</t>
  </si>
  <si>
    <t>Julian Brandt 18, 51</t>
  </si>
  <si>
    <t>Londyn (Tottenham Hotspur Stadium)</t>
  </si>
  <si>
    <t>Column 17</t>
  </si>
  <si>
    <r>
      <rPr>
        <rFont val="Arial"/>
        <color rgb="FFDB2E35"/>
      </rPr>
      <t xml:space="preserve">Marc-André </t>
    </r>
    <r>
      <rPr>
        <rFont val="Arial"/>
        <b/>
        <color rgb="FFDB2E35"/>
      </rPr>
      <t>ter Stegen</t>
    </r>
  </si>
  <si>
    <r>
      <rPr>
        <rFont val="Arial"/>
        <color rgb="FFDB2E35"/>
      </rPr>
      <t xml:space="preserve">Alejandro </t>
    </r>
    <r>
      <rPr>
        <rFont val="Arial"/>
        <b/>
        <color rgb="FFDB2E35"/>
      </rPr>
      <t>Balde</t>
    </r>
  </si>
  <si>
    <r>
      <rPr>
        <rFont val="Arial"/>
        <color rgb="FFDB2E35"/>
      </rPr>
      <t xml:space="preserve">Ronald </t>
    </r>
    <r>
      <rPr>
        <rFont val="Arial"/>
        <b/>
        <color rgb="FFDB2E35"/>
      </rPr>
      <t>Araujo</t>
    </r>
  </si>
  <si>
    <r>
      <rPr>
        <rFont val="Arial"/>
        <b/>
        <color rgb="FFDB2E35"/>
      </rPr>
      <t>Urugwaj /</t>
    </r>
    <r>
      <rPr>
        <rFont val="Arial"/>
        <b val="0"/>
        <i/>
        <color rgb="FFDB2E35"/>
      </rPr>
      <t>Hiszpania</t>
    </r>
  </si>
  <si>
    <r>
      <rPr>
        <rFont val="Arial"/>
        <color rgb="FFDB2E35"/>
      </rPr>
      <t xml:space="preserve">Pau </t>
    </r>
    <r>
      <rPr>
        <rFont val="Arial"/>
        <b/>
        <color rgb="FFDB2E35"/>
      </rPr>
      <t>Cubarsí</t>
    </r>
  </si>
  <si>
    <t>Gavi</t>
  </si>
  <si>
    <r>
      <rPr>
        <rFont val="Arial"/>
        <color rgb="FFDB2E35"/>
      </rPr>
      <t xml:space="preserve">Ferran </t>
    </r>
    <r>
      <rPr>
        <rFont val="Arial"/>
        <b/>
        <color rgb="FFDB2E35"/>
      </rPr>
      <t>Torres</t>
    </r>
  </si>
  <si>
    <t>Pedri</t>
  </si>
  <si>
    <r>
      <rPr>
        <rFont val="Arial"/>
        <color rgb="FFDB2E35"/>
      </rPr>
      <t xml:space="preserve">Robert </t>
    </r>
    <r>
      <rPr>
        <rFont val="Arial"/>
        <b/>
        <color rgb="FFDB2E35"/>
      </rPr>
      <t>Lewandowski</t>
    </r>
  </si>
  <si>
    <t>Polska</t>
  </si>
  <si>
    <r>
      <rPr>
        <rFont val="Arial"/>
        <color rgb="FFDB2E35"/>
      </rPr>
      <t xml:space="preserve">Lamine </t>
    </r>
    <r>
      <rPr>
        <rFont val="Arial"/>
        <b/>
        <color rgb="FFDB2E35"/>
      </rPr>
      <t>Yamal</t>
    </r>
  </si>
  <si>
    <r>
      <rPr>
        <rFont val="Arial"/>
        <b/>
        <color rgb="FFDB2E35"/>
      </rPr>
      <t>Hiszpania /</t>
    </r>
    <r>
      <rPr>
        <rFont val="Arial"/>
        <b val="0"/>
        <i/>
        <color rgb="FFDB2E35"/>
      </rPr>
      <t>Gwinea Równikowa</t>
    </r>
  </si>
  <si>
    <t>Raphinha</t>
  </si>
  <si>
    <r>
      <rPr>
        <rFont val="Arial"/>
        <b/>
        <color rgb="FFDB2E35"/>
      </rPr>
      <t>Brazylia /</t>
    </r>
    <r>
      <rPr>
        <rFont val="Arial"/>
        <b val="0"/>
        <i/>
        <color rgb="FFDB2E35"/>
      </rPr>
      <t>Włochy</t>
    </r>
  </si>
  <si>
    <r>
      <rPr>
        <rFont val="Arial"/>
        <color rgb="FFDB2E35"/>
      </rPr>
      <t xml:space="preserve">Joan </t>
    </r>
    <r>
      <rPr>
        <rFont val="Arial"/>
        <b/>
        <color rgb="FFDB2E35"/>
      </rPr>
      <t>García</t>
    </r>
  </si>
  <si>
    <r>
      <rPr>
        <rFont val="Arial"/>
        <color rgb="FFDB2E35"/>
      </rPr>
      <t xml:space="preserve">Marcus </t>
    </r>
    <r>
      <rPr>
        <rFont val="Arial"/>
        <b/>
        <color rgb="FFDB2E35"/>
      </rPr>
      <t>Rashford</t>
    </r>
  </si>
  <si>
    <r>
      <rPr>
        <rFont val="Arial"/>
        <b/>
        <color rgb="FFDB2E35"/>
      </rPr>
      <t>Anglia /</t>
    </r>
    <r>
      <rPr>
        <rFont val="Arial"/>
        <b val="0"/>
        <i/>
        <color rgb="FFDB2E35"/>
      </rPr>
      <t>St. Kitts i Nevis</t>
    </r>
  </si>
  <si>
    <r>
      <rPr>
        <rFont val="Arial"/>
        <color rgb="FFDB2E35"/>
      </rPr>
      <t xml:space="preserve">Andreas </t>
    </r>
    <r>
      <rPr>
        <rFont val="Arial"/>
        <b/>
        <color rgb="FFDB2E35"/>
      </rPr>
      <t>Christensen</t>
    </r>
  </si>
  <si>
    <r>
      <rPr>
        <rFont val="Arial"/>
        <color rgb="FFDB2E35"/>
      </rPr>
      <t xml:space="preserve">Fermín </t>
    </r>
    <r>
      <rPr>
        <rFont val="Arial"/>
        <b/>
        <color rgb="FFDB2E35"/>
      </rPr>
      <t>López</t>
    </r>
  </si>
  <si>
    <r>
      <rPr>
        <rFont val="Arial"/>
        <color rgb="FFDB2E35"/>
      </rPr>
      <t xml:space="preserve">Marc </t>
    </r>
    <r>
      <rPr>
        <rFont val="Arial"/>
        <b/>
        <color rgb="FFDB2E35"/>
      </rPr>
      <t>Casadó</t>
    </r>
  </si>
  <si>
    <r>
      <rPr>
        <rFont val="Arial"/>
        <color rgb="FFDB2E35"/>
      </rPr>
      <t xml:space="preserve">Gerard </t>
    </r>
    <r>
      <rPr>
        <rFont val="Arial"/>
        <b/>
        <color rgb="FFDB2E35"/>
      </rPr>
      <t>Martín</t>
    </r>
  </si>
  <si>
    <r>
      <rPr>
        <rFont val="Arial"/>
        <color rgb="FFDB2E35"/>
      </rPr>
      <t xml:space="preserve">Dani </t>
    </r>
    <r>
      <rPr>
        <rFont val="Arial"/>
        <b/>
        <color rgb="FFDB2E35"/>
      </rPr>
      <t>Olmo</t>
    </r>
  </si>
  <si>
    <r>
      <rPr>
        <rFont val="Arial"/>
        <color rgb="FFDB2E35"/>
      </rPr>
      <t xml:space="preserve">Frenkie </t>
    </r>
    <r>
      <rPr>
        <rFont val="Arial"/>
        <b/>
        <color rgb="FFDB2E35"/>
      </rPr>
      <t>de Jong</t>
    </r>
  </si>
  <si>
    <r>
      <rPr>
        <rFont val="Arial"/>
        <color rgb="FFDB2E35"/>
      </rPr>
      <t xml:space="preserve">Marc </t>
    </r>
    <r>
      <rPr>
        <rFont val="Arial"/>
        <b/>
        <color rgb="FFDB2E35"/>
      </rPr>
      <t>Bernal</t>
    </r>
  </si>
  <si>
    <r>
      <rPr>
        <rFont val="Arial"/>
        <color rgb="FFDB2E35"/>
      </rPr>
      <t xml:space="preserve">Jules </t>
    </r>
    <r>
      <rPr>
        <rFont val="Arial"/>
        <b/>
        <color rgb="FFDB2E35"/>
      </rPr>
      <t>Koundé</t>
    </r>
  </si>
  <si>
    <r>
      <rPr>
        <rFont val="Arial"/>
        <b/>
        <color rgb="FFDB2E35"/>
      </rPr>
      <t>Francja /</t>
    </r>
    <r>
      <rPr>
        <rFont val="Arial"/>
        <b val="0"/>
        <i/>
        <color rgb="FFDB2E35"/>
      </rPr>
      <t>Benin</t>
    </r>
  </si>
  <si>
    <r>
      <rPr>
        <rFont val="Arial"/>
        <color rgb="FFDB2E35"/>
      </rPr>
      <t xml:space="preserve">Eric </t>
    </r>
    <r>
      <rPr>
        <rFont val="Arial"/>
        <b/>
        <color rgb="FFDB2E35"/>
      </rPr>
      <t>García</t>
    </r>
  </si>
  <si>
    <r>
      <rPr>
        <rFont val="Arial"/>
        <color rgb="FFDB2E35"/>
      </rPr>
      <t xml:space="preserve">Wojciech </t>
    </r>
    <r>
      <rPr>
        <rFont val="Arial"/>
        <b/>
        <color rgb="FFDB2E35"/>
      </rPr>
      <t>Szczęsny</t>
    </r>
  </si>
  <si>
    <r>
      <rPr>
        <rFont val="Arial"/>
        <color rgb="FFDB2E35"/>
        <u/>
      </rPr>
      <t xml:space="preserve">Jofre </t>
    </r>
    <r>
      <rPr>
        <rFont val="Arial"/>
        <b/>
        <color rgb="FFDB2E35"/>
        <u/>
      </rPr>
      <t>Torrents</t>
    </r>
  </si>
  <si>
    <r>
      <rPr>
        <rFont val="Arial"/>
        <color rgb="FFDB2E35"/>
        <u/>
      </rPr>
      <t xml:space="preserve">Dro </t>
    </r>
    <r>
      <rPr>
        <rFont val="Arial"/>
        <b/>
        <color rgb="FFDB2E35"/>
        <u/>
      </rPr>
      <t>Fernández</t>
    </r>
  </si>
  <si>
    <r>
      <rPr>
        <rFont val="Arial"/>
        <b/>
        <color rgb="FFDB2E35"/>
        <u/>
      </rPr>
      <t>Hiszpania /</t>
    </r>
    <r>
      <rPr>
        <rFont val="Arial"/>
        <b val="0"/>
        <i/>
        <color rgb="FFDB2E35"/>
        <u/>
      </rPr>
      <t>Filipiny</t>
    </r>
  </si>
  <si>
    <r>
      <rPr>
        <rFont val="Arial"/>
        <color rgb="FFDB2E35"/>
      </rPr>
      <t xml:space="preserve">Roony </t>
    </r>
    <r>
      <rPr>
        <rFont val="Arial"/>
        <b/>
        <color rgb="FFDB2E35"/>
      </rPr>
      <t>Bardghji</t>
    </r>
  </si>
  <si>
    <r>
      <rPr>
        <rFont val="Arial"/>
        <b/>
        <color rgb="FFDB2E35"/>
      </rPr>
      <t>Szwecja /</t>
    </r>
    <r>
      <rPr>
        <rFont val="Arial"/>
        <b val="0"/>
        <i/>
        <color rgb="FFDB2E35"/>
      </rPr>
      <t>Syria</t>
    </r>
  </si>
  <si>
    <r>
      <rPr>
        <rFont val="Arial"/>
        <color rgb="FFDB2E35"/>
        <u/>
      </rPr>
      <t xml:space="preserve">Toni </t>
    </r>
    <r>
      <rPr>
        <rFont val="Arial"/>
        <b/>
        <color rgb="FFDB2E35"/>
        <u/>
      </rPr>
      <t>Fernández</t>
    </r>
  </si>
  <si>
    <r>
      <rPr>
        <rFont val="Arial"/>
        <color rgb="FFDB2E35"/>
        <u/>
      </rPr>
      <t xml:space="preserve">Diego </t>
    </r>
    <r>
      <rPr>
        <rFont val="Arial"/>
        <b/>
        <color rgb="FFDB2E35"/>
        <u/>
      </rPr>
      <t>Kochen</t>
    </r>
  </si>
  <si>
    <r>
      <rPr>
        <rFont val="Arial"/>
        <b/>
        <color rgb="FFDB2E35"/>
        <u/>
      </rPr>
      <t>USA /</t>
    </r>
    <r>
      <rPr>
        <rFont val="Arial"/>
        <b val="0"/>
        <i/>
        <color rgb="FFDB2E35"/>
        <u/>
      </rPr>
      <t>Peru</t>
    </r>
  </si>
  <si>
    <r>
      <rPr>
        <rFont val="Arial"/>
        <color rgb="FFDB2E35"/>
        <u/>
      </rPr>
      <t xml:space="preserve">Eder </t>
    </r>
    <r>
      <rPr>
        <rFont val="Arial"/>
        <b/>
        <color rgb="FFDB2E35"/>
        <u/>
      </rPr>
      <t>Aller</t>
    </r>
  </si>
  <si>
    <r>
      <rPr>
        <rFont val="Arial"/>
        <color rgb="FFDB2E35"/>
        <u/>
      </rPr>
      <t xml:space="preserve">Dani </t>
    </r>
    <r>
      <rPr>
        <rFont val="Arial"/>
        <b/>
        <color rgb="FFDB2E35"/>
        <u/>
      </rPr>
      <t>Rodríguez</t>
    </r>
  </si>
  <si>
    <r>
      <rPr>
        <rFont val="Arial"/>
        <color rgb="FFDB2E35"/>
        <u/>
      </rPr>
      <t xml:space="preserve">Juan </t>
    </r>
    <r>
      <rPr>
        <rFont val="Arial"/>
        <b/>
        <color rgb="FFDB2E35"/>
        <u/>
      </rPr>
      <t>Hernández</t>
    </r>
  </si>
  <si>
    <r>
      <rPr>
        <rFont val="Arial"/>
        <color rgb="FFDB2E35"/>
        <u/>
      </rPr>
      <t xml:space="preserve">Xavi </t>
    </r>
    <r>
      <rPr>
        <rFont val="Arial"/>
        <b/>
        <color rgb="FFDB2E35"/>
        <u/>
      </rPr>
      <t>Espart</t>
    </r>
  </si>
  <si>
    <r>
      <rPr>
        <rFont val="Arial"/>
        <color rgb="FFDB2E35"/>
        <u/>
      </rPr>
      <t xml:space="preserve">Tommy </t>
    </r>
    <r>
      <rPr>
        <rFont val="Arial"/>
        <b/>
        <color rgb="FFDB2E35"/>
        <u/>
      </rPr>
      <t>Marqués</t>
    </r>
  </si>
  <si>
    <r>
      <rPr>
        <rFont val="Arial"/>
        <color rgb="FFDB2E35"/>
      </rPr>
      <t xml:space="preserve">Hans-Dieter </t>
    </r>
    <r>
      <rPr>
        <rFont val="Arial"/>
        <b/>
        <color rgb="FFDB2E35"/>
      </rPr>
      <t>Flick</t>
    </r>
  </si>
  <si>
    <t>gole dla Barcelony</t>
  </si>
  <si>
    <t>Marcus Rashford 58, 67</t>
  </si>
  <si>
    <t>Ferran Torres 19</t>
  </si>
  <si>
    <t>Barcelona (Montjuïc)</t>
  </si>
  <si>
    <t>Fermín López 7, 39, 76, Lamine Yamal 68 (k), Marcus Rashford 74, 79</t>
  </si>
  <si>
    <t>Ferran Torres 8, Lamine Yamal 61, Christos Tzolis 77 (s)</t>
  </si>
  <si>
    <t>3-0</t>
  </si>
  <si>
    <t>Jules Koundé 50, 53</t>
  </si>
  <si>
    <t>Barcelona (Spotify Camp Nou)</t>
  </si>
  <si>
    <t>Fermín López 34, 42, Dani Olmo 63, Robert Lewandowski 71</t>
  </si>
  <si>
    <r>
      <rPr>
        <rFont val="Arial"/>
        <color rgb="FFFFFFFF"/>
      </rPr>
      <t xml:space="preserve">Manuel </t>
    </r>
    <r>
      <rPr>
        <rFont val="Arial"/>
        <b/>
        <color rgb="FFFFFFFF"/>
      </rPr>
      <t>Neuer</t>
    </r>
  </si>
  <si>
    <r>
      <rPr>
        <rFont val="Arial"/>
        <color rgb="FFFFFFFF"/>
      </rPr>
      <t xml:space="preserve">Dayot </t>
    </r>
    <r>
      <rPr>
        <rFont val="Arial"/>
        <b/>
        <color rgb="FFFFFFFF"/>
      </rPr>
      <t>Upamecano</t>
    </r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</si>
  <si>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Gwinea Bissau</t>
    </r>
  </si>
  <si>
    <r>
      <rPr>
        <rFont val="Arial"/>
        <b/>
        <color rgb="FFFFFFFF"/>
      </rPr>
      <t xml:space="preserve">Kim </t>
    </r>
    <r>
      <rPr>
        <rFont val="Arial"/>
        <b val="0"/>
        <color rgb="FFFFFFFF"/>
      </rPr>
      <t>Min-jae</t>
    </r>
  </si>
  <si>
    <t>Korea Południowa</t>
  </si>
  <si>
    <r>
      <rPr>
        <rFont val="Arial"/>
        <color rgb="FFFFFFFF"/>
      </rPr>
      <t xml:space="preserve">Jonathan </t>
    </r>
    <r>
      <rPr>
        <rFont val="Arial"/>
        <b/>
        <color rgb="FFFFFFFF"/>
      </rPr>
      <t>Tah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</si>
  <si>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Wybrzeże Kości Słoniowej</t>
    </r>
  </si>
  <si>
    <r>
      <rPr>
        <rFont val="Arial"/>
        <color rgb="FFFFFFFF"/>
      </rPr>
      <t xml:space="preserve">Joshua </t>
    </r>
    <r>
      <rPr>
        <rFont val="Arial"/>
        <b/>
        <color rgb="FFFFFFFF"/>
      </rPr>
      <t>Kimmich</t>
    </r>
  </si>
  <si>
    <r>
      <rPr>
        <rFont val="Arial"/>
        <color rgb="FFFFFFFF"/>
      </rPr>
      <t xml:space="preserve">Serge </t>
    </r>
    <r>
      <rPr>
        <rFont val="Arial"/>
        <b/>
        <color rgb="FFFFFFFF"/>
      </rPr>
      <t>Gnabry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</si>
  <si>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Wybrzeże Kości Słoniowej</t>
    </r>
  </si>
  <si>
    <r>
      <rPr>
        <rFont val="Arial"/>
        <color rgb="FFFFFFFF"/>
      </rPr>
      <t xml:space="preserve">Leon </t>
    </r>
    <r>
      <rPr>
        <rFont val="Arial"/>
        <b/>
        <color rgb="FFFFFFFF"/>
      </rPr>
      <t>Goretzka</t>
    </r>
  </si>
  <si>
    <r>
      <rPr>
        <rFont val="Arial"/>
        <color rgb="FFFFFFFF"/>
      </rPr>
      <t xml:space="preserve">Harry </t>
    </r>
    <r>
      <rPr>
        <rFont val="Arial"/>
        <b/>
        <color rgb="FFFFFFFF"/>
      </rPr>
      <t>Kane</t>
    </r>
  </si>
  <si>
    <r>
      <rPr>
        <rFont val="Arial"/>
        <color rgb="FFFFFFFF"/>
      </rPr>
      <t xml:space="preserve">Jamal </t>
    </r>
    <r>
      <rPr>
        <rFont val="Arial"/>
        <b/>
        <color rgb="FFFFFFFF"/>
      </rPr>
      <t>Musiala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</si>
  <si>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Anglia</t>
    </r>
  </si>
  <si>
    <r>
      <rPr>
        <rFont val="Arial"/>
        <color rgb="FFFFFFFF"/>
      </rPr>
      <t xml:space="preserve">Nicolas </t>
    </r>
    <r>
      <rPr>
        <rFont val="Arial"/>
        <b/>
        <color rgb="FFFFFFFF"/>
      </rPr>
      <t>Jackson</t>
    </r>
  </si>
  <si>
    <r>
      <rPr>
        <rFont val="Arial"/>
        <b/>
        <color rgb="FFFFFFFF"/>
      </rPr>
      <t>Senegal /</t>
    </r>
    <r>
      <rPr>
        <rFont val="Arial"/>
        <b val="0"/>
        <i/>
        <color rgb="FFFFFFFF"/>
      </rPr>
      <t>Gambia</t>
    </r>
  </si>
  <si>
    <r>
      <rPr>
        <rFont val="Arial"/>
        <color rgb="FFFFFFFF"/>
      </rPr>
      <t xml:space="preserve">Luis </t>
    </r>
    <r>
      <rPr>
        <rFont val="Arial"/>
        <b/>
        <color rgb="FFFFFFFF"/>
      </rPr>
      <t>Díaz</t>
    </r>
  </si>
  <si>
    <t>Kolumbia</t>
  </si>
  <si>
    <r>
      <rPr>
        <rFont val="Arial"/>
        <color rgb="FFFFFFFF"/>
      </rPr>
      <t xml:space="preserve">Michael </t>
    </r>
    <r>
      <rPr>
        <rFont val="Arial"/>
        <b/>
        <color rgb="FFFFFFFF"/>
      </rPr>
      <t>Olise</t>
    </r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</si>
  <si>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Anglia</t>
    </r>
  </si>
  <si>
    <r>
      <rPr>
        <rFont val="Arial"/>
        <color rgb="FFFFFFFF"/>
      </rPr>
      <t xml:space="preserve">Alphonso </t>
    </r>
    <r>
      <rPr>
        <rFont val="Arial"/>
        <b/>
        <color rgb="FFFFFFFF"/>
      </rPr>
      <t>Davies</t>
    </r>
  </si>
  <si>
    <r>
      <rPr>
        <rFont val="Arial"/>
        <b/>
        <color rgb="FFFFFFFF"/>
      </rPr>
      <t>Kanada /</t>
    </r>
    <r>
      <rPr>
        <rFont val="Arial"/>
        <b val="0"/>
        <i/>
        <color rgb="FFFFFFFF"/>
      </rPr>
      <t>USA</t>
    </r>
  </si>
  <si>
    <r>
      <rPr>
        <rFont val="Arial"/>
        <color rgb="FFFFFFFF"/>
      </rPr>
      <t xml:space="preserve">Tom </t>
    </r>
    <r>
      <rPr>
        <rFont val="Arial"/>
        <b/>
        <color rgb="FFFFFFFF"/>
      </rPr>
      <t>Bischoff</t>
    </r>
  </si>
  <si>
    <r>
      <rPr>
        <rFont val="Arial"/>
        <color rgb="FFFFFFFF"/>
      </rPr>
      <t xml:space="preserve">Hiroki </t>
    </r>
    <r>
      <rPr>
        <rFont val="Arial"/>
        <b/>
        <color rgb="FFFFFFFF"/>
      </rPr>
      <t>Itō</t>
    </r>
  </si>
  <si>
    <t>Raphaël Guerreiro</t>
  </si>
  <si>
    <r>
      <rPr>
        <rFont val="Arial"/>
        <b/>
        <color rgb="FFFFFFFF"/>
      </rPr>
      <t>Portugalia /</t>
    </r>
    <r>
      <rPr>
        <rFont val="Arial"/>
        <b val="0"/>
        <i/>
        <color rgb="FFFFFFFF"/>
      </rPr>
      <t>Francja</t>
    </r>
  </si>
  <si>
    <r>
      <rPr>
        <rFont val="Arial"/>
        <color rgb="FFFFFFFF"/>
      </rPr>
      <t xml:space="preserve">Sacha </t>
    </r>
    <r>
      <rPr>
        <rFont val="Arial"/>
        <b/>
        <color rgb="FFFFFFFF"/>
      </rPr>
      <t>Boey</t>
    </r>
  </si>
  <si>
    <r>
      <rPr>
        <rFont val="Arial"/>
        <color rgb="FFFFFFFF"/>
      </rPr>
      <t xml:space="preserve">Sven </t>
    </r>
    <r>
      <rPr>
        <rFont val="Arial"/>
        <b/>
        <color rgb="FFFFFFFF"/>
      </rPr>
      <t>Ulreich</t>
    </r>
  </si>
  <si>
    <r>
      <rPr>
        <rFont val="Arial"/>
        <color rgb="FFFFFFFF"/>
      </rPr>
      <t xml:space="preserve">Konrad </t>
    </r>
    <r>
      <rPr>
        <rFont val="Arial"/>
        <b/>
        <color rgb="FFFFFFFF"/>
      </rPr>
      <t>Laimer</t>
    </r>
  </si>
  <si>
    <r>
      <rPr>
        <rFont val="Arial"/>
        <color rgb="FFFFFFFF"/>
        <u/>
      </rPr>
      <t xml:space="preserve">Cassiano </t>
    </r>
    <r>
      <rPr>
        <rFont val="Arial"/>
        <b/>
        <color rgb="FFFFFFFF"/>
        <u/>
      </rPr>
      <t>Kiala</t>
    </r>
  </si>
  <si>
    <r>
      <rPr>
        <rFont val="Arial"/>
        <b/>
        <color rgb="FFFFFFFF"/>
        <u/>
      </rPr>
      <t>Niemcy /</t>
    </r>
    <r>
      <rPr>
        <rFont val="Arial"/>
        <b val="0"/>
        <i/>
        <color rgb="FFFFFFFF"/>
        <u/>
      </rPr>
      <t>Angola</t>
    </r>
  </si>
  <si>
    <r>
      <rPr>
        <rFont val="Arial"/>
        <color rgb="FFFFFFFF"/>
        <u/>
      </rPr>
      <t xml:space="preserve">Jannis </t>
    </r>
    <r>
      <rPr>
        <rFont val="Arial"/>
        <b/>
        <color rgb="FFFFFFFF"/>
        <u/>
      </rPr>
      <t>Bärtl</t>
    </r>
  </si>
  <si>
    <r>
      <rPr>
        <rFont val="Arial"/>
        <color rgb="FFFFFFFF"/>
        <u/>
      </rPr>
      <t xml:space="preserve">Wisdom </t>
    </r>
    <r>
      <rPr>
        <rFont val="Arial"/>
        <b/>
        <color rgb="FFFFFFFF"/>
        <u/>
      </rPr>
      <t>Mike</t>
    </r>
  </si>
  <si>
    <r>
      <rPr>
        <rFont val="Arial"/>
        <b/>
        <color rgb="FFFFFFFF"/>
        <u/>
      </rPr>
      <t>Niemcy /</t>
    </r>
    <r>
      <rPr>
        <rFont val="Arial"/>
        <b val="0"/>
        <i/>
        <color rgb="FFFFFFFF"/>
        <u/>
      </rPr>
      <t>Nigeria</t>
    </r>
  </si>
  <si>
    <r>
      <rPr>
        <rFont val="Arial"/>
        <color rgb="FFFFFFFF"/>
        <u/>
      </rPr>
      <t xml:space="preserve">Felipe </t>
    </r>
    <r>
      <rPr>
        <rFont val="Arial"/>
        <b/>
        <color rgb="FFFFFFFF"/>
        <u/>
      </rPr>
      <t>Chávez</t>
    </r>
  </si>
  <si>
    <r>
      <rPr>
        <rFont val="Arial"/>
        <b/>
        <color rgb="FFFFFFFF"/>
        <u/>
      </rPr>
      <t>Peru /</t>
    </r>
    <r>
      <rPr>
        <rFont val="Arial"/>
        <b val="0"/>
        <i/>
        <color rgb="FFFFFFFF"/>
        <u/>
      </rPr>
      <t>Niemcy</t>
    </r>
  </si>
  <si>
    <r>
      <rPr>
        <rFont val="Arial"/>
        <color rgb="FFFFFFFF"/>
      </rPr>
      <t xml:space="preserve">Jonas </t>
    </r>
    <r>
      <rPr>
        <rFont val="Arial"/>
        <b/>
        <color rgb="FFFFFFFF"/>
      </rPr>
      <t>Urbig</t>
    </r>
  </si>
  <si>
    <r>
      <rPr>
        <rFont val="Arial"/>
        <color rgb="FFFFFFFF"/>
        <u/>
      </rPr>
      <t xml:space="preserve">Vincent </t>
    </r>
    <r>
      <rPr>
        <rFont val="Arial"/>
        <b/>
        <color rgb="FFFFFFFF"/>
        <u/>
      </rPr>
      <t>Manuba</t>
    </r>
  </si>
  <si>
    <r>
      <rPr>
        <rFont val="Arial"/>
        <b/>
        <color rgb="FFFFFFFF"/>
        <u/>
      </rPr>
      <t>Niemcy /</t>
    </r>
    <r>
      <rPr>
        <rFont val="Arial"/>
        <b val="0"/>
        <i/>
        <color rgb="FFFFFFFF"/>
        <u/>
      </rPr>
      <t>Algieria</t>
    </r>
  </si>
  <si>
    <r>
      <rPr>
        <rFont val="Arial"/>
        <color rgb="FFFFFFFF"/>
        <u/>
      </rPr>
      <t xml:space="preserve">Lennart </t>
    </r>
    <r>
      <rPr>
        <rFont val="Arial"/>
        <b/>
        <color rgb="FFFFFFFF"/>
        <u/>
      </rPr>
      <t>Karl</t>
    </r>
  </si>
  <si>
    <r>
      <rPr>
        <rFont val="Arial"/>
        <color rgb="FFFFFFFF"/>
      </rPr>
      <t xml:space="preserve">Josip </t>
    </r>
    <r>
      <rPr>
        <rFont val="Arial"/>
        <b/>
        <color rgb="FFFFFFFF"/>
      </rPr>
      <t>Stanišić</t>
    </r>
  </si>
  <si>
    <r>
      <rPr>
        <rFont val="Arial"/>
        <b/>
        <color rgb="FFFFFFFF"/>
      </rPr>
      <t>Chorwacja /</t>
    </r>
    <r>
      <rPr>
        <rFont val="Arial"/>
        <b val="0"/>
        <i/>
        <color rgb="FFFFFFFF"/>
      </rPr>
      <t>Niemcy</t>
    </r>
  </si>
  <si>
    <r>
      <rPr>
        <rFont val="Arial"/>
        <color rgb="FFFFFFFF"/>
      </rPr>
      <t xml:space="preserve">Aleksander </t>
    </r>
    <r>
      <rPr>
        <rFont val="Arial"/>
        <b/>
        <color rgb="FFFFFFFF"/>
      </rPr>
      <t>Pavlović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</si>
  <si>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Serbia</t>
    </r>
  </si>
  <si>
    <r>
      <rPr>
        <rFont val="Arial"/>
        <color rgb="FFFFFFFF"/>
        <u/>
      </rPr>
      <t xml:space="preserve">Tim </t>
    </r>
    <r>
      <rPr>
        <rFont val="Arial"/>
        <b/>
        <color rgb="FFFFFFFF"/>
        <u/>
      </rPr>
      <t>Binder</t>
    </r>
  </si>
  <si>
    <t>David Daiber</t>
  </si>
  <si>
    <r>
      <rPr>
        <rFont val="Arial"/>
        <b/>
        <color rgb="FFFFFFFF"/>
        <u/>
      </rPr>
      <t>Portugalia /</t>
    </r>
    <r>
      <rPr>
        <rFont val="Arial"/>
        <b val="0"/>
        <i/>
        <color rgb="FFFFFFFF"/>
        <u/>
      </rPr>
      <t>Niemcy</t>
    </r>
  </si>
  <si>
    <r>
      <rPr>
        <rFont val="Arial"/>
        <color rgb="FFFFFFFF"/>
        <u/>
      </rPr>
      <t xml:space="preserve">Leon </t>
    </r>
    <r>
      <rPr>
        <rFont val="Arial"/>
        <b/>
        <color rgb="FFFFFFFF"/>
        <u/>
      </rPr>
      <t>Klanac</t>
    </r>
  </si>
  <si>
    <r>
      <rPr>
        <rFont val="Arial"/>
        <b/>
        <color rgb="FFFFFFFF"/>
        <u/>
      </rPr>
      <t>Niemcy /</t>
    </r>
    <r>
      <rPr>
        <rFont val="Arial"/>
        <b val="0"/>
        <i/>
        <color rgb="FFFFFFFF"/>
        <u/>
      </rPr>
      <t>Chorwacja</t>
    </r>
  </si>
  <si>
    <r>
      <rPr>
        <rFont val="Arial"/>
        <color rgb="FFFFFFFF"/>
      </rPr>
      <t xml:space="preserve">Vincent </t>
    </r>
    <r>
      <rPr>
        <rFont val="Arial"/>
        <b/>
        <color rgb="FFFFFFFF"/>
      </rPr>
      <t>Kompany</t>
    </r>
  </si>
  <si>
    <r>
      <rPr>
        <rFont val="Arial"/>
        <b/>
        <color rgb="FFFFFFFF"/>
      </rPr>
      <t>Belgia /</t>
    </r>
    <r>
      <rPr>
        <rFont val="Arial"/>
        <b val="0"/>
        <i/>
        <color rgb="FFFFFFFF"/>
      </rPr>
      <t>Demokratyczne Republika Konga</t>
    </r>
  </si>
  <si>
    <t>gole dla Bayernu</t>
  </si>
  <si>
    <t>Trevoh Chalobah 20 (s), Harry Kane 27 (k), 63</t>
  </si>
  <si>
    <t>Monachium (Allianz Arena)</t>
  </si>
  <si>
    <t>Harry Kane 15, 34, Raphaël Guerreiro 20, Nicolas Jackson 31, Michael Olise 68</t>
  </si>
  <si>
    <t>Limassol (Alphamega Stadium)</t>
  </si>
  <si>
    <t>Lennart Karl 5, Harry Kane 14, Luis Díaz 34, Nicolas Jackson 79</t>
  </si>
  <si>
    <t>Luis Díaz 4, 32</t>
  </si>
  <si>
    <t>Lennart Karl 32</t>
  </si>
  <si>
    <t>Serge Gnabry 65, Lennart Karl 69, Jonathan Tah 77</t>
  </si>
  <si>
    <t>Harry Kane 52, 55 (k)</t>
  </si>
  <si>
    <r>
      <rPr>
        <rFont val="Arial"/>
        <color rgb="FFFEFEFE"/>
      </rPr>
      <t xml:space="preserve">Anatolij </t>
    </r>
    <r>
      <rPr>
        <rFont val="Arial"/>
        <b/>
        <color rgb="FFFEFEFE"/>
      </rPr>
      <t>Trubin</t>
    </r>
  </si>
  <si>
    <t>Ukraina</t>
  </si>
  <si>
    <r>
      <rPr>
        <rFont val="Arial"/>
        <color rgb="FFFEFEFE"/>
      </rPr>
      <t xml:space="preserve">Rafa </t>
    </r>
    <r>
      <rPr>
        <rFont val="Arial"/>
        <b/>
        <color rgb="FFFEFEFE"/>
      </rPr>
      <t>Obrador</t>
    </r>
  </si>
  <si>
    <t>António Silva</t>
  </si>
  <si>
    <r>
      <rPr>
        <rFont val="Arial"/>
        <color rgb="FFFEFEFE"/>
      </rPr>
      <t xml:space="preserve">Enzo </t>
    </r>
    <r>
      <rPr>
        <rFont val="Arial"/>
        <b/>
        <color rgb="FFFEFEFE"/>
      </rPr>
      <t>Barrenechea</t>
    </r>
  </si>
  <si>
    <r>
      <rPr>
        <rFont val="Arial"/>
        <b val="0"/>
        <color rgb="FFFEFEFE"/>
      </rPr>
      <t xml:space="preserve">Alexander </t>
    </r>
    <r>
      <rPr>
        <rFont val="Arial"/>
        <b/>
        <color rgb="FFFEFEFE"/>
      </rPr>
      <t>Bah</t>
    </r>
  </si>
  <si>
    <r>
      <rPr>
        <rFont val="Arial"/>
        <b/>
        <color rgb="FFFEFEFE"/>
      </rPr>
      <t>Dania /</t>
    </r>
    <r>
      <rPr>
        <rFont val="Arial"/>
        <b val="0"/>
        <i/>
        <color rgb="FFFEFEFE"/>
      </rPr>
      <t>Gambia</t>
    </r>
  </si>
  <si>
    <t>Bruma</t>
  </si>
  <si>
    <r>
      <rPr>
        <rFont val="Arial"/>
        <b/>
        <color rgb="FFFEFEFE"/>
      </rPr>
      <t>Portugalia /</t>
    </r>
    <r>
      <rPr>
        <rFont val="Arial"/>
        <b val="0"/>
        <i/>
        <color rgb="FFFEFEFE"/>
      </rPr>
      <t>Gwinea Bissau</t>
    </r>
  </si>
  <si>
    <r>
      <rPr>
        <rFont val="Arial"/>
        <color rgb="FFFEFEFE"/>
      </rPr>
      <t xml:space="preserve">Fredrik </t>
    </r>
    <r>
      <rPr>
        <rFont val="Arial"/>
        <b/>
        <color rgb="FFFEFEFE"/>
      </rPr>
      <t>Aursnes</t>
    </r>
  </si>
  <si>
    <r>
      <rPr>
        <rFont val="Arial"/>
        <color rgb="FFFEFEFE"/>
      </rPr>
      <t xml:space="preserve">Franjo </t>
    </r>
    <r>
      <rPr>
        <rFont val="Arial"/>
        <b/>
        <color rgb="FFFEFEFE"/>
      </rPr>
      <t>Ivanović</t>
    </r>
  </si>
  <si>
    <r>
      <rPr>
        <rFont val="Arial"/>
        <color rgb="FFFEFEFE"/>
      </rPr>
      <t xml:space="preserve">Heorhij </t>
    </r>
    <r>
      <rPr>
        <rFont val="Arial"/>
        <b/>
        <color rgb="FFFEFEFE"/>
      </rPr>
      <t>Sudakow</t>
    </r>
  </si>
  <si>
    <r>
      <rPr>
        <rFont val="Arial"/>
        <color rgb="FFFEFEFE"/>
      </rPr>
      <t xml:space="preserve">Dodi </t>
    </r>
    <r>
      <rPr>
        <rFont val="Arial"/>
        <b/>
        <color rgb="FFFEFEFE"/>
      </rPr>
      <t>Lukébakio</t>
    </r>
  </si>
  <si>
    <r>
      <rPr>
        <rFont val="Arial"/>
        <b/>
        <color rgb="FFFEFEFE"/>
      </rPr>
      <t>Belgia /</t>
    </r>
    <r>
      <rPr>
        <rFont val="Arial"/>
        <b val="0"/>
        <i/>
        <color rgb="FFFEFEFE"/>
      </rPr>
      <t>Demokratyczne Republika Konga</t>
    </r>
  </si>
  <si>
    <r>
      <rPr>
        <rFont val="Arial"/>
        <color rgb="FFFEFEFE"/>
      </rPr>
      <t xml:space="preserve">Vangélis </t>
    </r>
    <r>
      <rPr>
        <rFont val="Arial"/>
        <b/>
        <color rgb="FFFEFEFE"/>
      </rPr>
      <t>Pavlídis</t>
    </r>
  </si>
  <si>
    <t>Grecja</t>
  </si>
  <si>
    <t>Manu Silva</t>
  </si>
  <si>
    <r>
      <rPr>
        <rFont val="Arial"/>
        <color rgb="FFFEFEFE"/>
      </rPr>
      <t xml:space="preserve">Amar </t>
    </r>
    <r>
      <rPr>
        <rFont val="Arial"/>
        <b/>
        <color rgb="FFFEFEFE"/>
      </rPr>
      <t>Dedić</t>
    </r>
  </si>
  <si>
    <t>Bośnia i Hercegowina</t>
  </si>
  <si>
    <r>
      <rPr>
        <rFont val="Arial"/>
        <color rgb="FFFEFEFE"/>
      </rPr>
      <t xml:space="preserve">Leandro </t>
    </r>
    <r>
      <rPr>
        <rFont val="Arial"/>
        <b/>
        <color rgb="FFFEFEFE"/>
      </rPr>
      <t>Barreiro</t>
    </r>
  </si>
  <si>
    <r>
      <rPr>
        <rFont val="Arial"/>
        <b/>
        <color rgb="FFFEFEFE"/>
      </rPr>
      <t>Luksemburg /</t>
    </r>
    <r>
      <rPr>
        <rFont val="Arial"/>
        <b val="0"/>
        <i/>
        <color rgb="FFFEFEFE"/>
      </rPr>
      <t>Portugalia</t>
    </r>
  </si>
  <si>
    <r>
      <rPr>
        <rFont val="Arial"/>
        <color rgb="FFFEFEFE"/>
      </rPr>
      <t xml:space="preserve">Richard </t>
    </r>
    <r>
      <rPr>
        <rFont val="Arial"/>
        <b/>
        <color rgb="FFFEFEFE"/>
      </rPr>
      <t>Riós</t>
    </r>
  </si>
  <si>
    <r>
      <rPr>
        <rFont val="Arial"/>
        <color rgb="FFFEFEFE"/>
      </rPr>
      <t xml:space="preserve">Andreas </t>
    </r>
    <r>
      <rPr>
        <rFont val="Arial"/>
        <b/>
        <color rgb="FFFEFEFE"/>
      </rPr>
      <t>Scjelderup</t>
    </r>
  </si>
  <si>
    <t>Samuel Soares</t>
  </si>
  <si>
    <r>
      <rPr>
        <rFont val="Arial"/>
        <b/>
        <color rgb="FFFEFEFE"/>
      </rPr>
      <t>Portugalia /</t>
    </r>
    <r>
      <rPr>
        <rFont val="Arial"/>
        <b val="0"/>
        <i/>
        <color rgb="FFFEFEFE"/>
      </rPr>
      <t>Gwinea Bissau</t>
    </r>
  </si>
  <si>
    <r>
      <rPr>
        <rFont val="Arial"/>
        <color rgb="FFFEFEFE"/>
      </rPr>
      <t xml:space="preserve">Gianluca </t>
    </r>
    <r>
      <rPr>
        <rFont val="Arial"/>
        <b/>
        <color rgb="FFFEFEFE"/>
      </rPr>
      <t>Prestianni</t>
    </r>
  </si>
  <si>
    <r>
      <rPr>
        <rFont val="Arial"/>
        <b/>
        <color rgb="FFFEFEFE"/>
      </rPr>
      <t>Argentyna /</t>
    </r>
    <r>
      <rPr>
        <rFont val="Arial"/>
        <b val="0"/>
        <i/>
        <color rgb="FFFEFEFE"/>
      </rPr>
      <t>Włochy</t>
    </r>
  </si>
  <si>
    <r>
      <rPr>
        <rFont val="Arial"/>
        <color rgb="FFFEFEFE"/>
      </rPr>
      <t xml:space="preserve">Samuel </t>
    </r>
    <r>
      <rPr>
        <rFont val="Arial"/>
        <b/>
        <color rgb="FFFEFEFE"/>
      </rPr>
      <t>Dahl</t>
    </r>
  </si>
  <si>
    <r>
      <rPr>
        <rFont val="Arial"/>
        <color rgb="FFFEFEFE"/>
      </rPr>
      <t xml:space="preserve">Nicolás </t>
    </r>
    <r>
      <rPr>
        <rFont val="Arial"/>
        <b/>
        <color rgb="FFFEFEFE"/>
      </rPr>
      <t>Otamendi</t>
    </r>
  </si>
  <si>
    <t>Henrique Araújo</t>
  </si>
  <si>
    <t>Tomás Araújo</t>
  </si>
  <si>
    <t>Diogo Ferreira</t>
  </si>
  <si>
    <t>Daniel Banjaqui</t>
  </si>
  <si>
    <r>
      <rPr>
        <rFont val="Arial"/>
        <b/>
        <color rgb="FFFEFEFE"/>
        <u/>
      </rPr>
      <t>Portugalia /</t>
    </r>
    <r>
      <rPr>
        <rFont val="Arial"/>
        <b val="0"/>
        <i/>
        <color rgb="FFFEFEFE"/>
        <u/>
      </rPr>
      <t>Gwinea Bissau</t>
    </r>
  </si>
  <si>
    <t>Nuno Félix</t>
  </si>
  <si>
    <t>José Neto</t>
  </si>
  <si>
    <r>
      <rPr>
        <rFont val="Arial"/>
        <b/>
        <i/>
        <color rgb="FFFEFEFE"/>
        <u/>
      </rPr>
      <t>G</t>
    </r>
    <r>
      <rPr>
        <rFont val="Arial"/>
        <b/>
        <i/>
        <color rgb="FFFEFEFE"/>
        <u/>
      </rPr>
      <t>onçalo Oliveira</t>
    </r>
  </si>
  <si>
    <r>
      <rPr>
        <rFont val="Arial"/>
        <color rgb="FFFEFEFE"/>
        <u/>
      </rPr>
      <t xml:space="preserve">Joshua </t>
    </r>
    <r>
      <rPr>
        <rFont val="Arial"/>
        <b/>
        <color rgb="FFFEFEFE"/>
        <u/>
      </rPr>
      <t>Wynder</t>
    </r>
  </si>
  <si>
    <t>USA</t>
  </si>
  <si>
    <t>Rodrigo Rêgo</t>
  </si>
  <si>
    <t>João Veloso</t>
  </si>
  <si>
    <t>Leandro Santos</t>
  </si>
  <si>
    <t>João Rego</t>
  </si>
  <si>
    <t>Diogo Prioste</t>
  </si>
  <si>
    <t>Tiago Freitas</t>
  </si>
  <si>
    <t>Ivan Lima</t>
  </si>
  <si>
    <r>
      <rPr>
        <rFont val="Arial"/>
        <b/>
        <color rgb="FFFEFEFE"/>
        <u/>
      </rPr>
      <t>Portugalia /</t>
    </r>
    <r>
      <rPr>
        <rFont val="Arial"/>
        <b val="0"/>
        <i/>
        <color rgb="FFFEFEFE"/>
        <u/>
      </rPr>
      <t>Wyspy Świętego Tomasza i Książęca</t>
    </r>
  </si>
  <si>
    <t>Nélson Veríssimo</t>
  </si>
  <si>
    <t>José Mourinho</t>
  </si>
  <si>
    <t>gole dla Benfici</t>
  </si>
  <si>
    <t>Enzo Barrenechea 6, Vangélis Pavlídis 16</t>
  </si>
  <si>
    <t>Lizbona (Estádio da Luz)</t>
  </si>
  <si>
    <t>1-0</t>
  </si>
  <si>
    <t>Samuel Dahl 6, Leandro Barreiro 90</t>
  </si>
  <si>
    <t>Richard Riós 20, Leandro Barreiro 49</t>
  </si>
  <si>
    <r>
      <rPr>
        <rFont val="Arial"/>
        <color rgb="FFFFEC00"/>
      </rPr>
      <t xml:space="preserve">Julian </t>
    </r>
    <r>
      <rPr>
        <rFont val="Arial"/>
        <b/>
        <color rgb="FFFFEC00"/>
      </rPr>
      <t>Faye Lund</t>
    </r>
  </si>
  <si>
    <r>
      <rPr>
        <rFont val="Arial"/>
        <color rgb="FFFFEC00"/>
      </rPr>
      <t xml:space="preserve">Villads </t>
    </r>
    <r>
      <rPr>
        <rFont val="Arial"/>
        <b/>
        <color rgb="FFFFEC00"/>
      </rPr>
      <t>Nielsen</t>
    </r>
  </si>
  <si>
    <r>
      <rPr>
        <rFont val="Arial"/>
        <color rgb="FFFFEC00"/>
      </rPr>
      <t xml:space="preserve">Odin </t>
    </r>
    <r>
      <rPr>
        <rFont val="Arial"/>
        <b/>
        <color rgb="FFFFEC00"/>
      </rPr>
      <t>Bjørtuft</t>
    </r>
  </si>
  <si>
    <r>
      <rPr>
        <rFont val="Arial"/>
        <color rgb="FFFFEC00"/>
      </rPr>
      <t xml:space="preserve">Haitam </t>
    </r>
    <r>
      <rPr>
        <rFont val="Arial"/>
        <b/>
        <color rgb="FFFFEC00"/>
      </rPr>
      <t>Aleesami</t>
    </r>
  </si>
  <si>
    <r>
      <rPr>
        <rFont val="Arial"/>
        <color rgb="FFFFEC00"/>
      </rPr>
      <t xml:space="preserve">Jostein </t>
    </r>
    <r>
      <rPr>
        <rFont val="Arial"/>
        <b/>
        <color rgb="FFFFEC00"/>
      </rPr>
      <t>Gundersen</t>
    </r>
  </si>
  <si>
    <r>
      <rPr>
        <rFont val="Arial"/>
        <color rgb="FFFFEC00"/>
      </rPr>
      <t xml:space="preserve">Patrick </t>
    </r>
    <r>
      <rPr>
        <rFont val="Arial"/>
        <b/>
        <color rgb="FFFFEC00"/>
      </rPr>
      <t>Berg</t>
    </r>
  </si>
  <si>
    <r>
      <rPr>
        <rFont val="Arial"/>
        <color rgb="FFFFEC00"/>
      </rPr>
      <t xml:space="preserve">Sondre </t>
    </r>
    <r>
      <rPr>
        <rFont val="Arial"/>
        <b/>
        <color rgb="FFFFEC00"/>
      </rPr>
      <t>Auklend</t>
    </r>
  </si>
  <si>
    <r>
      <rPr>
        <rFont val="Arial"/>
        <color rgb="FFFFEC00"/>
      </rPr>
      <t xml:space="preserve">Kasper </t>
    </r>
    <r>
      <rPr>
        <rFont val="Arial"/>
        <b/>
        <color rgb="FFFFEC00"/>
      </rPr>
      <t>Høgh</t>
    </r>
  </si>
  <si>
    <r>
      <rPr>
        <rFont val="Arial"/>
        <color rgb="FFFFEC00"/>
      </rPr>
      <t xml:space="preserve">Jens Petter </t>
    </r>
    <r>
      <rPr>
        <rFont val="Arial"/>
        <b/>
        <color rgb="FFFFEC00"/>
      </rPr>
      <t>Hauge</t>
    </r>
  </si>
  <si>
    <r>
      <rPr>
        <rFont val="Arial"/>
        <color rgb="FFFFEC00"/>
      </rPr>
      <t xml:space="preserve">Ole Didrik </t>
    </r>
    <r>
      <rPr>
        <rFont val="Arial"/>
        <b/>
        <color rgb="FFFFEC00"/>
      </rPr>
      <t>Blomberg</t>
    </r>
  </si>
  <si>
    <r>
      <rPr>
        <rFont val="Arial"/>
        <color rgb="FFFFEC00"/>
      </rPr>
      <t xml:space="preserve">Nikita </t>
    </r>
    <r>
      <rPr>
        <rFont val="Arial"/>
        <b/>
        <color rgb="FFFFEC00"/>
      </rPr>
      <t>Chajkin</t>
    </r>
  </si>
  <si>
    <r>
      <rPr>
        <rFont val="Arial"/>
        <b/>
        <color rgb="FFFFEC00"/>
      </rPr>
      <t>Rosja /</t>
    </r>
    <r>
      <rPr>
        <rFont val="Arial"/>
        <b val="0"/>
        <i/>
        <color rgb="FFFFEC00"/>
      </rPr>
      <t>Izrael</t>
    </r>
  </si>
  <si>
    <r>
      <rPr>
        <rFont val="Arial"/>
        <color rgb="FFFFEC00"/>
      </rPr>
      <t xml:space="preserve">Ulrik </t>
    </r>
    <r>
      <rPr>
        <rFont val="Arial"/>
        <b/>
        <color rgb="FFFFEC00"/>
      </rPr>
      <t>Saltnes</t>
    </r>
  </si>
  <si>
    <r>
      <rPr>
        <rFont val="Arial"/>
        <color rgb="FFFFEC00"/>
      </rPr>
      <t xml:space="preserve">Fredrik </t>
    </r>
    <r>
      <rPr>
        <rFont val="Arial"/>
        <b/>
        <color rgb="FFFFEC00"/>
      </rPr>
      <t>Bjørkan</t>
    </r>
  </si>
  <si>
    <r>
      <rPr>
        <rFont val="Arial"/>
        <color rgb="FFFFEC00"/>
      </rPr>
      <t xml:space="preserve">Ola </t>
    </r>
    <r>
      <rPr>
        <rFont val="Arial"/>
        <b/>
        <color rgb="FFFFEC00"/>
      </rPr>
      <t>Brynhildsen</t>
    </r>
  </si>
  <si>
    <r>
      <rPr>
        <rFont val="Arial"/>
        <color rgb="FFFFEC00"/>
      </rPr>
      <t xml:space="preserve">Brede </t>
    </r>
    <r>
      <rPr>
        <rFont val="Arial"/>
        <b/>
        <color rgb="FFFFEC00"/>
      </rPr>
      <t>Moe</t>
    </r>
  </si>
  <si>
    <r>
      <rPr>
        <rFont val="Arial"/>
        <color rgb="FFFFEC00"/>
      </rPr>
      <t xml:space="preserve">Sondre Brunstad </t>
    </r>
    <r>
      <rPr>
        <rFont val="Arial"/>
        <b/>
        <color rgb="FFFFEC00"/>
      </rPr>
      <t>Fet</t>
    </r>
  </si>
  <si>
    <r>
      <rPr>
        <rFont val="Arial"/>
        <color rgb="FFFFEC00"/>
      </rPr>
      <t xml:space="preserve">Fredrik </t>
    </r>
    <r>
      <rPr>
        <rFont val="Arial"/>
        <b/>
        <color rgb="FFFFEC00"/>
      </rPr>
      <t>Sjøvold</t>
    </r>
  </si>
  <si>
    <r>
      <rPr>
        <rFont val="Arial"/>
        <color rgb="FFFFEC00"/>
      </rPr>
      <t xml:space="preserve">Andreas </t>
    </r>
    <r>
      <rPr>
        <rFont val="Arial"/>
        <b/>
        <color rgb="FFFFEC00"/>
      </rPr>
      <t>Helmersen</t>
    </r>
  </si>
  <si>
    <r>
      <rPr>
        <rFont val="Arial"/>
        <color rgb="FFFFEC00"/>
      </rPr>
      <t xml:space="preserve">Anders </t>
    </r>
    <r>
      <rPr>
        <rFont val="Arial"/>
        <b/>
        <color rgb="FFFFEC00"/>
      </rPr>
      <t>Klynge</t>
    </r>
  </si>
  <si>
    <r>
      <rPr>
        <rFont val="Arial"/>
        <color rgb="FFFFEC00"/>
      </rPr>
      <t xml:space="preserve">Magnus </t>
    </r>
    <r>
      <rPr>
        <rFont val="Arial"/>
        <b/>
        <color rgb="FFFFEC00"/>
      </rPr>
      <t>Riisnæs</t>
    </r>
  </si>
  <si>
    <r>
      <rPr>
        <rFont val="Arial"/>
        <color rgb="FFFFEC00"/>
      </rPr>
      <t xml:space="preserve">Daniel </t>
    </r>
    <r>
      <rPr>
        <rFont val="Arial"/>
        <b/>
        <color rgb="FFFFEC00"/>
      </rPr>
      <t>Bassi</t>
    </r>
  </si>
  <si>
    <r>
      <rPr>
        <rFont val="Arial"/>
        <b/>
        <color rgb="FFFFEC00"/>
      </rPr>
      <t>Norwegia /</t>
    </r>
    <r>
      <rPr>
        <rFont val="Arial"/>
        <b val="0"/>
        <i/>
        <color rgb="FFFFEC00"/>
      </rPr>
      <t>Anglia</t>
    </r>
  </si>
  <si>
    <r>
      <rPr>
        <rFont val="Arial"/>
        <color rgb="FFFFEC00"/>
      </rPr>
      <t xml:space="preserve">Isak Dybvik </t>
    </r>
    <r>
      <rPr>
        <rFont val="Arial"/>
        <b/>
        <color rgb="FFFFEC00"/>
      </rPr>
      <t>Määttä</t>
    </r>
  </si>
  <si>
    <r>
      <rPr>
        <rFont val="Arial"/>
        <color rgb="FFFFEC00"/>
      </rPr>
      <t xml:space="preserve">Håkon </t>
    </r>
    <r>
      <rPr>
        <rFont val="Arial"/>
        <b/>
        <color rgb="FFFFEC00"/>
      </rPr>
      <t>Evjen</t>
    </r>
  </si>
  <si>
    <r>
      <rPr>
        <rFont val="Arial"/>
        <color rgb="FFFFEC00"/>
      </rPr>
      <t xml:space="preserve">Mathias </t>
    </r>
    <r>
      <rPr>
        <rFont val="Arial"/>
        <b/>
        <color rgb="FFFFEC00"/>
      </rPr>
      <t>Jørgensen</t>
    </r>
  </si>
  <si>
    <r>
      <rPr>
        <rFont val="Arial"/>
        <color rgb="FFFFEC00"/>
        <u/>
      </rPr>
      <t xml:space="preserve">Kasper Johansen </t>
    </r>
    <r>
      <rPr>
        <rFont val="Arial"/>
        <b/>
        <color rgb="FFFFEC00"/>
        <u/>
      </rPr>
      <t>Solhaug</t>
    </r>
  </si>
  <si>
    <r>
      <rPr>
        <rFont val="Arial"/>
        <color rgb="FFFFEC00"/>
        <u/>
      </rPr>
      <t xml:space="preserve">Jesber </t>
    </r>
    <r>
      <rPr>
        <rFont val="Arial"/>
        <b/>
        <color rgb="FFFFEC00"/>
        <u/>
      </rPr>
      <t>Berg-Hanssen</t>
    </r>
  </si>
  <si>
    <r>
      <rPr>
        <rFont val="Arial"/>
        <color rgb="FFFFEC00"/>
        <u/>
      </rPr>
      <t xml:space="preserve">Hindrin Najah </t>
    </r>
    <r>
      <rPr>
        <rFont val="Arial"/>
        <b/>
        <color rgb="FFFFEC00"/>
        <u/>
      </rPr>
      <t>Chooly</t>
    </r>
  </si>
  <si>
    <r>
      <rPr>
        <rFont val="Arial"/>
        <color rgb="FFFFEC00"/>
        <u/>
      </rPr>
      <t xml:space="preserve">Magnus Fagervik </t>
    </r>
    <r>
      <rPr>
        <rFont val="Arial"/>
        <b/>
        <color rgb="FFFFEC00"/>
        <u/>
      </rPr>
      <t>Antonsen</t>
    </r>
  </si>
  <si>
    <r>
      <rPr>
        <rFont val="Arial"/>
        <color rgb="FFFFEC00"/>
        <u/>
      </rPr>
      <t xml:space="preserve">Eryk </t>
    </r>
    <r>
      <rPr>
        <rFont val="Arial"/>
        <b/>
        <color rgb="FFFFEC00"/>
        <u/>
      </rPr>
      <t>Łukaszka</t>
    </r>
  </si>
  <si>
    <r>
      <rPr>
        <rFont val="Arial"/>
        <b/>
        <color rgb="FFFFEC00"/>
        <u/>
      </rPr>
      <t>Polska /</t>
    </r>
    <r>
      <rPr>
        <rFont val="Arial"/>
        <b val="0"/>
        <i/>
        <color rgb="FFFFEC00"/>
        <u/>
      </rPr>
      <t>Norwegia</t>
    </r>
  </si>
  <si>
    <r>
      <rPr>
        <rFont val="Arial"/>
        <color rgb="FFFFEC00"/>
        <u/>
      </rPr>
      <t xml:space="preserve">Magnus </t>
    </r>
    <r>
      <rPr>
        <rFont val="Arial"/>
        <b/>
        <color rgb="FFFFEC00"/>
        <u/>
      </rPr>
      <t>Brøndbo</t>
    </r>
  </si>
  <si>
    <r>
      <rPr>
        <rFont val="Arial"/>
        <color rgb="FFFFEC00"/>
        <u/>
      </rPr>
      <t xml:space="preserve">Isak </t>
    </r>
    <r>
      <rPr>
        <rFont val="Arial"/>
        <b/>
        <color rgb="FFFFEC00"/>
        <u/>
      </rPr>
      <t>Sjong</t>
    </r>
  </si>
  <si>
    <r>
      <rPr>
        <rFont val="Arial"/>
        <color rgb="FFFFEC00"/>
      </rPr>
      <t xml:space="preserve">Mikkel Bro </t>
    </r>
    <r>
      <rPr>
        <rFont val="Arial"/>
        <b/>
        <color rgb="FFFFEC00"/>
      </rPr>
      <t>Hansen</t>
    </r>
  </si>
  <si>
    <r>
      <rPr>
        <rFont val="Arial"/>
        <color rgb="FFFFEC00"/>
      </rPr>
      <t xml:space="preserve">Kjetil </t>
    </r>
    <r>
      <rPr>
        <rFont val="Arial"/>
        <b/>
        <color rgb="FFFFEC00"/>
      </rPr>
      <t>Knutsen</t>
    </r>
  </si>
  <si>
    <t>gole dla Bodo</t>
  </si>
  <si>
    <t>Daniel Bassi 78, Sondre Brunstad Fet 90</t>
  </si>
  <si>
    <t>Jens Petter Hauge 53, 66</t>
  </si>
  <si>
    <t>Bodø (Aspmyra Staduon)</t>
  </si>
  <si>
    <t>Andreas Helmersen 75</t>
  </si>
  <si>
    <t>Ole Didrik Blomberg 27, Sondre Brunstad Fet 87 (k)</t>
  </si>
  <si>
    <t>Haitam Aleesami 42, Jens Peter Hauge 75</t>
  </si>
  <si>
    <t>Kasper Høgh 22, 24, Jens Peter Hauge 58</t>
  </si>
  <si>
    <r>
      <rPr>
        <rFont val="Roboto"/>
        <color rgb="FFFDFDFD"/>
      </rPr>
      <t xml:space="preserve">Robert </t>
    </r>
    <r>
      <rPr>
        <rFont val="Roboto"/>
        <b/>
        <color rgb="FFFDFDFD"/>
      </rPr>
      <t>Sánchez</t>
    </r>
  </si>
  <si>
    <r>
      <rPr>
        <rFont val="Roboto"/>
        <b/>
        <color rgb="FFFDFDFD"/>
      </rPr>
      <t>Hiszpania /</t>
    </r>
    <r>
      <rPr>
        <rFont val="Roboto"/>
        <b val="0"/>
        <i/>
        <color rgb="FFFDFDFD"/>
      </rPr>
      <t>Anglia</t>
    </r>
  </si>
  <si>
    <r>
      <rPr>
        <rFont val="Roboto"/>
        <color rgb="FFFDFDFD"/>
      </rPr>
      <t xml:space="preserve">Marc </t>
    </r>
    <r>
      <rPr>
        <rFont val="Roboto"/>
        <b/>
        <color rgb="FFFDFDFD"/>
      </rPr>
      <t>Cucurella</t>
    </r>
  </si>
  <si>
    <r>
      <rPr>
        <rFont val="Roboto"/>
        <color rgb="FFFDFDFD"/>
      </rPr>
      <t xml:space="preserve">Tosin </t>
    </r>
    <r>
      <rPr>
        <rFont val="Roboto"/>
        <b/>
        <color rgb="FFFDFDFD"/>
      </rPr>
      <t>Adarabioyo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</si>
  <si>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Nigeria</t>
    </r>
  </si>
  <si>
    <r>
      <rPr>
        <rFont val="Roboto"/>
        <color rgb="FFFDFDFD"/>
      </rPr>
      <t xml:space="preserve">Benoît </t>
    </r>
    <r>
      <rPr>
        <rFont val="Roboto"/>
        <b/>
        <color rgb="FFFDFDFD"/>
      </rPr>
      <t>Badiashile</t>
    </r>
  </si>
  <si>
    <r>
      <rPr>
        <rFont val="Roboto"/>
        <b/>
        <color rgb="FFFDFDFD"/>
      </rPr>
      <t>Francja /</t>
    </r>
    <r>
      <rPr>
        <rFont val="Roboto"/>
        <b val="0"/>
        <i/>
        <color rgb="FFFDFDFD"/>
      </rPr>
      <t>Demokratyczna Republika Konaga</t>
    </r>
  </si>
  <si>
    <r>
      <rPr>
        <rFont val="Roboto"/>
        <color rgb="FFFDFDFD"/>
      </rPr>
      <t xml:space="preserve">Levi </t>
    </r>
    <r>
      <rPr>
        <rFont val="Roboto"/>
        <b/>
        <color rgb="FFFDFDFD"/>
      </rPr>
      <t>Colwill</t>
    </r>
  </si>
  <si>
    <r>
      <rPr>
        <rFont val="Roboto"/>
        <color rgb="FFFDFDFD"/>
      </rPr>
      <t xml:space="preserve">Pedro </t>
    </r>
    <r>
      <rPr>
        <rFont val="Roboto"/>
        <b/>
        <color rgb="FFFDFDFD"/>
      </rPr>
      <t>Neto</t>
    </r>
  </si>
  <si>
    <r>
      <rPr>
        <rFont val="Roboto"/>
        <color rgb="FFFDFDFD"/>
      </rPr>
      <t xml:space="preserve">Enzo </t>
    </r>
    <r>
      <rPr>
        <rFont val="Roboto"/>
        <b/>
        <color rgb="FFFDFDFD"/>
      </rPr>
      <t>Fernández</t>
    </r>
  </si>
  <si>
    <r>
      <rPr>
        <rFont val="Roboto"/>
        <color rgb="FFFDFDFD"/>
      </rPr>
      <t xml:space="preserve">Liam </t>
    </r>
    <r>
      <rPr>
        <rFont val="Roboto"/>
        <b/>
        <color rgb="FFFDFDFD"/>
      </rPr>
      <t>Delap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</si>
  <si>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Irlandia</t>
    </r>
  </si>
  <si>
    <r>
      <rPr>
        <rFont val="Roboto"/>
        <color rgb="FFFDFDFD"/>
      </rPr>
      <t xml:space="preserve">Cole </t>
    </r>
    <r>
      <rPr>
        <rFont val="Roboto"/>
        <b/>
        <color rgb="FFFDFDFD"/>
      </rPr>
      <t>Palmer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</si>
  <si>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St. Kitts i Nevis</t>
    </r>
  </si>
  <si>
    <r>
      <rPr>
        <rFont val="Roboto"/>
        <color rgb="FFFDFDFD"/>
      </rPr>
      <t xml:space="preserve">Jamie </t>
    </r>
    <r>
      <rPr>
        <rFont val="Roboto"/>
        <b/>
        <color rgb="FFFDFDFD"/>
      </rPr>
      <t>Gittens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</si>
  <si>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Barbados</t>
    </r>
  </si>
  <si>
    <r>
      <rPr>
        <rFont val="Roboto"/>
        <color rgb="FFFDFDFD"/>
      </rPr>
      <t xml:space="preserve">Filip </t>
    </r>
    <r>
      <rPr>
        <rFont val="Roboto"/>
        <b/>
        <color rgb="FFFDFDFD"/>
      </rPr>
      <t>Jørgensen</t>
    </r>
  </si>
  <si>
    <r>
      <rPr>
        <rFont val="Roboto"/>
        <b/>
        <color rgb="FFFDFDFD"/>
      </rPr>
      <t>Dania /</t>
    </r>
    <r>
      <rPr>
        <rFont val="Roboto"/>
        <b val="0"/>
        <i/>
        <color rgb="FFFDFDFD"/>
      </rPr>
      <t>Szwecja</t>
    </r>
  </si>
  <si>
    <r>
      <rPr>
        <rFont val="Roboto"/>
        <b/>
        <i/>
        <color rgb="FFFDFDFD"/>
      </rPr>
      <t xml:space="preserve">Dário </t>
    </r>
    <r>
      <rPr>
        <rFont val="Roboto"/>
        <b/>
        <i/>
        <color rgb="FFFDFDFD"/>
      </rPr>
      <t>Essugo</t>
    </r>
  </si>
  <si>
    <r>
      <rPr>
        <rFont val="Roboto"/>
        <b/>
        <color rgb="FFFDFDFD"/>
      </rPr>
      <t>Portugalia /</t>
    </r>
    <r>
      <rPr>
        <rFont val="Roboto"/>
        <b val="0"/>
        <i/>
        <color rgb="FFFDFDFD"/>
      </rPr>
      <t>Angola</t>
    </r>
  </si>
  <si>
    <r>
      <rPr>
        <rFont val="Roboto"/>
        <b/>
        <i/>
        <color rgb="FFFDFDFD"/>
      </rPr>
      <t xml:space="preserve">Andrey </t>
    </r>
    <r>
      <rPr>
        <rFont val="Roboto"/>
        <b/>
        <i/>
        <color rgb="FFFDFDFD"/>
      </rPr>
      <t>Santos</t>
    </r>
  </si>
  <si>
    <t>João Pedro</t>
  </si>
  <si>
    <r>
      <rPr>
        <rFont val="Roboto"/>
        <color rgb="FFFDFDFD"/>
      </rPr>
      <t xml:space="preserve">Jorrel </t>
    </r>
    <r>
      <rPr>
        <rFont val="Roboto"/>
        <b/>
        <color rgb="FFFDFDFD"/>
      </rPr>
      <t>Hato</t>
    </r>
  </si>
  <si>
    <r>
      <rPr>
        <rFont val="Roboto"/>
        <b/>
        <color rgb="FFFDFDFD"/>
      </rPr>
      <t>Holandia /</t>
    </r>
    <r>
      <rPr>
        <rFont val="Roboto"/>
        <b val="0"/>
        <i/>
        <color rgb="FFFDFDFD"/>
      </rPr>
      <t>Curaçao</t>
    </r>
  </si>
  <si>
    <r>
      <rPr>
        <rFont val="Roboto"/>
        <color rgb="FFFDFDFD"/>
      </rPr>
      <t xml:space="preserve">Trevoh </t>
    </r>
    <r>
      <rPr>
        <rFont val="Roboto"/>
        <b/>
        <color rgb="FFFDFDFD"/>
      </rPr>
      <t>Chalobah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</si>
  <si>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Sierra Leone</t>
    </r>
  </si>
  <si>
    <r>
      <rPr>
        <rFont val="Roboto"/>
        <color rgb="FFFDFDFD"/>
      </rPr>
      <t xml:space="preserve">Reece </t>
    </r>
    <r>
      <rPr>
        <rFont val="Roboto"/>
        <b/>
        <color rgb="FFFDFDFD"/>
      </rPr>
      <t>James</t>
    </r>
  </si>
  <si>
    <r>
      <rPr>
        <rFont val="Roboto"/>
        <color rgb="FFFDFDFD"/>
      </rPr>
      <t xml:space="preserve">Moisés </t>
    </r>
    <r>
      <rPr>
        <rFont val="Roboto"/>
        <b/>
        <color rgb="FFFDFDFD"/>
      </rPr>
      <t>Caicedo</t>
    </r>
  </si>
  <si>
    <r>
      <rPr>
        <rFont val="Roboto"/>
        <color rgb="FFFDFDFD"/>
      </rPr>
      <t xml:space="preserve">Malo </t>
    </r>
    <r>
      <rPr>
        <rFont val="Roboto"/>
        <b/>
        <color rgb="FFFDFDFD"/>
      </rPr>
      <t>Gusto</t>
    </r>
  </si>
  <si>
    <r>
      <rPr>
        <rFont val="Roboto"/>
        <b/>
        <color rgb="FFFDFDFD"/>
      </rPr>
      <t>Francja /</t>
    </r>
    <r>
      <rPr>
        <rFont val="Roboto"/>
        <b val="0"/>
        <i/>
        <color rgb="FFFDFDFD"/>
      </rPr>
      <t>Martynika</t>
    </r>
  </si>
  <si>
    <r>
      <rPr>
        <rFont val="Roboto"/>
        <color rgb="FFFDFDFD"/>
      </rPr>
      <t xml:space="preserve">Wesley </t>
    </r>
    <r>
      <rPr>
        <rFont val="Roboto"/>
        <b/>
        <color rgb="FFFDFDFD"/>
      </rPr>
      <t>Fofana</t>
    </r>
  </si>
  <si>
    <r>
      <rPr>
        <rFont val="Roboto"/>
        <b/>
        <color rgb="FFFDFDFD"/>
      </rPr>
      <t>Francja /</t>
    </r>
    <r>
      <rPr>
        <rFont val="Roboto"/>
        <b val="0"/>
        <i/>
        <color rgb="FFFDFDFD"/>
      </rPr>
      <t>Wybrzeże Kości Słoniowej</t>
    </r>
  </si>
  <si>
    <r>
      <rPr>
        <rFont val="Roboto"/>
        <color rgb="FFFDFDFD"/>
        <u/>
      </rPr>
      <t xml:space="preserve">Tyrique </t>
    </r>
    <r>
      <rPr>
        <rFont val="Roboto"/>
        <b/>
        <color rgb="FFFDFDFD"/>
        <u/>
      </rPr>
      <t>George</t>
    </r>
  </si>
  <si>
    <r>
      <rPr>
        <rFont val="Roboto"/>
        <b/>
        <color rgb="FFFDFDFD"/>
        <u/>
      </rPr>
      <t>Anglia /</t>
    </r>
    <r>
      <rPr>
        <rFont val="Roboto"/>
        <b val="0"/>
        <i/>
        <color rgb="FFFDFDFD"/>
        <u/>
      </rPr>
      <t>Nigeria</t>
    </r>
  </si>
  <si>
    <r>
      <rPr>
        <rFont val="Roboto"/>
        <color rgb="FFFDFDFD"/>
        <u/>
      </rPr>
      <t xml:space="preserve">Josh </t>
    </r>
    <r>
      <rPr>
        <rFont val="Roboto"/>
        <b/>
        <color rgb="FFFDFDFD"/>
        <u/>
      </rPr>
      <t>Acheampong</t>
    </r>
  </si>
  <si>
    <r>
      <rPr>
        <rFont val="Roboto"/>
        <b/>
        <color rgb="FFFDFDFD"/>
        <u/>
      </rPr>
      <t>Anglia /</t>
    </r>
    <r>
      <rPr>
        <rFont val="Roboto"/>
        <b val="0"/>
        <i/>
        <color rgb="FFFDFDFD"/>
        <u/>
      </rPr>
      <t>Ghana</t>
    </r>
  </si>
  <si>
    <r>
      <rPr>
        <rFont val="Roboto"/>
        <color rgb="FFFDFDFD"/>
        <u/>
      </rPr>
      <t xml:space="preserve">Ted </t>
    </r>
    <r>
      <rPr>
        <rFont val="Roboto"/>
        <b/>
        <color rgb="FFFDFDFD"/>
        <u/>
      </rPr>
      <t>Curd</t>
    </r>
  </si>
  <si>
    <r>
      <rPr>
        <rFont val="Roboto"/>
        <color rgb="FFFDFDFD"/>
      </rPr>
      <t xml:space="preserve">Marc </t>
    </r>
    <r>
      <rPr>
        <rFont val="Roboto"/>
        <b/>
        <color rgb="FFFDFDFD"/>
      </rPr>
      <t>Guiu</t>
    </r>
  </si>
  <si>
    <r>
      <rPr>
        <rFont val="Roboto"/>
        <color rgb="FFFDFDFD"/>
      </rPr>
      <t xml:space="preserve">Facundo </t>
    </r>
    <r>
      <rPr>
        <rFont val="Roboto"/>
        <b/>
        <color rgb="FFFDFDFD"/>
      </rPr>
      <t>Buonanote</t>
    </r>
  </si>
  <si>
    <r>
      <rPr>
        <rFont val="Roboto"/>
        <b/>
        <color rgb="FFFDFDFD"/>
      </rPr>
      <t>Argentyna /</t>
    </r>
    <r>
      <rPr>
        <rFont val="Roboto"/>
        <b val="0"/>
        <i/>
        <color rgb="FFFDFDFD"/>
      </rPr>
      <t>Włochy</t>
    </r>
  </si>
  <si>
    <t>Estêvão</t>
  </si>
  <si>
    <r>
      <rPr>
        <rFont val="Roboto"/>
        <color rgb="FFFDFDFD"/>
      </rPr>
      <t xml:space="preserve">Roméo </t>
    </r>
    <r>
      <rPr>
        <rFont val="Roboto"/>
        <b/>
        <color rgb="FFFDFDFD"/>
      </rPr>
      <t>Lavia</t>
    </r>
  </si>
  <si>
    <r>
      <rPr>
        <rFont val="Roboto"/>
        <color rgb="FFFDFDFD"/>
        <u/>
      </rPr>
      <t xml:space="preserve">Reggie </t>
    </r>
    <r>
      <rPr>
        <rFont val="Roboto"/>
        <b/>
        <color rgb="FFFDFDFD"/>
        <u/>
      </rPr>
      <t>Walsh</t>
    </r>
  </si>
  <si>
    <r>
      <rPr>
        <rFont val="Roboto"/>
        <color rgb="FFFDFDFD"/>
      </rPr>
      <t xml:space="preserve">Alejandro </t>
    </r>
    <r>
      <rPr>
        <rFont val="Roboto"/>
        <b/>
        <color rgb="FFFDFDFD"/>
      </rPr>
      <t>Garnacho</t>
    </r>
  </si>
  <si>
    <r>
      <rPr>
        <rFont val="Roboto"/>
        <b/>
        <color rgb="FFFDFDFD"/>
      </rPr>
      <t>Argentyna /</t>
    </r>
    <r>
      <rPr>
        <rFont val="Roboto"/>
        <b val="0"/>
        <i/>
        <color rgb="FFFDFDFD"/>
      </rPr>
      <t>Hiszpania</t>
    </r>
  </si>
  <si>
    <r>
      <rPr>
        <rFont val="Roboto"/>
        <color rgb="FFFDFDFD"/>
        <u/>
      </rPr>
      <t xml:space="preserve">Max </t>
    </r>
    <r>
      <rPr>
        <rFont val="Roboto"/>
        <b/>
        <color rgb="FFFDFDFD"/>
        <u/>
      </rPr>
      <t>Merrick</t>
    </r>
  </si>
  <si>
    <r>
      <rPr>
        <rFont val="Roboto"/>
        <color rgb="FFFDFDFD"/>
        <u/>
      </rPr>
      <t xml:space="preserve">Landon </t>
    </r>
    <r>
      <rPr>
        <rFont val="Roboto"/>
        <b/>
        <color rgb="FFFDFDFD"/>
        <u/>
      </rPr>
      <t>Emenalo</t>
    </r>
  </si>
  <si>
    <r>
      <rPr>
        <rFont val="Roboto"/>
        <b/>
        <color rgb="FFFDFDFD"/>
        <u/>
      </rPr>
      <t>Anglia /</t>
    </r>
    <r>
      <rPr>
        <rFont val="Roboto"/>
        <b val="0"/>
        <i/>
        <color rgb="FFFDFDFD"/>
        <u/>
      </rPr>
      <t>USA</t>
    </r>
  </si>
  <si>
    <r>
      <rPr>
        <rFont val="Roboto"/>
        <color rgb="FFFDFDFD"/>
        <u/>
      </rPr>
      <t xml:space="preserve">Ryan </t>
    </r>
    <r>
      <rPr>
        <rFont val="Roboto"/>
        <b/>
        <color rgb="FFFDFDFD"/>
        <u/>
      </rPr>
      <t>Kavuma-McQueen</t>
    </r>
  </si>
  <si>
    <r>
      <rPr>
        <rFont val="Roboto"/>
        <b/>
        <color rgb="FFFDFDFD"/>
        <u/>
      </rPr>
      <t>Anglia /</t>
    </r>
    <r>
      <rPr>
        <rFont val="Roboto"/>
        <b val="0"/>
        <i/>
        <color rgb="FFFDFDFD"/>
        <u/>
      </rPr>
      <t>Uganda</t>
    </r>
  </si>
  <si>
    <r>
      <rPr>
        <rFont val="Arial"/>
        <color rgb="FFFDFDFD"/>
      </rPr>
      <t xml:space="preserve">Enzo </t>
    </r>
    <r>
      <rPr>
        <rFont val="Arial"/>
        <b/>
        <color rgb="FFFDFDFD"/>
      </rPr>
      <t>Maresca</t>
    </r>
  </si>
  <si>
    <r>
      <rPr>
        <rFont val="Roboto"/>
        <color rgb="FFFDFDFD"/>
      </rPr>
      <t xml:space="preserve">Liam </t>
    </r>
    <r>
      <rPr>
        <rFont val="Roboto"/>
        <b/>
        <color rgb="FFFDFDFD"/>
      </rPr>
      <t>Rosenior</t>
    </r>
  </si>
  <si>
    <r>
      <rPr>
        <rFont val="Roboto"/>
        <b/>
        <color rgb="FFFDFDFD"/>
      </rPr>
      <t>Anglia /</t>
    </r>
    <r>
      <rPr>
        <rFont val="Roboto"/>
        <b val="0"/>
        <i/>
        <color rgb="FFFDFDFD"/>
      </rPr>
      <t>Sierra Leone</t>
    </r>
  </si>
  <si>
    <t>gole dla Chelsea</t>
  </si>
  <si>
    <t>Cole Palmer 29</t>
  </si>
  <si>
    <t>Richard Riós 18 (s)</t>
  </si>
  <si>
    <t>Marc Guiu 18, Moisés Caicedo 27, Enzo Fernández 45 (k), Estêvão 45 (k), Tyrique George 48</t>
  </si>
  <si>
    <t>Estêvão 16, Alejandro Garnacho 53</t>
  </si>
  <si>
    <t>Jules Kounde 27 (s), Estêvão 55, Liam Delap 73</t>
  </si>
  <si>
    <t>João Pedro 25</t>
  </si>
  <si>
    <t>Moisés Caicedo 78</t>
  </si>
  <si>
    <t>Neapol (Stadio Diego Armando Maradona)</t>
  </si>
  <si>
    <r>
      <rPr>
        <rFont val="Arial"/>
        <color rgb="FF231F20"/>
      </rPr>
      <t xml:space="preserve">Zaid </t>
    </r>
    <r>
      <rPr>
        <rFont val="Arial"/>
        <b/>
        <color rgb="FF231F20"/>
      </rPr>
      <t>Romero</t>
    </r>
  </si>
  <si>
    <r>
      <rPr>
        <rFont val="Arial"/>
        <b/>
        <color rgb="FF231F20"/>
      </rPr>
      <t>Argentyna /</t>
    </r>
    <r>
      <rPr>
        <rFont val="Arial"/>
        <b val="0"/>
        <i/>
        <color rgb="FF231F20"/>
      </rPr>
      <t>Syria</t>
    </r>
  </si>
  <si>
    <r>
      <rPr>
        <rFont val="Arial"/>
        <color rgb="FF231F20"/>
        <u/>
      </rPr>
      <t xml:space="preserve">Joel </t>
    </r>
    <r>
      <rPr>
        <rFont val="Arial"/>
        <b/>
        <color rgb="FF231F20"/>
        <u/>
      </rPr>
      <t>Ordóñez</t>
    </r>
  </si>
  <si>
    <r>
      <rPr>
        <rFont val="Arial"/>
        <color rgb="FF231F20"/>
      </rPr>
      <t xml:space="preserve">Ludovit </t>
    </r>
    <r>
      <rPr>
        <rFont val="Arial"/>
        <b/>
        <color rgb="FF231F20"/>
      </rPr>
      <t>Reis</t>
    </r>
  </si>
  <si>
    <r>
      <rPr>
        <rFont val="Arial"/>
        <b/>
        <color rgb="FF231F20"/>
      </rPr>
      <t>Holandia /</t>
    </r>
    <r>
      <rPr>
        <rFont val="Arial"/>
        <b val="0"/>
        <i/>
        <color rgb="FF231F20"/>
      </rPr>
      <t>Słowacja</t>
    </r>
  </si>
  <si>
    <r>
      <rPr>
        <rFont val="Arial"/>
        <color rgb="FF231F20"/>
      </rPr>
      <t xml:space="preserve">Nicolò </t>
    </r>
    <r>
      <rPr>
        <rFont val="Arial"/>
        <b/>
        <color rgb="FF231F20"/>
      </rPr>
      <t>Tresoldi</t>
    </r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</si>
  <si>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Włochy</t>
    </r>
  </si>
  <si>
    <r>
      <rPr>
        <rFont val="Arial"/>
        <color rgb="FF231F20"/>
      </rPr>
      <t xml:space="preserve">Christos </t>
    </r>
    <r>
      <rPr>
        <rFont val="Arial"/>
        <b/>
        <color rgb="FF231F20"/>
      </rPr>
      <t>Tzolis</t>
    </r>
  </si>
  <si>
    <t>Carlos Forbs</t>
  </si>
  <si>
    <r>
      <rPr>
        <rFont val="Arial"/>
        <b/>
        <color rgb="FF231F20"/>
      </rPr>
      <t>Portugalia /</t>
    </r>
    <r>
      <rPr>
        <rFont val="Arial"/>
        <b val="0"/>
        <i/>
        <color rgb="FF231F20"/>
      </rPr>
      <t>Gwinea Bissau</t>
    </r>
  </si>
  <si>
    <r>
      <rPr>
        <rFont val="Arial"/>
        <color rgb="FF231F20"/>
      </rPr>
      <t xml:space="preserve">Hugo </t>
    </r>
    <r>
      <rPr>
        <rFont val="Arial"/>
        <b/>
        <color rgb="FF231F20"/>
      </rPr>
      <t>Vetlesen</t>
    </r>
  </si>
  <si>
    <r>
      <rPr>
        <rFont val="Arial"/>
        <color rgb="FF231F20"/>
      </rPr>
      <t xml:space="preserve">Cisse </t>
    </r>
    <r>
      <rPr>
        <rFont val="Arial"/>
        <b/>
        <color rgb="FF231F20"/>
      </rPr>
      <t>Sandra</t>
    </r>
  </si>
  <si>
    <r>
      <rPr>
        <rFont val="Arial"/>
        <color rgb="FF231F20"/>
      </rPr>
      <t xml:space="preserve">Bjorn </t>
    </r>
    <r>
      <rPr>
        <rFont val="Arial"/>
        <b/>
        <color rgb="FF231F20"/>
      </rPr>
      <t>Meijer</t>
    </r>
  </si>
  <si>
    <r>
      <rPr>
        <rFont val="Arial"/>
        <color rgb="FF231F20"/>
      </rPr>
      <t xml:space="preserve">Raphael </t>
    </r>
    <r>
      <rPr>
        <rFont val="Arial"/>
        <b/>
        <color rgb="FF231F20"/>
      </rPr>
      <t>Onyedika</t>
    </r>
  </si>
  <si>
    <t>Nigeria</t>
  </si>
  <si>
    <r>
      <rPr>
        <rFont val="Arial"/>
        <color rgb="FF231F20"/>
      </rPr>
      <t xml:space="preserve">Dani </t>
    </r>
    <r>
      <rPr>
        <rFont val="Arial"/>
        <b/>
        <color rgb="FF231F20"/>
      </rPr>
      <t>van den Heuvel</t>
    </r>
  </si>
  <si>
    <r>
      <rPr>
        <rFont val="Arial"/>
        <color rgb="FF231F20"/>
        <u/>
      </rPr>
      <t xml:space="preserve">Romeo </t>
    </r>
    <r>
      <rPr>
        <rFont val="Arial"/>
        <b/>
        <color rgb="FF231F20"/>
        <u/>
      </rPr>
      <t>Vermant</t>
    </r>
  </si>
  <si>
    <r>
      <rPr>
        <rFont val="Arial"/>
        <color rgb="FF231F20"/>
      </rPr>
      <t xml:space="preserve">Gustad </t>
    </r>
    <r>
      <rPr>
        <rFont val="Arial"/>
        <b/>
        <color rgb="FF231F20"/>
      </rPr>
      <t>Nilsson</t>
    </r>
  </si>
  <si>
    <r>
      <rPr>
        <rFont val="Arial"/>
        <color rgb="FF231F20"/>
      </rPr>
      <t xml:space="preserve">Hans </t>
    </r>
    <r>
      <rPr>
        <rFont val="Arial"/>
        <b/>
        <color rgb="FF231F20"/>
      </rPr>
      <t>Vanaken</t>
    </r>
  </si>
  <si>
    <r>
      <rPr>
        <rFont val="Arial"/>
        <color rgb="FF231F20"/>
      </rPr>
      <t xml:space="preserve">Simon </t>
    </r>
    <r>
      <rPr>
        <rFont val="Arial"/>
        <b/>
        <color rgb="FF231F20"/>
      </rPr>
      <t>Mignolet</t>
    </r>
  </si>
  <si>
    <r>
      <rPr>
        <rFont val="Arial"/>
        <color rgb="FF231F20"/>
      </rPr>
      <t xml:space="preserve">Vince </t>
    </r>
    <r>
      <rPr>
        <rFont val="Arial"/>
        <b/>
        <color rgb="FF231F20"/>
      </rPr>
      <t>Osuji</t>
    </r>
  </si>
  <si>
    <r>
      <rPr>
        <rFont val="Arial"/>
        <color rgb="FF231F20"/>
      </rPr>
      <t xml:space="preserve">Aleksandar </t>
    </r>
    <r>
      <rPr>
        <rFont val="Arial"/>
        <b/>
        <color rgb="FF231F20"/>
      </rPr>
      <t>Stanković</t>
    </r>
  </si>
  <si>
    <r>
      <rPr>
        <rFont val="Arial"/>
        <b/>
        <color rgb="FF231F20"/>
      </rPr>
      <t>Serbia /</t>
    </r>
    <r>
      <rPr>
        <rFont val="Arial"/>
        <b val="0"/>
        <i/>
        <color rgb="FF231F20"/>
      </rPr>
      <t>Włochy</t>
    </r>
  </si>
  <si>
    <r>
      <rPr>
        <rFont val="Arial"/>
        <color rgb="FF231F20"/>
      </rPr>
      <t xml:space="preserve">Nordin </t>
    </r>
    <r>
      <rPr>
        <rFont val="Arial"/>
        <b/>
        <color rgb="FF231F20"/>
      </rPr>
      <t>Jackers</t>
    </r>
  </si>
  <si>
    <r>
      <rPr>
        <rFont val="Arial"/>
        <color rgb="FF231F20"/>
      </rPr>
      <t xml:space="preserve">Hugo </t>
    </r>
    <r>
      <rPr>
        <rFont val="Arial"/>
        <b/>
        <color rgb="FF231F20"/>
      </rPr>
      <t>Siquet</t>
    </r>
  </si>
  <si>
    <r>
      <rPr>
        <rFont val="Arial"/>
        <color rgb="FF231F20"/>
      </rPr>
      <t xml:space="preserve">Brandon </t>
    </r>
    <r>
      <rPr>
        <rFont val="Arial"/>
        <b/>
        <color rgb="FF231F20"/>
      </rPr>
      <t>Mechele</t>
    </r>
  </si>
  <si>
    <r>
      <rPr>
        <rFont val="Arial"/>
        <color rgb="FF231F20"/>
        <u/>
      </rPr>
      <t xml:space="preserve">Jorne </t>
    </r>
    <r>
      <rPr>
        <rFont val="Arial"/>
        <b/>
        <color rgb="FF231F20"/>
        <u/>
      </rPr>
      <t>Spileers</t>
    </r>
  </si>
  <si>
    <r>
      <rPr>
        <rFont val="Arial"/>
        <color rgb="FF231F20"/>
      </rPr>
      <t xml:space="preserve">Lynnt </t>
    </r>
    <r>
      <rPr>
        <rFont val="Arial"/>
        <b/>
        <color rgb="FF231F20"/>
      </rPr>
      <t>Audoor</t>
    </r>
  </si>
  <si>
    <r>
      <rPr>
        <rFont val="Arial"/>
        <color rgb="FF231F20"/>
        <u/>
      </rPr>
      <t xml:space="preserve">Kyriani </t>
    </r>
    <r>
      <rPr>
        <rFont val="Arial"/>
        <b/>
        <color rgb="FF231F20"/>
        <u/>
      </rPr>
      <t>Sabbe</t>
    </r>
  </si>
  <si>
    <r>
      <rPr>
        <rFont val="Arial"/>
        <color rgb="FF231F20"/>
        <u/>
      </rPr>
      <t xml:space="preserve">Joaquin </t>
    </r>
    <r>
      <rPr>
        <rFont val="Arial"/>
        <b/>
        <color rgb="FF231F20"/>
        <u/>
      </rPr>
      <t>Seys</t>
    </r>
  </si>
  <si>
    <r>
      <rPr>
        <rFont val="Arial"/>
        <color rgb="FF231F20"/>
      </rPr>
      <t xml:space="preserve">Mamadou </t>
    </r>
    <r>
      <rPr>
        <rFont val="Arial"/>
        <b/>
        <color rgb="FF231F20"/>
      </rPr>
      <t>Diakhon</t>
    </r>
  </si>
  <si>
    <r>
      <rPr>
        <rFont val="Arial"/>
        <b/>
        <color rgb="FF231F20"/>
      </rPr>
      <t>Francja /</t>
    </r>
    <r>
      <rPr>
        <rFont val="Arial"/>
        <b val="0"/>
        <i/>
        <color rgb="FF231F20"/>
      </rPr>
      <t>Senegal</t>
    </r>
  </si>
  <si>
    <r>
      <rPr>
        <rFont val="Arial"/>
        <color rgb="FF231F20"/>
        <u/>
      </rPr>
      <t xml:space="preserve">Alejandro </t>
    </r>
    <r>
      <rPr>
        <rFont val="Arial"/>
        <b/>
        <color rgb="FF231F20"/>
        <u/>
      </rPr>
      <t>Granados</t>
    </r>
  </si>
  <si>
    <r>
      <rPr>
        <rFont val="Arial"/>
        <b/>
        <color rgb="FF231F20"/>
        <u/>
      </rPr>
      <t>Hiszpania /</t>
    </r>
    <r>
      <rPr>
        <rFont val="Arial"/>
        <b val="0"/>
        <i/>
        <color rgb="FF231F20"/>
        <u/>
      </rPr>
      <t>USA</t>
    </r>
  </si>
  <si>
    <r>
      <rPr>
        <rFont val="Arial"/>
        <color rgb="FF231F20"/>
        <u/>
      </rPr>
      <t xml:space="preserve">Axl </t>
    </r>
    <r>
      <rPr>
        <rFont val="Arial"/>
        <b/>
        <color rgb="FF231F20"/>
        <u/>
      </rPr>
      <t>De Corte</t>
    </r>
  </si>
  <si>
    <r>
      <rPr>
        <rFont val="Arial"/>
        <color rgb="FF231F20"/>
        <u/>
      </rPr>
      <t xml:space="preserve">Jessi </t>
    </r>
    <r>
      <rPr>
        <rFont val="Arial"/>
        <b/>
        <color rgb="FF231F20"/>
        <u/>
      </rPr>
      <t>Da Silva</t>
    </r>
  </si>
  <si>
    <r>
      <rPr>
        <rFont val="Arial"/>
        <color rgb="FF231F20"/>
        <u/>
      </rPr>
      <t xml:space="preserve">Laurens </t>
    </r>
    <r>
      <rPr>
        <rFont val="Arial"/>
        <b/>
        <color rgb="FF231F20"/>
        <u/>
      </rPr>
      <t>Goemaere</t>
    </r>
  </si>
  <si>
    <r>
      <rPr>
        <rFont val="Arial"/>
        <color rgb="FF231F20"/>
        <u/>
      </rPr>
      <t xml:space="preserve">Jesse </t>
    </r>
    <r>
      <rPr>
        <rFont val="Arial"/>
        <b/>
        <color rgb="FF231F20"/>
        <u/>
      </rPr>
      <t>Bisiwu</t>
    </r>
  </si>
  <si>
    <r>
      <rPr>
        <rFont val="Arial"/>
        <color rgb="FF231F20"/>
        <u/>
      </rPr>
      <t xml:space="preserve">Tobias </t>
    </r>
    <r>
      <rPr>
        <rFont val="Arial"/>
        <b/>
        <color rgb="FF231F20"/>
        <u/>
      </rPr>
      <t>Lund Jensen</t>
    </r>
  </si>
  <si>
    <r>
      <rPr>
        <rFont val="Arial"/>
        <color rgb="FF231F20"/>
        <u/>
      </rPr>
      <t xml:space="preserve">Argus </t>
    </r>
    <r>
      <rPr>
        <rFont val="Arial"/>
        <b/>
        <color rgb="FF231F20"/>
        <u/>
      </rPr>
      <t>Vanden Driessche</t>
    </r>
  </si>
  <si>
    <r>
      <rPr>
        <rFont val="Arial"/>
        <color rgb="FF231F20"/>
      </rPr>
      <t xml:space="preserve">Samuel </t>
    </r>
    <r>
      <rPr>
        <rFont val="Arial"/>
        <b/>
        <color rgb="FF231F20"/>
      </rPr>
      <t>Gomez Van Hoogen</t>
    </r>
  </si>
  <si>
    <r>
      <rPr>
        <rFont val="Arial"/>
        <b/>
        <color rgb="FF231F20"/>
      </rPr>
      <t>Belgia /</t>
    </r>
    <r>
      <rPr>
        <rFont val="Arial"/>
        <b val="0"/>
        <i/>
        <color rgb="FF231F20"/>
      </rPr>
      <t>Hiszpania</t>
    </r>
  </si>
  <si>
    <r>
      <rPr>
        <rFont val="Arial"/>
        <color rgb="FF231F20"/>
      </rPr>
      <t xml:space="preserve">Shandre </t>
    </r>
    <r>
      <rPr>
        <rFont val="Arial"/>
        <b/>
        <color rgb="FF231F20"/>
      </rPr>
      <t>Campbell</t>
    </r>
  </si>
  <si>
    <t>RPA</t>
  </si>
  <si>
    <r>
      <rPr>
        <rFont val="Arial"/>
        <color rgb="FF231F20"/>
        <u/>
      </rPr>
      <t xml:space="preserve">Kaye </t>
    </r>
    <r>
      <rPr>
        <rFont val="Arial"/>
        <b/>
        <color rgb="FF231F20"/>
        <u/>
      </rPr>
      <t>Furo</t>
    </r>
  </si>
  <si>
    <r>
      <rPr>
        <rFont val="Arial"/>
        <color rgb="FF231F20"/>
      </rPr>
      <t xml:space="preserve">Nicky </t>
    </r>
    <r>
      <rPr>
        <rFont val="Arial"/>
        <b/>
        <color rgb="FF231F20"/>
      </rPr>
      <t>Hayen</t>
    </r>
  </si>
  <si>
    <r>
      <rPr>
        <rFont val="Arial"/>
        <color rgb="FF231F20"/>
      </rPr>
      <t xml:space="preserve">Ivan </t>
    </r>
    <r>
      <rPr>
        <rFont val="Arial"/>
        <b/>
        <color rgb="FF231F20"/>
      </rPr>
      <t>Leko</t>
    </r>
  </si>
  <si>
    <t>gole dla Brugi</t>
  </si>
  <si>
    <t>Nicolò Tresoldi 32, Raphael Onyedika 39, Hans Vanaken 42, Mamadou Diakhon 75</t>
  </si>
  <si>
    <t>Christos Tzolis 38</t>
  </si>
  <si>
    <t>Nicolò Tresoldi 6, Carlos Forbs 17, 63</t>
  </si>
  <si>
    <t>Lizbona (Estádio José Alvalade)</t>
  </si>
  <si>
    <t>Aleksandar Stanković 32, Hans Vanaken 38, Romeo Vermant 74, Brandon Mechele 84</t>
  </si>
  <si>
    <t>Ałmaty (Stadion Centralny)</t>
  </si>
  <si>
    <r>
      <rPr>
        <rFont val="Arial"/>
        <color rgb="FF0F2DB9"/>
      </rPr>
      <t xml:space="preserve">Dominik </t>
    </r>
    <r>
      <rPr>
        <rFont val="Arial"/>
        <b/>
        <color rgb="FF0F2DB9"/>
      </rPr>
      <t>Kotarski</t>
    </r>
  </si>
  <si>
    <r>
      <rPr>
        <rFont val="Arial"/>
        <color rgb="FF0F2DB9"/>
      </rPr>
      <t xml:space="preserve">Munashe </t>
    </r>
    <r>
      <rPr>
        <rFont val="Arial"/>
        <b/>
        <color rgb="FF0F2DB9"/>
      </rPr>
      <t>Garananga</t>
    </r>
  </si>
  <si>
    <t>Zimbabwe</t>
  </si>
  <si>
    <t>Gabriel Pereira</t>
  </si>
  <si>
    <r>
      <rPr>
        <rFont val="Arial"/>
        <color rgb="FF0F2DB9"/>
      </rPr>
      <t xml:space="preserve">Pandelis </t>
    </r>
    <r>
      <rPr>
        <rFont val="Arial"/>
        <b/>
        <color rgb="FF0F2DB9"/>
      </rPr>
      <t>Chadzidiakos</t>
    </r>
  </si>
  <si>
    <r>
      <rPr>
        <rFont val="Arial"/>
        <b/>
        <color rgb="FF0F2DB9"/>
      </rPr>
      <t>Grecja /</t>
    </r>
    <r>
      <rPr>
        <rFont val="Arial"/>
        <b val="0"/>
        <i/>
        <color rgb="FF0F2DB9"/>
      </rPr>
      <t>Holandia</t>
    </r>
  </si>
  <si>
    <r>
      <rPr>
        <rFont val="Arial"/>
        <color rgb="FF0F2DB9"/>
      </rPr>
      <t xml:space="preserve">Viktor </t>
    </r>
    <r>
      <rPr>
        <rFont val="Arial"/>
        <b/>
        <color rgb="FF0F2DB9"/>
      </rPr>
      <t>Claesson</t>
    </r>
  </si>
  <si>
    <r>
      <rPr>
        <rFont val="Arial"/>
        <color rgb="FF0F2DB9"/>
      </rPr>
      <t xml:space="preserve">Magnus </t>
    </r>
    <r>
      <rPr>
        <rFont val="Arial"/>
        <b/>
        <color rgb="FF0F2DB9"/>
      </rPr>
      <t>Mattson</t>
    </r>
  </si>
  <si>
    <r>
      <rPr>
        <rFont val="Arial"/>
        <b/>
        <color rgb="FF0F2DB9"/>
      </rPr>
      <t>Dania /</t>
    </r>
    <r>
      <rPr>
        <rFont val="Arial"/>
        <b val="0"/>
        <i/>
        <color rgb="FF0F2DB9"/>
      </rPr>
      <t>Szwecja</t>
    </r>
  </si>
  <si>
    <r>
      <rPr>
        <rFont val="Arial"/>
        <color rgb="FF0F2DB9"/>
      </rPr>
      <t xml:space="preserve">Youssoufa </t>
    </r>
    <r>
      <rPr>
        <rFont val="Arial"/>
        <b/>
        <color rgb="FF0F2DB9"/>
      </rPr>
      <t>Moukoko</t>
    </r>
  </si>
  <si>
    <r>
      <rPr>
        <rFont val="Arial"/>
        <b/>
        <color rgb="FF0F2DB9"/>
      </rPr>
      <t>Niemcy /</t>
    </r>
    <r>
      <rPr>
        <rFont val="Arial"/>
        <b val="0"/>
        <i/>
        <color rgb="FF0F2DB9"/>
      </rPr>
      <t>Kamerun</t>
    </r>
  </si>
  <si>
    <r>
      <rPr>
        <rFont val="Arial"/>
        <color rgb="FF0F2DB9"/>
      </rPr>
      <t xml:space="preserve">Mohamed </t>
    </r>
    <r>
      <rPr>
        <rFont val="Arial"/>
        <b/>
        <color rgb="FF0F2DB9"/>
      </rPr>
      <t>Elyounoussi</t>
    </r>
  </si>
  <si>
    <r>
      <rPr>
        <rFont val="Arial"/>
        <color rgb="FF0F2DB9"/>
      </rPr>
      <t xml:space="preserve">Jordan </t>
    </r>
    <r>
      <rPr>
        <rFont val="Arial"/>
        <b/>
        <color rgb="FF0F2DB9"/>
      </rPr>
      <t>Larsson</t>
    </r>
  </si>
  <si>
    <r>
      <rPr>
        <rFont val="Arial"/>
        <b/>
        <color rgb="FF0F2DB9"/>
      </rPr>
      <t>Szwecja /</t>
    </r>
    <r>
      <rPr>
        <rFont val="Arial"/>
        <b val="0"/>
        <i/>
        <color rgb="FF0F2DB9"/>
      </rPr>
      <t>Curaçao</t>
    </r>
  </si>
  <si>
    <r>
      <rPr>
        <rFont val="Arial"/>
        <color rgb="FF0F2DB9"/>
      </rPr>
      <t xml:space="preserve">Lukas </t>
    </r>
    <r>
      <rPr>
        <rFont val="Arial"/>
        <b/>
        <color rgb="FF0F2DB9"/>
      </rPr>
      <t>Lerager</t>
    </r>
  </si>
  <si>
    <r>
      <rPr>
        <rFont val="Arial"/>
        <color rgb="FF0F2DB9"/>
      </rPr>
      <t xml:space="preserve">Rodrigo </t>
    </r>
    <r>
      <rPr>
        <rFont val="Arial"/>
        <b/>
        <color rgb="FF0F2DB9"/>
      </rPr>
      <t>Huescas</t>
    </r>
  </si>
  <si>
    <t>Meksyk</t>
  </si>
  <si>
    <r>
      <rPr>
        <rFont val="Arial"/>
        <color rgb="FF0F2DB9"/>
      </rPr>
      <t xml:space="preserve">Andreas </t>
    </r>
    <r>
      <rPr>
        <rFont val="Arial"/>
        <b/>
        <color rgb="FF0F2DB9"/>
      </rPr>
      <t>Cornelius</t>
    </r>
  </si>
  <si>
    <r>
      <rPr>
        <rFont val="Arial"/>
        <color rgb="FF0F2DB9"/>
      </rPr>
      <t xml:space="preserve">Marcos </t>
    </r>
    <r>
      <rPr>
        <rFont val="Arial"/>
        <b/>
        <color rgb="FF0F2DB9"/>
      </rPr>
      <t>López</t>
    </r>
  </si>
  <si>
    <t>Peru</t>
  </si>
  <si>
    <t>Robert</t>
  </si>
  <si>
    <r>
      <rPr>
        <rFont val="Arial"/>
        <color rgb="FF0F2DB9"/>
      </rPr>
      <t xml:space="preserve">Junnosuke </t>
    </r>
    <r>
      <rPr>
        <rFont val="Arial"/>
        <b/>
        <color rgb="FF0F2DB9"/>
      </rPr>
      <t>Suzuki</t>
    </r>
  </si>
  <si>
    <r>
      <rPr>
        <rFont val="Arial"/>
        <color rgb="FF0F2DB9"/>
      </rPr>
      <t xml:space="preserve">Mads Emil </t>
    </r>
    <r>
      <rPr>
        <rFont val="Arial"/>
        <b/>
        <color rgb="FF0F2DB9"/>
      </rPr>
      <t>Madsen</t>
    </r>
  </si>
  <si>
    <r>
      <rPr>
        <rFont val="Arial"/>
        <color rgb="FF0F2DB9"/>
      </rPr>
      <t xml:space="preserve">Yoram </t>
    </r>
    <r>
      <rPr>
        <rFont val="Arial"/>
        <b/>
        <color rgb="FF0F2DB9"/>
      </rPr>
      <t>Zague</t>
    </r>
  </si>
  <si>
    <r>
      <rPr>
        <rFont val="Arial"/>
        <b/>
        <color rgb="FF0F2DB9"/>
      </rPr>
      <t>Francja /</t>
    </r>
    <r>
      <rPr>
        <rFont val="Arial"/>
        <b val="0"/>
        <i/>
        <color rgb="FF0F2DB9"/>
      </rPr>
      <t>Wybrzeże Kości Słoniowej</t>
    </r>
  </si>
  <si>
    <r>
      <rPr>
        <rFont val="Arial"/>
        <color rgb="FF0F2DB9"/>
      </rPr>
      <t xml:space="preserve">Dominik </t>
    </r>
    <r>
      <rPr>
        <rFont val="Arial"/>
        <b/>
        <color rgb="FF0F2DB9"/>
      </rPr>
      <t>Sarapata</t>
    </r>
  </si>
  <si>
    <r>
      <rPr>
        <rFont val="Arial"/>
        <color rgb="FF0F2DB9"/>
      </rPr>
      <t xml:space="preserve">Birger </t>
    </r>
    <r>
      <rPr>
        <rFont val="Arial"/>
        <b/>
        <color rgb="FF0F2DB9"/>
      </rPr>
      <t>Meling</t>
    </r>
  </si>
  <si>
    <r>
      <rPr>
        <rFont val="Arial"/>
        <color rgb="FF0F2DB9"/>
      </rPr>
      <t xml:space="preserve">Thomas </t>
    </r>
    <r>
      <rPr>
        <rFont val="Arial"/>
        <b/>
        <color rgb="FF0F2DB9"/>
      </rPr>
      <t>Delaney</t>
    </r>
  </si>
  <si>
    <r>
      <rPr>
        <rFont val="Arial"/>
        <b/>
        <color rgb="FF0F2DB9"/>
      </rPr>
      <t>Dania /</t>
    </r>
    <r>
      <rPr>
        <rFont val="Arial"/>
        <b val="0"/>
        <i/>
        <color rgb="FF0F2DB9"/>
      </rPr>
      <t>USA</t>
    </r>
  </si>
  <si>
    <r>
      <rPr>
        <rFont val="Arial"/>
        <color rgb="FF0F2DB9"/>
        <u/>
      </rPr>
      <t xml:space="preserve">Jonathan </t>
    </r>
    <r>
      <rPr>
        <rFont val="Arial"/>
        <b/>
        <color rgb="FF0F2DB9"/>
        <u/>
      </rPr>
      <t>Moalem</t>
    </r>
  </si>
  <si>
    <r>
      <rPr>
        <rFont val="Arial"/>
        <color rgb="FF0F2DB9"/>
      </rPr>
      <t xml:space="preserve">Elias </t>
    </r>
    <r>
      <rPr>
        <rFont val="Arial"/>
        <b/>
        <color rgb="FF0F2DB9"/>
      </rPr>
      <t>Achouri</t>
    </r>
  </si>
  <si>
    <r>
      <rPr>
        <rFont val="Arial"/>
        <b/>
        <color rgb="FF0F2DB9"/>
      </rPr>
      <t>Tunezja /</t>
    </r>
    <r>
      <rPr>
        <rFont val="Arial"/>
        <b val="0"/>
        <i/>
        <color rgb="FF0F2DB9"/>
      </rPr>
      <t>Francja</t>
    </r>
  </si>
  <si>
    <r>
      <rPr>
        <rFont val="Arial"/>
        <color rgb="FF0F2DB9"/>
      </rPr>
      <t xml:space="preserve">Rúnar Alex </t>
    </r>
    <r>
      <rPr>
        <rFont val="Arial"/>
        <b/>
        <color rgb="FF0F2DB9"/>
      </rPr>
      <t>Rúnarsson</t>
    </r>
  </si>
  <si>
    <t>Islandia</t>
  </si>
  <si>
    <r>
      <rPr>
        <rFont val="Arial"/>
        <color rgb="FF0F2DB9"/>
      </rPr>
      <t xml:space="preserve">William </t>
    </r>
    <r>
      <rPr>
        <rFont val="Arial"/>
        <b/>
        <color rgb="FF0F2DB9"/>
      </rPr>
      <t>Clem</t>
    </r>
  </si>
  <si>
    <r>
      <rPr>
        <rFont val="Arial"/>
        <b/>
        <color rgb="FF0F2DB9"/>
      </rPr>
      <t>Dania /</t>
    </r>
    <r>
      <rPr>
        <rFont val="Arial"/>
        <b val="0"/>
        <i/>
        <color rgb="FF0F2DB9"/>
      </rPr>
      <t>Norwegia</t>
    </r>
  </si>
  <si>
    <r>
      <rPr>
        <rFont val="Arial"/>
        <color rgb="FF0F2DB9"/>
        <u/>
      </rPr>
      <t xml:space="preserve">Abdul </t>
    </r>
    <r>
      <rPr>
        <rFont val="Arial"/>
        <b/>
        <color rgb="FF0F2DB9"/>
        <u/>
      </rPr>
      <t>Daramy</t>
    </r>
  </si>
  <si>
    <r>
      <rPr>
        <rFont val="Arial"/>
        <b/>
        <color rgb="FF0F2DB9"/>
        <u/>
      </rPr>
      <t>Dania /</t>
    </r>
    <r>
      <rPr>
        <rFont val="Arial"/>
        <b val="0"/>
        <i/>
        <color rgb="FF0F2DB9"/>
        <u/>
      </rPr>
      <t>Sierra Leone</t>
    </r>
  </si>
  <si>
    <r>
      <rPr>
        <rFont val="Arial"/>
        <color rgb="FF0F2DB9"/>
        <u/>
      </rPr>
      <t xml:space="preserve">Oliver </t>
    </r>
    <r>
      <rPr>
        <rFont val="Arial"/>
        <b/>
        <color rgb="FF0F2DB9"/>
        <u/>
      </rPr>
      <t>Højer</t>
    </r>
  </si>
  <si>
    <r>
      <rPr>
        <rFont val="Arial"/>
        <color rgb="FF0F2DB9"/>
        <u/>
      </rPr>
      <t xml:space="preserve">Viktor </t>
    </r>
    <r>
      <rPr>
        <rFont val="Arial"/>
        <b/>
        <color rgb="FF0F2DB9"/>
        <u/>
      </rPr>
      <t>Daðason</t>
    </r>
  </si>
  <si>
    <r>
      <rPr>
        <rFont val="Arial"/>
        <color rgb="FF0F2DB9"/>
        <u/>
      </rPr>
      <t xml:space="preserve">Graham </t>
    </r>
    <r>
      <rPr>
        <rFont val="Arial"/>
        <b/>
        <color rgb="FF0F2DB9"/>
        <u/>
      </rPr>
      <t>Ankamafio</t>
    </r>
  </si>
  <si>
    <r>
      <rPr>
        <rFont val="Arial"/>
        <color rgb="FF0F2DB9"/>
        <u/>
      </rPr>
      <t xml:space="preserve">Oscar </t>
    </r>
    <r>
      <rPr>
        <rFont val="Arial"/>
        <b/>
        <color rgb="FF0F2DB9"/>
        <u/>
      </rPr>
      <t>Buur</t>
    </r>
  </si>
  <si>
    <r>
      <rPr>
        <rFont val="Arial"/>
        <color rgb="FF0F2DB9"/>
      </rPr>
      <t xml:space="preserve">Jacob </t>
    </r>
    <r>
      <rPr>
        <rFont val="Arial"/>
        <b/>
        <color rgb="FF0F2DB9"/>
      </rPr>
      <t>Neestrup</t>
    </r>
  </si>
  <si>
    <t>gole dla Kopenhagi</t>
  </si>
  <si>
    <t>Jordan Larsson 9, Robert 87</t>
  </si>
  <si>
    <t>Waldemar Anton 33 (s), Viktor Daðason 90</t>
  </si>
  <si>
    <t>Viktor Daðason 26, Jordan Larsson 59 (k), Robert 73</t>
  </si>
  <si>
    <t>Mohamed Elyounoussi 2, Elias Achouri 48, Andreas Cornelius 90</t>
  </si>
  <si>
    <t>Jordan Larsson 72</t>
  </si>
  <si>
    <r>
      <rPr>
        <rFont val="Arial"/>
        <color rgb="FFF3B2B2"/>
      </rPr>
      <t xml:space="preserve">Elias </t>
    </r>
    <r>
      <rPr>
        <rFont val="Arial"/>
        <b/>
        <color rgb="FFF3B2B2"/>
      </rPr>
      <t>Baum</t>
    </r>
  </si>
  <si>
    <r>
      <rPr>
        <rFont val="Arial"/>
        <color rgb="FFF3B2B2"/>
      </rPr>
      <t xml:space="preserve">Arthur </t>
    </r>
    <r>
      <rPr>
        <rFont val="Arial"/>
        <b/>
        <color rgb="FFF3B2B2"/>
      </rPr>
      <t>Theate</t>
    </r>
  </si>
  <si>
    <r>
      <rPr>
        <rFont val="Arial"/>
        <color rgb="FFF3B2B2"/>
      </rPr>
      <t xml:space="preserve">Robin </t>
    </r>
    <r>
      <rPr>
        <rFont val="Arial"/>
        <b/>
        <color rgb="FFF3B2B2"/>
      </rPr>
      <t>Koch</t>
    </r>
  </si>
  <si>
    <r>
      <rPr>
        <rFont val="Arial"/>
        <color rgb="FFF3B2B2"/>
      </rPr>
      <t xml:space="preserve">Aurèle </t>
    </r>
    <r>
      <rPr>
        <rFont val="Arial"/>
        <b/>
        <color rgb="FFF3B2B2"/>
      </rPr>
      <t>Amenda</t>
    </r>
  </si>
  <si>
    <r>
      <rPr>
        <rFont val="Arial"/>
        <b/>
        <color rgb="FFF3B2B2"/>
      </rPr>
      <t>Szwajcaria /</t>
    </r>
    <r>
      <rPr>
        <rFont val="Arial"/>
        <b val="0"/>
        <i/>
        <color rgb="FFF3B2B2"/>
      </rPr>
      <t>Kamerun</t>
    </r>
  </si>
  <si>
    <r>
      <rPr>
        <rFont val="Arial"/>
        <color rgb="FFF3B2B2"/>
      </rPr>
      <t xml:space="preserve">Oscar </t>
    </r>
    <r>
      <rPr>
        <rFont val="Arial"/>
        <b/>
        <color rgb="FFF3B2B2"/>
      </rPr>
      <t>Højlund</t>
    </r>
  </si>
  <si>
    <r>
      <rPr>
        <rFont val="Arial"/>
        <color rgb="FFF3B2B2"/>
      </rPr>
      <t xml:space="preserve">Ansgar </t>
    </r>
    <r>
      <rPr>
        <rFont val="Arial"/>
        <b/>
        <color rgb="FFF3B2B2"/>
      </rPr>
      <t>Knauff</t>
    </r>
  </si>
  <si>
    <r>
      <rPr>
        <rFont val="Arial"/>
        <b/>
        <color rgb="FFF3B2B2"/>
      </rPr>
      <t>Niemcy /</t>
    </r>
    <r>
      <rPr>
        <rFont val="Arial"/>
        <b val="0"/>
        <i/>
        <color rgb="FFF3B2B2"/>
      </rPr>
      <t>Ghana</t>
    </r>
  </si>
  <si>
    <r>
      <rPr>
        <rFont val="Arial"/>
        <color rgb="FFF3B2B2"/>
      </rPr>
      <t xml:space="preserve">Farès </t>
    </r>
    <r>
      <rPr>
        <rFont val="Arial"/>
        <b/>
        <color rgb="FFF3B2B2"/>
      </rPr>
      <t>Chaïbi</t>
    </r>
  </si>
  <si>
    <r>
      <rPr>
        <rFont val="Arial"/>
        <b/>
        <color rgb="FFF3B2B2"/>
      </rPr>
      <t>Algieria /</t>
    </r>
    <r>
      <rPr>
        <rFont val="Arial"/>
        <b val="0"/>
        <i/>
        <color rgb="FFF3B2B2"/>
      </rPr>
      <t>Francja</t>
    </r>
  </si>
  <si>
    <r>
      <rPr>
        <rFont val="Arial"/>
        <color rgb="FFF3B2B2"/>
      </rPr>
      <t xml:space="preserve">Jonathan </t>
    </r>
    <r>
      <rPr>
        <rFont val="Arial"/>
        <b/>
        <color rgb="FFF3B2B2"/>
      </rPr>
      <t>Burkardt</t>
    </r>
  </si>
  <si>
    <r>
      <rPr>
        <rFont val="Arial"/>
        <color rgb="FFF3B2B2"/>
      </rPr>
      <t xml:space="preserve">Rasmus </t>
    </r>
    <r>
      <rPr>
        <rFont val="Arial"/>
        <b/>
        <color rgb="FFF3B2B2"/>
      </rPr>
      <t>Kristensen</t>
    </r>
  </si>
  <si>
    <r>
      <rPr>
        <rFont val="Arial"/>
        <color rgb="FFF3B2B2"/>
      </rPr>
      <t xml:space="preserve">Ellyes </t>
    </r>
    <r>
      <rPr>
        <rFont val="Arial"/>
        <b/>
        <color rgb="FFF3B2B2"/>
      </rPr>
      <t>Skhiri</t>
    </r>
  </si>
  <si>
    <r>
      <rPr>
        <rFont val="Arial"/>
        <b/>
        <color rgb="FFF3B2B2"/>
      </rPr>
      <t>Tunezja /</t>
    </r>
    <r>
      <rPr>
        <rFont val="Arial"/>
        <b val="0"/>
        <i/>
        <color rgb="FFF3B2B2"/>
      </rPr>
      <t>Francja</t>
    </r>
  </si>
  <si>
    <r>
      <rPr>
        <rFont val="Arial"/>
        <color rgb="FFF3B2B2"/>
        <u/>
      </rPr>
      <t xml:space="preserve">Hugo </t>
    </r>
    <r>
      <rPr>
        <rFont val="Arial"/>
        <b/>
        <color rgb="FFF3B2B2"/>
        <u/>
      </rPr>
      <t>Larsson</t>
    </r>
  </si>
  <si>
    <r>
      <rPr>
        <rFont val="Arial"/>
        <color rgb="FFF3B2B2"/>
      </rPr>
      <t xml:space="preserve">Elye </t>
    </r>
    <r>
      <rPr>
        <rFont val="Arial"/>
        <b/>
        <color rgb="FFF3B2B2"/>
      </rPr>
      <t>Wahi</t>
    </r>
  </si>
  <si>
    <r>
      <rPr>
        <rFont val="Arial"/>
        <b/>
        <color rgb="FFF3B2B2"/>
      </rPr>
      <t>Francja /</t>
    </r>
    <r>
      <rPr>
        <rFont val="Arial"/>
        <b val="0"/>
        <i/>
        <color rgb="FFF3B2B2"/>
      </rPr>
      <t>Wybrzeże Kości Słoniowej</t>
    </r>
  </si>
  <si>
    <r>
      <rPr>
        <rFont val="Arial"/>
        <color rgb="FFF3B2B2"/>
      </rPr>
      <t xml:space="preserve">Mahmoud </t>
    </r>
    <r>
      <rPr>
        <rFont val="Arial"/>
        <b/>
        <color rgb="FFF3B2B2"/>
      </rPr>
      <t>Dahoud</t>
    </r>
  </si>
  <si>
    <r>
      <rPr>
        <rFont val="Arial"/>
        <b/>
        <color rgb="FFF3B2B2"/>
      </rPr>
      <t>Syria /</t>
    </r>
    <r>
      <rPr>
        <rFont val="Arial"/>
        <b val="0"/>
        <i/>
        <color rgb="FFF3B2B2"/>
      </rPr>
      <t>Niemcy</t>
    </r>
  </si>
  <si>
    <r>
      <rPr>
        <rFont val="Arial"/>
        <color rgb="FFF3B2B2"/>
      </rPr>
      <t xml:space="preserve">Jean-Mattéo </t>
    </r>
    <r>
      <rPr>
        <rFont val="Arial"/>
        <b/>
        <color rgb="FFF3B2B2"/>
      </rPr>
      <t>Bahoya</t>
    </r>
  </si>
  <si>
    <r>
      <rPr>
        <rFont val="Arial"/>
        <b/>
        <color rgb="FFF3B2B2"/>
      </rPr>
      <t>Francja /</t>
    </r>
    <r>
      <rPr>
        <rFont val="Arial"/>
        <b val="0"/>
        <i/>
        <color rgb="FFF3B2B2"/>
      </rPr>
      <t>Kamerun</t>
    </r>
  </si>
  <si>
    <r>
      <rPr>
        <rFont val="Arial"/>
        <color rgb="FFF3B2B2"/>
      </rPr>
      <t xml:space="preserve">Ritsu </t>
    </r>
    <r>
      <rPr>
        <rFont val="Arial"/>
        <b/>
        <color rgb="FFF3B2B2"/>
      </rPr>
      <t>Dōan</t>
    </r>
  </si>
  <si>
    <r>
      <rPr>
        <rFont val="Arial"/>
        <color rgb="FFF3B2B2"/>
      </rPr>
      <t xml:space="preserve">Nathaniel </t>
    </r>
    <r>
      <rPr>
        <rFont val="Arial"/>
        <b/>
        <color rgb="FFF3B2B2"/>
      </rPr>
      <t>Brown</t>
    </r>
  </si>
  <si>
    <r>
      <rPr>
        <rFont val="Arial"/>
        <b/>
        <color rgb="FFF3B2B2"/>
      </rPr>
      <t>Niemcy /</t>
    </r>
    <r>
      <rPr>
        <rFont val="Arial"/>
        <b val="0"/>
        <i/>
        <color rgb="FFF3B2B2"/>
      </rPr>
      <t>USA</t>
    </r>
  </si>
  <si>
    <r>
      <rPr>
        <rFont val="Arial"/>
        <color rgb="FFF3B2B2"/>
      </rPr>
      <t xml:space="preserve">Timothy </t>
    </r>
    <r>
      <rPr>
        <rFont val="Arial"/>
        <b/>
        <color rgb="FFF3B2B2"/>
      </rPr>
      <t>Chandler</t>
    </r>
  </si>
  <si>
    <r>
      <rPr>
        <rFont val="Arial"/>
        <b/>
        <color rgb="FFF3B2B2"/>
      </rPr>
      <t>USA /</t>
    </r>
    <r>
      <rPr>
        <rFont val="Arial"/>
        <b val="0"/>
        <i/>
        <color rgb="FFF3B2B2"/>
      </rPr>
      <t>Niemcy</t>
    </r>
  </si>
  <si>
    <r>
      <rPr>
        <rFont val="Arial"/>
        <color rgb="FFF3B2B2"/>
      </rPr>
      <t xml:space="preserve">Michael </t>
    </r>
    <r>
      <rPr>
        <rFont val="Arial"/>
        <b/>
        <color rgb="FFF3B2B2"/>
      </rPr>
      <t>Zetterer</t>
    </r>
  </si>
  <si>
    <t>Aurélio Buta</t>
  </si>
  <si>
    <r>
      <rPr>
        <rFont val="Arial"/>
        <b/>
        <color rgb="FFF3B2B2"/>
      </rPr>
      <t>Portugalia /</t>
    </r>
    <r>
      <rPr>
        <rFont val="Arial"/>
        <b val="0"/>
        <i/>
        <color rgb="FFF3B2B2"/>
      </rPr>
      <t>Angola</t>
    </r>
  </si>
  <si>
    <r>
      <rPr>
        <rFont val="Arial"/>
        <color rgb="FFF3B2B2"/>
      </rPr>
      <t xml:space="preserve">Mario </t>
    </r>
    <r>
      <rPr>
        <rFont val="Arial"/>
        <b/>
        <color rgb="FFF3B2B2"/>
      </rPr>
      <t>Götze</t>
    </r>
  </si>
  <si>
    <r>
      <rPr>
        <rFont val="Arial"/>
        <color rgb="FFF3B2B2"/>
      </rPr>
      <t xml:space="preserve">Michy </t>
    </r>
    <r>
      <rPr>
        <rFont val="Arial"/>
        <b/>
        <color rgb="FFF3B2B2"/>
      </rPr>
      <t>Batshauyi</t>
    </r>
  </si>
  <si>
    <r>
      <rPr>
        <rFont val="Arial"/>
        <b/>
        <color rgb="FFF3B2B2"/>
      </rPr>
      <t>Belgia /</t>
    </r>
    <r>
      <rPr>
        <rFont val="Arial"/>
        <b val="0"/>
        <i/>
        <color rgb="FFF3B2B2"/>
      </rPr>
      <t>Demokratyczne Republika Konga</t>
    </r>
  </si>
  <si>
    <r>
      <rPr>
        <rFont val="Arial"/>
        <color rgb="FFF3B2B2"/>
      </rPr>
      <t xml:space="preserve">Jessic </t>
    </r>
    <r>
      <rPr>
        <rFont val="Arial"/>
        <b/>
        <color rgb="FFF3B2B2"/>
      </rPr>
      <t>Ngankam</t>
    </r>
  </si>
  <si>
    <r>
      <rPr>
        <rFont val="Arial"/>
        <b/>
        <color rgb="FFF3B2B2"/>
      </rPr>
      <t>Niemcy /</t>
    </r>
    <r>
      <rPr>
        <rFont val="Arial"/>
        <b val="0"/>
        <i/>
        <color rgb="FFF3B2B2"/>
      </rPr>
      <t>Kamerun</t>
    </r>
  </si>
  <si>
    <r>
      <rPr>
        <rFont val="Arial"/>
        <color rgb="FFF3B2B2"/>
      </rPr>
      <t xml:space="preserve">Jens </t>
    </r>
    <r>
      <rPr>
        <rFont val="Arial"/>
        <b/>
        <color rgb="FFF3B2B2"/>
      </rPr>
      <t>Grahl</t>
    </r>
  </si>
  <si>
    <r>
      <rPr>
        <rFont val="Arial"/>
        <color rgb="FFF3B2B2"/>
        <u/>
      </rPr>
      <t xml:space="preserve">Nnamdi </t>
    </r>
    <r>
      <rPr>
        <rFont val="Arial"/>
        <b/>
        <color rgb="FFF3B2B2"/>
        <u/>
      </rPr>
      <t>Collins</t>
    </r>
  </si>
  <si>
    <r>
      <rPr>
        <rFont val="Arial"/>
        <b/>
        <color rgb="FFF3B2B2"/>
        <u/>
      </rPr>
      <t>Niemcy /</t>
    </r>
    <r>
      <rPr>
        <rFont val="Arial"/>
        <b val="0"/>
        <i/>
        <color rgb="FFF3B2B2"/>
        <u/>
      </rPr>
      <t>Nigeria</t>
    </r>
  </si>
  <si>
    <r>
      <rPr>
        <rFont val="Arial"/>
        <color rgb="FFF3B2B2"/>
        <u/>
      </rPr>
      <t xml:space="preserve">Eba Bekir </t>
    </r>
    <r>
      <rPr>
        <rFont val="Arial"/>
        <b/>
        <color rgb="FFF3B2B2"/>
        <u/>
      </rPr>
      <t>İş</t>
    </r>
  </si>
  <si>
    <r>
      <rPr>
        <rFont val="Arial"/>
        <b/>
        <color rgb="FFF3B2B2"/>
        <u/>
      </rPr>
      <t>Niemcy /</t>
    </r>
    <r>
      <rPr>
        <rFont val="Arial"/>
        <b val="0"/>
        <i/>
        <color rgb="FFF3B2B2"/>
        <u/>
      </rPr>
      <t>Turcja</t>
    </r>
  </si>
  <si>
    <r>
      <rPr>
        <rFont val="Arial"/>
        <color rgb="FFF3B2B2"/>
        <u/>
      </rPr>
      <t xml:space="preserve">Amil </t>
    </r>
    <r>
      <rPr>
        <rFont val="Arial"/>
        <b/>
        <color rgb="FFF3B2B2"/>
        <u/>
      </rPr>
      <t>Siljević</t>
    </r>
  </si>
  <si>
    <r>
      <rPr>
        <rFont val="Arial"/>
        <b/>
        <color rgb="FFF3B2B2"/>
        <u/>
      </rPr>
      <t>Niemcy /</t>
    </r>
    <r>
      <rPr>
        <rFont val="Arial"/>
        <b val="0"/>
        <i/>
        <color rgb="FFF3B2B2"/>
        <u/>
      </rPr>
      <t>Serbia</t>
    </r>
  </si>
  <si>
    <t>Kauã Santos</t>
  </si>
  <si>
    <r>
      <rPr>
        <rFont val="Arial"/>
        <color rgb="FFF3B2B2"/>
        <u/>
      </rPr>
      <t xml:space="preserve">Fousseny </t>
    </r>
    <r>
      <rPr>
        <rFont val="Arial"/>
        <b/>
        <color rgb="FFF3B2B2"/>
        <u/>
      </rPr>
      <t>Doumbia</t>
    </r>
  </si>
  <si>
    <r>
      <rPr>
        <rFont val="Arial"/>
        <b/>
        <color rgb="FFF3B2B2"/>
        <u/>
      </rPr>
      <t>Niemcy /</t>
    </r>
    <r>
      <rPr>
        <rFont val="Arial"/>
        <b val="0"/>
        <i/>
        <color rgb="FFF3B2B2"/>
        <u/>
      </rPr>
      <t>Mali</t>
    </r>
  </si>
  <si>
    <r>
      <rPr>
        <rFont val="Arial"/>
        <color rgb="FFF3B2B2"/>
      </rPr>
      <t xml:space="preserve">Can </t>
    </r>
    <r>
      <rPr>
        <rFont val="Arial"/>
        <b/>
        <color rgb="FFF3B2B2"/>
      </rPr>
      <t>Uzun</t>
    </r>
  </si>
  <si>
    <r>
      <rPr>
        <rFont val="Arial"/>
        <b/>
        <color rgb="FFF3B2B2"/>
      </rPr>
      <t>Turcja /</t>
    </r>
    <r>
      <rPr>
        <rFont val="Arial"/>
        <b val="0"/>
        <i/>
        <color rgb="FFF3B2B2"/>
      </rPr>
      <t>Niemcy</t>
    </r>
  </si>
  <si>
    <r>
      <rPr>
        <rFont val="Arial"/>
        <color rgb="FFF3B2B2"/>
        <u/>
      </rPr>
      <t xml:space="preserve">Yurij </t>
    </r>
    <r>
      <rPr>
        <rFont val="Arial"/>
        <b/>
        <color rgb="FFF3B2B2"/>
        <u/>
      </rPr>
      <t>Obert</t>
    </r>
  </si>
  <si>
    <r>
      <rPr>
        <rFont val="Arial"/>
        <b/>
        <color rgb="FFF3B2B2"/>
        <u/>
      </rPr>
      <t>Niemcy /</t>
    </r>
    <r>
      <rPr>
        <rFont val="Arial"/>
        <b val="0"/>
        <i/>
        <color rgb="FFF3B2B2"/>
        <u/>
      </rPr>
      <t>Rosja</t>
    </r>
  </si>
  <si>
    <r>
      <rPr>
        <rFont val="Arial"/>
        <color rgb="FFF3B2B2"/>
        <u/>
      </rPr>
      <t xml:space="preserve">Marvin </t>
    </r>
    <r>
      <rPr>
        <rFont val="Arial"/>
        <b/>
        <color rgb="FFF3B2B2"/>
        <u/>
      </rPr>
      <t>Dills</t>
    </r>
  </si>
  <si>
    <r>
      <rPr>
        <rFont val="Arial"/>
        <b/>
        <color rgb="FFF3B2B2"/>
        <u/>
      </rPr>
      <t>USA /</t>
    </r>
    <r>
      <rPr>
        <rFont val="Arial"/>
        <b val="0"/>
        <i/>
        <color rgb="FFF3B2B2"/>
        <u/>
      </rPr>
      <t>Niemcy</t>
    </r>
  </si>
  <si>
    <r>
      <rPr>
        <rFont val="Arial"/>
        <color rgb="FFF3B2B2"/>
      </rPr>
      <t xml:space="preserve">Noah </t>
    </r>
    <r>
      <rPr>
        <rFont val="Arial"/>
        <b/>
        <color rgb="FFF3B2B2"/>
      </rPr>
      <t>Fenyö</t>
    </r>
  </si>
  <si>
    <r>
      <rPr>
        <rFont val="Arial"/>
        <b/>
        <color rgb="FFF3B2B2"/>
      </rPr>
      <t>Węgry /</t>
    </r>
    <r>
      <rPr>
        <rFont val="Arial"/>
        <b val="0"/>
        <i/>
        <color rgb="FFF3B2B2"/>
      </rPr>
      <t>Niemcy</t>
    </r>
  </si>
  <si>
    <r>
      <rPr>
        <rFont val="Arial"/>
        <color rgb="FFF3B2B2"/>
        <u/>
      </rPr>
      <t xml:space="preserve">Alexander </t>
    </r>
    <r>
      <rPr>
        <rFont val="Arial"/>
        <b/>
        <color rgb="FFF3B2B2"/>
        <u/>
      </rPr>
      <t>Staff</t>
    </r>
  </si>
  <si>
    <r>
      <rPr>
        <rFont val="Arial"/>
        <b/>
        <color rgb="FFF3B2B2"/>
        <u/>
      </rPr>
      <t>Niemcu /</t>
    </r>
    <r>
      <rPr>
        <rFont val="Arial"/>
        <b val="0"/>
        <i/>
        <color rgb="FFF3B2B2"/>
        <u/>
      </rPr>
      <t>USA</t>
    </r>
  </si>
  <si>
    <r>
      <rPr>
        <rFont val="Arial"/>
        <color rgb="FFF3B2B2"/>
      </rPr>
      <t xml:space="preserve">Dino </t>
    </r>
    <r>
      <rPr>
        <rFont val="Arial"/>
        <b/>
        <color rgb="FFF3B2B2"/>
      </rPr>
      <t>Toppmöller</t>
    </r>
  </si>
  <si>
    <r>
      <rPr>
        <rFont val="Arial"/>
        <color rgb="FFF3B2B2"/>
      </rPr>
      <t xml:space="preserve">Dennis </t>
    </r>
    <r>
      <rPr>
        <rFont val="Arial"/>
        <b/>
        <color rgb="FFF3B2B2"/>
      </rPr>
      <t>Schmitt</t>
    </r>
  </si>
  <si>
    <t>gole dla Eintrachtu</t>
  </si>
  <si>
    <t>Davinson Sánchez 37 (s), Can Uzun 45, Jonathan Burkardt 45, 66, Ansgar Knauff 75</t>
  </si>
  <si>
    <t>Jonathan Burkardt 57</t>
  </si>
  <si>
    <t>Rasmus Kristensen 26</t>
  </si>
  <si>
    <t>Ansgar Knauff 21</t>
  </si>
  <si>
    <t>Can Uzun 10, Farès Chaïbi 78 (k)</t>
  </si>
  <si>
    <r>
      <rPr>
        <rFont val="Arial"/>
        <color rgb="FFFAC00D"/>
      </rPr>
      <t xml:space="preserve">Uğurcan </t>
    </r>
    <r>
      <rPr>
        <rFont val="Arial"/>
        <b/>
        <color rgb="FFFAC00D"/>
      </rPr>
      <t>Çakır</t>
    </r>
  </si>
  <si>
    <t>Turcja</t>
  </si>
  <si>
    <r>
      <rPr>
        <rFont val="Arial"/>
        <color rgb="FFFAC00D"/>
      </rPr>
      <t xml:space="preserve">Metehan </t>
    </r>
    <r>
      <rPr>
        <rFont val="Arial"/>
        <b/>
        <color rgb="FFFAC00D"/>
      </rPr>
      <t>Baltacı</t>
    </r>
  </si>
  <si>
    <r>
      <rPr>
        <rFont val="Arial"/>
        <color rgb="FFFAC00D"/>
      </rPr>
      <t xml:space="preserve">Ismail </t>
    </r>
    <r>
      <rPr>
        <rFont val="Arial"/>
        <b/>
        <color rgb="FFFAC00D"/>
      </rPr>
      <t>Jakobs</t>
    </r>
  </si>
  <si>
    <r>
      <rPr>
        <rFont val="Arial"/>
        <b/>
        <color rgb="FFFAC00D"/>
      </rPr>
      <t>Senegal /</t>
    </r>
    <r>
      <rPr>
        <rFont val="Arial"/>
        <b val="0"/>
        <i/>
        <color rgb="FFFAC00D"/>
      </rPr>
      <t>Niemcy</t>
    </r>
  </si>
  <si>
    <r>
      <rPr>
        <rFont val="Arial"/>
        <color rgb="FFFAC00D"/>
      </rPr>
      <t xml:space="preserve">Davinson </t>
    </r>
    <r>
      <rPr>
        <rFont val="Arial"/>
        <b/>
        <color rgb="FFFAC00D"/>
      </rPr>
      <t>Sánchez</t>
    </r>
  </si>
  <si>
    <r>
      <rPr>
        <rFont val="Arial"/>
        <color rgb="FFFAC00D"/>
      </rPr>
      <t xml:space="preserve">Roland </t>
    </r>
    <r>
      <rPr>
        <rFont val="Arial"/>
        <b/>
        <color rgb="FFFAC00D"/>
      </rPr>
      <t>Sallai</t>
    </r>
  </si>
  <si>
    <t>Węgry</t>
  </si>
  <si>
    <t>Gabriel Sara</t>
  </si>
  <si>
    <r>
      <rPr>
        <rFont val="Arial"/>
        <color rgb="FFFAC00D"/>
      </rPr>
      <t xml:space="preserve">Mauro </t>
    </r>
    <r>
      <rPr>
        <rFont val="Arial"/>
        <b/>
        <color rgb="FFFAC00D"/>
      </rPr>
      <t>Icardi</t>
    </r>
  </si>
  <si>
    <r>
      <rPr>
        <rFont val="Arial"/>
        <b/>
        <color rgb="FFFAC00D"/>
      </rPr>
      <t>Argentyna /</t>
    </r>
    <r>
      <rPr>
        <rFont val="Arial"/>
        <b val="0"/>
        <i/>
        <color rgb="FFFAC00D"/>
      </rPr>
      <t>Włochy</t>
    </r>
  </si>
  <si>
    <r>
      <rPr>
        <rFont val="Arial"/>
        <color rgb="FFFAC00D"/>
      </rPr>
      <t xml:space="preserve">Leroy </t>
    </r>
    <r>
      <rPr>
        <rFont val="Arial"/>
        <b/>
        <color rgb="FFFAC00D"/>
      </rPr>
      <t>Sané</t>
    </r>
  </si>
  <si>
    <r>
      <rPr>
        <rFont val="Arial"/>
        <b/>
        <color rgb="FFFAC00D"/>
      </rPr>
      <t>Niemcy /</t>
    </r>
    <r>
      <rPr>
        <rFont val="Arial"/>
        <b val="0"/>
        <i/>
        <color rgb="FFFAC00D"/>
      </rPr>
      <t>Francja</t>
    </r>
  </si>
  <si>
    <r>
      <rPr>
        <rFont val="Arial"/>
        <color rgb="FFFAC00D"/>
      </rPr>
      <t xml:space="preserve">Yunus </t>
    </r>
    <r>
      <rPr>
        <rFont val="Arial"/>
        <b/>
        <color rgb="FFFAC00D"/>
      </rPr>
      <t>Akgün</t>
    </r>
  </si>
  <si>
    <r>
      <rPr>
        <rFont val="Arial"/>
        <color rgb="FFFAC00D"/>
      </rPr>
      <t xml:space="preserve">Batuhan </t>
    </r>
    <r>
      <rPr>
        <rFont val="Arial"/>
        <b/>
        <color rgb="FFFAC00D"/>
      </rPr>
      <t>Şen</t>
    </r>
  </si>
  <si>
    <r>
      <rPr>
        <rFont val="Arial"/>
        <color rgb="FFFAC00D"/>
      </rPr>
      <t xml:space="preserve">Eren </t>
    </r>
    <r>
      <rPr>
        <rFont val="Arial"/>
        <b/>
        <color rgb="FFFAC00D"/>
      </rPr>
      <t>Elmalı</t>
    </r>
  </si>
  <si>
    <r>
      <rPr>
        <rFont val="Arial"/>
        <color rgb="FFFAC00D"/>
      </rPr>
      <t xml:space="preserve">Berkan </t>
    </r>
    <r>
      <rPr>
        <rFont val="Arial"/>
        <b/>
        <color rgb="FFFAC00D"/>
      </rPr>
      <t>Kutlu</t>
    </r>
  </si>
  <si>
    <r>
      <rPr>
        <rFont val="Arial"/>
        <b/>
        <color rgb="FFFAC00D"/>
      </rPr>
      <t>Turcja /</t>
    </r>
    <r>
      <rPr>
        <rFont val="Arial"/>
        <b val="0"/>
        <i/>
        <color rgb="FFFAC00D"/>
      </rPr>
      <t>Szwajcaria</t>
    </r>
  </si>
  <si>
    <r>
      <rPr>
        <rFont val="Arial"/>
        <color rgb="FFFAC00D"/>
      </rPr>
      <t xml:space="preserve">Günay </t>
    </r>
    <r>
      <rPr>
        <rFont val="Arial"/>
        <b/>
        <color rgb="FFFAC00D"/>
      </rPr>
      <t>Güvenç</t>
    </r>
  </si>
  <si>
    <r>
      <rPr>
        <rFont val="Arial"/>
        <b/>
        <color rgb="FFFAC00D"/>
      </rPr>
      <t>Turcja /</t>
    </r>
    <r>
      <rPr>
        <rFont val="Arial"/>
        <b val="0"/>
        <i/>
        <color rgb="FFFAC00D"/>
      </rPr>
      <t>Niemcy</t>
    </r>
  </si>
  <si>
    <r>
      <rPr>
        <rFont val="Arial"/>
        <color rgb="FFFAC00D"/>
      </rPr>
      <t xml:space="preserve">İlkay </t>
    </r>
    <r>
      <rPr>
        <rFont val="Arial"/>
        <b/>
        <color rgb="FFFAC00D"/>
      </rPr>
      <t>Gündoğan</t>
    </r>
  </si>
  <si>
    <r>
      <rPr>
        <rFont val="Arial"/>
        <color rgb="FFFAC00D"/>
      </rPr>
      <t xml:space="preserve">Ahmed </t>
    </r>
    <r>
      <rPr>
        <rFont val="Arial"/>
        <b/>
        <color rgb="FFFAC00D"/>
      </rPr>
      <t>Kutucu</t>
    </r>
  </si>
  <si>
    <r>
      <rPr>
        <rFont val="Arial"/>
        <b/>
        <color rgb="FFFAC00D"/>
      </rPr>
      <t>Turcja /</t>
    </r>
    <r>
      <rPr>
        <rFont val="Arial"/>
        <b val="0"/>
        <i/>
        <color rgb="FFFAC00D"/>
      </rPr>
      <t>Niemcy</t>
    </r>
  </si>
  <si>
    <r>
      <rPr>
        <rFont val="Arial"/>
        <color rgb="FFFAC00D"/>
      </rPr>
      <t xml:space="preserve">Kaan </t>
    </r>
    <r>
      <rPr>
        <rFont val="Arial"/>
        <b/>
        <color rgb="FFFAC00D"/>
      </rPr>
      <t>Ayhan</t>
    </r>
  </si>
  <si>
    <r>
      <rPr>
        <rFont val="Arial"/>
        <b/>
        <color rgb="FFFAC00D"/>
      </rPr>
      <t>Turcja /</t>
    </r>
    <r>
      <rPr>
        <rFont val="Arial"/>
        <b val="0"/>
        <i/>
        <color rgb="FFFAC00D"/>
      </rPr>
      <t>Niemcy</t>
    </r>
  </si>
  <si>
    <r>
      <rPr>
        <rFont val="Arial"/>
        <color rgb="FFFAC00D"/>
      </rPr>
      <t xml:space="preserve">Yusuf </t>
    </r>
    <r>
      <rPr>
        <rFont val="Arial"/>
        <b/>
        <color rgb="FFFAC00D"/>
      </rPr>
      <t>Demir</t>
    </r>
  </si>
  <si>
    <r>
      <rPr>
        <rFont val="Arial"/>
        <color rgb="FFFAC00D"/>
      </rPr>
      <t xml:space="preserve">Lucas </t>
    </r>
    <r>
      <rPr>
        <rFont val="Arial"/>
        <b/>
        <color rgb="FFFAC00D"/>
      </rPr>
      <t>Torreira</t>
    </r>
  </si>
  <si>
    <r>
      <rPr>
        <rFont val="Arial"/>
        <b/>
        <color rgb="FFFAC00D"/>
      </rPr>
      <t>Urugwaj /</t>
    </r>
    <r>
      <rPr>
        <rFont val="Arial"/>
        <b val="0"/>
        <i/>
        <color rgb="FFFAC00D"/>
      </rPr>
      <t>Hiszpania</t>
    </r>
  </si>
  <si>
    <r>
      <rPr>
        <rFont val="Arial"/>
        <color rgb="FFFAC00D"/>
      </rPr>
      <t xml:space="preserve">Abdülkerim </t>
    </r>
    <r>
      <rPr>
        <rFont val="Arial"/>
        <b/>
        <color rgb="FFFAC00D"/>
      </rPr>
      <t>Bardakcı</t>
    </r>
  </si>
  <si>
    <r>
      <rPr>
        <rFont val="Arial"/>
        <color rgb="FFFAC00D"/>
      </rPr>
      <t xml:space="preserve">Victor </t>
    </r>
    <r>
      <rPr>
        <rFont val="Arial"/>
        <b/>
        <color rgb="FFFAC00D"/>
      </rPr>
      <t>Osimhen</t>
    </r>
  </si>
  <si>
    <r>
      <rPr>
        <rFont val="Arial"/>
        <color rgb="FFFAC00D"/>
      </rPr>
      <t xml:space="preserve">Barış Alper </t>
    </r>
    <r>
      <rPr>
        <rFont val="Arial"/>
        <b/>
        <color rgb="FFFAC00D"/>
      </rPr>
      <t>Yılmaz</t>
    </r>
  </si>
  <si>
    <r>
      <rPr>
        <rFont val="Arial"/>
        <color rgb="FFFAC00D"/>
        <u/>
      </rPr>
      <t xml:space="preserve">Yusuf </t>
    </r>
    <r>
      <rPr>
        <rFont val="Arial"/>
        <b/>
        <color rgb="FFFAC00D"/>
        <u/>
      </rPr>
      <t>Kahraman</t>
    </r>
  </si>
  <si>
    <r>
      <rPr>
        <rFont val="Arial"/>
        <color rgb="FFFAC00D"/>
        <u/>
      </rPr>
      <t xml:space="preserve">Ege </t>
    </r>
    <r>
      <rPr>
        <rFont val="Arial"/>
        <b/>
        <color rgb="FFFAC00D"/>
        <u/>
      </rPr>
      <t>Araç</t>
    </r>
  </si>
  <si>
    <r>
      <rPr>
        <rFont val="Arial"/>
        <color rgb="FFFAC00D"/>
        <u/>
      </rPr>
      <t xml:space="preserve">Eyüp Can </t>
    </r>
    <r>
      <rPr>
        <rFont val="Arial"/>
        <b/>
        <color rgb="FFFAC00D"/>
        <u/>
      </rPr>
      <t>Karasu</t>
    </r>
  </si>
  <si>
    <r>
      <rPr>
        <rFont val="Arial"/>
        <color rgb="FFFAC00D"/>
        <u/>
      </rPr>
      <t xml:space="preserve">Furkan </t>
    </r>
    <r>
      <rPr>
        <rFont val="Arial"/>
        <b/>
        <color rgb="FFFAC00D"/>
        <u/>
      </rPr>
      <t>Koçak</t>
    </r>
  </si>
  <si>
    <r>
      <rPr>
        <rFont val="Arial"/>
        <color rgb="FFFAC00D"/>
        <u/>
      </rPr>
      <t xml:space="preserve">Çağrı </t>
    </r>
    <r>
      <rPr>
        <rFont val="Arial"/>
        <b/>
        <color rgb="FFFAC00D"/>
        <u/>
      </rPr>
      <t>Balta</t>
    </r>
  </si>
  <si>
    <r>
      <rPr>
        <rFont val="Arial"/>
        <color rgb="FFFAC00D"/>
      </rPr>
      <t xml:space="preserve">Wilfried </t>
    </r>
    <r>
      <rPr>
        <rFont val="Arial"/>
        <b/>
        <color rgb="FFFAC00D"/>
      </rPr>
      <t>Singo</t>
    </r>
  </si>
  <si>
    <r>
      <rPr>
        <rFont val="Arial"/>
        <color rgb="FFFAC00D"/>
      </rPr>
      <t xml:space="preserve">Arda </t>
    </r>
    <r>
      <rPr>
        <rFont val="Arial"/>
        <b/>
        <color rgb="FFFAC00D"/>
      </rPr>
      <t>Ünyay</t>
    </r>
  </si>
  <si>
    <r>
      <rPr>
        <rFont val="Arial"/>
        <color rgb="FFFAC00D"/>
      </rPr>
      <t xml:space="preserve">Mario </t>
    </r>
    <r>
      <rPr>
        <rFont val="Arial"/>
        <b/>
        <color rgb="FFFAC00D"/>
      </rPr>
      <t>Lemina</t>
    </r>
  </si>
  <si>
    <r>
      <rPr>
        <rFont val="Arial"/>
        <b/>
        <color rgb="FFFAC00D"/>
      </rPr>
      <t>Gabon /</t>
    </r>
    <r>
      <rPr>
        <rFont val="Arial"/>
        <b val="0"/>
        <i/>
        <color rgb="FFFAC00D"/>
      </rPr>
      <t>Francja</t>
    </r>
  </si>
  <si>
    <r>
      <rPr>
        <rFont val="Arial"/>
        <color rgb="FFFAC00D"/>
      </rPr>
      <t xml:space="preserve">Okan </t>
    </r>
    <r>
      <rPr>
        <rFont val="Arial"/>
        <b/>
        <color rgb="FFFAC00D"/>
      </rPr>
      <t>Buruk</t>
    </r>
  </si>
  <si>
    <t>gole dla Galatasaray</t>
  </si>
  <si>
    <t>Yunus Akgün 8</t>
  </si>
  <si>
    <t>Victor Osimhen 16 (k)</t>
  </si>
  <si>
    <t>Victor Osimhen 3, 22, Yunus Akgün 60</t>
  </si>
  <si>
    <t>Victor Osimhen 59, 66 (k), 78 (k)</t>
  </si>
  <si>
    <t>Monako (Stade Louis II)</t>
  </si>
  <si>
    <t>Marcos Llorente 20 (s)</t>
  </si>
  <si>
    <r>
      <rPr>
        <rFont val="Arial"/>
        <color rgb="FFFFFFFF"/>
      </rPr>
      <t xml:space="preserve">Yann </t>
    </r>
    <r>
      <rPr>
        <rFont val="Arial"/>
        <b/>
        <color rgb="FFFFFFFF"/>
      </rPr>
      <t>Sommer</t>
    </r>
  </si>
  <si>
    <r>
      <rPr>
        <rFont val="Arial"/>
        <color rgb="FFFFFFFF"/>
      </rPr>
      <t xml:space="preserve">Denzel </t>
    </r>
    <r>
      <rPr>
        <rFont val="Arial"/>
        <b/>
        <color rgb="FFFFFFFF"/>
      </rPr>
      <t>Dumfries</t>
    </r>
  </si>
  <si>
    <r>
      <rPr>
        <rFont val="Arial"/>
        <b/>
        <color rgb="FFFFFFFF"/>
      </rPr>
      <t>Holandia /</t>
    </r>
    <r>
      <rPr>
        <rFont val="Arial"/>
        <b val="0"/>
        <i/>
        <color rgb="FFFFFFFF"/>
      </rPr>
      <t>Aruba</t>
    </r>
  </si>
  <si>
    <r>
      <rPr>
        <rFont val="Arial"/>
        <color rgb="FFFFFFFF"/>
      </rPr>
      <t xml:space="preserve">Stefan </t>
    </r>
    <r>
      <rPr>
        <rFont val="Arial"/>
        <b/>
        <color rgb="FFFFFFFF"/>
      </rPr>
      <t>de Vrij</t>
    </r>
  </si>
  <si>
    <r>
      <rPr>
        <rFont val="Arial"/>
        <color rgb="FFFFFFFF"/>
      </rPr>
      <t xml:space="preserve">Piotr </t>
    </r>
    <r>
      <rPr>
        <rFont val="Arial"/>
        <b/>
        <color rgb="FFFFFFFF"/>
      </rPr>
      <t>Zieliński</t>
    </r>
  </si>
  <si>
    <r>
      <rPr>
        <rFont val="Arial"/>
        <b/>
        <color rgb="FFFFFFFF"/>
      </rPr>
      <t>Polska /</t>
    </r>
    <r>
      <rPr>
        <rFont val="Arial"/>
        <b val="0"/>
        <i/>
        <color rgb="FFFFFFFF"/>
      </rPr>
      <t>Włochy</t>
    </r>
  </si>
  <si>
    <r>
      <rPr>
        <rFont val="Arial"/>
        <color rgb="FFFFFFFF"/>
      </rPr>
      <t xml:space="preserve">Petar </t>
    </r>
    <r>
      <rPr>
        <rFont val="Arial"/>
        <b/>
        <color rgb="FFFFFFFF"/>
      </rPr>
      <t>Sučić</t>
    </r>
  </si>
  <si>
    <r>
      <rPr>
        <rFont val="Arial"/>
        <b/>
        <color rgb="FFFFFFFF"/>
      </rPr>
      <t>Chorwacja /</t>
    </r>
    <r>
      <rPr>
        <rFont val="Arial"/>
        <b val="0"/>
        <i/>
        <color rgb="FFFFFFFF"/>
      </rPr>
      <t>Bośnia i Hercegowina</t>
    </r>
  </si>
  <si>
    <r>
      <rPr>
        <rFont val="Arial"/>
        <color rgb="FFFFFFFF"/>
      </rPr>
      <t xml:space="preserve">Marcus </t>
    </r>
    <r>
      <rPr>
        <rFont val="Arial"/>
        <b/>
        <color rgb="FFFFFFFF"/>
      </rPr>
      <t>Thuram</t>
    </r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</si>
  <si>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Gwadelupa</t>
    </r>
  </si>
  <si>
    <r>
      <rPr>
        <rFont val="Arial"/>
        <color rgb="FFFFFFFF"/>
      </rPr>
      <t xml:space="preserve">Lautaro </t>
    </r>
    <r>
      <rPr>
        <rFont val="Arial"/>
        <b/>
        <color rgb="FFFFFFFF"/>
      </rPr>
      <t>Martínez</t>
    </r>
  </si>
  <si>
    <t>Luis Henrique</t>
  </si>
  <si>
    <r>
      <rPr>
        <rFont val="Arial"/>
        <color rgb="FFFFFFFF"/>
      </rPr>
      <t xml:space="preserve">Raffaele </t>
    </r>
    <r>
      <rPr>
        <rFont val="Arial"/>
        <b/>
        <color rgb="FFFFFFFF"/>
      </rPr>
      <t>Di Gennaro</t>
    </r>
  </si>
  <si>
    <r>
      <rPr>
        <rFont val="Arial"/>
        <color rgb="FFFFFFFF"/>
      </rPr>
      <t xml:space="preserve">Josep </t>
    </r>
    <r>
      <rPr>
        <rFont val="Arial"/>
        <b/>
        <color rgb="FFFFFFFF"/>
      </rPr>
      <t>Martínez</t>
    </r>
  </si>
  <si>
    <r>
      <rPr>
        <rFont val="Arial"/>
        <color rgb="FFFFFFFF"/>
      </rPr>
      <t xml:space="preserve">Ange-Yoan </t>
    </r>
    <r>
      <rPr>
        <rFont val="Arial"/>
        <b/>
        <color rgb="FFFFFFFF"/>
      </rPr>
      <t>Bonny</t>
    </r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</si>
  <si>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Wybrzeże Kości Słoniowej</t>
    </r>
  </si>
  <si>
    <r>
      <rPr>
        <rFont val="Arial"/>
        <color rgb="FFFFFFFF"/>
      </rPr>
      <t xml:space="preserve">Francesco </t>
    </r>
    <r>
      <rPr>
        <rFont val="Arial"/>
        <b/>
        <color rgb="FFFFFFFF"/>
      </rPr>
      <t>Acerbi</t>
    </r>
  </si>
  <si>
    <r>
      <rPr>
        <rFont val="Arial"/>
        <color rgb="FFFFFFFF"/>
      </rPr>
      <t xml:space="preserve">Davide </t>
    </r>
    <r>
      <rPr>
        <rFont val="Arial"/>
        <b/>
        <color rgb="FFFFFFFF"/>
      </rPr>
      <t>Frattesi</t>
    </r>
  </si>
  <si>
    <r>
      <rPr>
        <rFont val="Arial"/>
        <color rgb="FFFFFFFF"/>
      </rPr>
      <t xml:space="preserve">Andy </t>
    </r>
    <r>
      <rPr>
        <rFont val="Arial"/>
        <b/>
        <color rgb="FFFFFFFF"/>
      </rPr>
      <t>Diouf</t>
    </r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</si>
  <si>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Senegal</t>
    </r>
  </si>
  <si>
    <r>
      <rPr>
        <rFont val="Arial"/>
        <color rgb="FFFFFFFF"/>
      </rPr>
      <t xml:space="preserve">Hakan </t>
    </r>
    <r>
      <rPr>
        <rFont val="Arial"/>
        <b/>
        <color rgb="FFFFFFFF"/>
      </rPr>
      <t>Çalhanoğlu</t>
    </r>
  </si>
  <si>
    <r>
      <rPr>
        <rFont val="Arial"/>
        <b/>
        <color rgb="FFFFFFFF"/>
      </rPr>
      <t>Turcja /</t>
    </r>
    <r>
      <rPr>
        <rFont val="Arial"/>
        <b val="0"/>
        <i/>
        <color rgb="FFFFFFFF"/>
      </rPr>
      <t>Niemcy</t>
    </r>
  </si>
  <si>
    <r>
      <rPr>
        <rFont val="Arial"/>
        <color rgb="FFFFFFFF"/>
      </rPr>
      <t xml:space="preserve">Henrich </t>
    </r>
    <r>
      <rPr>
        <rFont val="Arial"/>
        <b/>
        <color rgb="FFFFFFFF"/>
      </rPr>
      <t>Mychitarian</t>
    </r>
  </si>
  <si>
    <t>Armenia</t>
  </si>
  <si>
    <r>
      <rPr>
        <rFont val="Arial"/>
        <color rgb="FFFFFFFF"/>
      </rPr>
      <t xml:space="preserve">Nicolò </t>
    </r>
    <r>
      <rPr>
        <rFont val="Arial"/>
        <b/>
        <color rgb="FFFFFFFF"/>
      </rPr>
      <t>Barella</t>
    </r>
  </si>
  <si>
    <r>
      <rPr>
        <rFont val="Arial"/>
        <color rgb="FFFFFFFF"/>
      </rPr>
      <t xml:space="preserve">Manuel </t>
    </r>
    <r>
      <rPr>
        <rFont val="Arial"/>
        <b/>
        <color rgb="FFFFFFFF"/>
      </rPr>
      <t>Akanji</t>
    </r>
  </si>
  <si>
    <r>
      <rPr>
        <rFont val="Arial"/>
        <b/>
        <color rgb="FFFFFFFF"/>
      </rPr>
      <t>Szwajcaria /</t>
    </r>
    <r>
      <rPr>
        <rFont val="Arial"/>
        <b val="0"/>
        <i/>
        <color rgb="FFFFFFFF"/>
      </rPr>
      <t>Nigeria</t>
    </r>
  </si>
  <si>
    <t>Carlos Augusto</t>
  </si>
  <si>
    <r>
      <rPr>
        <rFont val="Arial"/>
        <b/>
        <color rgb="FFFFFFFF"/>
      </rPr>
      <t>Brazylia /</t>
    </r>
    <r>
      <rPr>
        <rFont val="Arial"/>
        <b val="0"/>
        <i/>
        <color rgb="FFFFFFFF"/>
      </rPr>
      <t>Włochy</t>
    </r>
  </si>
  <si>
    <r>
      <rPr>
        <rFont val="Arial"/>
        <color rgb="FFFFFFFF"/>
      </rPr>
      <t xml:space="preserve">Yann </t>
    </r>
    <r>
      <rPr>
        <rFont val="Arial"/>
        <b/>
        <color rgb="FFFFFFFF"/>
      </rPr>
      <t>Bisseck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</si>
  <si>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Kamerun</t>
    </r>
  </si>
  <si>
    <r>
      <rPr>
        <rFont val="Arial"/>
        <color rgb="FFFFFFFF"/>
      </rPr>
      <t xml:space="preserve">Federico </t>
    </r>
    <r>
      <rPr>
        <rFont val="Arial"/>
        <b/>
        <color rgb="FFFFFFFF"/>
      </rPr>
      <t>Dimarco</t>
    </r>
  </si>
  <si>
    <r>
      <rPr>
        <rFont val="Arial"/>
        <color rgb="FFFFFFFF"/>
      </rPr>
      <t xml:space="preserve">Matteo </t>
    </r>
    <r>
      <rPr>
        <rFont val="Arial"/>
        <b/>
        <color rgb="FFFFFFFF"/>
      </rPr>
      <t>Darmian</t>
    </r>
  </si>
  <si>
    <r>
      <rPr>
        <rFont val="Arial"/>
        <color rgb="FFFFFFFF"/>
        <u/>
      </rPr>
      <t xml:space="preserve">Alessandro </t>
    </r>
    <r>
      <rPr>
        <rFont val="Arial"/>
        <b/>
        <color rgb="FFFFFFFF"/>
        <u/>
      </rPr>
      <t>Calligaris</t>
    </r>
  </si>
  <si>
    <r>
      <rPr>
        <rFont val="Arial"/>
        <color rgb="FFFFFFFF"/>
        <u/>
      </rPr>
      <t xml:space="preserve">Matteo </t>
    </r>
    <r>
      <rPr>
        <rFont val="Arial"/>
        <b/>
        <color rgb="FFFFFFFF"/>
        <u/>
      </rPr>
      <t>Cocchi</t>
    </r>
  </si>
  <si>
    <r>
      <rPr>
        <rFont val="Arial"/>
        <color rgb="FFFFFFFF"/>
        <u/>
      </rPr>
      <t xml:space="preserve">Christos </t>
    </r>
    <r>
      <rPr>
        <rFont val="Arial"/>
        <b/>
        <color rgb="FFFFFFFF"/>
        <u/>
      </rPr>
      <t>Alexiou</t>
    </r>
  </si>
  <si>
    <r>
      <rPr>
        <rFont val="Arial"/>
        <color rgb="FFFFFFFF"/>
        <u/>
      </rPr>
      <t xml:space="preserve">Alain </t>
    </r>
    <r>
      <rPr>
        <rFont val="Arial"/>
        <b/>
        <color rgb="FFFFFFFF"/>
        <u/>
      </rPr>
      <t>Taho</t>
    </r>
  </si>
  <si>
    <r>
      <rPr>
        <rFont val="Arial"/>
        <b/>
        <color rgb="FFFFFFFF"/>
        <u/>
      </rPr>
      <t>Albania /</t>
    </r>
    <r>
      <rPr>
        <rFont val="Arial"/>
        <b val="0"/>
        <i/>
        <color rgb="FFFFFFFF"/>
        <u/>
      </rPr>
      <t>Włochy</t>
    </r>
  </si>
  <si>
    <r>
      <rPr>
        <rFont val="Arial"/>
        <color rgb="FFFFFFFF"/>
        <u/>
      </rPr>
      <t xml:space="preserve">Pio </t>
    </r>
    <r>
      <rPr>
        <rFont val="Arial"/>
        <b/>
        <color rgb="FFFFFFFF"/>
        <u/>
      </rPr>
      <t>Esposito</t>
    </r>
  </si>
  <si>
    <r>
      <rPr>
        <rFont val="Arial"/>
        <color rgb="FFFFFFFF"/>
      </rPr>
      <t xml:space="preserve">Alessandro </t>
    </r>
    <r>
      <rPr>
        <rFont val="Arial"/>
        <b/>
        <color rgb="FFFFFFFF"/>
      </rPr>
      <t>Bastoni</t>
    </r>
  </si>
  <si>
    <r>
      <rPr>
        <rFont val="Arial"/>
        <color rgb="FFFFFFFF"/>
      </rPr>
      <t xml:space="preserve">Cristian </t>
    </r>
    <r>
      <rPr>
        <rFont val="Arial"/>
        <b/>
        <color rgb="FFFFFFFF"/>
      </rPr>
      <t>Chivu</t>
    </r>
  </si>
  <si>
    <t>Rumunia</t>
  </si>
  <si>
    <t>gole dla Interu</t>
  </si>
  <si>
    <t>Marcus Thuram 42, 47</t>
  </si>
  <si>
    <t>Lautaro Martínez 30, 65, Denzel Dumfries 34</t>
  </si>
  <si>
    <t>Denzel Dumfries 41, Lautaro Martínez 45, Hakan Çalhanoğlu 53 (k), Pio Esposito 76</t>
  </si>
  <si>
    <t>0-4</t>
  </si>
  <si>
    <t>Lautaro Martínez 45, Carlos Augusto 67</t>
  </si>
  <si>
    <t>Piotr Zieliński 54</t>
  </si>
  <si>
    <t>Petar Sučić 18</t>
  </si>
  <si>
    <r>
      <rPr>
        <rFont val="Arial"/>
        <color rgb="FF26230E"/>
      </rPr>
      <t xml:space="preserve">Aleksandr </t>
    </r>
    <r>
      <rPr>
        <rFont val="Arial"/>
        <b/>
        <color rgb="FF26230E"/>
      </rPr>
      <t>Zaruckij</t>
    </r>
  </si>
  <si>
    <r>
      <rPr>
        <rFont val="Arial"/>
        <b/>
        <color rgb="FF26230E"/>
      </rPr>
      <t>Kazachstan /</t>
    </r>
    <r>
      <rPr>
        <rFont val="Arial"/>
        <b val="0"/>
        <i/>
        <color rgb="FF26230E"/>
      </rPr>
      <t>Rosja</t>
    </r>
  </si>
  <si>
    <t>Luís Mata</t>
  </si>
  <si>
    <r>
      <rPr>
        <rFont val="Arial"/>
        <color rgb="FF26230E"/>
      </rPr>
      <t xml:space="preserve">Damir </t>
    </r>
    <r>
      <rPr>
        <rFont val="Arial"/>
        <b/>
        <color rgb="FF26230E"/>
      </rPr>
      <t>Kasabułat</t>
    </r>
  </si>
  <si>
    <t>Kazachstan</t>
  </si>
  <si>
    <r>
      <rPr>
        <rFont val="Arial"/>
        <color rgb="FF26230E"/>
      </rPr>
      <t xml:space="preserve">Lew </t>
    </r>
    <r>
      <rPr>
        <rFont val="Arial"/>
        <b/>
        <color rgb="FF26230E"/>
      </rPr>
      <t>Kurgin</t>
    </r>
  </si>
  <si>
    <r>
      <rPr>
        <rFont val="Arial"/>
        <color rgb="FF26230E"/>
      </rPr>
      <t xml:space="preserve">Adilet </t>
    </r>
    <r>
      <rPr>
        <rFont val="Arial"/>
        <b/>
        <color rgb="FF26230E"/>
      </rPr>
      <t>Sadybiekow</t>
    </r>
  </si>
  <si>
    <t>Jorginho</t>
  </si>
  <si>
    <r>
      <rPr>
        <rFont val="Arial"/>
        <color rgb="FF26230E"/>
      </rPr>
      <t xml:space="preserve">Dastan </t>
    </r>
    <r>
      <rPr>
        <rFont val="Arial"/>
        <b/>
        <color rgb="FF26230E"/>
      </rPr>
      <t>Satpajew</t>
    </r>
  </si>
  <si>
    <r>
      <rPr>
        <rFont val="Arial"/>
        <color rgb="FF26230E"/>
      </rPr>
      <t xml:space="preserve">Giorgi </t>
    </r>
    <r>
      <rPr>
        <rFont val="Arial"/>
        <b/>
        <color rgb="FF26230E"/>
      </rPr>
      <t>Zaria</t>
    </r>
  </si>
  <si>
    <t>Gruzja</t>
  </si>
  <si>
    <r>
      <rPr>
        <rFont val="Arial"/>
        <color rgb="FF26230E"/>
      </rPr>
      <t xml:space="preserve">Aleksandr </t>
    </r>
    <r>
      <rPr>
        <rFont val="Arial"/>
        <b/>
        <color rgb="FF26230E"/>
      </rPr>
      <t>Martynowicz</t>
    </r>
  </si>
  <si>
    <r>
      <rPr>
        <rFont val="Arial"/>
        <b/>
        <color rgb="FF26230E"/>
      </rPr>
      <t>Białoruś /</t>
    </r>
    <r>
      <rPr>
        <rFont val="Arial"/>
        <b val="0"/>
        <i/>
        <color rgb="FF26230E"/>
      </rPr>
      <t>Rosja</t>
    </r>
  </si>
  <si>
    <r>
      <rPr>
        <rFont val="Arial"/>
        <color rgb="FF26230E"/>
      </rPr>
      <t xml:space="preserve">Ofri </t>
    </r>
    <r>
      <rPr>
        <rFont val="Arial"/>
        <b/>
        <color rgb="FF26230E"/>
      </rPr>
      <t>Arad</t>
    </r>
  </si>
  <si>
    <r>
      <rPr>
        <rFont val="Arial"/>
        <b/>
        <color rgb="FF26230E"/>
      </rPr>
      <t>Izrael /</t>
    </r>
    <r>
      <rPr>
        <rFont val="Arial"/>
        <b val="0"/>
        <i/>
        <color rgb="FF26230E"/>
      </rPr>
      <t>Niemcy</t>
    </r>
  </si>
  <si>
    <r>
      <rPr>
        <rFont val="Arial"/>
        <color rgb="FF26230E"/>
      </rPr>
      <t xml:space="preserve">Ołżas </t>
    </r>
    <r>
      <rPr>
        <rFont val="Arial"/>
        <b/>
        <color rgb="FF26230E"/>
      </rPr>
      <t>Bajbiek</t>
    </r>
  </si>
  <si>
    <r>
      <rPr>
        <rFont val="Arial"/>
        <color rgb="FF26230E"/>
      </rPr>
      <t xml:space="preserve">Dan </t>
    </r>
    <r>
      <rPr>
        <rFont val="Arial"/>
        <b/>
        <color rgb="FF26230E"/>
      </rPr>
      <t>Glazer</t>
    </r>
  </si>
  <si>
    <r>
      <rPr>
        <rFont val="Arial"/>
        <b/>
        <color rgb="FF26230E"/>
      </rPr>
      <t>Izrael /</t>
    </r>
    <r>
      <rPr>
        <rFont val="Arial"/>
        <b val="0"/>
        <i/>
        <color rgb="FF26230E"/>
      </rPr>
      <t>Niemcy</t>
    </r>
  </si>
  <si>
    <r>
      <rPr>
        <rFont val="Arial"/>
        <color rgb="FF26230E"/>
      </rPr>
      <t xml:space="preserve">Jerkin </t>
    </r>
    <r>
      <rPr>
        <rFont val="Arial"/>
        <b/>
        <color rgb="FF26230E"/>
      </rPr>
      <t>Tapałow</t>
    </r>
  </si>
  <si>
    <r>
      <rPr>
        <rFont val="Arial"/>
        <color rgb="FF26230E"/>
      </rPr>
      <t xml:space="preserve">Aleksandr </t>
    </r>
    <r>
      <rPr>
        <rFont val="Arial"/>
        <b/>
        <color rgb="FF26230E"/>
      </rPr>
      <t>Mrynskij</t>
    </r>
  </si>
  <si>
    <r>
      <rPr>
        <rFont val="Arial"/>
        <color rgb="FF26230E"/>
      </rPr>
      <t xml:space="preserve">Aleksandr </t>
    </r>
    <r>
      <rPr>
        <rFont val="Arial"/>
        <b/>
        <color rgb="FF26230E"/>
      </rPr>
      <t>Szyrobokow</t>
    </r>
  </si>
  <si>
    <t>Edmilson</t>
  </si>
  <si>
    <r>
      <rPr>
        <rFont val="Arial"/>
        <color rgb="FF26230E"/>
        <u/>
      </rPr>
      <t xml:space="preserve">Ildar </t>
    </r>
    <r>
      <rPr>
        <rFont val="Arial"/>
        <b/>
        <color rgb="FF26230E"/>
        <u/>
      </rPr>
      <t>Miendygalijew</t>
    </r>
    <r>
      <rPr>
        <rFont val="Arial"/>
        <b/>
        <color rgb="FF26230E"/>
        <u/>
      </rPr>
      <t xml:space="preserve"> </t>
    </r>
  </si>
  <si>
    <r>
      <rPr>
        <rFont val="Arial"/>
        <color rgb="FF26230E"/>
        <u/>
      </rPr>
      <t xml:space="preserve">Dias </t>
    </r>
    <r>
      <rPr>
        <rFont val="Arial"/>
        <b/>
        <color rgb="FF26230E"/>
        <u/>
      </rPr>
      <t>Rieimow</t>
    </r>
  </si>
  <si>
    <r>
      <rPr>
        <rFont val="Arial"/>
        <color rgb="FF26230E"/>
      </rPr>
      <t xml:space="preserve">Jug </t>
    </r>
    <r>
      <rPr>
        <rFont val="Arial"/>
        <b/>
        <color rgb="FF26230E"/>
      </rPr>
      <t>Stanojev</t>
    </r>
  </si>
  <si>
    <t>Serbia</t>
  </si>
  <si>
    <r>
      <rPr>
        <rFont val="Arial"/>
        <color rgb="FF26230E"/>
        <u/>
      </rPr>
      <t xml:space="preserve">Akieżan </t>
    </r>
    <r>
      <rPr>
        <rFont val="Arial"/>
        <b/>
        <color rgb="FF26230E"/>
        <u/>
      </rPr>
      <t>Kalikułow</t>
    </r>
  </si>
  <si>
    <r>
      <rPr>
        <rFont val="Arial"/>
        <color rgb="FF26230E"/>
        <u/>
      </rPr>
      <t xml:space="preserve">Daniła </t>
    </r>
    <r>
      <rPr>
        <rFont val="Arial"/>
        <b/>
        <color rgb="FF26230E"/>
        <u/>
      </rPr>
      <t>Buch</t>
    </r>
  </si>
  <si>
    <r>
      <rPr>
        <rFont val="Arial"/>
        <color rgb="FF26230E"/>
        <u/>
      </rPr>
      <t xml:space="preserve">Muhammedali </t>
    </r>
    <r>
      <rPr>
        <rFont val="Arial"/>
        <b/>
        <color rgb="FF26230E"/>
        <u/>
      </rPr>
      <t>Abisz</t>
    </r>
  </si>
  <si>
    <r>
      <rPr>
        <rFont val="Arial"/>
        <color rgb="FF26230E"/>
        <u/>
      </rPr>
      <t xml:space="preserve">Abyłaj </t>
    </r>
    <r>
      <rPr>
        <rFont val="Arial"/>
        <b/>
        <color rgb="FF26230E"/>
        <u/>
      </rPr>
      <t>Toleuchan</t>
    </r>
  </si>
  <si>
    <r>
      <rPr>
        <rFont val="Arial"/>
        <color rgb="FF26230E"/>
      </rPr>
      <t xml:space="preserve">Luka </t>
    </r>
    <r>
      <rPr>
        <rFont val="Arial"/>
        <b/>
        <color rgb="FF26230E"/>
      </rPr>
      <t>Gadrani</t>
    </r>
  </si>
  <si>
    <r>
      <rPr>
        <rFont val="Arial"/>
        <color rgb="FF26230E"/>
        <u/>
      </rPr>
      <t xml:space="preserve">Daulet </t>
    </r>
    <r>
      <rPr>
        <rFont val="Arial"/>
        <b/>
        <color rgb="FF26230E"/>
        <u/>
      </rPr>
      <t>Orynbasar</t>
    </r>
  </si>
  <si>
    <r>
      <rPr>
        <rFont val="Arial"/>
        <color rgb="FF26230E"/>
        <u/>
      </rPr>
      <t xml:space="preserve">Amirbiek </t>
    </r>
    <r>
      <rPr>
        <rFont val="Arial"/>
        <b/>
        <color rgb="FF26230E"/>
        <u/>
      </rPr>
      <t xml:space="preserve">Bazarbajew </t>
    </r>
  </si>
  <si>
    <r>
      <rPr>
        <rFont val="Arial"/>
        <color rgb="FF26230E"/>
      </rPr>
      <t xml:space="preserve">Walerij </t>
    </r>
    <r>
      <rPr>
        <rFont val="Arial"/>
        <b/>
        <color rgb="FF26230E"/>
      </rPr>
      <t>Gromyko</t>
    </r>
  </si>
  <si>
    <t>Białoruś</t>
  </si>
  <si>
    <r>
      <rPr>
        <rFont val="Arial"/>
        <color rgb="FF26230E"/>
      </rPr>
      <t xml:space="preserve">Danijar </t>
    </r>
    <r>
      <rPr>
        <rFont val="Arial"/>
        <b/>
        <color rgb="FF26230E"/>
      </rPr>
      <t>Taszpułatow</t>
    </r>
  </si>
  <si>
    <r>
      <rPr>
        <rFont val="Arial"/>
        <color rgb="FF26230E"/>
      </rPr>
      <t xml:space="preserve">Tiemіrłan </t>
    </r>
    <r>
      <rPr>
        <rFont val="Arial"/>
        <b/>
        <color rgb="FF26230E"/>
      </rPr>
      <t>Anarbiekow</t>
    </r>
  </si>
  <si>
    <r>
      <rPr>
        <rFont val="Arial"/>
        <color rgb="FF26230E"/>
        <u/>
      </rPr>
      <t xml:space="preserve">Mansur </t>
    </r>
    <r>
      <rPr>
        <rFont val="Arial"/>
        <b/>
        <color rgb="FF26230E"/>
        <u/>
      </rPr>
      <t>Birkumanov</t>
    </r>
  </si>
  <si>
    <r>
      <rPr>
        <rFont val="Arial"/>
        <color rgb="FF26230E"/>
      </rPr>
      <t xml:space="preserve">Jegor </t>
    </r>
    <r>
      <rPr>
        <rFont val="Arial"/>
        <b/>
        <color rgb="FF26230E"/>
      </rPr>
      <t>Sorokin</t>
    </r>
  </si>
  <si>
    <t>Rosja</t>
  </si>
  <si>
    <r>
      <rPr>
        <rFont val="Arial"/>
        <color rgb="FF26230E"/>
      </rPr>
      <t xml:space="preserve">Ismaił </t>
    </r>
    <r>
      <rPr>
        <rFont val="Arial"/>
        <b/>
        <color rgb="FF26230E"/>
      </rPr>
      <t>Biekbołat</t>
    </r>
  </si>
  <si>
    <r>
      <rPr>
        <rFont val="Arial"/>
        <color rgb="FF26230E"/>
        <u/>
      </rPr>
      <t xml:space="preserve">Szerchan </t>
    </r>
    <r>
      <rPr>
        <rFont val="Arial"/>
        <b/>
        <color rgb="FF26230E"/>
        <u/>
      </rPr>
      <t>Kałmurza</t>
    </r>
  </si>
  <si>
    <r>
      <rPr>
        <rFont val="Arial"/>
        <color rgb="FF26230E"/>
        <u/>
      </rPr>
      <t xml:space="preserve">Azamat </t>
    </r>
    <r>
      <rPr>
        <rFont val="Arial"/>
        <b/>
        <color rgb="FF26230E"/>
        <u/>
      </rPr>
      <t>Tujakbajew</t>
    </r>
  </si>
  <si>
    <r>
      <rPr>
        <rFont val="Arial"/>
        <color rgb="FF26230E"/>
      </rPr>
      <t xml:space="preserve">Ramazan </t>
    </r>
    <r>
      <rPr>
        <rFont val="Arial"/>
        <b/>
        <color rgb="FF26230E"/>
      </rPr>
      <t>Bagdat</t>
    </r>
  </si>
  <si>
    <r>
      <rPr>
        <rFont val="Arial"/>
        <color rgb="FF26230E"/>
        <u/>
      </rPr>
      <t xml:space="preserve">Bachtijar </t>
    </r>
    <r>
      <rPr>
        <rFont val="Arial"/>
        <b/>
        <color rgb="FF26230E"/>
        <u/>
      </rPr>
      <t>Aldaszew</t>
    </r>
  </si>
  <si>
    <t>Ricardinho</t>
  </si>
  <si>
    <r>
      <rPr>
        <rFont val="Arial"/>
        <color rgb="FF26230E"/>
      </rPr>
      <t xml:space="preserve">Rafael </t>
    </r>
    <r>
      <rPr>
        <rFont val="Arial"/>
        <b/>
        <color rgb="FF26230E"/>
      </rPr>
      <t>Urazbachtin</t>
    </r>
  </si>
  <si>
    <t>gole dla Kairatu</t>
  </si>
  <si>
    <t>Edmilson 86</t>
  </si>
  <si>
    <t>0-5</t>
  </si>
  <si>
    <t>Ofri Arad 55</t>
  </si>
  <si>
    <t>Dastan Satpajew 81, Ołżas Bajbiek 90</t>
  </si>
  <si>
    <t>Astana (Astana Arena)</t>
  </si>
  <si>
    <t>Adilet Sadybiekow 90</t>
  </si>
  <si>
    <r>
      <rPr>
        <rFont val="Arial"/>
        <color rgb="FF000000"/>
      </rPr>
      <t xml:space="preserve">Mattia </t>
    </r>
    <r>
      <rPr>
        <rFont val="Arial"/>
        <b/>
        <color rgb="FF000000"/>
      </rPr>
      <t>Perin</t>
    </r>
  </si>
  <si>
    <t>Bremer</t>
  </si>
  <si>
    <r>
      <rPr>
        <rFont val="Arial"/>
        <color rgb="FF000000"/>
      </rPr>
      <t xml:space="preserve">Federico </t>
    </r>
    <r>
      <rPr>
        <rFont val="Arial"/>
        <b/>
        <color rgb="FF000000"/>
      </rPr>
      <t>Gatti</t>
    </r>
  </si>
  <si>
    <r>
      <rPr>
        <rFont val="Arial"/>
        <color rgb="FF000000"/>
      </rPr>
      <t xml:space="preserve">Manuel </t>
    </r>
    <r>
      <rPr>
        <rFont val="Arial"/>
        <b/>
        <color rgb="FF000000"/>
      </rPr>
      <t>Locatelli</t>
    </r>
  </si>
  <si>
    <r>
      <rPr>
        <rFont val="Arial"/>
        <color rgb="FF000000"/>
      </rPr>
      <t xml:space="preserve">Lloyd </t>
    </r>
    <r>
      <rPr>
        <rFont val="Arial"/>
        <b/>
        <color rgb="FF000000"/>
      </rPr>
      <t>Kelly</t>
    </r>
  </si>
  <si>
    <r>
      <rPr>
        <rFont val="Arial"/>
        <b/>
        <color rgb="FF000000"/>
      </rPr>
      <t>Anglia /</t>
    </r>
    <r>
      <rPr>
        <rFont val="Arial"/>
        <b val="0"/>
        <i/>
        <color rgb="FF000000"/>
      </rPr>
      <t>Jamajka</t>
    </r>
  </si>
  <si>
    <t>Francisco Conceição</t>
  </si>
  <si>
    <r>
      <rPr>
        <rFont val="Arial"/>
        <color rgb="FF000000"/>
      </rPr>
      <t xml:space="preserve">Teun </t>
    </r>
    <r>
      <rPr>
        <rFont val="Arial"/>
        <b/>
        <color rgb="FF000000"/>
      </rPr>
      <t>Koopmeiners</t>
    </r>
  </si>
  <si>
    <r>
      <rPr>
        <rFont val="Arial"/>
        <color rgb="FF000000"/>
      </rPr>
      <t xml:space="preserve">Dušan </t>
    </r>
    <r>
      <rPr>
        <rFont val="Arial"/>
        <b/>
        <color rgb="FF000000"/>
      </rPr>
      <t>Vlahović</t>
    </r>
  </si>
  <si>
    <r>
      <rPr>
        <rFont val="Arial"/>
        <color rgb="FF000000"/>
        <u/>
      </rPr>
      <t xml:space="preserve">Kenan </t>
    </r>
    <r>
      <rPr>
        <rFont val="Arial"/>
        <b/>
        <color rgb="FF000000"/>
        <u/>
      </rPr>
      <t>Yıldız</t>
    </r>
  </si>
  <si>
    <r>
      <rPr>
        <rFont val="Arial"/>
        <b/>
        <color rgb="FF000000"/>
        <u/>
      </rPr>
      <t>Turcja /</t>
    </r>
    <r>
      <rPr>
        <rFont val="Arial"/>
        <b val="0"/>
        <i/>
        <color rgb="FF000000"/>
        <u/>
      </rPr>
      <t>Niemcy</t>
    </r>
  </si>
  <si>
    <r>
      <rPr>
        <rFont val="Arial"/>
        <color rgb="FF000000"/>
      </rPr>
      <t xml:space="preserve">Edon </t>
    </r>
    <r>
      <rPr>
        <rFont val="Arial"/>
        <b/>
        <color rgb="FF000000"/>
      </rPr>
      <t>Zhegrova</t>
    </r>
  </si>
  <si>
    <r>
      <rPr>
        <rFont val="Arial"/>
        <b/>
        <color rgb="FF000000"/>
      </rPr>
      <t>Kosowo /</t>
    </r>
    <r>
      <rPr>
        <rFont val="Arial"/>
        <b val="0"/>
        <i/>
        <color rgb="FF000000"/>
      </rPr>
      <t>Albania</t>
    </r>
  </si>
  <si>
    <r>
      <rPr>
        <rFont val="Arial"/>
        <color rgb="FF000000"/>
      </rPr>
      <t xml:space="preserve">Pierre </t>
    </r>
    <r>
      <rPr>
        <rFont val="Arial"/>
        <b/>
        <color rgb="FF000000"/>
      </rPr>
      <t>Kalulu</t>
    </r>
  </si>
  <si>
    <r>
      <rPr>
        <rFont val="Arial"/>
        <b/>
        <color rgb="FF000000"/>
      </rPr>
      <t>Francja /</t>
    </r>
    <r>
      <rPr>
        <rFont val="Arial"/>
        <b val="0"/>
        <i/>
        <color rgb="FF000000"/>
      </rPr>
      <t>Demokratyczna Republika Kongo</t>
    </r>
  </si>
  <si>
    <r>
      <rPr>
        <rFont val="Arial"/>
        <color rgb="FF000000"/>
      </rPr>
      <t xml:space="preserve">Michele </t>
    </r>
    <r>
      <rPr>
        <rFont val="Arial"/>
        <b/>
        <color rgb="FF000000"/>
      </rPr>
      <t>Di Gregorio</t>
    </r>
  </si>
  <si>
    <r>
      <rPr>
        <rFont val="Arial"/>
        <color rgb="FF000000"/>
      </rPr>
      <t xml:space="preserve">Vasilije </t>
    </r>
    <r>
      <rPr>
        <rFont val="Arial"/>
        <b/>
        <color rgb="FF000000"/>
      </rPr>
      <t>Adžić</t>
    </r>
  </si>
  <si>
    <t>Czarnogóra</t>
  </si>
  <si>
    <r>
      <rPr>
        <rFont val="Arial"/>
        <color rgb="FF000000"/>
      </rPr>
      <t xml:space="preserve">Filip </t>
    </r>
    <r>
      <rPr>
        <rFont val="Arial"/>
        <b/>
        <color rgb="FF000000"/>
      </rPr>
      <t>Kostić</t>
    </r>
  </si>
  <si>
    <r>
      <rPr>
        <rFont val="Arial"/>
        <color rgb="FF000000"/>
      </rPr>
      <t xml:space="preserve">Khéphren </t>
    </r>
    <r>
      <rPr>
        <rFont val="Arial"/>
        <b/>
        <color rgb="FF000000"/>
      </rPr>
      <t>Thuram</t>
    </r>
  </si>
  <si>
    <r>
      <rPr>
        <rFont val="Arial"/>
        <b/>
        <color rgb="FF000000"/>
      </rPr>
      <t>Francja /</t>
    </r>
    <r>
      <rPr>
        <rFont val="Arial"/>
        <b val="0"/>
        <i/>
        <color rgb="FF000000"/>
      </rPr>
      <t>Gwadelupa</t>
    </r>
  </si>
  <si>
    <r>
      <rPr>
        <rFont val="Arial"/>
        <color rgb="FF000000"/>
      </rPr>
      <t xml:space="preserve">Loïs </t>
    </r>
    <r>
      <rPr>
        <rFont val="Arial"/>
        <b/>
        <color rgb="FF000000"/>
      </rPr>
      <t>Openda</t>
    </r>
  </si>
  <si>
    <r>
      <rPr>
        <rFont val="Arial"/>
        <b/>
        <color rgb="FF000000"/>
      </rPr>
      <t>Belgia /</t>
    </r>
    <r>
      <rPr>
        <rFont val="Arial"/>
        <b val="0"/>
        <i/>
        <color rgb="FF000000"/>
      </rPr>
      <t>Maroko</t>
    </r>
  </si>
  <si>
    <r>
      <rPr>
        <rFont val="Arial"/>
        <color rgb="FF000000"/>
      </rPr>
      <t xml:space="preserve">Fabio </t>
    </r>
    <r>
      <rPr>
        <rFont val="Arial"/>
        <b/>
        <color rgb="FF000000"/>
      </rPr>
      <t>Miretti</t>
    </r>
  </si>
  <si>
    <r>
      <rPr>
        <rFont val="Arial"/>
        <color rgb="FF000000"/>
      </rPr>
      <t xml:space="preserve">Weston </t>
    </r>
    <r>
      <rPr>
        <rFont val="Arial"/>
        <b/>
        <color rgb="FF000000"/>
      </rPr>
      <t>McKennie</t>
    </r>
  </si>
  <si>
    <r>
      <rPr>
        <rFont val="Arial"/>
        <color rgb="FF000000"/>
      </rPr>
      <t xml:space="preserve">Carlo </t>
    </r>
    <r>
      <rPr>
        <rFont val="Arial"/>
        <b/>
        <color rgb="FF000000"/>
      </rPr>
      <t>Pinsoglio</t>
    </r>
  </si>
  <si>
    <r>
      <rPr>
        <rFont val="Arial"/>
        <color rgb="FF000000"/>
      </rPr>
      <t xml:space="preserve">Daniele </t>
    </r>
    <r>
      <rPr>
        <rFont val="Arial"/>
        <b/>
        <color rgb="FF000000"/>
      </rPr>
      <t>Rugani</t>
    </r>
  </si>
  <si>
    <t>João Mário</t>
  </si>
  <si>
    <r>
      <rPr>
        <rFont val="Arial"/>
        <color rgb="FF000000"/>
      </rPr>
      <t xml:space="preserve">Andrea </t>
    </r>
    <r>
      <rPr>
        <rFont val="Arial"/>
        <b/>
        <color rgb="FF000000"/>
      </rPr>
      <t>Cambiaso</t>
    </r>
  </si>
  <si>
    <r>
      <rPr>
        <rFont val="Arial"/>
        <color rgb="FF000000"/>
      </rPr>
      <t xml:space="preserve">Jonathan </t>
    </r>
    <r>
      <rPr>
        <rFont val="Arial"/>
        <b/>
        <color rgb="FF000000"/>
      </rPr>
      <t>David</t>
    </r>
  </si>
  <si>
    <r>
      <rPr>
        <rFont val="Arial"/>
        <b/>
        <color rgb="FF000000"/>
      </rPr>
      <t>Kanada /</t>
    </r>
    <r>
      <rPr>
        <rFont val="Arial"/>
        <b val="0"/>
        <i/>
        <color rgb="FF000000"/>
      </rPr>
      <t>USA</t>
    </r>
  </si>
  <si>
    <r>
      <rPr>
        <rFont val="Arial"/>
        <color rgb="FF000000"/>
      </rPr>
      <t xml:space="preserve">Juan </t>
    </r>
    <r>
      <rPr>
        <rFont val="Arial"/>
        <b/>
        <color rgb="FF000000"/>
      </rPr>
      <t>Cabal</t>
    </r>
  </si>
  <si>
    <r>
      <rPr>
        <rFont val="Arial"/>
        <color rgb="FF000000"/>
        <u/>
      </rPr>
      <t xml:space="preserve">Jonas </t>
    </r>
    <r>
      <rPr>
        <rFont val="Arial"/>
        <b/>
        <color rgb="FF000000"/>
        <u/>
      </rPr>
      <t>Rouhi</t>
    </r>
  </si>
  <si>
    <r>
      <rPr>
        <rFont val="Arial"/>
        <b/>
        <color rgb="FF000000"/>
        <u/>
      </rPr>
      <t>Szwecja /</t>
    </r>
    <r>
      <rPr>
        <rFont val="Arial"/>
        <b val="0"/>
        <i/>
        <color rgb="FF000000"/>
        <u/>
      </rPr>
      <t>Maroko</t>
    </r>
  </si>
  <si>
    <r>
      <rPr>
        <rFont val="Arial"/>
        <color rgb="FF000000"/>
        <u/>
      </rPr>
      <t xml:space="preserve">Javier </t>
    </r>
    <r>
      <rPr>
        <rFont val="Arial"/>
        <b/>
        <color rgb="FF000000"/>
        <u/>
      </rPr>
      <t>Gil</t>
    </r>
  </si>
  <si>
    <r>
      <rPr>
        <rFont val="Arial"/>
        <color rgb="FF000000"/>
        <u/>
      </rPr>
      <t xml:space="preserve">Simone </t>
    </r>
    <r>
      <rPr>
        <rFont val="Arial"/>
        <b/>
        <color rgb="FF000000"/>
        <u/>
      </rPr>
      <t>Scaglia</t>
    </r>
  </si>
  <si>
    <r>
      <rPr>
        <rFont val="Arial"/>
        <color rgb="FF000000"/>
        <u/>
      </rPr>
      <t xml:space="preserve">Matteo </t>
    </r>
    <r>
      <rPr>
        <rFont val="Arial"/>
        <b/>
        <color rgb="FF000000"/>
        <u/>
      </rPr>
      <t>Fuscaldo</t>
    </r>
  </si>
  <si>
    <r>
      <rPr>
        <rFont val="Arial"/>
        <color rgb="FF000000"/>
        <u/>
      </rPr>
      <t xml:space="preserve">Bruno </t>
    </r>
    <r>
      <rPr>
        <rFont val="Arial"/>
        <b/>
        <color rgb="FF000000"/>
        <u/>
      </rPr>
      <t>Martinez</t>
    </r>
  </si>
  <si>
    <r>
      <rPr>
        <rFont val="Arial"/>
        <color rgb="FF000000"/>
      </rPr>
      <t xml:space="preserve">Igor </t>
    </r>
    <r>
      <rPr>
        <rFont val="Arial"/>
        <b/>
        <color rgb="FF000000"/>
      </rPr>
      <t>Tudor</t>
    </r>
  </si>
  <si>
    <r>
      <rPr>
        <rFont val="Arial"/>
        <color rgb="FF000000"/>
      </rPr>
      <t xml:space="preserve">Luciano </t>
    </r>
    <r>
      <rPr>
        <rFont val="Arial"/>
        <b/>
        <color rgb="FF000000"/>
      </rPr>
      <t>Spalletti</t>
    </r>
  </si>
  <si>
    <t>Kenan Yıldız 63, Dušan Vlahović 67, 90, Lloyd Kelly 90</t>
  </si>
  <si>
    <t>Federico Gatti 49, Francisco Conceição 56</t>
  </si>
  <si>
    <t>Madryt (Eantiago Bernabéu)</t>
  </si>
  <si>
    <t>Dušan Vlahović 34</t>
  </si>
  <si>
    <t>Loïs Openda 48, Weston McKennie 59, Jonathan David 90</t>
  </si>
  <si>
    <t>Weston McKennie 67, Jonathan David 73</t>
  </si>
  <si>
    <t>Khéphren Thuram 55, Weston McKennie 64</t>
  </si>
  <si>
    <r>
      <rPr>
        <rFont val="Arial"/>
        <color rgb="FFE9CD00"/>
      </rPr>
      <t xml:space="preserve">Mark </t>
    </r>
    <r>
      <rPr>
        <rFont val="Arial"/>
        <b/>
        <color rgb="FFE9CD00"/>
      </rPr>
      <t>Flekken</t>
    </r>
  </si>
  <si>
    <r>
      <rPr>
        <rFont val="Arial"/>
        <color rgb="FFE9CD00"/>
      </rPr>
      <t xml:space="preserve">Jarrel </t>
    </r>
    <r>
      <rPr>
        <rFont val="Arial"/>
        <b/>
        <color rgb="FFE9CD00"/>
      </rPr>
      <t>Quansah</t>
    </r>
  </si>
  <si>
    <r>
      <rPr>
        <rFont val="Arial"/>
        <b/>
        <color rgb="FFE9CD00"/>
      </rPr>
      <t>Anglia /</t>
    </r>
    <r>
      <rPr>
        <rFont val="Arial"/>
        <b val="0"/>
        <i/>
        <color rgb="FFE9CD00"/>
      </rPr>
      <t>Szkocja</t>
    </r>
  </si>
  <si>
    <r>
      <rPr>
        <rFont val="Arial"/>
        <color rgb="FFE9CD00"/>
      </rPr>
      <t xml:space="preserve">Loïc </t>
    </r>
    <r>
      <rPr>
        <rFont val="Arial"/>
        <b/>
        <color rgb="FFE9CD00"/>
      </rPr>
      <t>Badé</t>
    </r>
  </si>
  <si>
    <r>
      <rPr>
        <rFont val="Arial"/>
        <b/>
        <color rgb="FFE9CD00"/>
      </rPr>
      <t>Francja /</t>
    </r>
    <r>
      <rPr>
        <rFont val="Arial"/>
        <b val="0"/>
        <i/>
        <color rgb="FFE9CD00"/>
      </rPr>
      <t>Wybrzeże Kości Słoniowej</t>
    </r>
  </si>
  <si>
    <r>
      <rPr>
        <rFont val="Arial"/>
        <color rgb="FFE9CD00"/>
      </rPr>
      <t xml:space="preserve">Equi </t>
    </r>
    <r>
      <rPr>
        <rFont val="Arial"/>
        <b/>
        <color rgb="FFE9CD00"/>
      </rPr>
      <t>Fernández</t>
    </r>
  </si>
  <si>
    <r>
      <rPr>
        <rFont val="Arial"/>
        <b/>
        <color rgb="FFE9CD00"/>
      </rPr>
      <t>Argentyna /</t>
    </r>
    <r>
      <rPr>
        <rFont val="Arial"/>
        <b val="0"/>
        <i/>
        <color rgb="FFE9CD00"/>
      </rPr>
      <t>Paragwaj</t>
    </r>
  </si>
  <si>
    <r>
      <rPr>
        <rFont val="Arial"/>
        <color rgb="FFE9CD00"/>
      </rPr>
      <t xml:space="preserve">Robert </t>
    </r>
    <r>
      <rPr>
        <rFont val="Arial"/>
        <b/>
        <color rgb="FFE9CD00"/>
      </rPr>
      <t>Andrich</t>
    </r>
  </si>
  <si>
    <r>
      <rPr>
        <rFont val="Arial"/>
        <color rgb="FFE9CD00"/>
      </rPr>
      <t xml:space="preserve">Claudio </t>
    </r>
    <r>
      <rPr>
        <rFont val="Arial"/>
        <b/>
        <color rgb="FFE9CD00"/>
      </rPr>
      <t>Echeverri</t>
    </r>
  </si>
  <si>
    <r>
      <rPr>
        <rFont val="Arial"/>
        <color rgb="FFE9CD00"/>
      </rPr>
      <t xml:space="preserve">Mailk </t>
    </r>
    <r>
      <rPr>
        <rFont val="Arial"/>
        <b/>
        <color rgb="FFE9CD00"/>
      </rPr>
      <t>Tillman</t>
    </r>
  </si>
  <si>
    <r>
      <rPr>
        <rFont val="Arial"/>
        <b/>
        <color rgb="FFE9CD00"/>
      </rPr>
      <t>USA /</t>
    </r>
    <r>
      <rPr>
        <rFont val="Arial"/>
        <b val="0"/>
        <i/>
        <color rgb="FFE9CD00"/>
      </rPr>
      <t>Niemcy</t>
    </r>
  </si>
  <si>
    <r>
      <rPr>
        <rFont val="Arial"/>
        <color rgb="FFE9CD00"/>
      </rPr>
      <t xml:space="preserve">Edmond </t>
    </r>
    <r>
      <rPr>
        <rFont val="Arial"/>
        <b/>
        <color rgb="FFE9CD00"/>
      </rPr>
      <t>Tapsoba</t>
    </r>
  </si>
  <si>
    <t>Burkina Faso</t>
  </si>
  <si>
    <t>Arthur</t>
  </si>
  <si>
    <r>
      <rPr>
        <rFont val="Arial"/>
        <color rgb="FFE9CD00"/>
      </rPr>
      <t xml:space="preserve">Patrik </t>
    </r>
    <r>
      <rPr>
        <rFont val="Arial"/>
        <b/>
        <color rgb="FFE9CD00"/>
      </rPr>
      <t>Schick</t>
    </r>
  </si>
  <si>
    <r>
      <rPr>
        <rFont val="Arial"/>
        <color rgb="FFE9CD00"/>
      </rPr>
      <t xml:space="preserve">Axel </t>
    </r>
    <r>
      <rPr>
        <rFont val="Arial"/>
        <b/>
        <color rgb="FFE9CD00"/>
      </rPr>
      <t>Tape</t>
    </r>
  </si>
  <si>
    <r>
      <rPr>
        <rFont val="Arial"/>
        <b/>
        <color rgb="FFE9CD00"/>
      </rPr>
      <t>Francja /</t>
    </r>
    <r>
      <rPr>
        <rFont val="Arial"/>
        <b val="0"/>
        <i/>
        <color rgb="FFE9CD00"/>
      </rPr>
      <t>Wybrzeże Kości Słoniowej</t>
    </r>
  </si>
  <si>
    <r>
      <rPr>
        <rFont val="Arial"/>
        <color rgb="FFE9CD00"/>
      </rPr>
      <t xml:space="preserve">Eliesse </t>
    </r>
    <r>
      <rPr>
        <rFont val="Arial"/>
        <b/>
        <color rgb="FFE9CD00"/>
      </rPr>
      <t>Ben Seghir</t>
    </r>
  </si>
  <si>
    <r>
      <rPr>
        <rFont val="Arial"/>
        <b/>
        <color rgb="FFE9CD00"/>
      </rPr>
      <t>Maroko /</t>
    </r>
    <r>
      <rPr>
        <rFont val="Arial"/>
        <b val="0"/>
        <i/>
        <color rgb="FFE9CD00"/>
      </rPr>
      <t>Francja</t>
    </r>
  </si>
  <si>
    <r>
      <rPr>
        <rFont val="Arial"/>
        <color rgb="FFE9CD00"/>
      </rPr>
      <t xml:space="preserve">Ernest </t>
    </r>
    <r>
      <rPr>
        <rFont val="Arial"/>
        <b/>
        <color rgb="FFE9CD00"/>
      </rPr>
      <t>Poku</t>
    </r>
  </si>
  <si>
    <r>
      <rPr>
        <rFont val="Arial"/>
        <b/>
        <color rgb="FFE9CD00"/>
      </rPr>
      <t>Holandia /</t>
    </r>
    <r>
      <rPr>
        <rFont val="Arial"/>
        <b val="0"/>
        <i/>
        <color rgb="FFE9CD00"/>
      </rPr>
      <t>Ghana</t>
    </r>
  </si>
  <si>
    <r>
      <rPr>
        <rFont val="Arial"/>
        <color rgb="FFE9CD00"/>
      </rPr>
      <t xml:space="preserve">Alejandro </t>
    </r>
    <r>
      <rPr>
        <rFont val="Arial"/>
        <b/>
        <color rgb="FFE9CD00"/>
      </rPr>
      <t>Grimaldo</t>
    </r>
  </si>
  <si>
    <r>
      <rPr>
        <rFont val="Arial"/>
        <color rgb="FFE9CD00"/>
      </rPr>
      <t xml:space="preserve">Lucas </t>
    </r>
    <r>
      <rPr>
        <rFont val="Arial"/>
        <b/>
        <color rgb="FFE9CD00"/>
      </rPr>
      <t xml:space="preserve">Vázquez </t>
    </r>
  </si>
  <si>
    <r>
      <rPr>
        <rFont val="Arial"/>
        <color rgb="FFE9CD00"/>
      </rPr>
      <t xml:space="preserve">Nathan </t>
    </r>
    <r>
      <rPr>
        <rFont val="Arial"/>
        <b/>
        <color rgb="FFE9CD00"/>
      </rPr>
      <t>Tella</t>
    </r>
  </si>
  <si>
    <r>
      <rPr>
        <rFont val="Arial"/>
        <b/>
        <color rgb="FFE9CD00"/>
      </rPr>
      <t>Nigeria /</t>
    </r>
    <r>
      <rPr>
        <rFont val="Arial"/>
        <b val="0"/>
        <i/>
        <color rgb="FFE9CD00"/>
      </rPr>
      <t>Anglia</t>
    </r>
  </si>
  <si>
    <r>
      <rPr>
        <rFont val="Arial"/>
        <color rgb="FFE9CD00"/>
      </rPr>
      <t xml:space="preserve">Aleix </t>
    </r>
    <r>
      <rPr>
        <rFont val="Arial"/>
        <b/>
        <color rgb="FFE9CD00"/>
      </rPr>
      <t>García</t>
    </r>
  </si>
  <si>
    <r>
      <rPr>
        <rFont val="Arial"/>
        <color rgb="FFE9CD00"/>
      </rPr>
      <t xml:space="preserve">Exequiel </t>
    </r>
    <r>
      <rPr>
        <rFont val="Arial"/>
        <b/>
        <color rgb="FFE9CD00"/>
      </rPr>
      <t>Palacios</t>
    </r>
  </si>
  <si>
    <r>
      <rPr>
        <rFont val="Arial"/>
        <color rgb="FFE9CD00"/>
        <u/>
      </rPr>
      <t xml:space="preserve">Jeremiah </t>
    </r>
    <r>
      <rPr>
        <rFont val="Arial"/>
        <b/>
        <color rgb="FFE9CD00"/>
        <u/>
      </rPr>
      <t>Mensah</t>
    </r>
  </si>
  <si>
    <r>
      <rPr>
        <rFont val="Arial"/>
        <b/>
        <color rgb="FFE9CD00"/>
        <u/>
      </rPr>
      <t>Niemcy /</t>
    </r>
    <r>
      <rPr>
        <rFont val="Arial"/>
        <b val="0"/>
        <i/>
        <color rgb="FFE9CD00"/>
        <u/>
      </rPr>
      <t>Ghana</t>
    </r>
  </si>
  <si>
    <r>
      <rPr>
        <rFont val="Arial"/>
        <color rgb="FFE9CD00"/>
      </rPr>
      <t xml:space="preserve">Janis </t>
    </r>
    <r>
      <rPr>
        <rFont val="Arial"/>
        <b/>
        <color rgb="FFE9CD00"/>
      </rPr>
      <t>Blaswich</t>
    </r>
  </si>
  <si>
    <r>
      <rPr>
        <rFont val="Arial"/>
        <color rgb="FFE9CD00"/>
      </rPr>
      <t xml:space="preserve">Ibrahim </t>
    </r>
    <r>
      <rPr>
        <rFont val="Arial"/>
        <b/>
        <color rgb="FFE9CD00"/>
      </rPr>
      <t>Maza</t>
    </r>
  </si>
  <si>
    <r>
      <rPr>
        <rFont val="Arial"/>
        <b/>
        <color rgb="FFE9CD00"/>
      </rPr>
      <t>Algieria /</t>
    </r>
    <r>
      <rPr>
        <rFont val="Arial"/>
        <b val="0"/>
        <i/>
        <color rgb="FFE9CD00"/>
      </rPr>
      <t>Niemcy</t>
    </r>
  </si>
  <si>
    <r>
      <rPr>
        <rFont val="Arial"/>
        <color rgb="FFE9CD00"/>
        <u/>
      </rPr>
      <t xml:space="preserve">Francesco </t>
    </r>
    <r>
      <rPr>
        <rFont val="Arial"/>
        <b/>
        <color rgb="FFE9CD00"/>
        <u/>
      </rPr>
      <t>Buono</t>
    </r>
  </si>
  <si>
    <r>
      <rPr>
        <rFont val="Arial"/>
        <b/>
        <color rgb="FFE9CD00"/>
        <u/>
      </rPr>
      <t>Niemcy /</t>
    </r>
    <r>
      <rPr>
        <rFont val="Arial"/>
        <b val="0"/>
        <i/>
        <color rgb="FFE9CD00"/>
        <u/>
      </rPr>
      <t>Włochy</t>
    </r>
  </si>
  <si>
    <r>
      <rPr>
        <rFont val="Arial"/>
        <color rgb="FFE9CD00"/>
      </rPr>
      <t xml:space="preserve">Christian </t>
    </r>
    <r>
      <rPr>
        <rFont val="Arial"/>
        <b/>
        <color rgb="FFE9CD00"/>
      </rPr>
      <t>Kofane</t>
    </r>
  </si>
  <si>
    <t>Kamerun</t>
  </si>
  <si>
    <r>
      <rPr>
        <rFont val="Arial"/>
        <color rgb="FFE9CD00"/>
      </rPr>
      <t xml:space="preserve">Niklas </t>
    </r>
    <r>
      <rPr>
        <rFont val="Arial"/>
        <b/>
        <color rgb="FFE9CD00"/>
      </rPr>
      <t>Lomb</t>
    </r>
  </si>
  <si>
    <r>
      <rPr>
        <rFont val="Arial"/>
        <color rgb="FFE9CD00"/>
        <u/>
      </rPr>
      <t xml:space="preserve">Ken </t>
    </r>
    <r>
      <rPr>
        <rFont val="Arial"/>
        <b/>
        <color rgb="FFE9CD00"/>
        <u/>
      </rPr>
      <t>Izekor</t>
    </r>
  </si>
  <si>
    <r>
      <rPr>
        <rFont val="Arial"/>
        <b/>
        <color rgb="FFE9CD00"/>
        <u/>
      </rPr>
      <t>Niemcy /</t>
    </r>
    <r>
      <rPr>
        <rFont val="Arial"/>
        <b val="0"/>
        <i/>
        <color rgb="FFE9CD00"/>
        <u/>
      </rPr>
      <t>Nigeria</t>
    </r>
  </si>
  <si>
    <r>
      <rPr>
        <rFont val="Arial"/>
        <color rgb="FFE9CD00"/>
        <u/>
      </rPr>
      <t xml:space="preserve">Jesper </t>
    </r>
    <r>
      <rPr>
        <rFont val="Arial"/>
        <b/>
        <color rgb="FFE9CD00"/>
        <u/>
      </rPr>
      <t>Schlich</t>
    </r>
  </si>
  <si>
    <r>
      <rPr>
        <rFont val="Arial"/>
        <color rgb="FFE9CD00"/>
        <u/>
      </rPr>
      <t xml:space="preserve">Montrell </t>
    </r>
    <r>
      <rPr>
        <rFont val="Arial"/>
        <b/>
        <color rgb="FFE9CD00"/>
        <u/>
      </rPr>
      <t>Culbreath</t>
    </r>
  </si>
  <si>
    <r>
      <rPr>
        <rFont val="Arial"/>
        <b/>
        <color rgb="FFE9CD00"/>
        <u/>
      </rPr>
      <t>Niemcy /</t>
    </r>
    <r>
      <rPr>
        <rFont val="Arial"/>
        <b val="0"/>
        <i/>
        <color rgb="FFE9CD00"/>
        <u/>
      </rPr>
      <t>USA</t>
    </r>
  </si>
  <si>
    <r>
      <rPr>
        <rFont val="Arial"/>
        <color rgb="FFE9CD00"/>
        <u/>
      </rPr>
      <t xml:space="preserve">Ben </t>
    </r>
    <r>
      <rPr>
        <rFont val="Arial"/>
        <b/>
        <color rgb="FFE9CD00"/>
        <u/>
      </rPr>
      <t>Hwaighorst</t>
    </r>
  </si>
  <si>
    <r>
      <rPr>
        <rFont val="Arial"/>
        <color rgb="FFE9CD00"/>
      </rPr>
      <t xml:space="preserve">Jeanuël </t>
    </r>
    <r>
      <rPr>
        <rFont val="Arial"/>
        <b/>
        <color rgb="FFE9CD00"/>
      </rPr>
      <t>Belocian</t>
    </r>
  </si>
  <si>
    <r>
      <rPr>
        <rFont val="Arial"/>
        <b/>
        <color rgb="FFE9CD00"/>
      </rPr>
      <t>Francja /</t>
    </r>
    <r>
      <rPr>
        <rFont val="Arial"/>
        <b val="0"/>
        <i/>
        <color rgb="FFE9CD00"/>
      </rPr>
      <t>Gwadelupa</t>
    </r>
  </si>
  <si>
    <r>
      <rPr>
        <rFont val="Arial"/>
        <color rgb="FFE9CD00"/>
        <u/>
      </rPr>
      <t xml:space="preserve">Naba </t>
    </r>
    <r>
      <rPr>
        <rFont val="Arial"/>
        <b/>
        <color rgb="FFE9CD00"/>
        <u/>
      </rPr>
      <t>Mensah</t>
    </r>
  </si>
  <si>
    <r>
      <rPr>
        <rFont val="Arial"/>
        <b/>
        <color rgb="FFE9CD00"/>
        <u/>
      </rPr>
      <t>Niemcy /</t>
    </r>
    <r>
      <rPr>
        <rFont val="Arial"/>
        <b val="0"/>
        <i/>
        <color rgb="FFE9CD00"/>
        <u/>
      </rPr>
      <t>Ghana</t>
    </r>
  </si>
  <si>
    <r>
      <rPr>
        <rFont val="Arial"/>
        <color rgb="FFE9CD00"/>
        <u/>
      </rPr>
      <t xml:space="preserve">Ferdinand </t>
    </r>
    <r>
      <rPr>
        <rFont val="Arial"/>
        <b/>
        <color rgb="FFE9CD00"/>
        <u/>
      </rPr>
      <t>Pohl</t>
    </r>
  </si>
  <si>
    <r>
      <rPr>
        <rFont val="Arial"/>
        <color rgb="FFE9CD00"/>
      </rPr>
      <t xml:space="preserve">Kasper </t>
    </r>
    <r>
      <rPr>
        <rFont val="Arial"/>
        <b/>
        <color rgb="FFE9CD00"/>
      </rPr>
      <t>Hjulmand</t>
    </r>
  </si>
  <si>
    <r>
      <rPr>
        <rFont val="Arial"/>
        <color rgb="FFE9CD00"/>
      </rPr>
      <t xml:space="preserve">Rogier </t>
    </r>
    <r>
      <rPr>
        <rFont val="Arial"/>
        <b/>
        <color rgb="FFE9CD00"/>
      </rPr>
      <t>Meijer</t>
    </r>
  </si>
  <si>
    <t>asystent trenera</t>
  </si>
  <si>
    <t>gole dla Leverkusen</t>
  </si>
  <si>
    <t>Alejandro Grimaldo 82, Pandelis Chadzidiakos 90 (s)</t>
  </si>
  <si>
    <t>Christian Kofane 65</t>
  </si>
  <si>
    <t>Leverkusen (BayArena)</t>
  </si>
  <si>
    <t>Aleix García 38 (k), 54</t>
  </si>
  <si>
    <t>Patrik Schick 65</t>
  </si>
  <si>
    <t>Alejandro Grimaldo 23, Patrik Schick 54</t>
  </si>
  <si>
    <t>Bruno Guimarães 13 (s), Alejandro Grimaldo 88</t>
  </si>
  <si>
    <t>Pireus (Karaiskakis Stadium)</t>
  </si>
  <si>
    <r>
      <rPr>
        <rFont val="Roboto"/>
        <b/>
        <i/>
        <color rgb="FFFFFFFF"/>
      </rPr>
      <t xml:space="preserve">Alisson </t>
    </r>
    <r>
      <rPr>
        <rFont val="Roboto"/>
        <b/>
        <i/>
        <color rgb="FFFFFFFF"/>
      </rPr>
      <t>Becker</t>
    </r>
  </si>
  <si>
    <r>
      <rPr>
        <rFont val="Roboto"/>
        <color rgb="FFFFFFFF"/>
      </rPr>
      <t xml:space="preserve">Joe </t>
    </r>
    <r>
      <rPr>
        <rFont val="Roboto"/>
        <b/>
        <color rgb="FFFFFFFF"/>
      </rPr>
      <t>Gomez</t>
    </r>
  </si>
  <si>
    <r>
      <rPr>
        <rFont val="Roboto"/>
        <b/>
        <color rgb="FFFFFFFF"/>
      </rPr>
      <t>Anglia /</t>
    </r>
    <r>
      <rPr>
        <rFont val="Roboto"/>
        <b val="0"/>
        <i/>
        <color rgb="FFFFFFFF"/>
      </rPr>
      <t>Gambia</t>
    </r>
  </si>
  <si>
    <r>
      <rPr>
        <rFont val="Roboto"/>
        <color rgb="FFFFFFFF"/>
      </rPr>
      <t xml:space="preserve">Wataru </t>
    </r>
    <r>
      <rPr>
        <rFont val="Roboto"/>
        <b/>
        <color rgb="FFFFFFFF"/>
      </rPr>
      <t>Endo</t>
    </r>
  </si>
  <si>
    <r>
      <rPr>
        <rFont val="Roboto"/>
        <color rgb="FFFFFFFF"/>
      </rPr>
      <t xml:space="preserve">Virgil </t>
    </r>
    <r>
      <rPr>
        <rFont val="Roboto"/>
        <b/>
        <color rgb="FFFFFFFF"/>
      </rPr>
      <t>van Dijk</t>
    </r>
  </si>
  <si>
    <r>
      <rPr>
        <rFont val="Roboto"/>
        <b/>
        <color rgb="FFFFFFFF"/>
      </rPr>
      <t>Holandia /</t>
    </r>
    <r>
      <rPr>
        <rFont val="Roboto"/>
        <b val="0"/>
        <i/>
        <color rgb="FFFFFFFF"/>
      </rPr>
      <t>Surinam</t>
    </r>
  </si>
  <si>
    <r>
      <rPr>
        <rFont val="Roboto"/>
        <color rgb="FFFFFFFF"/>
      </rPr>
      <t xml:space="preserve">Ibrahima </t>
    </r>
    <r>
      <rPr>
        <rFont val="Roboto"/>
        <b/>
        <color rgb="FFFFFFFF"/>
      </rPr>
      <t>Konaté</t>
    </r>
  </si>
  <si>
    <r>
      <rPr>
        <rFont val="Roboto"/>
        <b/>
        <color rgb="FFFFFFFF"/>
      </rPr>
      <t>Francja /</t>
    </r>
    <r>
      <rPr>
        <rFont val="Roboto"/>
        <b val="0"/>
        <i/>
        <color rgb="FFFFFFFF"/>
      </rPr>
      <t>Mali</t>
    </r>
  </si>
  <si>
    <r>
      <rPr>
        <rFont val="Roboto"/>
        <color rgb="FFFFFFFF"/>
      </rPr>
      <t xml:space="preserve">Milos </t>
    </r>
    <r>
      <rPr>
        <rFont val="Roboto"/>
        <b/>
        <color rgb="FFFFFFFF"/>
      </rPr>
      <t>Kerkez</t>
    </r>
  </si>
  <si>
    <r>
      <rPr>
        <rFont val="Roboto"/>
        <b/>
        <color rgb="FFFFFFFF"/>
      </rPr>
      <t>Węgry /</t>
    </r>
    <r>
      <rPr>
        <rFont val="Roboto"/>
        <b val="0"/>
        <i/>
        <color rgb="FFFFFFFF"/>
      </rPr>
      <t>Serbia</t>
    </r>
  </si>
  <si>
    <r>
      <rPr>
        <rFont val="Roboto"/>
        <color rgb="FFFFFFFF"/>
      </rPr>
      <t xml:space="preserve">Florian </t>
    </r>
    <r>
      <rPr>
        <rFont val="Roboto"/>
        <b/>
        <color rgb="FFFFFFFF"/>
      </rPr>
      <t>Wirtz</t>
    </r>
  </si>
  <si>
    <r>
      <rPr>
        <rFont val="Roboto"/>
        <color rgb="FFFFFFFF"/>
      </rPr>
      <t xml:space="preserve">Dominik </t>
    </r>
    <r>
      <rPr>
        <rFont val="Roboto"/>
        <b/>
        <color rgb="FFFFFFFF"/>
      </rPr>
      <t>Szoboszlai</t>
    </r>
  </si>
  <si>
    <r>
      <rPr>
        <rFont val="Roboto"/>
        <color rgb="FFFFFFFF"/>
      </rPr>
      <t xml:space="preserve">Alexander </t>
    </r>
    <r>
      <rPr>
        <rFont val="Roboto"/>
        <b/>
        <color rgb="FFFFFFFF"/>
      </rPr>
      <t>Isak</t>
    </r>
  </si>
  <si>
    <r>
      <rPr>
        <rFont val="Roboto"/>
        <b/>
        <color rgb="FFFFFFFF"/>
      </rPr>
      <t>Szwecja /</t>
    </r>
    <r>
      <rPr>
        <rFont val="Roboto"/>
        <b val="0"/>
        <i/>
        <color rgb="FFFFFFFF"/>
      </rPr>
      <t>Erytrea</t>
    </r>
  </si>
  <si>
    <r>
      <rPr>
        <rFont val="Roboto"/>
        <color rgb="FFFFFFFF"/>
      </rPr>
      <t xml:space="preserve">Alexis </t>
    </r>
    <r>
      <rPr>
        <rFont val="Roboto"/>
        <b/>
        <color rgb="FFFFFFFF"/>
      </rPr>
      <t>Mac Allister</t>
    </r>
  </si>
  <si>
    <r>
      <rPr>
        <rFont val="Roboto"/>
        <b/>
        <color rgb="FFFFFFFF"/>
      </rPr>
      <t>Argentyna /</t>
    </r>
    <r>
      <rPr>
        <rFont val="Roboto"/>
        <b val="0"/>
        <i/>
        <color rgb="FFFFFFFF"/>
      </rPr>
      <t>Włochy</t>
    </r>
  </si>
  <si>
    <r>
      <rPr>
        <rFont val="Roboto"/>
        <color rgb="FFFFFFFF"/>
      </rPr>
      <t xml:space="preserve">Mohamed </t>
    </r>
    <r>
      <rPr>
        <rFont val="Roboto"/>
        <b/>
        <color rgb="FFFFFFFF"/>
      </rPr>
      <t>Salah</t>
    </r>
  </si>
  <si>
    <t>Egipt</t>
  </si>
  <si>
    <r>
      <rPr>
        <rFont val="Roboto"/>
        <color rgb="FFFFFFFF"/>
      </rPr>
      <t xml:space="preserve">Conor </t>
    </r>
    <r>
      <rPr>
        <rFont val="Roboto"/>
        <b/>
        <color rgb="FFFFFFFF"/>
      </rPr>
      <t>Bradley</t>
    </r>
  </si>
  <si>
    <t>Irlandia Północna</t>
  </si>
  <si>
    <r>
      <rPr>
        <rFont val="Roboto"/>
        <color rgb="FFFFFFFF"/>
      </rPr>
      <t xml:space="preserve">Federico </t>
    </r>
    <r>
      <rPr>
        <rFont val="Roboto"/>
        <b/>
        <color rgb="FFFFFFFF"/>
      </rPr>
      <t>Chiesa</t>
    </r>
  </si>
  <si>
    <r>
      <rPr>
        <rFont val="Roboto"/>
        <color rgb="FFFFFFFF"/>
      </rPr>
      <t xml:space="preserve">Giovanni </t>
    </r>
    <r>
      <rPr>
        <rFont val="Roboto"/>
        <b/>
        <color rgb="FFFFFFFF"/>
      </rPr>
      <t>Leoni</t>
    </r>
  </si>
  <si>
    <r>
      <rPr>
        <rFont val="Roboto"/>
        <color rgb="FFFFFFFF"/>
      </rPr>
      <t xml:space="preserve">Curtis </t>
    </r>
    <r>
      <rPr>
        <rFont val="Roboto"/>
        <b/>
        <color rgb="FFFFFFFF"/>
      </rPr>
      <t>Jones</t>
    </r>
  </si>
  <si>
    <r>
      <rPr>
        <rFont val="Roboto"/>
        <color rgb="FFFFFFFF"/>
      </rPr>
      <t xml:space="preserve">Cody </t>
    </r>
    <r>
      <rPr>
        <rFont val="Roboto"/>
        <b/>
        <color rgb="FFFFFFFF"/>
      </rPr>
      <t>Gakpo</t>
    </r>
  </si>
  <si>
    <r>
      <rPr>
        <rFont val="Roboto"/>
        <b/>
        <color rgb="FFFFFFFF"/>
      </rPr>
      <t>Holandia /</t>
    </r>
    <r>
      <rPr>
        <rFont val="Roboto"/>
        <b val="0"/>
        <i/>
        <color rgb="FFFFFFFF"/>
      </rPr>
      <t>Togo</t>
    </r>
  </si>
  <si>
    <r>
      <rPr>
        <rFont val="Roboto"/>
        <color rgb="FFFFFFFF"/>
      </rPr>
      <t xml:space="preserve">Hugo </t>
    </r>
    <r>
      <rPr>
        <rFont val="Roboto"/>
        <b/>
        <color rgb="FFFFFFFF"/>
      </rPr>
      <t>Ekitiké</t>
    </r>
  </si>
  <si>
    <r>
      <rPr>
        <rFont val="Roboto"/>
        <b/>
        <color rgb="FFFFFFFF"/>
      </rPr>
      <t>Francja /</t>
    </r>
    <r>
      <rPr>
        <rFont val="Roboto"/>
        <b val="0"/>
        <i/>
        <color rgb="FFFFFFFF"/>
      </rPr>
      <t>Kamerun</t>
    </r>
  </si>
  <si>
    <r>
      <rPr>
        <rFont val="Roboto"/>
        <color rgb="FFFFFFFF"/>
      </rPr>
      <t xml:space="preserve">Giorgi </t>
    </r>
    <r>
      <rPr>
        <rFont val="Roboto"/>
        <b/>
        <color rgb="FFFFFFFF"/>
      </rPr>
      <t>Mamardaszwili</t>
    </r>
  </si>
  <si>
    <r>
      <rPr>
        <rFont val="Roboto"/>
        <color rgb="FFFFFFFF"/>
      </rPr>
      <t xml:space="preserve">Andy </t>
    </r>
    <r>
      <rPr>
        <rFont val="Roboto"/>
        <b/>
        <color rgb="FFFFFFFF"/>
      </rPr>
      <t>Robertson</t>
    </r>
  </si>
  <si>
    <t>Szkocja</t>
  </si>
  <si>
    <r>
      <rPr>
        <rFont val="Roboto"/>
        <color rgb="FFFFFFFF"/>
      </rPr>
      <t xml:space="preserve">Freddie </t>
    </r>
    <r>
      <rPr>
        <rFont val="Roboto"/>
        <b/>
        <color rgb="FFFFFFFF"/>
      </rPr>
      <t>Woodman</t>
    </r>
  </si>
  <si>
    <r>
      <rPr>
        <rFont val="Roboto"/>
        <color rgb="FFFFFFFF"/>
      </rPr>
      <t xml:space="preserve">Jeremie </t>
    </r>
    <r>
      <rPr>
        <rFont val="Roboto"/>
        <b/>
        <color rgb="FFFFFFFF"/>
      </rPr>
      <t>Frimpong</t>
    </r>
  </si>
  <si>
    <r>
      <rPr>
        <rFont val="Roboto"/>
        <b/>
        <color rgb="FFFFFFFF"/>
      </rPr>
      <t>Holandia /</t>
    </r>
    <r>
      <rPr>
        <rFont val="Roboto"/>
        <b val="0"/>
        <i/>
        <color rgb="FFFFFFFF"/>
      </rPr>
      <t>Ghana</t>
    </r>
  </si>
  <si>
    <r>
      <rPr>
        <rFont val="Roboto"/>
        <color rgb="FFFFFFFF"/>
      </rPr>
      <t xml:space="preserve">Ryan </t>
    </r>
    <r>
      <rPr>
        <rFont val="Roboto"/>
        <b/>
        <color rgb="FFFFFFFF"/>
      </rPr>
      <t>Gravenberch</t>
    </r>
  </si>
  <si>
    <r>
      <rPr>
        <rFont val="Roboto"/>
        <b/>
        <color rgb="FFFFFFFF"/>
      </rPr>
      <t>Holandia /</t>
    </r>
    <r>
      <rPr>
        <rFont val="Roboto"/>
        <b val="0"/>
        <i/>
        <color rgb="FFFFFFFF"/>
      </rPr>
      <t>Surinam</t>
    </r>
  </si>
  <si>
    <r>
      <rPr>
        <rFont val="Roboto"/>
        <color rgb="FFFFFFFF"/>
        <u/>
      </rPr>
      <t xml:space="preserve">Trey </t>
    </r>
    <r>
      <rPr>
        <rFont val="Roboto"/>
        <b/>
        <color rgb="FFFFFFFF"/>
        <u/>
      </rPr>
      <t>Nyoni</t>
    </r>
  </si>
  <si>
    <r>
      <rPr>
        <rFont val="Roboto"/>
        <b/>
        <color rgb="FFFFFFFF"/>
        <u/>
      </rPr>
      <t>Anglia /</t>
    </r>
    <r>
      <rPr>
        <rFont val="Roboto"/>
        <b val="0"/>
        <i/>
        <color rgb="FFFFFFFF"/>
        <u/>
      </rPr>
      <t>Zimbabwe</t>
    </r>
  </si>
  <si>
    <r>
      <rPr>
        <rFont val="Roboto"/>
        <color rgb="FFFFFFFF"/>
      </rPr>
      <t xml:space="preserve">Rio </t>
    </r>
    <r>
      <rPr>
        <rFont val="Roboto"/>
        <b/>
        <color rgb="FFFFFFFF"/>
      </rPr>
      <t>Ngumoha</t>
    </r>
  </si>
  <si>
    <r>
      <rPr>
        <rFont val="Roboto"/>
        <color rgb="FFFFFFFF"/>
        <u/>
      </rPr>
      <t xml:space="preserve">Kornel </t>
    </r>
    <r>
      <rPr>
        <rFont val="Roboto"/>
        <b/>
        <color rgb="FFFFFFFF"/>
        <u/>
      </rPr>
      <t>Miściur</t>
    </r>
  </si>
  <si>
    <r>
      <rPr>
        <rFont val="Roboto"/>
        <b/>
        <color rgb="FFFFFFFF"/>
        <u/>
      </rPr>
      <t>Polska /</t>
    </r>
    <r>
      <rPr>
        <rFont val="Roboto"/>
        <b val="0"/>
        <i/>
        <color rgb="FFFFFFFF"/>
        <u/>
      </rPr>
      <t>Anglia</t>
    </r>
  </si>
  <si>
    <r>
      <rPr>
        <rFont val="Roboto"/>
        <color rgb="FFFFFFFF"/>
        <u/>
      </rPr>
      <t xml:space="preserve">Jayden </t>
    </r>
    <r>
      <rPr>
        <rFont val="Roboto"/>
        <b/>
        <color rgb="FFFFFFFF"/>
        <u/>
      </rPr>
      <t>Danns</t>
    </r>
  </si>
  <si>
    <r>
      <rPr>
        <rFont val="Roboto"/>
        <b/>
        <color rgb="FFFFFFFF"/>
        <u/>
      </rPr>
      <t>Anglia /</t>
    </r>
    <r>
      <rPr>
        <rFont val="Roboto"/>
        <b val="0"/>
        <i/>
        <color rgb="FFFFFFFF"/>
        <u/>
      </rPr>
      <t>Gujana</t>
    </r>
  </si>
  <si>
    <r>
      <rPr>
        <rFont val="Roboto"/>
        <color rgb="FFFFFFFF"/>
        <u/>
      </rPr>
      <t xml:space="preserve">Wellity </t>
    </r>
    <r>
      <rPr>
        <rFont val="Roboto"/>
        <b/>
        <color rgb="FFFFFFFF"/>
        <u/>
      </rPr>
      <t>Lucky</t>
    </r>
  </si>
  <si>
    <r>
      <rPr>
        <rFont val="Roboto"/>
        <b/>
        <color rgb="FFFFFFFF"/>
        <u/>
      </rPr>
      <t>Hiszpania /</t>
    </r>
    <r>
      <rPr>
        <rFont val="Roboto"/>
        <b val="0"/>
        <i/>
        <color rgb="FFFFFFFF"/>
        <u/>
      </rPr>
      <t>Anglia</t>
    </r>
  </si>
  <si>
    <r>
      <rPr>
        <rFont val="Arial"/>
        <color rgb="FFFFFFFF"/>
      </rPr>
      <t xml:space="preserve">Arne </t>
    </r>
    <r>
      <rPr>
        <rFont val="Arial"/>
        <b/>
        <color rgb="FFFFFFFF"/>
      </rPr>
      <t>Slot</t>
    </r>
  </si>
  <si>
    <t>gole dla Liverpoolu</t>
  </si>
  <si>
    <t>Andy Robertson 4, Mohamed Salah 6, Virgil van Dijk 90</t>
  </si>
  <si>
    <t>Hugo Ekitiké 45, Virgil van Dijk 39, Ibrahima Konaté 44, Cody Gakpo 66, Dominik Szoboszlai 70</t>
  </si>
  <si>
    <t>Alexis Mac Allister 61</t>
  </si>
  <si>
    <t>Dominik Szoboszlai 16</t>
  </si>
  <si>
    <t>Dominik Szoboszlai 86 (k)</t>
  </si>
  <si>
    <t>Dominik Szoboszlai 45, Gerónimo Rulli 72 (s), Cody Gakpo 90</t>
  </si>
  <si>
    <r>
      <rPr>
        <rFont val="Roboto"/>
        <color rgb="FFFFFFFF"/>
      </rPr>
      <t xml:space="preserve">James </t>
    </r>
    <r>
      <rPr>
        <rFont val="Roboto"/>
        <b/>
        <color rgb="FFFFFFFF"/>
      </rPr>
      <t>Trafford</t>
    </r>
  </si>
  <si>
    <r>
      <rPr>
        <rFont val="Roboto"/>
        <b/>
        <i/>
        <color rgb="FFFFFFFF"/>
      </rPr>
      <t xml:space="preserve">Rúben </t>
    </r>
    <r>
      <rPr>
        <rFont val="Roboto"/>
        <b/>
        <i/>
        <color rgb="FFFFFFFF"/>
      </rPr>
      <t>Dias</t>
    </r>
  </si>
  <si>
    <r>
      <rPr>
        <rFont val="Roboto"/>
        <color rgb="FFFFFFFF"/>
      </rPr>
      <t xml:space="preserve">Tijani </t>
    </r>
    <r>
      <rPr>
        <rFont val="Roboto"/>
        <b/>
        <color rgb="FFFFFFFF"/>
      </rPr>
      <t>Reijnders</t>
    </r>
  </si>
  <si>
    <r>
      <rPr>
        <rFont val="Roboto"/>
        <color rgb="FFFFFFFF"/>
      </rPr>
      <t xml:space="preserve">John </t>
    </r>
    <r>
      <rPr>
        <rFont val="Roboto"/>
        <b/>
        <color rgb="FFFFFFFF"/>
      </rPr>
      <t>Stones</t>
    </r>
  </si>
  <si>
    <r>
      <rPr>
        <rFont val="Roboto"/>
        <color rgb="FFFFFFFF"/>
      </rPr>
      <t xml:space="preserve">Nathan </t>
    </r>
    <r>
      <rPr>
        <rFont val="Roboto"/>
        <b/>
        <color rgb="FFFFFFFF"/>
      </rPr>
      <t>Aké</t>
    </r>
  </si>
  <si>
    <r>
      <rPr>
        <rFont val="Roboto"/>
        <b/>
        <color rgb="FFFFFFFF"/>
      </rPr>
      <t>Holandia /</t>
    </r>
    <r>
      <rPr>
        <rFont val="Roboto"/>
        <b val="0"/>
        <i/>
        <color rgb="FFFFFFFF"/>
      </rPr>
      <t>Wybrzeże Kości Słoniowej</t>
    </r>
  </si>
  <si>
    <r>
      <rPr>
        <rFont val="Roboto"/>
        <color rgb="FFFFFFFF"/>
      </rPr>
      <t xml:space="preserve">Omar </t>
    </r>
    <r>
      <rPr>
        <rFont val="Roboto"/>
        <b/>
        <color rgb="FFFFFFFF"/>
      </rPr>
      <t>Marmoush</t>
    </r>
  </si>
  <si>
    <r>
      <rPr>
        <rFont val="Roboto"/>
        <b/>
        <color rgb="FFFFFFFF"/>
      </rPr>
      <t>Egipt /</t>
    </r>
    <r>
      <rPr>
        <rFont val="Roboto"/>
        <b val="0"/>
        <i/>
        <color rgb="FFFFFFFF"/>
      </rPr>
      <t>Kanada</t>
    </r>
  </si>
  <si>
    <r>
      <rPr>
        <rFont val="Roboto"/>
        <color rgb="FFFFFFFF"/>
      </rPr>
      <t xml:space="preserve">Mateo </t>
    </r>
    <r>
      <rPr>
        <rFont val="Roboto"/>
        <b/>
        <color rgb="FFFFFFFF"/>
      </rPr>
      <t>Kovačić</t>
    </r>
  </si>
  <si>
    <r>
      <rPr>
        <rFont val="Roboto"/>
        <color rgb="FFFFFFFF"/>
      </rPr>
      <t xml:space="preserve">Erling </t>
    </r>
    <r>
      <rPr>
        <rFont val="Roboto"/>
        <b/>
        <color rgb="FFFFFFFF"/>
      </rPr>
      <t>Haaland</t>
    </r>
  </si>
  <si>
    <r>
      <rPr>
        <rFont val="Roboto"/>
        <color rgb="FFFFFFFF"/>
      </rPr>
      <t xml:space="preserve">Rayan </t>
    </r>
    <r>
      <rPr>
        <rFont val="Roboto"/>
        <b/>
        <color rgb="FFFFFFFF"/>
      </rPr>
      <t>Cherki</t>
    </r>
  </si>
  <si>
    <r>
      <rPr>
        <rFont val="Roboto"/>
        <b/>
        <color rgb="FFFFFFFF"/>
      </rPr>
      <t>Francja /</t>
    </r>
    <r>
      <rPr>
        <rFont val="Roboto"/>
        <b val="0"/>
        <i/>
        <color rgb="FFFFFFFF"/>
      </rPr>
      <t>Algieria</t>
    </r>
  </si>
  <si>
    <r>
      <rPr>
        <rFont val="Roboto"/>
        <color rgb="FFFFFFFF"/>
      </rPr>
      <t xml:space="preserve">Jérémy </t>
    </r>
    <r>
      <rPr>
        <rFont val="Roboto"/>
        <b/>
        <color rgb="FFFFFFFF"/>
      </rPr>
      <t>Doku</t>
    </r>
  </si>
  <si>
    <r>
      <rPr>
        <rFont val="Roboto"/>
        <b/>
        <color rgb="FFFFFFFF"/>
      </rPr>
      <t>Belgia /</t>
    </r>
    <r>
      <rPr>
        <rFont val="Roboto"/>
        <b val="0"/>
        <i/>
        <color rgb="FFFFFFFF"/>
      </rPr>
      <t>Ghana</t>
    </r>
  </si>
  <si>
    <r>
      <rPr>
        <rFont val="Roboto"/>
        <color rgb="FFFFFFFF"/>
      </rPr>
      <t xml:space="preserve">Marcus </t>
    </r>
    <r>
      <rPr>
        <rFont val="Roboto"/>
        <b/>
        <color rgb="FFFFFFFF"/>
      </rPr>
      <t>Bettinelli</t>
    </r>
  </si>
  <si>
    <r>
      <rPr>
        <rFont val="Roboto"/>
        <b/>
        <color rgb="FFFFFFFF"/>
      </rPr>
      <t>Anglia /</t>
    </r>
    <r>
      <rPr>
        <rFont val="Roboto"/>
        <b val="0"/>
        <i/>
        <color rgb="FFFFFFFF"/>
      </rPr>
      <t>Włochy</t>
    </r>
  </si>
  <si>
    <t xml:space="preserve">Nico </t>
  </si>
  <si>
    <t>Rodri</t>
  </si>
  <si>
    <r>
      <rPr>
        <rFont val="Roboto"/>
        <color rgb="FFFFFFFF"/>
      </rPr>
      <t xml:space="preserve">Stefan </t>
    </r>
    <r>
      <rPr>
        <rFont val="Roboto"/>
        <b/>
        <color rgb="FFFFFFFF"/>
      </rPr>
      <t>Ortega</t>
    </r>
  </si>
  <si>
    <r>
      <rPr>
        <rFont val="Roboto"/>
        <b/>
        <color rgb="FFFFFFFF"/>
      </rPr>
      <t>Niemcy /</t>
    </r>
    <r>
      <rPr>
        <rFont val="Roboto"/>
        <b val="0"/>
        <i/>
        <color rgb="FFFFFFFF"/>
      </rPr>
      <t>Hiszpania</t>
    </r>
  </si>
  <si>
    <r>
      <rPr>
        <rFont val="Roboto"/>
        <b/>
        <i/>
        <color rgb="FFFFFFFF"/>
      </rPr>
      <t xml:space="preserve">Bernardo </t>
    </r>
    <r>
      <rPr>
        <rFont val="Roboto"/>
        <b/>
        <i/>
        <color rgb="FFFFFFFF"/>
      </rPr>
      <t>Silva</t>
    </r>
  </si>
  <si>
    <r>
      <rPr>
        <rFont val="Roboto"/>
        <color rgb="FFFFFFFF"/>
      </rPr>
      <t xml:space="preserve">Rayan </t>
    </r>
    <r>
      <rPr>
        <rFont val="Roboto"/>
        <b/>
        <color rgb="FFFFFFFF"/>
      </rPr>
      <t>Aït-Nouri</t>
    </r>
  </si>
  <si>
    <r>
      <rPr>
        <rFont val="Roboto"/>
        <b/>
        <color rgb="FFFFFFFF"/>
      </rPr>
      <t>Algeria /</t>
    </r>
    <r>
      <rPr>
        <rFont val="Roboto"/>
        <b val="0"/>
        <i/>
        <color rgb="FFFFFFFF"/>
      </rPr>
      <t>Francja</t>
    </r>
  </si>
  <si>
    <r>
      <rPr>
        <rFont val="Roboto"/>
        <color rgb="FFFFFFFF"/>
      </rPr>
      <t xml:space="preserve">Joško </t>
    </r>
    <r>
      <rPr>
        <rFont val="Roboto"/>
        <b/>
        <color rgb="FFFFFFFF"/>
      </rPr>
      <t>Gvardiol</t>
    </r>
  </si>
  <si>
    <r>
      <rPr>
        <rFont val="Roboto"/>
        <color rgb="FFFFFFFF"/>
      </rPr>
      <t xml:space="preserve">Gianluigi </t>
    </r>
    <r>
      <rPr>
        <rFont val="Roboto"/>
        <b/>
        <color rgb="FFFFFFFF"/>
      </rPr>
      <t>Donnarumma</t>
    </r>
  </si>
  <si>
    <t>Savinho</t>
  </si>
  <si>
    <r>
      <rPr>
        <rFont val="Roboto"/>
        <b/>
        <i/>
        <color rgb="FFFFFFFF"/>
      </rPr>
      <t xml:space="preserve">Matheus </t>
    </r>
    <r>
      <rPr>
        <rFont val="Roboto"/>
        <b/>
        <i/>
        <color rgb="FFFFFFFF"/>
      </rPr>
      <t>Nunes</t>
    </r>
  </si>
  <si>
    <r>
      <rPr>
        <rFont val="Roboto"/>
        <b/>
        <color rgb="FFFFFFFF"/>
      </rPr>
      <t>Portugalia /</t>
    </r>
    <r>
      <rPr>
        <rFont val="Roboto"/>
        <b val="0"/>
        <i/>
        <color rgb="FFFFFFFF"/>
      </rPr>
      <t>Brazylia</t>
    </r>
  </si>
  <si>
    <r>
      <rPr>
        <rFont val="Roboto"/>
        <color rgb="FFFFFFFF"/>
        <u/>
      </rPr>
      <t xml:space="preserve">Nico </t>
    </r>
    <r>
      <rPr>
        <rFont val="Roboto"/>
        <b/>
        <color rgb="FFFFFFFF"/>
        <u/>
      </rPr>
      <t>O'Reilly</t>
    </r>
  </si>
  <si>
    <r>
      <rPr>
        <rFont val="Roboto"/>
        <color rgb="FFFFFFFF"/>
      </rPr>
      <t xml:space="preserve">Abduqodir </t>
    </r>
    <r>
      <rPr>
        <rFont val="Roboto"/>
        <b/>
        <color rgb="FFFFFFFF"/>
      </rPr>
      <t>Husanov</t>
    </r>
  </si>
  <si>
    <t>Uzbekistan</t>
  </si>
  <si>
    <r>
      <rPr>
        <rFont val="Roboto"/>
        <color rgb="FFFFFFFF"/>
      </rPr>
      <t xml:space="preserve">Phil </t>
    </r>
    <r>
      <rPr>
        <rFont val="Roboto"/>
        <b/>
        <color rgb="FFFFFFFF"/>
      </rPr>
      <t>Foden</t>
    </r>
  </si>
  <si>
    <r>
      <rPr>
        <rFont val="Roboto"/>
        <color rgb="FFFFFFFF"/>
      </rPr>
      <t xml:space="preserve">Oscar </t>
    </r>
    <r>
      <rPr>
        <rFont val="Roboto"/>
        <b/>
        <color rgb="FFFFFFFF"/>
      </rPr>
      <t>Bobb</t>
    </r>
  </si>
  <si>
    <r>
      <rPr>
        <rFont val="Roboto"/>
        <b/>
        <color rgb="FFFFFFFF"/>
      </rPr>
      <t>Norwegia /</t>
    </r>
    <r>
      <rPr>
        <rFont val="Roboto"/>
        <b val="0"/>
        <i/>
        <color rgb="FFFFFFFF"/>
      </rPr>
      <t>Gambia</t>
    </r>
  </si>
  <si>
    <r>
      <rPr>
        <rFont val="Roboto"/>
        <color rgb="FFFFFFFF"/>
        <u/>
      </rPr>
      <t xml:space="preserve">Charlie </t>
    </r>
    <r>
      <rPr>
        <rFont val="Roboto"/>
        <b/>
        <color rgb="FFFFFFFF"/>
        <u/>
      </rPr>
      <t>Gray</t>
    </r>
  </si>
  <si>
    <r>
      <rPr>
        <rFont val="Roboto"/>
        <color rgb="FFFFFFFF"/>
      </rPr>
      <t xml:space="preserve">Divine </t>
    </r>
    <r>
      <rPr>
        <rFont val="Roboto"/>
        <b/>
        <color rgb="FFFFFFFF"/>
      </rPr>
      <t>Mukasa</t>
    </r>
  </si>
  <si>
    <r>
      <rPr>
        <rFont val="Roboto"/>
        <color rgb="FFFFFFFF"/>
        <u/>
      </rPr>
      <t xml:space="preserve">Max </t>
    </r>
    <r>
      <rPr>
        <rFont val="Roboto"/>
        <b/>
        <color rgb="FFFFFFFF"/>
        <u/>
      </rPr>
      <t xml:space="preserve">Alleyne </t>
    </r>
  </si>
  <si>
    <r>
      <rPr>
        <rFont val="Roboto"/>
        <b/>
        <color rgb="FFFFFFFF"/>
        <u/>
      </rPr>
      <t>Anglia /</t>
    </r>
    <r>
      <rPr>
        <rFont val="Roboto"/>
        <b val="0"/>
        <i/>
        <color rgb="FFFFFFFF"/>
        <u/>
      </rPr>
      <t>Barbados</t>
    </r>
  </si>
  <si>
    <r>
      <rPr>
        <rFont val="Roboto"/>
        <color rgb="FFFFFFFF"/>
      </rPr>
      <t xml:space="preserve">Rico </t>
    </r>
    <r>
      <rPr>
        <rFont val="Roboto"/>
        <b/>
        <color rgb="FFFFFFFF"/>
      </rPr>
      <t>Lewis</t>
    </r>
  </si>
  <si>
    <r>
      <rPr>
        <rFont val="Roboto"/>
        <color rgb="FFFFFFFF"/>
        <u/>
      </rPr>
      <t xml:space="preserve">Kian </t>
    </r>
    <r>
      <rPr>
        <rFont val="Roboto"/>
        <b/>
        <color rgb="FFFFFFFF"/>
        <u/>
      </rPr>
      <t>Noble</t>
    </r>
  </si>
  <si>
    <r>
      <rPr>
        <rFont val="Roboto"/>
        <color rgb="FFFFFFFF"/>
      </rPr>
      <t xml:space="preserve">Stephen </t>
    </r>
    <r>
      <rPr>
        <rFont val="Roboto"/>
        <b/>
        <color rgb="FFFFFFFF"/>
      </rPr>
      <t>Mfuni</t>
    </r>
  </si>
  <si>
    <r>
      <rPr>
        <rFont val="Roboto"/>
        <b/>
        <color rgb="FFFFFFFF"/>
      </rPr>
      <t>Anglia /</t>
    </r>
    <r>
      <rPr>
        <rFont val="Roboto"/>
        <b val="0"/>
        <i/>
        <color rgb="FFFFFFFF"/>
      </rPr>
      <t>Demokratyczna Republika Konga</t>
    </r>
  </si>
  <si>
    <r>
      <rPr>
        <rFont val="Roboto"/>
        <color rgb="FFFFFFFF"/>
        <u/>
      </rPr>
      <t xml:space="preserve">Tyrone </t>
    </r>
    <r>
      <rPr>
        <rFont val="Roboto"/>
        <b/>
        <color rgb="FFFFFFFF"/>
        <u/>
      </rPr>
      <t>Samba</t>
    </r>
  </si>
  <si>
    <r>
      <rPr>
        <rFont val="Roboto"/>
        <b/>
        <color rgb="FFFFFFFF"/>
        <u/>
      </rPr>
      <t>Francja /</t>
    </r>
    <r>
      <rPr>
        <rFont val="Roboto"/>
        <b val="0"/>
        <i/>
        <color rgb="FFFFFFFF"/>
        <u/>
      </rPr>
      <t>Anglia</t>
    </r>
  </si>
  <si>
    <r>
      <rPr>
        <rFont val="Arial"/>
        <color rgb="FFFFFFFF"/>
      </rPr>
      <t xml:space="preserve">Pep </t>
    </r>
    <r>
      <rPr>
        <rFont val="Arial"/>
        <b/>
        <color rgb="FFFFFFFF"/>
      </rPr>
      <t>Guardiola</t>
    </r>
  </si>
  <si>
    <t>gole dla City</t>
  </si>
  <si>
    <t>Erling Haaland 56, Jérémy Doku 65</t>
  </si>
  <si>
    <t>Erling Haaland 15, 44</t>
  </si>
  <si>
    <t>Erling Haaland 17, Bernardo Silva 40</t>
  </si>
  <si>
    <t>Phil Foden 22, 57, Erling Haaland 29, Rayan Cherki 90</t>
  </si>
  <si>
    <t>Nico O'Reilly 35, Erling Haaland 43 (k)</t>
  </si>
  <si>
    <t>Rayan Cherki 60</t>
  </si>
  <si>
    <r>
      <rPr>
        <rFont val="Arial"/>
        <color rgb="FF009DDC"/>
      </rPr>
      <t xml:space="preserve">Gerónimo </t>
    </r>
    <r>
      <rPr>
        <rFont val="Arial"/>
        <b/>
        <color rgb="FF009DDC"/>
      </rPr>
      <t>Rulli</t>
    </r>
  </si>
  <si>
    <r>
      <rPr>
        <rFont val="Arial"/>
        <b/>
        <color rgb="FF009DDC"/>
      </rPr>
      <t>Argentyna /</t>
    </r>
    <r>
      <rPr>
        <rFont val="Arial"/>
        <b val="0"/>
        <i/>
        <color rgb="FF009DDC"/>
      </rPr>
      <t>Włochy</t>
    </r>
  </si>
  <si>
    <r>
      <rPr>
        <rFont val="Arial"/>
        <color rgb="FF009DDC"/>
      </rPr>
      <t xml:space="preserve">CJ </t>
    </r>
    <r>
      <rPr>
        <rFont val="Arial"/>
        <b/>
        <color rgb="FF009DDC"/>
      </rPr>
      <t>Egan-Riley</t>
    </r>
  </si>
  <si>
    <r>
      <rPr>
        <rFont val="Arial"/>
        <b/>
        <color rgb="FF009DDC"/>
      </rPr>
      <t>Anglia /</t>
    </r>
    <r>
      <rPr>
        <rFont val="Arial"/>
        <b val="0"/>
        <i/>
        <color rgb="FF009DDC"/>
      </rPr>
      <t>Irlandia</t>
    </r>
  </si>
  <si>
    <r>
      <rPr>
        <rFont val="Arial"/>
        <color rgb="FF009DDC"/>
      </rPr>
      <t xml:space="preserve">Leonardo </t>
    </r>
    <r>
      <rPr>
        <rFont val="Arial"/>
        <b/>
        <color rgb="FF009DDC"/>
      </rPr>
      <t>Balerdi</t>
    </r>
  </si>
  <si>
    <r>
      <rPr>
        <rFont val="Arial"/>
        <b/>
        <color rgb="FF009DDC"/>
      </rPr>
      <t>Argentyna /</t>
    </r>
    <r>
      <rPr>
        <rFont val="Arial"/>
        <b val="0"/>
        <i/>
        <color rgb="FF009DDC"/>
      </rPr>
      <t>Włochy</t>
    </r>
  </si>
  <si>
    <r>
      <rPr>
        <rFont val="Arial"/>
        <color rgb="FF009DDC"/>
      </rPr>
      <t xml:space="preserve">Ulisses </t>
    </r>
    <r>
      <rPr>
        <rFont val="Arial"/>
        <b/>
        <color rgb="FF009DDC"/>
      </rPr>
      <t>Garcia</t>
    </r>
  </si>
  <si>
    <r>
      <rPr>
        <rFont val="Arial"/>
        <b/>
        <color rgb="FF009DDC"/>
      </rPr>
      <t>Szwajcaria /</t>
    </r>
    <r>
      <rPr>
        <rFont val="Arial"/>
        <b val="0"/>
        <i/>
        <color rgb="FF009DDC"/>
      </rPr>
      <t>Republika Zielonego Przylądka</t>
    </r>
  </si>
  <si>
    <r>
      <rPr>
        <rFont val="Arial"/>
        <color rgb="FF009DDC"/>
      </rPr>
      <t xml:space="preserve">Angel </t>
    </r>
    <r>
      <rPr>
        <rFont val="Arial"/>
        <b/>
        <color rgb="FF009DDC"/>
      </rPr>
      <t>Gomes</t>
    </r>
  </si>
  <si>
    <r>
      <rPr>
        <rFont val="Arial"/>
        <b/>
        <color rgb="FF009DDC"/>
      </rPr>
      <t>Anglia /</t>
    </r>
    <r>
      <rPr>
        <rFont val="Arial"/>
        <b val="0"/>
        <i/>
        <color rgb="FF009DDC"/>
      </rPr>
      <t>Portugalia</t>
    </r>
  </si>
  <si>
    <r>
      <rPr>
        <rFont val="Arial"/>
        <color rgb="FF009DDC"/>
      </rPr>
      <t xml:space="preserve">Amine </t>
    </r>
    <r>
      <rPr>
        <rFont val="Arial"/>
        <b/>
        <color rgb="FF009DDC"/>
      </rPr>
      <t>Gouiri</t>
    </r>
  </si>
  <si>
    <r>
      <rPr>
        <rFont val="Arial"/>
        <b/>
        <color rgb="FF009DDC"/>
      </rPr>
      <t>Algieria /</t>
    </r>
    <r>
      <rPr>
        <rFont val="Arial"/>
        <b val="0"/>
        <i/>
        <color rgb="FF009DDC"/>
      </rPr>
      <t>Francja</t>
    </r>
  </si>
  <si>
    <r>
      <rPr>
        <rFont val="Arial"/>
        <color rgb="FF009DDC"/>
      </rPr>
      <t xml:space="preserve">Mason </t>
    </r>
    <r>
      <rPr>
        <rFont val="Arial"/>
        <b/>
        <color rgb="FF009DDC"/>
      </rPr>
      <t>Greenwood</t>
    </r>
  </si>
  <si>
    <r>
      <rPr>
        <rFont val="Arial"/>
        <color rgb="FF009DDC"/>
      </rPr>
      <t xml:space="preserve">Jeffrey </t>
    </r>
    <r>
      <rPr>
        <rFont val="Arial"/>
        <b/>
        <color rgb="FF009DDC"/>
      </rPr>
      <t>de Lange</t>
    </r>
  </si>
  <si>
    <t>Igor Paixão</t>
  </si>
  <si>
    <r>
      <rPr>
        <rFont val="Arial"/>
        <color rgb="FF009DDC"/>
      </rPr>
      <t xml:space="preserve">Matt </t>
    </r>
    <r>
      <rPr>
        <rFont val="Arial"/>
        <b/>
        <color rgb="FF009DDC"/>
      </rPr>
      <t>O'Riley</t>
    </r>
  </si>
  <si>
    <r>
      <rPr>
        <rFont val="Arial"/>
        <b/>
        <color rgb="FF009DDC"/>
      </rPr>
      <t>Dania /</t>
    </r>
    <r>
      <rPr>
        <rFont val="Arial"/>
        <b val="0"/>
        <i/>
        <color rgb="FF009DDC"/>
      </rPr>
      <t>Anglia</t>
    </r>
  </si>
  <si>
    <r>
      <rPr>
        <rFont val="Arial"/>
        <color rgb="FF009DDC"/>
      </rPr>
      <t xml:space="preserve">Arthur </t>
    </r>
    <r>
      <rPr>
        <rFont val="Arial"/>
        <b/>
        <color rgb="FF009DDC"/>
      </rPr>
      <t>Vermeeren</t>
    </r>
  </si>
  <si>
    <r>
      <rPr>
        <rFont val="Arial"/>
        <color rgb="FF009DDC"/>
      </rPr>
      <t xml:space="preserve">Geoffrey </t>
    </r>
    <r>
      <rPr>
        <rFont val="Arial"/>
        <b/>
        <color rgb="FF009DDC"/>
      </rPr>
      <t>Kondogbia</t>
    </r>
  </si>
  <si>
    <t>Republika Środkowoafrykańska</t>
  </si>
  <si>
    <r>
      <rPr>
        <rFont val="Arial"/>
        <color rgb="FF009DDC"/>
      </rPr>
      <t xml:space="preserve">Hamed </t>
    </r>
    <r>
      <rPr>
        <rFont val="Arial"/>
        <b/>
        <color rgb="FF009DDC"/>
      </rPr>
      <t>Traoré</t>
    </r>
  </si>
  <si>
    <r>
      <rPr>
        <rFont val="Arial"/>
        <color rgb="FF009DDC"/>
      </rPr>
      <t xml:space="preserve">Nayef </t>
    </r>
    <r>
      <rPr>
        <rFont val="Arial"/>
        <b/>
        <color rgb="FF009DDC"/>
      </rPr>
      <t>Aguerd</t>
    </r>
  </si>
  <si>
    <t>Maroko</t>
  </si>
  <si>
    <r>
      <rPr>
        <rFont val="Arial"/>
        <color rgb="FF009DDC"/>
      </rPr>
      <t xml:space="preserve">Timothy </t>
    </r>
    <r>
      <rPr>
        <rFont val="Arial"/>
        <b/>
        <color rgb="FF009DDC"/>
      </rPr>
      <t>Weah</t>
    </r>
  </si>
  <si>
    <r>
      <rPr>
        <rFont val="Arial"/>
        <b/>
        <color rgb="FF009DDC"/>
      </rPr>
      <t>USA /</t>
    </r>
    <r>
      <rPr>
        <rFont val="Arial"/>
        <b val="0"/>
        <i/>
        <color rgb="FF009DDC"/>
      </rPr>
      <t>Francja</t>
    </r>
  </si>
  <si>
    <r>
      <rPr>
        <rFont val="Arial"/>
        <color rgb="FF009DDC"/>
      </rPr>
      <t xml:space="preserve">Pierre-Emile </t>
    </r>
    <r>
      <rPr>
        <rFont val="Arial"/>
        <b/>
        <color rgb="FF009DDC"/>
      </rPr>
      <t>Højbjerg</t>
    </r>
  </si>
  <si>
    <r>
      <rPr>
        <rFont val="Arial"/>
        <b/>
        <color rgb="FF009DDC"/>
      </rPr>
      <t>Dania /</t>
    </r>
    <r>
      <rPr>
        <rFont val="Arial"/>
        <b val="0"/>
        <i/>
        <color rgb="FF009DDC"/>
      </rPr>
      <t>Francja</t>
    </r>
  </si>
  <si>
    <r>
      <rPr>
        <rFont val="Arial"/>
        <color rgb="FF009DDC"/>
      </rPr>
      <t xml:space="preserve">Bilal </t>
    </r>
    <r>
      <rPr>
        <rFont val="Arial"/>
        <b/>
        <color rgb="FF009DDC"/>
      </rPr>
      <t>Nadir</t>
    </r>
  </si>
  <si>
    <r>
      <rPr>
        <rFont val="Arial"/>
        <b/>
        <color rgb="FF009DDC"/>
      </rPr>
      <t>Maroko /</t>
    </r>
    <r>
      <rPr>
        <rFont val="Arial"/>
        <b val="0"/>
        <i/>
        <color rgb="FF009DDC"/>
      </rPr>
      <t>Francja</t>
    </r>
  </si>
  <si>
    <r>
      <rPr>
        <rFont val="Arial"/>
        <color rgb="FF009DDC"/>
      </rPr>
      <t xml:space="preserve">Benjamin </t>
    </r>
    <r>
      <rPr>
        <rFont val="Arial"/>
        <b/>
        <color rgb="FF009DDC"/>
      </rPr>
      <t>Pavard</t>
    </r>
  </si>
  <si>
    <r>
      <rPr>
        <rFont val="Arial"/>
        <color rgb="FF009DDC"/>
      </rPr>
      <t xml:space="preserve">Facundo </t>
    </r>
    <r>
      <rPr>
        <rFont val="Arial"/>
        <b/>
        <color rgb="FF009DDC"/>
      </rPr>
      <t>Medina</t>
    </r>
  </si>
  <si>
    <t>Emerson</t>
  </si>
  <si>
    <r>
      <rPr>
        <rFont val="Arial"/>
        <b/>
        <color rgb="FF009DDC"/>
      </rPr>
      <t>Brazylia /</t>
    </r>
    <r>
      <rPr>
        <rFont val="Arial"/>
        <b val="0"/>
        <i/>
        <color rgb="FF009DDC"/>
      </rPr>
      <t>Włochy</t>
    </r>
  </si>
  <si>
    <r>
      <rPr>
        <rFont val="Arial"/>
        <color rgb="FF009DDC"/>
      </rPr>
      <t xml:space="preserve">Robinio </t>
    </r>
    <r>
      <rPr>
        <rFont val="Arial"/>
        <b/>
        <color rgb="FF009DDC"/>
      </rPr>
      <t>Vaz</t>
    </r>
  </si>
  <si>
    <r>
      <rPr>
        <rFont val="Arial"/>
        <b/>
        <color rgb="FF009DDC"/>
      </rPr>
      <t>Francja /</t>
    </r>
    <r>
      <rPr>
        <rFont val="Arial"/>
        <b val="0"/>
        <i/>
        <color rgb="FF009DDC"/>
      </rPr>
      <t>Gwinea Bissau</t>
    </r>
  </si>
  <si>
    <r>
      <rPr>
        <rFont val="Arial"/>
        <color rgb="FF009DDC"/>
        <u/>
      </rPr>
      <t xml:space="preserve">Jelle </t>
    </r>
    <r>
      <rPr>
        <rFont val="Arial"/>
        <b/>
        <color rgb="FF009DDC"/>
        <u/>
      </rPr>
      <t>Van Neck</t>
    </r>
  </si>
  <si>
    <r>
      <rPr>
        <rFont val="Arial"/>
        <color rgb="FF009DDC"/>
        <u/>
      </rPr>
      <t xml:space="preserve">Kélian </t>
    </r>
    <r>
      <rPr>
        <rFont val="Arial"/>
        <b/>
        <color rgb="FF009DDC"/>
        <u/>
      </rPr>
      <t>Le Pironnec</t>
    </r>
  </si>
  <si>
    <r>
      <rPr>
        <rFont val="Arial"/>
        <color rgb="FF009DDC"/>
        <u/>
      </rPr>
      <t xml:space="preserve">Keyliane </t>
    </r>
    <r>
      <rPr>
        <rFont val="Arial"/>
        <b/>
        <color rgb="FF009DDC"/>
        <u/>
      </rPr>
      <t>Abdallah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</si>
  <si>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Mayotte</t>
    </r>
  </si>
  <si>
    <r>
      <rPr>
        <rFont val="Arial"/>
        <color rgb="FF009DDC"/>
        <u/>
      </rPr>
      <t xml:space="preserve">Darryl </t>
    </r>
    <r>
      <rPr>
        <rFont val="Arial"/>
        <b/>
        <color rgb="FF009DDC"/>
        <u/>
      </rPr>
      <t>Bakola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</si>
  <si>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Kongo</t>
    </r>
  </si>
  <si>
    <r>
      <rPr>
        <rFont val="Arial"/>
        <color rgb="FF009DDC"/>
        <u/>
      </rPr>
      <t xml:space="preserve">Yanis </t>
    </r>
    <r>
      <rPr>
        <rFont val="Arial"/>
        <b/>
        <color rgb="FF009DDC"/>
        <u/>
      </rPr>
      <t>Sellami</t>
    </r>
  </si>
  <si>
    <r>
      <rPr>
        <rFont val="Arial"/>
        <b/>
        <color rgb="FF009DDC"/>
        <u/>
      </rPr>
      <t>Algieria /</t>
    </r>
    <r>
      <rPr>
        <rFont val="Arial"/>
        <b val="0"/>
        <i/>
        <color rgb="FF009DDC"/>
        <u/>
      </rPr>
      <t>Francja</t>
    </r>
  </si>
  <si>
    <r>
      <rPr>
        <rFont val="Arial"/>
        <color rgb="FF009DDC"/>
        <u/>
      </rPr>
      <t xml:space="preserve">Kelyann </t>
    </r>
    <r>
      <rPr>
        <rFont val="Arial"/>
        <b/>
        <color rgb="FF009DDC"/>
        <u/>
      </rPr>
      <t>Bezahaf</t>
    </r>
  </si>
  <si>
    <r>
      <rPr>
        <rFont val="Arial"/>
        <b/>
        <color rgb="FF009DDC"/>
        <u/>
      </rPr>
      <t>Algieria /</t>
    </r>
    <r>
      <rPr>
        <rFont val="Arial"/>
        <b val="0"/>
        <i/>
        <color rgb="FF009DDC"/>
        <u/>
      </rPr>
      <t>Francja</t>
    </r>
  </si>
  <si>
    <r>
      <rPr>
        <rFont val="Arial"/>
        <color rgb="FF009DDC"/>
      </rPr>
      <t xml:space="preserve">Amir </t>
    </r>
    <r>
      <rPr>
        <rFont val="Arial"/>
        <b/>
        <color rgb="FF009DDC"/>
      </rPr>
      <t>Murillo</t>
    </r>
  </si>
  <si>
    <t>Panama</t>
  </si>
  <si>
    <r>
      <rPr>
        <rFont val="Arial"/>
        <color rgb="FF009DDC"/>
        <u/>
      </rPr>
      <t xml:space="preserve">Max </t>
    </r>
    <r>
      <rPr>
        <rFont val="Arial"/>
        <b/>
        <color rgb="FF009DDC"/>
        <u/>
      </rPr>
      <t>Corbon</t>
    </r>
  </si>
  <si>
    <r>
      <rPr>
        <rFont val="Arial"/>
        <b/>
        <color rgb="FF009DDC"/>
        <u/>
      </rPr>
      <t>Szwajcaria /</t>
    </r>
    <r>
      <rPr>
        <rFont val="Arial"/>
        <b val="0"/>
        <i/>
        <color rgb="FF009DDC"/>
        <u/>
      </rPr>
      <t>Francja</t>
    </r>
  </si>
  <si>
    <r>
      <rPr>
        <rFont val="Arial"/>
        <color rgb="FF009DDC"/>
        <u/>
      </rPr>
      <t xml:space="preserve">Paolo </t>
    </r>
    <r>
      <rPr>
        <rFont val="Arial"/>
        <b/>
        <color rgb="FF009DDC"/>
        <u/>
      </rPr>
      <t>Trigano</t>
    </r>
  </si>
  <si>
    <r>
      <rPr>
        <rFont val="Arial"/>
        <color rgb="FF009DDC"/>
        <u/>
      </rPr>
      <t xml:space="preserve">Alexandre </t>
    </r>
    <r>
      <rPr>
        <rFont val="Arial"/>
        <b/>
        <color rgb="FF009DDC"/>
        <u/>
      </rPr>
      <t>Tunkadi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</si>
  <si>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Demokratyczna Republika Konga</t>
    </r>
  </si>
  <si>
    <r>
      <rPr>
        <rFont val="Arial"/>
        <color rgb="FF009DDC"/>
        <u/>
      </rPr>
      <t xml:space="preserve">Mathis </t>
    </r>
    <r>
      <rPr>
        <rFont val="Arial"/>
        <b/>
        <color rgb="FF009DDC"/>
        <u/>
      </rPr>
      <t>Clément</t>
    </r>
  </si>
  <si>
    <r>
      <rPr>
        <rFont val="Arial"/>
        <color rgb="FF009DDC"/>
        <u/>
      </rPr>
      <t xml:space="preserve">Anis </t>
    </r>
    <r>
      <rPr>
        <rFont val="Arial"/>
        <b/>
        <color rgb="FF009DDC"/>
        <u/>
      </rPr>
      <t>Doubal</t>
    </r>
  </si>
  <si>
    <r>
      <rPr>
        <rFont val="Arial"/>
        <b/>
        <color rgb="FF009DDC"/>
        <u/>
      </rPr>
      <t>Tunezja /</t>
    </r>
    <r>
      <rPr>
        <rFont val="Arial"/>
        <b val="0"/>
        <i/>
        <color rgb="FF009DDC"/>
        <u/>
      </rPr>
      <t>Francja</t>
    </r>
  </si>
  <si>
    <r>
      <rPr>
        <rFont val="Arial"/>
        <color rgb="FF009DDC"/>
        <u/>
      </rPr>
      <t xml:space="preserve">Hilan </t>
    </r>
    <r>
      <rPr>
        <rFont val="Arial"/>
        <b/>
        <color rgb="FF009DDC"/>
        <u/>
      </rPr>
      <t>Hamzaoui Slimani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</si>
  <si>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Algieria</t>
    </r>
  </si>
  <si>
    <r>
      <rPr>
        <rFont val="Arial"/>
        <color rgb="FF009DDC"/>
        <u/>
      </rPr>
      <t xml:space="preserve">Lucas </t>
    </r>
    <r>
      <rPr>
        <rFont val="Arial"/>
        <b/>
        <color rgb="FF009DDC"/>
        <u/>
      </rPr>
      <t>Daubenfeld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</si>
  <si>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Włochy</t>
    </r>
  </si>
  <si>
    <r>
      <rPr>
        <rFont val="Arial"/>
        <color rgb="FF009DDC"/>
        <u/>
      </rPr>
      <t xml:space="preserve">Tadjidine </t>
    </r>
    <r>
      <rPr>
        <rFont val="Arial"/>
        <b/>
        <color rgb="FF009DDC"/>
        <u/>
      </rPr>
      <t>Mmadi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</si>
  <si>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Komory</t>
    </r>
  </si>
  <si>
    <r>
      <rPr>
        <rFont val="Arial"/>
        <color rgb="FF009DDC"/>
        <u/>
      </rPr>
      <t xml:space="preserve">Rayan </t>
    </r>
    <r>
      <rPr>
        <rFont val="Arial"/>
        <b/>
        <color rgb="FF009DDC"/>
        <u/>
      </rPr>
      <t>Ouro Bang Na</t>
    </r>
  </si>
  <si>
    <r>
      <rPr>
        <rFont val="Arial"/>
        <b/>
        <color rgb="FF009DDC"/>
        <u/>
      </rPr>
      <t>Francja /</t>
    </r>
    <r>
      <rPr>
        <rFont val="Arial"/>
        <b val="0"/>
        <i/>
        <color rgb="FF009DDC"/>
        <u/>
      </rPr>
      <t>Togo</t>
    </r>
  </si>
  <si>
    <r>
      <rPr>
        <rFont val="Arial"/>
        <color rgb="FF009DDC"/>
        <u/>
      </rPr>
      <t xml:space="preserve">Ange </t>
    </r>
    <r>
      <rPr>
        <rFont val="Arial"/>
        <b/>
        <color rgb="FF009DDC"/>
        <u/>
      </rPr>
      <t>Lago</t>
    </r>
  </si>
  <si>
    <r>
      <rPr>
        <rFont val="Arial"/>
        <color rgb="FF009DDC"/>
        <u/>
      </rPr>
      <t xml:space="preserve">Ibrahim </t>
    </r>
    <r>
      <rPr>
        <rFont val="Arial"/>
        <b/>
        <color rgb="FF009DDC"/>
        <u/>
      </rPr>
      <t>Gomis</t>
    </r>
  </si>
  <si>
    <r>
      <rPr>
        <rFont val="Arial"/>
        <b/>
        <color rgb="FF009DDC"/>
        <u/>
      </rPr>
      <t>Maroko /</t>
    </r>
    <r>
      <rPr>
        <rFont val="Arial"/>
        <b val="0"/>
        <i/>
        <color rgb="FF009DDC"/>
        <u/>
      </rPr>
      <t>Francja</t>
    </r>
  </si>
  <si>
    <t>Iuri Moreira</t>
  </si>
  <si>
    <r>
      <rPr>
        <rFont val="Arial"/>
        <color rgb="FF009DDC"/>
      </rPr>
      <t xml:space="preserve">Pierre-Emerick </t>
    </r>
    <r>
      <rPr>
        <rFont val="Arial"/>
        <b/>
        <color rgb="FF009DDC"/>
      </rPr>
      <t>Aubameyang</t>
    </r>
  </si>
  <si>
    <r>
      <rPr>
        <rFont val="Arial"/>
        <b/>
        <color rgb="FF009DDC"/>
      </rPr>
      <t>Gabon /</t>
    </r>
    <r>
      <rPr>
        <rFont val="Arial"/>
        <b val="0"/>
        <i/>
        <color rgb="FF009DDC"/>
      </rPr>
      <t>Francja</t>
    </r>
  </si>
  <si>
    <r>
      <rPr>
        <rFont val="Arial"/>
        <color rgb="FF00A7E1"/>
      </rPr>
      <t xml:space="preserve">Roberto </t>
    </r>
    <r>
      <rPr>
        <rFont val="Arial"/>
        <b/>
        <color rgb="FF00A7E1"/>
      </rPr>
      <t>De Zerbi</t>
    </r>
  </si>
  <si>
    <r>
      <rPr>
        <rFont val="Arial"/>
        <color rgb="FF00A7E1"/>
      </rPr>
      <t xml:space="preserve">Jacques </t>
    </r>
    <r>
      <rPr>
        <rFont val="Arial"/>
        <b/>
        <color rgb="FF00A7E1"/>
      </rPr>
      <t>Abardonado</t>
    </r>
  </si>
  <si>
    <r>
      <rPr>
        <rFont val="Arial"/>
        <b/>
        <color rgb="FF00A7E1"/>
      </rPr>
      <t>Francja /</t>
    </r>
    <r>
      <rPr>
        <rFont val="Arial"/>
        <b val="0"/>
        <i/>
        <color rgb="FF00A7E1"/>
      </rPr>
      <t>Hiszpania</t>
    </r>
  </si>
  <si>
    <t>gole dla Marsylii</t>
  </si>
  <si>
    <t>Timothy Weah 22</t>
  </si>
  <si>
    <t>Madryt (Santiago Bernabéu)</t>
  </si>
  <si>
    <t>Igor Paixão 6, 12, Mason Greenwood 26, Pierre-Emerick Aubameyang 52</t>
  </si>
  <si>
    <t>Igor Paixão 14</t>
  </si>
  <si>
    <t>Pierre-Emerick Aubameyang 46, 50</t>
  </si>
  <si>
    <t>Igor Paixão 15, Mason Greenwood 41, 58</t>
  </si>
  <si>
    <r>
      <rPr>
        <rFont val="Arial"/>
        <color rgb="FFD6002D"/>
      </rPr>
      <t xml:space="preserve">Lukáš </t>
    </r>
    <r>
      <rPr>
        <rFont val="Arial"/>
        <b/>
        <color rgb="FFD6002D"/>
      </rPr>
      <t>Hrádecký</t>
    </r>
  </si>
  <si>
    <r>
      <rPr>
        <rFont val="Arial"/>
        <b/>
        <color rgb="FFD6002D"/>
      </rPr>
      <t>Finlandia /</t>
    </r>
    <r>
      <rPr>
        <rFont val="Arial"/>
        <b val="0"/>
        <i/>
        <color rgb="FFD6002D"/>
      </rPr>
      <t>Słowacja</t>
    </r>
  </si>
  <si>
    <t>Vanderson</t>
  </si>
  <si>
    <r>
      <rPr>
        <rFont val="Arial"/>
        <color rgb="FFD6002D"/>
      </rPr>
      <t xml:space="preserve">Eric </t>
    </r>
    <r>
      <rPr>
        <rFont val="Arial"/>
        <b/>
        <color rgb="FFD6002D"/>
      </rPr>
      <t>Dier</t>
    </r>
  </si>
  <si>
    <r>
      <rPr>
        <rFont val="Arial"/>
        <b/>
        <color rgb="FFD6002D"/>
      </rPr>
      <t>Anglia /</t>
    </r>
    <r>
      <rPr>
        <rFont val="Arial"/>
        <b val="0"/>
        <i/>
        <color rgb="FFD6002D"/>
      </rPr>
      <t>Portugalia</t>
    </r>
  </si>
  <si>
    <r>
      <rPr>
        <rFont val="Arial"/>
        <color rgb="FFD6002D"/>
      </rPr>
      <t xml:space="preserve">Jordan </t>
    </r>
    <r>
      <rPr>
        <rFont val="Arial"/>
        <b/>
        <color rgb="FFD6002D"/>
      </rPr>
      <t>Teze</t>
    </r>
  </si>
  <si>
    <r>
      <rPr>
        <rFont val="Arial"/>
        <b/>
        <color rgb="FFD6002D"/>
      </rPr>
      <t>Holandia /</t>
    </r>
    <r>
      <rPr>
        <rFont val="Arial"/>
        <b val="0"/>
        <i/>
        <color rgb="FFD6002D"/>
      </rPr>
      <t>Kongo</t>
    </r>
  </si>
  <si>
    <r>
      <rPr>
        <rFont val="Arial"/>
        <color rgb="FFD6002D"/>
      </rPr>
      <t xml:space="preserve">Thilo </t>
    </r>
    <r>
      <rPr>
        <rFont val="Arial"/>
        <b/>
        <color rgb="FFD6002D"/>
      </rPr>
      <t>Kehrer</t>
    </r>
  </si>
  <si>
    <r>
      <rPr>
        <rFont val="Arial"/>
        <b/>
        <color rgb="FFD6002D"/>
      </rPr>
      <t>Niemcy /</t>
    </r>
    <r>
      <rPr>
        <rFont val="Arial"/>
        <b val="0"/>
        <i/>
        <color rgb="FFD6002D"/>
      </rPr>
      <t>Burundi</t>
    </r>
  </si>
  <si>
    <r>
      <rPr>
        <rFont val="Arial"/>
        <color rgb="FFD6002D"/>
      </rPr>
      <t xml:space="preserve">Denis </t>
    </r>
    <r>
      <rPr>
        <rFont val="Arial"/>
        <b/>
        <color rgb="FFD6002D"/>
      </rPr>
      <t>Zakaria</t>
    </r>
  </si>
  <si>
    <r>
      <rPr>
        <rFont val="Arial"/>
        <b/>
        <color rgb="FFD6002D"/>
      </rPr>
      <t>Szwajcaria /</t>
    </r>
    <r>
      <rPr>
        <rFont val="Arial"/>
        <b val="0"/>
        <i/>
        <color rgb="FFD6002D"/>
      </rPr>
      <t>Demokratyczna Republika Konga</t>
    </r>
  </si>
  <si>
    <r>
      <rPr>
        <rFont val="Arial"/>
        <color rgb="FFD6002D"/>
      </rPr>
      <t xml:space="preserve">Paul </t>
    </r>
    <r>
      <rPr>
        <rFont val="Arial"/>
        <b/>
        <color rgb="FFD6002D"/>
      </rPr>
      <t>Pogba</t>
    </r>
  </si>
  <si>
    <r>
      <rPr>
        <rFont val="Arial"/>
        <b/>
        <color rgb="FFD6002D"/>
      </rPr>
      <t>Francja /</t>
    </r>
    <r>
      <rPr>
        <rFont val="Arial"/>
        <b val="0"/>
        <i/>
        <color rgb="FFD6002D"/>
      </rPr>
      <t>Gwinea</t>
    </r>
  </si>
  <si>
    <r>
      <rPr>
        <rFont val="Arial"/>
        <color rgb="FFD6002D"/>
      </rPr>
      <t xml:space="preserve">Folarin </t>
    </r>
    <r>
      <rPr>
        <rFont val="Arial"/>
        <b/>
        <color rgb="FFD6002D"/>
      </rPr>
      <t>Balogun</t>
    </r>
  </si>
  <si>
    <r>
      <rPr>
        <rFont val="Arial"/>
        <b/>
        <color rgb="FFD6002D"/>
      </rPr>
      <t>USA /</t>
    </r>
    <r>
      <rPr>
        <rFont val="Arial"/>
        <b val="0"/>
        <i/>
        <color rgb="FFD6002D"/>
      </rPr>
      <t>Anglia</t>
    </r>
  </si>
  <si>
    <r>
      <rPr>
        <rFont val="Arial"/>
        <color rgb="FFD6002D"/>
      </rPr>
      <t xml:space="preserve">Aleksandr </t>
    </r>
    <r>
      <rPr>
        <rFont val="Arial"/>
        <b/>
        <color rgb="FFD6002D"/>
      </rPr>
      <t>Gołowin</t>
    </r>
  </si>
  <si>
    <r>
      <rPr>
        <rFont val="Arial"/>
        <color rgb="FFD6002D"/>
      </rPr>
      <t xml:space="preserve">Maghnes </t>
    </r>
    <r>
      <rPr>
        <rFont val="Arial"/>
        <b/>
        <color rgb="FFD6002D"/>
      </rPr>
      <t>Akilouche</t>
    </r>
  </si>
  <si>
    <r>
      <rPr>
        <rFont val="Arial"/>
        <b/>
        <color rgb="FFD6002D"/>
      </rPr>
      <t>Francja /</t>
    </r>
    <r>
      <rPr>
        <rFont val="Arial"/>
        <b val="0"/>
        <i/>
        <color rgb="FFD6002D"/>
      </rPr>
      <t>Algieria</t>
    </r>
  </si>
  <si>
    <t>Caio Henrique</t>
  </si>
  <si>
    <r>
      <rPr>
        <rFont val="Arial"/>
        <b/>
        <color rgb="FFD6002D"/>
      </rPr>
      <t>Brazylia /</t>
    </r>
    <r>
      <rPr>
        <rFont val="Arial"/>
        <b val="0"/>
        <i/>
        <color rgb="FFD6002D"/>
      </rPr>
      <t>Hiszpania</t>
    </r>
  </si>
  <si>
    <r>
      <rPr>
        <rFont val="Arial"/>
        <color rgb="FFD6002D"/>
      </rPr>
      <t xml:space="preserve">Christian </t>
    </r>
    <r>
      <rPr>
        <rFont val="Arial"/>
        <b/>
        <color rgb="FFD6002D"/>
      </rPr>
      <t>Mawissa</t>
    </r>
  </si>
  <si>
    <r>
      <rPr>
        <rFont val="Arial"/>
        <b/>
        <color rgb="FFD6002D"/>
      </rPr>
      <t>Francja /</t>
    </r>
    <r>
      <rPr>
        <rFont val="Arial"/>
        <b val="0"/>
        <i/>
        <color rgb="FFD6002D"/>
      </rPr>
      <t>Demokratyczna Republika Konga</t>
    </r>
  </si>
  <si>
    <r>
      <rPr>
        <rFont val="Arial"/>
        <color rgb="FFD6002D"/>
      </rPr>
      <t xml:space="preserve">Mika </t>
    </r>
    <r>
      <rPr>
        <rFont val="Arial"/>
        <b/>
        <color rgb="FFD6002D"/>
      </rPr>
      <t>Biereth</t>
    </r>
  </si>
  <si>
    <r>
      <rPr>
        <rFont val="Arial"/>
        <b/>
        <color rgb="FFD6002D"/>
      </rPr>
      <t>Dania /</t>
    </r>
    <r>
      <rPr>
        <rFont val="Arial"/>
        <b val="0"/>
        <i/>
        <color rgb="FFD6002D"/>
      </rPr>
      <t>Anglia</t>
    </r>
  </si>
  <si>
    <r>
      <rPr>
        <rFont val="Arial"/>
        <color rgb="FFD6002D"/>
      </rPr>
      <t xml:space="preserve">Lamine </t>
    </r>
    <r>
      <rPr>
        <rFont val="Arial"/>
        <b/>
        <color rgb="FFD6002D"/>
      </rPr>
      <t>Camara</t>
    </r>
  </si>
  <si>
    <t>Senegal</t>
  </si>
  <si>
    <r>
      <rPr>
        <rFont val="Arial"/>
        <color rgb="FFD6002D"/>
      </rPr>
      <t xml:space="preserve">Philipp </t>
    </r>
    <r>
      <rPr>
        <rFont val="Arial"/>
        <b/>
        <color rgb="FFD6002D"/>
      </rPr>
      <t>Köhn</t>
    </r>
  </si>
  <si>
    <r>
      <rPr>
        <rFont val="Arial"/>
        <b/>
        <color rgb="FFD6002D"/>
      </rPr>
      <t>Szwajcaria /</t>
    </r>
    <r>
      <rPr>
        <rFont val="Arial"/>
        <b val="0"/>
        <i/>
        <color rgb="FFD6002D"/>
      </rPr>
      <t>Niemcy</t>
    </r>
  </si>
  <si>
    <r>
      <rPr>
        <rFont val="Arial"/>
        <color rgb="FFD6002D"/>
      </rPr>
      <t xml:space="preserve">Stanis </t>
    </r>
    <r>
      <rPr>
        <rFont val="Arial"/>
        <b/>
        <color rgb="FFD6002D"/>
      </rPr>
      <t>Idumbo</t>
    </r>
  </si>
  <si>
    <r>
      <rPr>
        <rFont val="Arial"/>
        <b/>
        <color rgb="FFD6002D"/>
      </rPr>
      <t>Belgia /</t>
    </r>
    <r>
      <rPr>
        <rFont val="Arial"/>
        <b val="0"/>
        <i/>
        <color rgb="FFD6002D"/>
      </rPr>
      <t>Demokratyczna Republika Konga</t>
    </r>
  </si>
  <si>
    <r>
      <rPr>
        <rFont val="Arial"/>
        <color rgb="FFD6002D"/>
      </rPr>
      <t xml:space="preserve">Takumi </t>
    </r>
    <r>
      <rPr>
        <rFont val="Arial"/>
        <b/>
        <color rgb="FFD6002D"/>
      </rPr>
      <t>Minamino</t>
    </r>
  </si>
  <si>
    <r>
      <rPr>
        <rFont val="Arial"/>
        <color rgb="FFD6002D"/>
      </rPr>
      <t xml:space="preserve">George </t>
    </r>
    <r>
      <rPr>
        <rFont val="Arial"/>
        <b/>
        <color rgb="FFD6002D"/>
      </rPr>
      <t>Ilenikhena</t>
    </r>
  </si>
  <si>
    <r>
      <rPr>
        <rFont val="Arial"/>
        <b/>
        <color rgb="FFD6002D"/>
      </rPr>
      <t>Nigeria /</t>
    </r>
    <r>
      <rPr>
        <rFont val="Arial"/>
        <b val="0"/>
        <i/>
        <color rgb="FFD6002D"/>
      </rPr>
      <t>Francja</t>
    </r>
  </si>
  <si>
    <r>
      <rPr>
        <rFont val="Arial"/>
        <color rgb="FFD6002D"/>
      </rPr>
      <t xml:space="preserve">Kassoum </t>
    </r>
    <r>
      <rPr>
        <rFont val="Arial"/>
        <b/>
        <color rgb="FFD6002D"/>
      </rPr>
      <t>Ouattara</t>
    </r>
  </si>
  <si>
    <r>
      <rPr>
        <rFont val="Arial"/>
        <b/>
        <color rgb="FFD6002D"/>
      </rPr>
      <t>Francja /</t>
    </r>
    <r>
      <rPr>
        <rFont val="Arial"/>
        <b val="0"/>
        <i/>
        <color rgb="FFD6002D"/>
      </rPr>
      <t>Wybrzeże Kości Słoniowej</t>
    </r>
  </si>
  <si>
    <r>
      <rPr>
        <rFont val="Arial"/>
        <color rgb="FFD6002D"/>
      </rPr>
      <t xml:space="preserve">Lucas </t>
    </r>
    <r>
      <rPr>
        <rFont val="Arial"/>
        <b/>
        <color rgb="FFD6002D"/>
      </rPr>
      <t>Michal</t>
    </r>
  </si>
  <si>
    <r>
      <rPr>
        <rFont val="Arial"/>
        <b/>
        <color rgb="FFD6002D"/>
      </rPr>
      <t>Francja /</t>
    </r>
    <r>
      <rPr>
        <rFont val="Arial"/>
        <b val="0"/>
        <i/>
        <color rgb="FFD6002D"/>
      </rPr>
      <t>Martynika</t>
    </r>
  </si>
  <si>
    <r>
      <rPr>
        <rFont val="Arial"/>
        <color rgb="FFD6002D"/>
      </rPr>
      <t xml:space="preserve">Mohammed </t>
    </r>
    <r>
      <rPr>
        <rFont val="Arial"/>
        <b/>
        <color rgb="FFD6002D"/>
      </rPr>
      <t>Salisu</t>
    </r>
  </si>
  <si>
    <r>
      <rPr>
        <rFont val="Arial"/>
        <color rgb="FFD6002D"/>
      </rPr>
      <t xml:space="preserve">Aladji </t>
    </r>
    <r>
      <rPr>
        <rFont val="Arial"/>
        <b/>
        <color rgb="FFD6002D"/>
      </rPr>
      <t>Bamba</t>
    </r>
  </si>
  <si>
    <r>
      <rPr>
        <rFont val="Arial"/>
        <b/>
        <color rgb="FFD6002D"/>
      </rPr>
      <t>Francja /</t>
    </r>
    <r>
      <rPr>
        <rFont val="Arial"/>
        <b val="0"/>
        <i/>
        <color rgb="FFD6002D"/>
      </rPr>
      <t>Gwinea</t>
    </r>
  </si>
  <si>
    <r>
      <rPr>
        <rFont val="Arial"/>
        <color rgb="FFD6002D"/>
      </rPr>
      <t xml:space="preserve">Krépin </t>
    </r>
    <r>
      <rPr>
        <rFont val="Arial"/>
        <b/>
        <color rgb="FFD6002D"/>
      </rPr>
      <t>Diatta</t>
    </r>
  </si>
  <si>
    <r>
      <rPr>
        <rFont val="Arial"/>
        <color rgb="FFD6002D"/>
      </rPr>
      <t xml:space="preserve">Mamadou </t>
    </r>
    <r>
      <rPr>
        <rFont val="Arial"/>
        <b/>
        <color rgb="FFD6002D"/>
      </rPr>
      <t>Coulibaly</t>
    </r>
  </si>
  <si>
    <r>
      <rPr>
        <rFont val="Arial"/>
        <b/>
        <color rgb="FFD6002D"/>
      </rPr>
      <t>Francja /</t>
    </r>
    <r>
      <rPr>
        <rFont val="Arial"/>
        <b val="0"/>
        <i/>
        <color rgb="FFD6002D"/>
      </rPr>
      <t>Mali</t>
    </r>
  </si>
  <si>
    <r>
      <rPr>
        <rFont val="Arial"/>
        <color rgb="FFD6002D"/>
      </rPr>
      <t xml:space="preserve">Ansu </t>
    </r>
    <r>
      <rPr>
        <rFont val="Arial"/>
        <b/>
        <color rgb="FFD6002D"/>
      </rPr>
      <t>Fati</t>
    </r>
  </si>
  <si>
    <r>
      <rPr>
        <rFont val="Arial"/>
        <b/>
        <color rgb="FFD6002D"/>
      </rPr>
      <t>Hiszpania /</t>
    </r>
    <r>
      <rPr>
        <rFont val="Arial"/>
        <b val="0"/>
        <i/>
        <color rgb="FFD6002D"/>
      </rPr>
      <t>Gwinea Bissau</t>
    </r>
  </si>
  <si>
    <r>
      <rPr>
        <rFont val="Arial"/>
        <color rgb="FFD6002D"/>
      </rPr>
      <t xml:space="preserve">Jules </t>
    </r>
    <r>
      <rPr>
        <rFont val="Arial"/>
        <b/>
        <color rgb="FFD6002D"/>
      </rPr>
      <t>Stawiecki</t>
    </r>
  </si>
  <si>
    <r>
      <rPr>
        <rFont val="Arial"/>
        <b/>
        <color rgb="FFD6002D"/>
      </rPr>
      <t>Francja /</t>
    </r>
    <r>
      <rPr>
        <rFont val="Arial"/>
        <b val="0"/>
        <i/>
        <color rgb="FFD6002D"/>
      </rPr>
      <t>Polska</t>
    </r>
  </si>
  <si>
    <r>
      <rPr>
        <rFont val="Arial"/>
        <color rgb="FFD6002D"/>
        <u/>
      </rPr>
      <t xml:space="preserve">Ilane </t>
    </r>
    <r>
      <rPr>
        <rFont val="Arial"/>
        <b/>
        <color rgb="FFD6002D"/>
        <u/>
      </rPr>
      <t>Touré</t>
    </r>
  </si>
  <si>
    <r>
      <rPr>
        <rFont val="Arial"/>
        <b/>
        <color rgb="FFD6002D"/>
        <u/>
      </rPr>
      <t>Francja /</t>
    </r>
    <r>
      <rPr>
        <rFont val="Arial"/>
        <b val="0"/>
        <i/>
        <color rgb="FFD6002D"/>
        <u/>
      </rPr>
      <t>Wybrzeże Kości Słoniowej</t>
    </r>
  </si>
  <si>
    <r>
      <rPr>
        <rFont val="Arial"/>
        <color rgb="FFD6002D"/>
        <u/>
      </rPr>
      <t xml:space="preserve">Joan </t>
    </r>
    <r>
      <rPr>
        <rFont val="Arial"/>
        <b/>
        <color rgb="FFD6002D"/>
        <u/>
      </rPr>
      <t>Tincres</t>
    </r>
  </si>
  <si>
    <r>
      <rPr>
        <rFont val="Arial"/>
        <color rgb="FFD6002D"/>
        <u/>
      </rPr>
      <t xml:space="preserve">Pape </t>
    </r>
    <r>
      <rPr>
        <rFont val="Arial"/>
        <b/>
        <color rgb="FFD6002D"/>
        <u/>
      </rPr>
      <t>Cabral</t>
    </r>
  </si>
  <si>
    <r>
      <rPr>
        <rFont val="Arial"/>
        <b/>
        <color rgb="FFD6002D"/>
        <u/>
      </rPr>
      <t>Francja /</t>
    </r>
    <r>
      <rPr>
        <rFont val="Arial"/>
        <b val="0"/>
        <i/>
        <color rgb="FFD6002D"/>
        <u/>
      </rPr>
      <t>Senegal</t>
    </r>
  </si>
  <si>
    <r>
      <rPr>
        <rFont val="Arial"/>
        <color rgb="FFD6002D"/>
        <u/>
      </rPr>
      <t xml:space="preserve">Samuel </t>
    </r>
    <r>
      <rPr>
        <rFont val="Arial"/>
        <b/>
        <color rgb="FFD6002D"/>
        <u/>
      </rPr>
      <t>Nidombe</t>
    </r>
  </si>
  <si>
    <r>
      <rPr>
        <rFont val="Arial"/>
        <b/>
        <color rgb="FFD6002D"/>
        <u/>
      </rPr>
      <t>Belgia /</t>
    </r>
    <r>
      <rPr>
        <rFont val="Arial"/>
        <b val="0"/>
        <i/>
        <color rgb="FFD6002D"/>
        <u/>
      </rPr>
      <t>Togo</t>
    </r>
  </si>
  <si>
    <r>
      <rPr>
        <rFont val="Arial"/>
        <color rgb="FFD6002D"/>
        <u/>
      </rPr>
      <t xml:space="preserve">Ilies </t>
    </r>
    <r>
      <rPr>
        <rFont val="Arial"/>
        <b/>
        <color rgb="FFD6002D"/>
        <u/>
      </rPr>
      <t>Belmokhtar</t>
    </r>
  </si>
  <si>
    <r>
      <rPr>
        <rFont val="Arial"/>
        <b/>
        <color rgb="FFD6002D"/>
        <u/>
      </rPr>
      <t>Francja /</t>
    </r>
    <r>
      <rPr>
        <rFont val="Arial"/>
        <b val="0"/>
        <i/>
        <color rgb="FFD6002D"/>
        <u/>
      </rPr>
      <t>Maroko</t>
    </r>
  </si>
  <si>
    <r>
      <rPr>
        <rFont val="Arial"/>
        <color rgb="FFD6002D"/>
        <u/>
      </rPr>
      <t xml:space="preserve">Nick </t>
    </r>
    <r>
      <rPr>
        <rFont val="Arial"/>
        <b/>
        <color rgb="FFD6002D"/>
        <u/>
      </rPr>
      <t>Mokabakila</t>
    </r>
  </si>
  <si>
    <r>
      <rPr>
        <rFont val="Arial"/>
        <b/>
        <color rgb="FFD6002D"/>
        <u/>
      </rPr>
      <t>Francja /</t>
    </r>
    <r>
      <rPr>
        <rFont val="Arial"/>
        <b val="0"/>
        <i/>
        <color rgb="FFD6002D"/>
        <u/>
      </rPr>
      <t>Kongo</t>
    </r>
  </si>
  <si>
    <r>
      <rPr>
        <rFont val="Arial"/>
        <color rgb="FFD6002D"/>
      </rPr>
      <t xml:space="preserve">Yann </t>
    </r>
    <r>
      <rPr>
        <rFont val="Arial"/>
        <b/>
        <color rgb="FFD6002D"/>
      </rPr>
      <t>Lienard</t>
    </r>
  </si>
  <si>
    <r>
      <rPr>
        <rFont val="Arial"/>
        <color rgb="FFD6002D"/>
        <u/>
      </rPr>
      <t xml:space="preserve">Yanis </t>
    </r>
    <r>
      <rPr>
        <rFont val="Arial"/>
        <b/>
        <color rgb="FFD6002D"/>
        <u/>
      </rPr>
      <t>Benchaouch</t>
    </r>
  </si>
  <si>
    <r>
      <rPr>
        <rFont val="Arial"/>
        <b/>
        <color rgb="FFD6002D"/>
        <u/>
      </rPr>
      <t>Francja /</t>
    </r>
    <r>
      <rPr>
        <rFont val="Arial"/>
        <b val="0"/>
        <i/>
        <color rgb="FFD6002D"/>
        <u/>
      </rPr>
      <t>Maroko</t>
    </r>
  </si>
  <si>
    <r>
      <rPr>
        <rFont val="Arial"/>
        <color rgb="FFD6002D"/>
      </rPr>
      <t xml:space="preserve">Adolf </t>
    </r>
    <r>
      <rPr>
        <rFont val="Arial"/>
        <b/>
        <color rgb="FFD6002D"/>
      </rPr>
      <t>Hütter</t>
    </r>
  </si>
  <si>
    <r>
      <rPr>
        <rFont val="Arial"/>
        <color rgb="FFD6002D"/>
      </rPr>
      <t xml:space="preserve">Sébastien </t>
    </r>
    <r>
      <rPr>
        <rFont val="Arial"/>
        <b/>
        <color rgb="FFD6002D"/>
      </rPr>
      <t>Pocognoli</t>
    </r>
  </si>
  <si>
    <r>
      <rPr>
        <rFont val="Arial"/>
        <b/>
        <color rgb="FFD6002D"/>
      </rPr>
      <t>Belgia /</t>
    </r>
    <r>
      <rPr>
        <rFont val="Arial"/>
        <b val="0"/>
        <i/>
        <color rgb="FFD6002D"/>
      </rPr>
      <t>Włochy</t>
    </r>
  </si>
  <si>
    <t>Ansu Fati 90</t>
  </si>
  <si>
    <t>Jordan Teze 18, Eric Dier 90 (k)</t>
  </si>
  <si>
    <t>Folarin Balogun 43</t>
  </si>
  <si>
    <t>Takumi Minamino 5, Folarin Balogun 26</t>
  </si>
  <si>
    <t>Folarin Balogun 68</t>
  </si>
  <si>
    <t>Jordan Teze 72</t>
  </si>
  <si>
    <r>
      <rPr>
        <rFont val="Arial"/>
        <color rgb="FFFFFFFF"/>
      </rPr>
      <t xml:space="preserve">Alex </t>
    </r>
    <r>
      <rPr>
        <rFont val="Arial"/>
        <b/>
        <color rgb="FFFFFFFF"/>
      </rPr>
      <t>Meret</t>
    </r>
  </si>
  <si>
    <r>
      <rPr>
        <rFont val="Arial"/>
        <color rgb="FFFFFFFF"/>
      </rPr>
      <t xml:space="preserve">Miguel </t>
    </r>
    <r>
      <rPr>
        <rFont val="Arial"/>
        <b/>
        <color rgb="FFFFFFFF"/>
      </rPr>
      <t>Gutiérrez</t>
    </r>
  </si>
  <si>
    <r>
      <rPr>
        <rFont val="Arial"/>
        <color rgb="FFFFFFFF"/>
      </rPr>
      <t xml:space="preserve">Alessandro </t>
    </r>
    <r>
      <rPr>
        <rFont val="Arial"/>
        <b/>
        <color rgb="FFFFFFFF"/>
      </rPr>
      <t>Buongiorno</t>
    </r>
  </si>
  <si>
    <t>Juan Jesus</t>
  </si>
  <si>
    <r>
      <rPr>
        <rFont val="Arial"/>
        <b/>
        <color rgb="FFFFFFFF"/>
      </rPr>
      <t>Brazylia /</t>
    </r>
    <r>
      <rPr>
        <rFont val="Arial"/>
        <b val="0"/>
        <i/>
        <color rgb="FFFFFFFF"/>
      </rPr>
      <t>Włochy</t>
    </r>
  </si>
  <si>
    <r>
      <rPr>
        <rFont val="Arial"/>
        <color rgb="FFFFFFFF"/>
      </rPr>
      <t xml:space="preserve">Billy </t>
    </r>
    <r>
      <rPr>
        <rFont val="Arial"/>
        <b/>
        <color rgb="FFFFFFFF"/>
      </rPr>
      <t>Gilmour</t>
    </r>
  </si>
  <si>
    <t>David Neres</t>
  </si>
  <si>
    <r>
      <rPr>
        <rFont val="Arial"/>
        <color rgb="FFFFFFFF"/>
      </rPr>
      <t xml:space="preserve">Scott </t>
    </r>
    <r>
      <rPr>
        <rFont val="Arial"/>
        <b/>
        <color rgb="FFFFFFFF"/>
      </rPr>
      <t>McTominay</t>
    </r>
  </si>
  <si>
    <r>
      <rPr>
        <rFont val="Arial"/>
        <b/>
        <color rgb="FFFFFFFF"/>
      </rPr>
      <t>Szkocja /</t>
    </r>
    <r>
      <rPr>
        <rFont val="Arial"/>
        <b val="0"/>
        <i/>
        <color rgb="FFFFFFFF"/>
      </rPr>
      <t>Anglia</t>
    </r>
  </si>
  <si>
    <r>
      <rPr>
        <rFont val="Arial"/>
        <color rgb="FFFFFFFF"/>
      </rPr>
      <t xml:space="preserve">Romelu </t>
    </r>
    <r>
      <rPr>
        <rFont val="Arial"/>
        <b/>
        <color rgb="FFFFFFFF"/>
      </rPr>
      <t>Lukaku</t>
    </r>
  </si>
  <si>
    <r>
      <rPr>
        <rFont val="Arial"/>
        <b/>
        <color rgb="FFFFFFFF"/>
      </rPr>
      <t>Belgia /</t>
    </r>
    <r>
      <rPr>
        <rFont val="Arial"/>
        <b val="0"/>
        <i/>
        <color rgb="FFFFFFFF"/>
      </rPr>
      <t>Demokratyczna Republika Konga</t>
    </r>
  </si>
  <si>
    <r>
      <rPr>
        <rFont val="Arial"/>
        <color rgb="FFFFFFFF"/>
      </rPr>
      <t xml:space="preserve">Kevin </t>
    </r>
    <r>
      <rPr>
        <rFont val="Arial"/>
        <b/>
        <color rgb="FFFFFFFF"/>
      </rPr>
      <t>De Bruyne</t>
    </r>
  </si>
  <si>
    <r>
      <rPr>
        <rFont val="Arial"/>
        <color rgb="FFFFFFFF"/>
      </rPr>
      <t xml:space="preserve">Amir </t>
    </r>
    <r>
      <rPr>
        <rFont val="Arial"/>
        <b/>
        <color rgb="FFFFFFFF"/>
      </rPr>
      <t>Rrahmani</t>
    </r>
  </si>
  <si>
    <r>
      <rPr>
        <rFont val="Arial"/>
        <b/>
        <color rgb="FFFFFFFF"/>
      </rPr>
      <t>Kosowo /</t>
    </r>
    <r>
      <rPr>
        <rFont val="Arial"/>
        <b val="0"/>
        <i/>
        <color rgb="FFFFFFFF"/>
      </rPr>
      <t>Albania</t>
    </r>
  </si>
  <si>
    <r>
      <rPr>
        <rFont val="Arial"/>
        <color rgb="FFFFFFFF"/>
      </rPr>
      <t xml:space="preserve">Nikita </t>
    </r>
    <r>
      <rPr>
        <rFont val="Arial"/>
        <b/>
        <color rgb="FFFFFFFF"/>
      </rPr>
      <t>Contini</t>
    </r>
  </si>
  <si>
    <r>
      <rPr>
        <rFont val="Arial"/>
        <b/>
        <color rgb="FFFFFFFF"/>
      </rPr>
      <t>Włochy /</t>
    </r>
    <r>
      <rPr>
        <rFont val="Arial"/>
        <b val="0"/>
        <i/>
        <color rgb="FFFFFFFF"/>
      </rPr>
      <t>Ukraina</t>
    </r>
  </si>
  <si>
    <r>
      <rPr>
        <rFont val="Arial"/>
        <color rgb="FFFFFFFF"/>
      </rPr>
      <t xml:space="preserve">Mathías </t>
    </r>
    <r>
      <rPr>
        <rFont val="Arial"/>
        <b/>
        <color rgb="FFFFFFFF"/>
      </rPr>
      <t>Olivera</t>
    </r>
  </si>
  <si>
    <r>
      <rPr>
        <rFont val="Arial"/>
        <b/>
        <color rgb="FFFFFFFF"/>
      </rPr>
      <t>Urugwaj /</t>
    </r>
    <r>
      <rPr>
        <rFont val="Arial"/>
        <b val="0"/>
        <i/>
        <color rgb="FFFFFFFF"/>
      </rPr>
      <t>Hiszpania</t>
    </r>
  </si>
  <si>
    <r>
      <rPr>
        <rFont val="Arial"/>
        <color rgb="FFFFFFFF"/>
      </rPr>
      <t xml:space="preserve">Rasmus </t>
    </r>
    <r>
      <rPr>
        <rFont val="Arial"/>
        <b/>
        <color rgb="FFFFFFFF"/>
      </rPr>
      <t>Højlund</t>
    </r>
  </si>
  <si>
    <r>
      <rPr>
        <rFont val="Arial"/>
        <color rgb="FFFFFFFF"/>
      </rPr>
      <t xml:space="preserve">Elif </t>
    </r>
    <r>
      <rPr>
        <rFont val="Arial"/>
        <b/>
        <color rgb="FFFFFFFF"/>
      </rPr>
      <t>Ełmas</t>
    </r>
  </si>
  <si>
    <t>Macedonia Północna</t>
  </si>
  <si>
    <r>
      <rPr>
        <rFont val="Arial"/>
        <color rgb="FFFFFFFF"/>
      </rPr>
      <t xml:space="preserve">Matteo </t>
    </r>
    <r>
      <rPr>
        <rFont val="Arial"/>
        <b/>
        <color rgb="FFFFFFFF"/>
      </rPr>
      <t>Politano</t>
    </r>
  </si>
  <si>
    <r>
      <rPr>
        <rFont val="Arial"/>
        <color rgb="FFFFFFFF"/>
      </rPr>
      <t xml:space="preserve">Giovanni </t>
    </r>
    <r>
      <rPr>
        <rFont val="Arial"/>
        <b/>
        <color rgb="FFFFFFFF"/>
      </rPr>
      <t>Di Lorenzo</t>
    </r>
  </si>
  <si>
    <r>
      <rPr>
        <rFont val="Arial"/>
        <color rgb="FFFFFFFF"/>
        <u/>
      </rPr>
      <t xml:space="preserve">Mathias </t>
    </r>
    <r>
      <rPr>
        <rFont val="Arial"/>
        <b/>
        <color rgb="FFFFFFFF"/>
        <u/>
      </rPr>
      <t>Ferrante</t>
    </r>
  </si>
  <si>
    <r>
      <rPr>
        <rFont val="Arial"/>
        <color rgb="FFFFFFFF"/>
      </rPr>
      <t xml:space="preserve">Antonio </t>
    </r>
    <r>
      <rPr>
        <rFont val="Arial"/>
        <b/>
        <color rgb="FFFFFFFF"/>
      </rPr>
      <t>Vergara</t>
    </r>
  </si>
  <si>
    <r>
      <rPr>
        <rFont val="Arial"/>
        <color rgb="FFFFFFFF"/>
      </rPr>
      <t xml:space="preserve">Lorenzo </t>
    </r>
    <r>
      <rPr>
        <rFont val="Arial"/>
        <b/>
        <color rgb="FFFFFFFF"/>
      </rPr>
      <t>Lucca</t>
    </r>
  </si>
  <si>
    <r>
      <rPr>
        <rFont val="Arial"/>
        <color rgb="FFFFFFFF"/>
      </rPr>
      <t xml:space="preserve">Sam </t>
    </r>
    <r>
      <rPr>
        <rFont val="Arial"/>
        <b/>
        <color rgb="FFFFFFFF"/>
      </rPr>
      <t>Beukema</t>
    </r>
  </si>
  <si>
    <r>
      <rPr>
        <rFont val="Arial"/>
        <color rgb="FFFFFFFF"/>
      </rPr>
      <t xml:space="preserve">Vanja </t>
    </r>
    <r>
      <rPr>
        <rFont val="Arial"/>
        <b/>
        <color rgb="FFFFFFFF"/>
      </rPr>
      <t>Milinković-Savić</t>
    </r>
  </si>
  <si>
    <r>
      <rPr>
        <rFont val="Arial"/>
        <b/>
        <color rgb="FFFFFFFF"/>
      </rPr>
      <t>Serbia /</t>
    </r>
    <r>
      <rPr>
        <rFont val="Arial"/>
        <b val="0"/>
        <i/>
        <color rgb="FFFFFFFF"/>
      </rPr>
      <t>Hiszpania</t>
    </r>
  </si>
  <si>
    <r>
      <rPr>
        <rFont val="Arial"/>
        <color rgb="FFFFFFFF"/>
      </rPr>
      <t xml:space="preserve">Leonardo </t>
    </r>
    <r>
      <rPr>
        <rFont val="Arial"/>
        <b/>
        <color rgb="FFFFFFFF"/>
      </rPr>
      <t>Spinazzola</t>
    </r>
  </si>
  <si>
    <r>
      <rPr>
        <rFont val="Arial"/>
        <color rgb="FFFFFFFF"/>
        <u/>
      </rPr>
      <t xml:space="preserve">Emmanuele </t>
    </r>
    <r>
      <rPr>
        <rFont val="Arial"/>
        <b/>
        <color rgb="FFFFFFFF"/>
        <u/>
      </rPr>
      <t>De Chiara</t>
    </r>
  </si>
  <si>
    <r>
      <rPr>
        <rFont val="Arial"/>
        <color rgb="FFFFFFFF"/>
        <u/>
      </rPr>
      <t xml:space="preserve">Vincezno </t>
    </r>
    <r>
      <rPr>
        <rFont val="Arial"/>
        <b/>
        <color rgb="FFFFFFFF"/>
        <u/>
      </rPr>
      <t>Prisco</t>
    </r>
  </si>
  <si>
    <r>
      <rPr>
        <rFont val="Arial"/>
        <color rgb="FFFFFFFF"/>
      </rPr>
      <t xml:space="preserve">Stanislav </t>
    </r>
    <r>
      <rPr>
        <rFont val="Arial"/>
        <b/>
        <color rgb="FFFFFFFF"/>
      </rPr>
      <t>Lobotka</t>
    </r>
  </si>
  <si>
    <r>
      <rPr>
        <rFont val="Arial"/>
        <color rgb="FFFFFFFF"/>
      </rPr>
      <t xml:space="preserve">Giuseppe </t>
    </r>
    <r>
      <rPr>
        <rFont val="Arial"/>
        <b/>
        <color rgb="FFFFFFFF"/>
      </rPr>
      <t>Ambrosino</t>
    </r>
  </si>
  <si>
    <r>
      <rPr>
        <rFont val="Arial"/>
        <color rgb="FFFFFFFF"/>
      </rPr>
      <t xml:space="preserve">Noa </t>
    </r>
    <r>
      <rPr>
        <rFont val="Arial"/>
        <b/>
        <color rgb="FFFFFFFF"/>
      </rPr>
      <t>Lang</t>
    </r>
  </si>
  <si>
    <r>
      <rPr>
        <rFont val="Arial"/>
        <b/>
        <color rgb="FFFFFFFF"/>
      </rPr>
      <t>Holandia /</t>
    </r>
    <r>
      <rPr>
        <rFont val="Arial"/>
        <b val="0"/>
        <i/>
        <color rgb="FFFFFFFF"/>
      </rPr>
      <t>Surinam</t>
    </r>
  </si>
  <si>
    <r>
      <rPr>
        <rFont val="Arial"/>
        <color rgb="FFFFFFFF"/>
      </rPr>
      <t xml:space="preserve">Frank </t>
    </r>
    <r>
      <rPr>
        <rFont val="Arial"/>
        <b/>
        <color rgb="FFFFFFFF"/>
      </rPr>
      <t>Anguissa</t>
    </r>
  </si>
  <si>
    <r>
      <rPr>
        <rFont val="Arial"/>
        <color rgb="FFFFFFFF"/>
      </rPr>
      <t xml:space="preserve">Antonio </t>
    </r>
    <r>
      <rPr>
        <rFont val="Arial"/>
        <b/>
        <color rgb="FFFFFFFF"/>
      </rPr>
      <t>Conte</t>
    </r>
  </si>
  <si>
    <t>gole dla Napoli</t>
  </si>
  <si>
    <t>Rasmus Højlund 36, 79</t>
  </si>
  <si>
    <t>Scott McTominay 31, 86</t>
  </si>
  <si>
    <t>Scott McTominay 65, Marko Janković 72 (s)</t>
  </si>
  <si>
    <t>Scott McTominay 39</t>
  </si>
  <si>
    <r>
      <rPr>
        <rFont val="Roboto"/>
        <color rgb="FF00B6F1"/>
      </rPr>
      <t xml:space="preserve">Nick </t>
    </r>
    <r>
      <rPr>
        <rFont val="Roboto"/>
        <b/>
        <color rgb="FF00B6F1"/>
      </rPr>
      <t>Pope</t>
    </r>
  </si>
  <si>
    <r>
      <rPr>
        <rFont val="Roboto"/>
        <color rgb="FF00B6F1"/>
      </rPr>
      <t xml:space="preserve">Kieran </t>
    </r>
    <r>
      <rPr>
        <rFont val="Roboto"/>
        <b/>
        <color rgb="FF00B6F1"/>
      </rPr>
      <t>Trippier</t>
    </r>
  </si>
  <si>
    <r>
      <rPr>
        <rFont val="Roboto"/>
        <color rgb="FF00B6F1"/>
        <u/>
      </rPr>
      <t xml:space="preserve">Lewis </t>
    </r>
    <r>
      <rPr>
        <rFont val="Roboto"/>
        <b/>
        <color rgb="FF00B6F1"/>
        <u/>
      </rPr>
      <t>Hall</t>
    </r>
  </si>
  <si>
    <r>
      <rPr>
        <rFont val="Roboto"/>
        <color rgb="FF00B6F1"/>
      </rPr>
      <t xml:space="preserve">Sven </t>
    </r>
    <r>
      <rPr>
        <rFont val="Roboto"/>
        <b/>
        <color rgb="FF00B6F1"/>
      </rPr>
      <t>Botman</t>
    </r>
  </si>
  <si>
    <r>
      <rPr>
        <rFont val="Roboto"/>
        <color rgb="FF00B6F1"/>
      </rPr>
      <t xml:space="preserve">Fabian </t>
    </r>
    <r>
      <rPr>
        <rFont val="Roboto"/>
        <b/>
        <color rgb="FF00B6F1"/>
      </rPr>
      <t>Schär</t>
    </r>
  </si>
  <si>
    <t>Joelinton</t>
  </si>
  <si>
    <r>
      <rPr>
        <rFont val="Roboto"/>
        <color rgb="FF00B6F1"/>
      </rPr>
      <t xml:space="preserve">Sandro </t>
    </r>
    <r>
      <rPr>
        <rFont val="Roboto"/>
        <b/>
        <color rgb="FF00B6F1"/>
      </rPr>
      <t>Tonali</t>
    </r>
  </si>
  <si>
    <r>
      <rPr>
        <rFont val="Roboto"/>
        <color rgb="FF00B6F1"/>
      </rPr>
      <t xml:space="preserve">Yoane </t>
    </r>
    <r>
      <rPr>
        <rFont val="Roboto"/>
        <b/>
        <color rgb="FF00B6F1"/>
      </rPr>
      <t>Wissa</t>
    </r>
  </si>
  <si>
    <r>
      <rPr>
        <rFont val="Roboto"/>
        <b/>
        <color rgb="FF00B6F1"/>
      </rPr>
      <t>Demokratyczna Republika Konga /</t>
    </r>
    <r>
      <rPr>
        <rFont val="Roboto"/>
        <b val="0"/>
        <i/>
        <color rgb="FF00B6F1"/>
      </rPr>
      <t>Francja</t>
    </r>
  </si>
  <si>
    <r>
      <rPr>
        <rFont val="Roboto"/>
        <color rgb="FF00B6F1"/>
      </rPr>
      <t xml:space="preserve">Anthony </t>
    </r>
    <r>
      <rPr>
        <rFont val="Roboto"/>
        <b/>
        <color rgb="FF00B6F1"/>
      </rPr>
      <t>Gordon</t>
    </r>
  </si>
  <si>
    <r>
      <rPr>
        <rFont val="Roboto"/>
        <color rgb="FF00B6F1"/>
      </rPr>
      <t xml:space="preserve">Harvey </t>
    </r>
    <r>
      <rPr>
        <rFont val="Roboto"/>
        <b/>
        <color rgb="FF00B6F1"/>
      </rPr>
      <t>Barnes</t>
    </r>
  </si>
  <si>
    <r>
      <rPr>
        <rFont val="Roboto"/>
        <color rgb="FF00B6F1"/>
      </rPr>
      <t xml:space="preserve">Malick </t>
    </r>
    <r>
      <rPr>
        <rFont val="Roboto"/>
        <b/>
        <color rgb="FF00B6F1"/>
      </rPr>
      <t>Thiaw</t>
    </r>
  </si>
  <si>
    <r>
      <rPr>
        <rFont val="Roboto"/>
        <b/>
        <color rgb="FF00B6F1"/>
      </rPr>
      <t>Niemcy /</t>
    </r>
    <r>
      <rPr>
        <rFont val="Roboto"/>
        <b val="0"/>
        <i/>
        <color rgb="FF00B6F1"/>
      </rPr>
      <t>Finlandia</t>
    </r>
  </si>
  <si>
    <r>
      <rPr>
        <rFont val="Roboto"/>
        <color rgb="FF00B6F1"/>
      </rPr>
      <t xml:space="preserve">Emil </t>
    </r>
    <r>
      <rPr>
        <rFont val="Roboto"/>
        <b/>
        <color rgb="FF00B6F1"/>
      </rPr>
      <t>Krafth</t>
    </r>
  </si>
  <si>
    <r>
      <rPr>
        <rFont val="Roboto"/>
        <color rgb="FF00B6F1"/>
      </rPr>
      <t xml:space="preserve">William </t>
    </r>
    <r>
      <rPr>
        <rFont val="Roboto"/>
        <b/>
        <color rgb="FF00B6F1"/>
      </rPr>
      <t>Osula</t>
    </r>
  </si>
  <si>
    <r>
      <rPr>
        <rFont val="Roboto"/>
        <b/>
        <color rgb="FF00B6F1"/>
      </rPr>
      <t>Dania /</t>
    </r>
    <r>
      <rPr>
        <rFont val="Roboto"/>
        <b val="0"/>
        <i/>
        <color rgb="FF00B6F1"/>
      </rPr>
      <t>Anglia</t>
    </r>
  </si>
  <si>
    <r>
      <rPr>
        <rFont val="Roboto"/>
        <color rgb="FF00B6F1"/>
      </rPr>
      <t xml:space="preserve">Anthony </t>
    </r>
    <r>
      <rPr>
        <rFont val="Roboto"/>
        <b/>
        <color rgb="FF00B6F1"/>
      </rPr>
      <t>Elanga</t>
    </r>
  </si>
  <si>
    <r>
      <rPr>
        <rFont val="Roboto"/>
        <b/>
        <color rgb="FF00B6F1"/>
      </rPr>
      <t>Szwecja /</t>
    </r>
    <r>
      <rPr>
        <rFont val="Roboto"/>
        <b val="0"/>
        <i/>
        <color rgb="FF00B6F1"/>
      </rPr>
      <t>Kamerun</t>
    </r>
  </si>
  <si>
    <r>
      <rPr>
        <rFont val="Roboto"/>
        <color rgb="FF00B6F1"/>
      </rPr>
      <t xml:space="preserve">Tino </t>
    </r>
    <r>
      <rPr>
        <rFont val="Roboto"/>
        <b/>
        <color rgb="FF00B6F1"/>
      </rPr>
      <t>Livramento</t>
    </r>
  </si>
  <si>
    <r>
      <rPr>
        <rFont val="Roboto"/>
        <b/>
        <color rgb="FF00B6F1"/>
      </rPr>
      <t>Anglia /</t>
    </r>
    <r>
      <rPr>
        <rFont val="Roboto"/>
        <b val="0"/>
        <i/>
        <color rgb="FF00B6F1"/>
      </rPr>
      <t>Szkocja</t>
    </r>
  </si>
  <si>
    <r>
      <rPr>
        <rFont val="Roboto"/>
        <color rgb="FF00B6F1"/>
      </rPr>
      <t xml:space="preserve">Jacob </t>
    </r>
    <r>
      <rPr>
        <rFont val="Roboto"/>
        <b/>
        <color rgb="FF00B6F1"/>
      </rPr>
      <t>Murphy</t>
    </r>
  </si>
  <si>
    <r>
      <rPr>
        <rFont val="Roboto"/>
        <color rgb="FF00B6F1"/>
      </rPr>
      <t xml:space="preserve">Nick </t>
    </r>
    <r>
      <rPr>
        <rFont val="Roboto"/>
        <b/>
        <color rgb="FF00B6F1"/>
      </rPr>
      <t>Woltemade</t>
    </r>
  </si>
  <si>
    <r>
      <rPr>
        <rFont val="Roboto"/>
        <color rgb="FF00B6F1"/>
      </rPr>
      <t xml:space="preserve">Joe </t>
    </r>
    <r>
      <rPr>
        <rFont val="Roboto"/>
        <b/>
        <color rgb="FF00B6F1"/>
      </rPr>
      <t>Willock</t>
    </r>
  </si>
  <si>
    <r>
      <rPr>
        <rFont val="Roboto"/>
        <b/>
        <color rgb="FF00B6F1"/>
      </rPr>
      <t>Anglia /</t>
    </r>
    <r>
      <rPr>
        <rFont val="Roboto"/>
        <b val="0"/>
        <i/>
        <color rgb="FF00B6F1"/>
      </rPr>
      <t>Montserrat</t>
    </r>
  </si>
  <si>
    <r>
      <rPr>
        <rFont val="Roboto"/>
        <color rgb="FF00B6F1"/>
        <u/>
      </rPr>
      <t xml:space="preserve">Max </t>
    </r>
    <r>
      <rPr>
        <rFont val="Roboto"/>
        <b/>
        <color rgb="FF00B6F1"/>
        <u/>
      </rPr>
      <t>Thompson</t>
    </r>
  </si>
  <si>
    <r>
      <rPr>
        <rFont val="Roboto"/>
        <color rgb="FF00B6F1"/>
      </rPr>
      <t xml:space="preserve">Aaron </t>
    </r>
    <r>
      <rPr>
        <rFont val="Roboto"/>
        <b/>
        <color rgb="FF00B6F1"/>
      </rPr>
      <t>Ramsdale</t>
    </r>
  </si>
  <si>
    <r>
      <rPr>
        <rFont val="Roboto"/>
        <color rgb="FF00B6F1"/>
      </rPr>
      <t xml:space="preserve">Dan </t>
    </r>
    <r>
      <rPr>
        <rFont val="Roboto"/>
        <b/>
        <color rgb="FF00B6F1"/>
      </rPr>
      <t>Burn</t>
    </r>
  </si>
  <si>
    <r>
      <rPr>
        <rFont val="Roboto"/>
        <color rgb="FF00B6F1"/>
        <u/>
      </rPr>
      <t xml:space="preserve">Alex </t>
    </r>
    <r>
      <rPr>
        <rFont val="Roboto"/>
        <b/>
        <color rgb="FF00B6F1"/>
        <u/>
      </rPr>
      <t>Murphy</t>
    </r>
  </si>
  <si>
    <t>Irlandia</t>
  </si>
  <si>
    <t>Bruno Guimarães</t>
  </si>
  <si>
    <r>
      <rPr>
        <rFont val="Roboto"/>
        <b/>
        <color rgb="FF00B6F1"/>
      </rPr>
      <t>Brazylia /</t>
    </r>
    <r>
      <rPr>
        <rFont val="Roboto"/>
        <b val="0"/>
        <i/>
        <color rgb="FF00B6F1"/>
      </rPr>
      <t>Hiszpania</t>
    </r>
  </si>
  <si>
    <r>
      <rPr>
        <rFont val="Roboto"/>
        <color rgb="FF00B6F1"/>
      </rPr>
      <t xml:space="preserve">Jacob </t>
    </r>
    <r>
      <rPr>
        <rFont val="Roboto"/>
        <b/>
        <color rgb="FF00B6F1"/>
      </rPr>
      <t>Ramsey</t>
    </r>
  </si>
  <si>
    <r>
      <rPr>
        <rFont val="Roboto"/>
        <color rgb="FF00B6F1"/>
        <u/>
      </rPr>
      <t xml:space="preserve">Adam </t>
    </r>
    <r>
      <rPr>
        <rFont val="Roboto"/>
        <b/>
        <color rgb="FF00B6F1"/>
        <u/>
      </rPr>
      <t>Harrison</t>
    </r>
  </si>
  <si>
    <r>
      <rPr>
        <rFont val="Roboto"/>
        <color rgb="FF00B6F1"/>
        <u/>
      </rPr>
      <t xml:space="preserve">Leo </t>
    </r>
    <r>
      <rPr>
        <rFont val="Roboto"/>
        <b/>
        <color rgb="FF00B6F1"/>
        <u/>
      </rPr>
      <t>Shahar</t>
    </r>
  </si>
  <si>
    <r>
      <rPr>
        <rFont val="Roboto"/>
        <color rgb="FF00B6F1"/>
        <u/>
      </rPr>
      <t xml:space="preserve">Sean </t>
    </r>
    <r>
      <rPr>
        <rFont val="Roboto"/>
        <b/>
        <color rgb="FF00B6F1"/>
        <u/>
      </rPr>
      <t>Neave</t>
    </r>
  </si>
  <si>
    <r>
      <rPr>
        <rFont val="Roboto"/>
        <color rgb="FF00B6F1"/>
        <u/>
      </rPr>
      <t xml:space="preserve">Lewis </t>
    </r>
    <r>
      <rPr>
        <rFont val="Roboto"/>
        <b/>
        <color rgb="FF00B6F1"/>
        <u/>
      </rPr>
      <t>Miley</t>
    </r>
  </si>
  <si>
    <r>
      <rPr>
        <rFont val="Roboto"/>
        <color rgb="FF00B6F1"/>
        <u/>
      </rPr>
      <t xml:space="preserve">Sam </t>
    </r>
    <r>
      <rPr>
        <rFont val="Roboto"/>
        <b/>
        <color rgb="FF00B6F1"/>
        <u/>
      </rPr>
      <t>Alabi</t>
    </r>
  </si>
  <si>
    <r>
      <rPr>
        <rFont val="Arial"/>
        <color rgb="FF00B6F1"/>
      </rPr>
      <t xml:space="preserve">Eddie </t>
    </r>
    <r>
      <rPr>
        <rFont val="Arial"/>
        <b/>
        <color rgb="FF00B6F1"/>
      </rPr>
      <t>Howe</t>
    </r>
  </si>
  <si>
    <t>gole dla Newcastle</t>
  </si>
  <si>
    <t>Anthony Gordon 90</t>
  </si>
  <si>
    <t>Nick Woltemade 17, Anthony Gordon 43 (k), 64 (k), Harvey Barnes 80</t>
  </si>
  <si>
    <t>Anthony Gordon 32, Harvey Barnes 70, 83</t>
  </si>
  <si>
    <t>Dan Burn 11, Joelinton 49</t>
  </si>
  <si>
    <t>Harvey Barnes 6</t>
  </si>
  <si>
    <t>Anthony Gordon 51 (k), Lewis Miley 74</t>
  </si>
  <si>
    <t>Yoane Wissa 8, Anthony Gordon 30, Harvey Barnes 65</t>
  </si>
  <si>
    <r>
      <rPr>
        <rFont val="Arial"/>
        <color rgb="FFFFFFFF"/>
      </rPr>
      <t xml:space="preserve">Aléxandros </t>
    </r>
    <r>
      <rPr>
        <rFont val="Arial"/>
        <b/>
        <color rgb="FFFFFFFF"/>
      </rPr>
      <t>Paschalákis</t>
    </r>
  </si>
  <si>
    <r>
      <rPr>
        <rFont val="Arial"/>
        <color rgb="FFFFFFFF"/>
      </rPr>
      <t xml:space="preserve">Francisco </t>
    </r>
    <r>
      <rPr>
        <rFont val="Arial"/>
        <b/>
        <color rgb="FFFFFFFF"/>
      </rPr>
      <t>Ortega</t>
    </r>
  </si>
  <si>
    <r>
      <rPr>
        <rFont val="Arial"/>
        <color rgb="FFFFFFFF"/>
      </rPr>
      <t xml:space="preserve">Giulian </t>
    </r>
    <r>
      <rPr>
        <rFont val="Arial"/>
        <b/>
        <color rgb="FFFFFFFF"/>
      </rPr>
      <t>Biancone</t>
    </r>
  </si>
  <si>
    <r>
      <rPr>
        <rFont val="Arial"/>
        <color rgb="FFFFFFFF"/>
      </rPr>
      <t xml:space="preserve">Lorenzo </t>
    </r>
    <r>
      <rPr>
        <rFont val="Arial"/>
        <b/>
        <color rgb="FFFFFFFF"/>
      </rPr>
      <t>Pirola</t>
    </r>
  </si>
  <si>
    <r>
      <rPr>
        <rFont val="Arial"/>
        <color rgb="FFFFFFFF"/>
      </rPr>
      <t xml:space="preserve">Aléxios </t>
    </r>
    <r>
      <rPr>
        <rFont val="Arial"/>
        <b/>
        <color rgb="FFFFFFFF"/>
      </rPr>
      <t>Kalogerópoulos</t>
    </r>
  </si>
  <si>
    <t>Diogo Nascimento</t>
  </si>
  <si>
    <r>
      <rPr>
        <rFont val="Arial"/>
        <color rgb="FFFFFFFF"/>
      </rPr>
      <t xml:space="preserve">Ayoub </t>
    </r>
    <r>
      <rPr>
        <rFont val="Arial"/>
        <b/>
        <color rgb="FFFFFFFF"/>
      </rPr>
      <t>El Kaabi</t>
    </r>
  </si>
  <si>
    <t>Gelson Martins</t>
  </si>
  <si>
    <r>
      <rPr>
        <rFont val="Arial"/>
        <b/>
        <color rgb="FFFFFFFF"/>
      </rPr>
      <t>Portugalia /</t>
    </r>
    <r>
      <rPr>
        <rFont val="Arial"/>
        <b val="0"/>
        <i/>
        <color rgb="FFFFFFFF"/>
      </rPr>
      <t>Republika Zielonego Przylądka</t>
    </r>
  </si>
  <si>
    <r>
      <rPr>
        <rFont val="Arial"/>
        <color rgb="FFFFFFFF"/>
      </rPr>
      <t xml:space="preserve">Roman </t>
    </r>
    <r>
      <rPr>
        <rFont val="Arial"/>
        <b/>
        <color rgb="FFFFFFFF"/>
      </rPr>
      <t>Jaremczuk</t>
    </r>
  </si>
  <si>
    <r>
      <rPr>
        <rFont val="Arial"/>
        <color rgb="FFFFFFFF"/>
      </rPr>
      <t xml:space="preserve">Dani </t>
    </r>
    <r>
      <rPr>
        <rFont val="Arial"/>
        <b/>
        <color rgb="FFFFFFFF"/>
      </rPr>
      <t>García</t>
    </r>
  </si>
  <si>
    <r>
      <rPr>
        <rFont val="Arial"/>
        <color rgb="FFFFFFFF"/>
      </rPr>
      <t xml:space="preserve">Lorenzo </t>
    </r>
    <r>
      <rPr>
        <rFont val="Arial"/>
        <b/>
        <color rgb="FFFFFFFF"/>
      </rPr>
      <t>Scipioni</t>
    </r>
  </si>
  <si>
    <r>
      <rPr>
        <rFont val="Arial"/>
        <b/>
        <color rgb="FFFFFFFF"/>
      </rPr>
      <t>Argentyna /</t>
    </r>
    <r>
      <rPr>
        <rFont val="Arial"/>
        <b val="0"/>
        <i/>
        <color rgb="FFFFFFFF"/>
      </rPr>
      <t>Włochy</t>
    </r>
  </si>
  <si>
    <t>Costinha</t>
  </si>
  <si>
    <t>Chiquinnho</t>
  </si>
  <si>
    <t>Rodinei</t>
  </si>
  <si>
    <t>Gabriel Strefezza</t>
  </si>
  <si>
    <r>
      <rPr>
        <rFont val="Arial"/>
        <b/>
        <color rgb="FFFFFFFF"/>
      </rPr>
      <t>Brazylia /</t>
    </r>
    <r>
      <rPr>
        <rFont val="Arial"/>
        <b val="0"/>
        <i/>
        <color rgb="FFFFFFFF"/>
      </rPr>
      <t>Portugalia</t>
    </r>
  </si>
  <si>
    <r>
      <rPr>
        <rFont val="Arial"/>
        <color rgb="FFFFFFFF"/>
        <u/>
      </rPr>
      <t xml:space="preserve">Nikólaos </t>
    </r>
    <r>
      <rPr>
        <rFont val="Arial"/>
        <b/>
        <color rgb="FFFFFFFF"/>
        <u/>
      </rPr>
      <t>Bótis</t>
    </r>
  </si>
  <si>
    <r>
      <rPr>
        <rFont val="Arial"/>
        <color rgb="FFFFFFFF"/>
      </rPr>
      <t xml:space="preserve">Santiago </t>
    </r>
    <r>
      <rPr>
        <rFont val="Arial"/>
        <b/>
        <color rgb="FFFFFFFF"/>
      </rPr>
      <t>Hezze</t>
    </r>
  </si>
  <si>
    <r>
      <rPr>
        <rFont val="Arial"/>
        <b/>
        <color rgb="FFFFFFFF"/>
      </rPr>
      <t>Argentyna /</t>
    </r>
    <r>
      <rPr>
        <rFont val="Arial"/>
        <b val="0"/>
        <i/>
        <color rgb="FFFFFFFF"/>
      </rPr>
      <t>Polska</t>
    </r>
  </si>
  <si>
    <r>
      <rPr>
        <rFont val="Arial"/>
        <color rgb="FFFFFFFF"/>
      </rPr>
      <t xml:space="preserve">Panagiótis </t>
    </r>
    <r>
      <rPr>
        <rFont val="Arial"/>
        <b/>
        <color rgb="FFFFFFFF"/>
      </rPr>
      <t>Rétsos</t>
    </r>
  </si>
  <si>
    <t>Daniel Podence</t>
  </si>
  <si>
    <r>
      <rPr>
        <rFont val="Arial"/>
        <color rgb="FFFFFFFF"/>
        <u/>
      </rPr>
      <t xml:space="preserve">Geórgios </t>
    </r>
    <r>
      <rPr>
        <rFont val="Arial"/>
        <b/>
        <color rgb="FFFFFFFF"/>
        <u/>
      </rPr>
      <t>Kouráklis</t>
    </r>
  </si>
  <si>
    <r>
      <rPr>
        <rFont val="Arial"/>
        <color rgb="FFFFFFFF"/>
        <u/>
      </rPr>
      <t xml:space="preserve">Argýrios </t>
    </r>
    <r>
      <rPr>
        <rFont val="Arial"/>
        <b/>
        <color rgb="FFFFFFFF"/>
        <u/>
      </rPr>
      <t>Liatsikoúras</t>
    </r>
  </si>
  <si>
    <r>
      <rPr>
        <rFont val="Arial"/>
        <color rgb="FFFFFFFF"/>
      </rPr>
      <t xml:space="preserve">Bruno </t>
    </r>
    <r>
      <rPr>
        <rFont val="Arial"/>
        <b/>
        <color rgb="FFFFFFFF"/>
      </rPr>
      <t>Onyemaechi</t>
    </r>
  </si>
  <si>
    <r>
      <rPr>
        <rFont val="Arial"/>
        <color rgb="FFFFFFFF"/>
        <u/>
      </rPr>
      <t xml:space="preserve">Stávros </t>
    </r>
    <r>
      <rPr>
        <rFont val="Arial"/>
        <b/>
        <color rgb="FFFFFFFF"/>
        <u/>
      </rPr>
      <t>Pnevmonídis</t>
    </r>
  </si>
  <si>
    <r>
      <rPr>
        <rFont val="Arial"/>
        <color rgb="FFFFFFFF"/>
      </rPr>
      <t xml:space="preserve">Konstantínos </t>
    </r>
    <r>
      <rPr>
        <rFont val="Arial"/>
        <b/>
        <color rgb="FFFFFFFF"/>
      </rPr>
      <t>Tzolákis</t>
    </r>
  </si>
  <si>
    <r>
      <rPr>
        <rFont val="Arial"/>
        <color rgb="FFFFFFFF"/>
        <u/>
      </rPr>
      <t xml:space="preserve">Aléxandros </t>
    </r>
    <r>
      <rPr>
        <rFont val="Arial"/>
        <b/>
        <color rgb="FFFFFFFF"/>
        <u/>
      </rPr>
      <t>Éxarchos</t>
    </r>
  </si>
  <si>
    <r>
      <rPr>
        <rFont val="Arial"/>
        <color rgb="FFFFFFFF"/>
        <u/>
      </rPr>
      <t xml:space="preserve">Chrístos </t>
    </r>
    <r>
      <rPr>
        <rFont val="Arial"/>
        <b/>
        <color rgb="FFFFFFFF"/>
        <u/>
      </rPr>
      <t>Mouzakítis</t>
    </r>
  </si>
  <si>
    <r>
      <rPr>
        <rFont val="Arial"/>
        <color rgb="FFFFFFFF"/>
      </rPr>
      <t xml:space="preserve">Mehdi </t>
    </r>
    <r>
      <rPr>
        <rFont val="Arial"/>
        <b/>
        <color rgb="FFFFFFFF"/>
      </rPr>
      <t>Taremi</t>
    </r>
  </si>
  <si>
    <t>Iran</t>
  </si>
  <si>
    <r>
      <rPr>
        <rFont val="Arial"/>
        <color rgb="FFFFFFFF"/>
      </rPr>
      <t xml:space="preserve">José Luis </t>
    </r>
    <r>
      <rPr>
        <rFont val="Arial"/>
        <b/>
        <color rgb="FFFFFFFF"/>
      </rPr>
      <t>Mendilibar</t>
    </r>
  </si>
  <si>
    <t>gole dla Olympiakosu</t>
  </si>
  <si>
    <t>Ayoub El Kaabi 53 (k)</t>
  </si>
  <si>
    <t>Gelson Martins 17</t>
  </si>
  <si>
    <t>Chiquinho 8, Mehdi Taremi 52, Ayoub El Kaabi 81</t>
  </si>
  <si>
    <t>Gelson Martins 73</t>
  </si>
  <si>
    <t>Costinha 2, Mehdi Taremi 45</t>
  </si>
  <si>
    <r>
      <rPr>
        <rFont val="Arial"/>
        <color rgb="FFFFD100"/>
      </rPr>
      <t xml:space="preserve">Jay </t>
    </r>
    <r>
      <rPr>
        <rFont val="Arial"/>
        <b/>
        <color rgb="FFFFD100"/>
      </rPr>
      <t>Gorter</t>
    </r>
  </si>
  <si>
    <r>
      <rPr>
        <rFont val="Arial"/>
        <color rgb="FFFFD100"/>
      </rPr>
      <t xml:space="preserve">Kóstas </t>
    </r>
    <r>
      <rPr>
        <rFont val="Arial"/>
        <b/>
        <color rgb="FFFFD100"/>
      </rPr>
      <t>Piléas</t>
    </r>
  </si>
  <si>
    <t>Cypr</t>
  </si>
  <si>
    <t>David Luiz</t>
  </si>
  <si>
    <r>
      <rPr>
        <rFont val="Arial"/>
        <color rgb="FFFFD100"/>
      </rPr>
      <t xml:space="preserve">David </t>
    </r>
    <r>
      <rPr>
        <rFont val="Arial"/>
        <b/>
        <color rgb="FFFFD100"/>
      </rPr>
      <t>Goldar</t>
    </r>
  </si>
  <si>
    <t>Bruno</t>
  </si>
  <si>
    <t>Domingos Quina</t>
  </si>
  <si>
    <r>
      <rPr>
        <rFont val="Arial"/>
        <b/>
        <color rgb="FFFFD100"/>
      </rPr>
      <t>Portugalia /</t>
    </r>
    <r>
      <rPr>
        <rFont val="Arial"/>
        <b val="0"/>
        <i/>
        <color rgb="FFFFD100"/>
      </rPr>
      <t>Gwinea Bissau</t>
    </r>
  </si>
  <si>
    <r>
      <rPr>
        <rFont val="Arial"/>
        <color rgb="FFFFD100"/>
      </rPr>
      <t xml:space="preserve">Mons </t>
    </r>
    <r>
      <rPr>
        <rFont val="Arial"/>
        <b/>
        <color rgb="FFFFD100"/>
      </rPr>
      <t>Bassouamina</t>
    </r>
  </si>
  <si>
    <r>
      <rPr>
        <rFont val="Arial"/>
        <b/>
        <color rgb="FFFFD100"/>
      </rPr>
      <t>Kongo /</t>
    </r>
    <r>
      <rPr>
        <rFont val="Arial"/>
        <b val="0"/>
        <i/>
        <color rgb="FFFFD100"/>
      </rPr>
      <t>Francja</t>
    </r>
  </si>
  <si>
    <r>
      <rPr>
        <rFont val="Arial"/>
        <color rgb="FFFFD100"/>
      </rPr>
      <t xml:space="preserve">Landry </t>
    </r>
    <r>
      <rPr>
        <rFont val="Arial"/>
        <b/>
        <color rgb="FFFFD100"/>
      </rPr>
      <t>Dimata</t>
    </r>
  </si>
  <si>
    <r>
      <rPr>
        <rFont val="Arial"/>
        <b/>
        <color rgb="FFFFD100"/>
      </rPr>
      <t>Belgia /</t>
    </r>
    <r>
      <rPr>
        <rFont val="Arial"/>
        <b val="0"/>
        <i/>
        <color rgb="FFFFD100"/>
      </rPr>
      <t>Demokratyczna Republika Konga</t>
    </r>
  </si>
  <si>
    <t>Jajá</t>
  </si>
  <si>
    <r>
      <rPr>
        <rFont val="Arial"/>
        <color rgb="FFFFD100"/>
      </rPr>
      <t xml:space="preserve">Ken </t>
    </r>
    <r>
      <rPr>
        <rFont val="Arial"/>
        <b/>
        <color rgb="FFFFD100"/>
      </rPr>
      <t>Sema</t>
    </r>
  </si>
  <si>
    <r>
      <rPr>
        <rFont val="Arial"/>
        <b/>
        <color rgb="FFFFD100"/>
      </rPr>
      <t>Szwecja /</t>
    </r>
    <r>
      <rPr>
        <rFont val="Arial"/>
        <b val="0"/>
        <i/>
        <color rgb="FFFFD100"/>
      </rPr>
      <t>Demokratyczna Republika Konga</t>
    </r>
  </si>
  <si>
    <r>
      <rPr>
        <rFont val="Arial"/>
        <color rgb="FFFFD100"/>
      </rPr>
      <t xml:space="preserve">Mislav </t>
    </r>
    <r>
      <rPr>
        <rFont val="Arial"/>
        <b/>
        <color rgb="FFFFD100"/>
      </rPr>
      <t>Oršić</t>
    </r>
  </si>
  <si>
    <r>
      <rPr>
        <rFont val="Arial"/>
        <color rgb="FFFFD100"/>
      </rPr>
      <t xml:space="preserve">Derrick </t>
    </r>
    <r>
      <rPr>
        <rFont val="Arial"/>
        <b/>
        <color rgb="FFFFD100"/>
      </rPr>
      <t>Luckassen</t>
    </r>
  </si>
  <si>
    <r>
      <rPr>
        <rFont val="Arial"/>
        <b/>
        <color rgb="FFFFD100"/>
      </rPr>
      <t>Holandia /</t>
    </r>
    <r>
      <rPr>
        <rFont val="Arial"/>
        <b val="0"/>
        <i/>
        <color rgb="FFFFD100"/>
      </rPr>
      <t>Ghana</t>
    </r>
  </si>
  <si>
    <r>
      <rPr>
        <rFont val="Arial"/>
        <color rgb="FFFFD100"/>
      </rPr>
      <t xml:space="preserve">Bruno </t>
    </r>
    <r>
      <rPr>
        <rFont val="Arial"/>
        <b/>
        <color rgb="FFFFD100"/>
      </rPr>
      <t>Langa</t>
    </r>
  </si>
  <si>
    <t>Mozambik</t>
  </si>
  <si>
    <r>
      <rPr>
        <rFont val="Arial"/>
        <color rgb="FFFFD100"/>
      </rPr>
      <t xml:space="preserve">Ivan </t>
    </r>
    <r>
      <rPr>
        <rFont val="Arial"/>
        <b/>
        <color rgb="FFFFD100"/>
      </rPr>
      <t>Šunjić</t>
    </r>
  </si>
  <si>
    <r>
      <rPr>
        <rFont val="Arial"/>
        <b/>
        <color rgb="FFFFD100"/>
      </rPr>
      <t>Bośnia i Hercegowina /</t>
    </r>
    <r>
      <rPr>
        <rFont val="Arial"/>
        <b val="0"/>
        <i/>
        <color rgb="FFFFD100"/>
      </rPr>
      <t>Chorwacja</t>
    </r>
  </si>
  <si>
    <r>
      <rPr>
        <rFont val="Arial"/>
        <color rgb="FFFFD100"/>
      </rPr>
      <t xml:space="preserve">Vlad </t>
    </r>
    <r>
      <rPr>
        <rFont val="Arial"/>
        <b/>
        <color rgb="FFFFD100"/>
      </rPr>
      <t>Dragomir</t>
    </r>
  </si>
  <si>
    <t>Anderson Silva</t>
  </si>
  <si>
    <r>
      <rPr>
        <rFont val="Arial"/>
        <color rgb="FFFFD100"/>
        <u/>
      </rPr>
      <t xml:space="preserve">Geórgios </t>
    </r>
    <r>
      <rPr>
        <rFont val="Arial"/>
        <b/>
        <color rgb="FFFFD100"/>
        <u/>
      </rPr>
      <t>Michél</t>
    </r>
  </si>
  <si>
    <t>João Correia</t>
  </si>
  <si>
    <r>
      <rPr>
        <rFont val="Arial"/>
        <b/>
        <color rgb="FFFFD100"/>
      </rPr>
      <t>Republika Zielonego Przylądka /</t>
    </r>
    <r>
      <rPr>
        <rFont val="Arial"/>
        <b val="0"/>
        <i/>
        <color rgb="FFFFD100"/>
      </rPr>
      <t>Portugalia</t>
    </r>
  </si>
  <si>
    <r>
      <rPr>
        <rFont val="Arial"/>
        <color rgb="FFFFD100"/>
        <u/>
      </rPr>
      <t xml:space="preserve">Pétros </t>
    </r>
    <r>
      <rPr>
        <rFont val="Arial"/>
        <b/>
        <color rgb="FFFFD100"/>
        <u/>
      </rPr>
      <t>Pétrou</t>
    </r>
  </si>
  <si>
    <t>Pedro Caldieraro</t>
  </si>
  <si>
    <r>
      <rPr>
        <rFont val="Arial"/>
        <b/>
        <color rgb="FFFFD100"/>
        <u/>
      </rPr>
      <t>Brazylia /</t>
    </r>
    <r>
      <rPr>
        <rFont val="Arial"/>
        <b val="0"/>
        <i/>
        <color rgb="FFFFD100"/>
        <u/>
      </rPr>
      <t>Włochy</t>
    </r>
  </si>
  <si>
    <t>Pêpê</t>
  </si>
  <si>
    <r>
      <rPr>
        <rFont val="Arial"/>
        <color rgb="FFFFD100"/>
      </rPr>
      <t xml:space="preserve">Neófytos </t>
    </r>
    <r>
      <rPr>
        <rFont val="Arial"/>
        <b/>
        <color rgb="FFFFD100"/>
      </rPr>
      <t>Michél</t>
    </r>
  </si>
  <si>
    <r>
      <rPr>
        <rFont val="Arial"/>
        <color rgb="FFFFD100"/>
        <u/>
      </rPr>
      <t xml:space="preserve">Athanásios-Theológos </t>
    </r>
    <r>
      <rPr>
        <rFont val="Arial"/>
        <b/>
        <color rgb="FFFFD100"/>
        <u/>
      </rPr>
      <t>Papadoúdis</t>
    </r>
  </si>
  <si>
    <r>
      <rPr>
        <rFont val="Arial"/>
        <color rgb="FFFFD100"/>
      </rPr>
      <t xml:space="preserve">Juan Carlos </t>
    </r>
    <r>
      <rPr>
        <rFont val="Arial"/>
        <b/>
        <color rgb="FFFFD100"/>
      </rPr>
      <t>Carcedo</t>
    </r>
  </si>
  <si>
    <r>
      <rPr>
        <rFont val="Arial"/>
        <color rgb="FFFFD100"/>
      </rPr>
      <t xml:space="preserve">Albert </t>
    </r>
    <r>
      <rPr>
        <rFont val="Arial"/>
        <b/>
        <color rgb="FFFFD100"/>
      </rPr>
      <t>Celades</t>
    </r>
  </si>
  <si>
    <r>
      <rPr>
        <rFont val="Arial"/>
        <b/>
        <color rgb="FFFFD100"/>
      </rPr>
      <t>Hiszpania /</t>
    </r>
    <r>
      <rPr>
        <rFont val="Arial"/>
        <b val="0"/>
        <i/>
        <color rgb="FFFFD100"/>
      </rPr>
      <t>Andora</t>
    </r>
  </si>
  <si>
    <t>gole dla Pafos</t>
  </si>
  <si>
    <t>Mislav Oršić 45</t>
  </si>
  <si>
    <t>Derrick Luckassen 46</t>
  </si>
  <si>
    <t>David Luiz 18, Mohammed Salisu 88 (s)</t>
  </si>
  <si>
    <r>
      <rPr>
        <rFont val="Arial"/>
        <color rgb="FFFD3A45"/>
      </rPr>
      <t xml:space="preserve">Achraf </t>
    </r>
    <r>
      <rPr>
        <rFont val="Arial"/>
        <b/>
        <color rgb="FFFD3A45"/>
      </rPr>
      <t>Hakimi</t>
    </r>
  </si>
  <si>
    <r>
      <rPr>
        <rFont val="Arial"/>
        <b/>
        <color rgb="FFFD3A45"/>
      </rPr>
      <t>Maroko /</t>
    </r>
    <r>
      <rPr>
        <rFont val="Arial"/>
        <b val="0"/>
        <i/>
        <color rgb="FFFD3A45"/>
      </rPr>
      <t>Hiszpania</t>
    </r>
  </si>
  <si>
    <t>Lucas Beraldo</t>
  </si>
  <si>
    <t>Marquinhos</t>
  </si>
  <si>
    <r>
      <rPr>
        <rFont val="Arial"/>
        <b/>
        <color rgb="FFFD3A45"/>
      </rPr>
      <t>Brazylia /</t>
    </r>
    <r>
      <rPr>
        <rFont val="Arial"/>
        <b val="0"/>
        <i/>
        <color rgb="FFFD3A45"/>
      </rPr>
      <t>Portugalia</t>
    </r>
  </si>
  <si>
    <r>
      <rPr>
        <rFont val="Arial"/>
        <color rgb="FFFD3A45"/>
      </rPr>
      <t xml:space="preserve">Illa </t>
    </r>
    <r>
      <rPr>
        <rFont val="Arial"/>
        <b/>
        <color rgb="FFFD3A45"/>
      </rPr>
      <t>Zabarnyj</t>
    </r>
  </si>
  <si>
    <r>
      <rPr>
        <rFont val="Arial"/>
        <color rgb="FFFD3A45"/>
      </rPr>
      <t xml:space="preserve">Chwicza </t>
    </r>
    <r>
      <rPr>
        <rFont val="Arial"/>
        <b/>
        <color rgb="FFFD3A45"/>
      </rPr>
      <t>Kwaracchelia</t>
    </r>
  </si>
  <si>
    <r>
      <rPr>
        <rFont val="Arial"/>
        <color rgb="FFFD3A45"/>
      </rPr>
      <t xml:space="preserve">Fabián </t>
    </r>
    <r>
      <rPr>
        <rFont val="Arial"/>
        <b/>
        <color rgb="FFFD3A45"/>
      </rPr>
      <t>Ruiz</t>
    </r>
  </si>
  <si>
    <t>Gonçalo Ramos</t>
  </si>
  <si>
    <r>
      <rPr>
        <rFont val="Arial"/>
        <color rgb="FFFD3A45"/>
      </rPr>
      <t xml:space="preserve">Ousmane </t>
    </r>
    <r>
      <rPr>
        <rFont val="Arial"/>
        <b/>
        <color rgb="FFFD3A45"/>
      </rPr>
      <t>Dembélé</t>
    </r>
  </si>
  <si>
    <r>
      <rPr>
        <rFont val="Arial"/>
        <color rgb="FFFD3A45"/>
      </rPr>
      <t xml:space="preserve">Désiré </t>
    </r>
    <r>
      <rPr>
        <rFont val="Arial"/>
        <b/>
        <color rgb="FFFD3A45"/>
      </rPr>
      <t>Doué</t>
    </r>
  </si>
  <si>
    <r>
      <rPr>
        <rFont val="Arial"/>
        <b/>
        <color rgb="FFFD3A45"/>
      </rPr>
      <t>Francja /</t>
    </r>
    <r>
      <rPr>
        <rFont val="Arial"/>
        <b val="0"/>
        <i/>
        <color rgb="FFFD3A45"/>
      </rPr>
      <t>Wybrzeże Kości Słoniowej</t>
    </r>
  </si>
  <si>
    <t>Vitinha</t>
  </si>
  <si>
    <r>
      <rPr>
        <rFont val="Arial"/>
        <b/>
        <color rgb="FFFD3A45"/>
      </rPr>
      <t xml:space="preserve">Lee </t>
    </r>
    <r>
      <rPr>
        <rFont val="Arial"/>
        <color rgb="FFFD3A45"/>
      </rPr>
      <t>Kang-in</t>
    </r>
  </si>
  <si>
    <r>
      <rPr>
        <rFont val="Arial"/>
        <color rgb="FFFD3A45"/>
      </rPr>
      <t xml:space="preserve">Lucas </t>
    </r>
    <r>
      <rPr>
        <rFont val="Arial"/>
        <b/>
        <color rgb="FFFD3A45"/>
      </rPr>
      <t>Hernández</t>
    </r>
  </si>
  <si>
    <r>
      <rPr>
        <rFont val="Arial"/>
        <b/>
        <color rgb="FFFD3A45"/>
      </rPr>
      <t>Francja /</t>
    </r>
    <r>
      <rPr>
        <rFont val="Arial"/>
        <b val="0"/>
        <i/>
        <color rgb="FFFD3A45"/>
      </rPr>
      <t>Hiszpania</t>
    </r>
  </si>
  <si>
    <r>
      <rPr>
        <rFont val="Arial"/>
        <color rgb="FFFD3A45"/>
      </rPr>
      <t xml:space="preserve">Senny </t>
    </r>
    <r>
      <rPr>
        <rFont val="Arial"/>
        <b/>
        <color rgb="FFFD3A45"/>
      </rPr>
      <t>Mayulu</t>
    </r>
  </si>
  <si>
    <r>
      <rPr>
        <rFont val="Arial"/>
        <b/>
        <color rgb="FFFD3A45"/>
      </rPr>
      <t>Francja /</t>
    </r>
    <r>
      <rPr>
        <rFont val="Arial"/>
        <b val="0"/>
        <i/>
        <color rgb="FFFD3A45"/>
      </rPr>
      <t>Demokratyczna Republika Konga</t>
    </r>
  </si>
  <si>
    <t>Nuno Mendes</t>
  </si>
  <si>
    <r>
      <rPr>
        <rFont val="Arial"/>
        <color rgb="FFFD3A45"/>
      </rPr>
      <t xml:space="preserve">Bradley </t>
    </r>
    <r>
      <rPr>
        <rFont val="Arial"/>
        <b/>
        <color rgb="FFFD3A45"/>
      </rPr>
      <t>Barcola</t>
    </r>
  </si>
  <si>
    <r>
      <rPr>
        <rFont val="Arial"/>
        <b/>
        <color rgb="FFFD3A45"/>
      </rPr>
      <t>Francja /</t>
    </r>
    <r>
      <rPr>
        <rFont val="Arial"/>
        <b val="0"/>
        <i/>
        <color rgb="FFFD3A45"/>
      </rPr>
      <t>Togo</t>
    </r>
  </si>
  <si>
    <r>
      <rPr>
        <rFont val="Arial"/>
        <color rgb="FFFD3A45"/>
      </rPr>
      <t xml:space="preserve">Lucas </t>
    </r>
    <r>
      <rPr>
        <rFont val="Arial"/>
        <b/>
        <color rgb="FFFD3A45"/>
      </rPr>
      <t>Cheavalier</t>
    </r>
  </si>
  <si>
    <r>
      <rPr>
        <rFont val="Arial"/>
        <color rgb="FFFD3A45"/>
      </rPr>
      <t>Warren</t>
    </r>
    <r>
      <rPr>
        <rFont val="Arial"/>
        <b/>
        <color rgb="FFFD3A45"/>
      </rPr>
      <t xml:space="preserve"> Zaïre-Emery</t>
    </r>
  </si>
  <si>
    <r>
      <rPr>
        <rFont val="Arial"/>
        <b/>
        <color rgb="FFFD3A45"/>
      </rPr>
      <t>Francja /</t>
    </r>
    <r>
      <rPr>
        <rFont val="Arial"/>
        <b val="0"/>
        <i/>
        <color rgb="FFFD3A45"/>
      </rPr>
      <t>Martynika</t>
    </r>
  </si>
  <si>
    <r>
      <rPr>
        <rFont val="Arial"/>
        <color rgb="FFFD3A45"/>
      </rPr>
      <t xml:space="preserve">Matwiej </t>
    </r>
    <r>
      <rPr>
        <rFont val="Arial"/>
        <b/>
        <color rgb="FFFD3A45"/>
      </rPr>
      <t>Safonow</t>
    </r>
  </si>
  <si>
    <r>
      <rPr>
        <rFont val="Arial"/>
        <color rgb="FFFD3A45"/>
        <u/>
      </rPr>
      <t xml:space="preserve">Mathis </t>
    </r>
    <r>
      <rPr>
        <rFont val="Arial"/>
        <b/>
        <color rgb="FFFD3A45"/>
        <u/>
      </rPr>
      <t>Jangéal</t>
    </r>
  </si>
  <si>
    <r>
      <rPr>
        <rFont val="Arial"/>
        <b/>
        <color rgb="FFFD3A45"/>
        <u/>
      </rPr>
      <t>Francja /</t>
    </r>
    <r>
      <rPr>
        <rFont val="Arial"/>
        <b val="0"/>
        <i/>
        <color rgb="FFFD3A45"/>
        <u/>
      </rPr>
      <t>Martynika</t>
    </r>
  </si>
  <si>
    <r>
      <rPr>
        <rFont val="Arial"/>
        <color rgb="FFFD3A45"/>
        <u/>
      </rPr>
      <t xml:space="preserve">David </t>
    </r>
    <r>
      <rPr>
        <rFont val="Arial"/>
        <b/>
        <color rgb="FFFD3A45"/>
        <u/>
      </rPr>
      <t>Boly</t>
    </r>
  </si>
  <si>
    <r>
      <rPr>
        <rFont val="Arial"/>
        <b/>
        <color rgb="FFFD3A45"/>
        <u/>
      </rPr>
      <t>Francja /</t>
    </r>
    <r>
      <rPr>
        <rFont val="Arial"/>
        <b val="0"/>
        <i/>
        <color rgb="FFFD3A45"/>
        <u/>
      </rPr>
      <t>Wybrzeże Kości Słoniowej</t>
    </r>
  </si>
  <si>
    <r>
      <rPr>
        <rFont val="Arial"/>
        <color rgb="FFFD3A45"/>
      </rPr>
      <t xml:space="preserve">Noham </t>
    </r>
    <r>
      <rPr>
        <rFont val="Arial"/>
        <b/>
        <color rgb="FFFD3A45"/>
      </rPr>
      <t>Kamara</t>
    </r>
  </si>
  <si>
    <r>
      <rPr>
        <rFont val="Arial"/>
        <b/>
        <color rgb="FFFD3A45"/>
      </rPr>
      <t>Francja /</t>
    </r>
    <r>
      <rPr>
        <rFont val="Arial"/>
        <b val="0"/>
        <i/>
        <color rgb="FFFD3A45"/>
      </rPr>
      <t>Senegal</t>
    </r>
  </si>
  <si>
    <r>
      <rPr>
        <rFont val="Arial"/>
        <color rgb="FFFD3A45"/>
        <u/>
      </rPr>
      <t xml:space="preserve">Noah </t>
    </r>
    <r>
      <rPr>
        <rFont val="Arial"/>
        <b/>
        <color rgb="FFFD3A45"/>
        <u/>
      </rPr>
      <t>Nsoki</t>
    </r>
  </si>
  <si>
    <r>
      <rPr>
        <rFont val="Arial"/>
        <b/>
        <color rgb="FFFD3A45"/>
        <u/>
      </rPr>
      <t>Francja /</t>
    </r>
    <r>
      <rPr>
        <rFont val="Arial"/>
        <b val="0"/>
        <i/>
        <color rgb="FFFD3A45"/>
        <u/>
      </rPr>
      <t>Demokratyczna Republika Konga</t>
    </r>
  </si>
  <si>
    <r>
      <rPr>
        <rFont val="Arial"/>
        <color rgb="FFFD3A45"/>
        <u/>
      </rPr>
      <t xml:space="preserve">Quentin </t>
    </r>
    <r>
      <rPr>
        <rFont val="Arial"/>
        <b/>
        <color rgb="FFFD3A45"/>
        <u/>
      </rPr>
      <t>Ndjantou</t>
    </r>
  </si>
  <si>
    <r>
      <rPr>
        <rFont val="Arial"/>
        <b/>
        <color rgb="FFFD3A45"/>
        <u/>
      </rPr>
      <t>Francja /</t>
    </r>
    <r>
      <rPr>
        <rFont val="Arial"/>
        <b val="0"/>
        <i/>
        <color rgb="FFFD3A45"/>
        <u/>
      </rPr>
      <t>Kamerun</t>
    </r>
  </si>
  <si>
    <r>
      <rPr>
        <rFont val="Arial"/>
        <color rgb="FFFD3A45"/>
      </rPr>
      <t xml:space="preserve">Ibrahim </t>
    </r>
    <r>
      <rPr>
        <rFont val="Arial"/>
        <b/>
        <color rgb="FFFD3A45"/>
      </rPr>
      <t>Mbaye</t>
    </r>
  </si>
  <si>
    <r>
      <rPr>
        <rFont val="Arial"/>
        <b/>
        <color rgb="FFFD3A45"/>
      </rPr>
      <t>Senegal /</t>
    </r>
    <r>
      <rPr>
        <rFont val="Arial"/>
        <b val="0"/>
        <i/>
        <color rgb="FFFD3A45"/>
      </rPr>
      <t>Francja</t>
    </r>
  </si>
  <si>
    <r>
      <rPr>
        <rFont val="Arial"/>
        <color rgb="FFFD3A45"/>
      </rPr>
      <t xml:space="preserve">William </t>
    </r>
    <r>
      <rPr>
        <rFont val="Arial"/>
        <b/>
        <color rgb="FFFD3A45"/>
      </rPr>
      <t>Pacho</t>
    </r>
  </si>
  <si>
    <t>Wenezuela</t>
  </si>
  <si>
    <r>
      <rPr>
        <rFont val="Arial"/>
        <color rgb="FFFD3A45"/>
        <u/>
      </rPr>
      <t xml:space="preserve">Martin </t>
    </r>
    <r>
      <rPr>
        <rFont val="Arial"/>
        <b/>
        <color rgb="FFFD3A45"/>
        <u/>
      </rPr>
      <t>James</t>
    </r>
  </si>
  <si>
    <t>João Neves</t>
  </si>
  <si>
    <r>
      <rPr>
        <rFont val="Arial"/>
        <color rgb="FFFD3A45"/>
      </rPr>
      <t xml:space="preserve">Renato </t>
    </r>
    <r>
      <rPr>
        <rFont val="Arial"/>
        <b/>
        <color rgb="FFFD3A45"/>
      </rPr>
      <t>Marin</t>
    </r>
  </si>
  <si>
    <r>
      <rPr>
        <rFont val="Arial"/>
        <b/>
        <color rgb="FFFD3A45"/>
      </rPr>
      <t>Włochy /</t>
    </r>
    <r>
      <rPr>
        <rFont val="Arial"/>
        <b val="0"/>
        <i/>
        <color rgb="FFFD3A45"/>
      </rPr>
      <t>Brazylia</t>
    </r>
  </si>
  <si>
    <t>Luis Enrique</t>
  </si>
  <si>
    <t>gole dla PSG</t>
  </si>
  <si>
    <t>Marquinhos 3, Chwicza Kwaracchelia 39, Nuno Mendes 51, Gonçalo Ramos 90</t>
  </si>
  <si>
    <t>Senny Mayulu 38</t>
  </si>
  <si>
    <t>William Pacho 7, Désiré Doué 41, 45, Chwicza Kwaracchelia 44, Nuno Mendes 50, Ousmane Dembélé 66, Vitinha 90</t>
  </si>
  <si>
    <t>João Neves 74</t>
  </si>
  <si>
    <t>Vitinha 45, 53, 76 (k), Fabián Ruiz 59, William Pacho 65</t>
  </si>
  <si>
    <t>Chwicza Kwaracchelia 79</t>
  </si>
  <si>
    <r>
      <rPr>
        <rFont val="Arial"/>
        <color rgb="FFFFFFFF"/>
      </rPr>
      <t xml:space="preserve">Nick </t>
    </r>
    <r>
      <rPr>
        <rFont val="Arial"/>
        <b/>
        <color rgb="FFFFFFFF"/>
      </rPr>
      <t>Olij</t>
    </r>
  </si>
  <si>
    <r>
      <rPr>
        <rFont val="Arial"/>
        <color rgb="FFFFFFFF"/>
      </rPr>
      <t xml:space="preserve">Anass </t>
    </r>
    <r>
      <rPr>
        <rFont val="Arial"/>
        <b/>
        <color rgb="FFFFFFFF"/>
      </rPr>
      <t>Salah-Eddine</t>
    </r>
  </si>
  <si>
    <r>
      <rPr>
        <rFont val="Arial"/>
        <b/>
        <color rgb="FFFFFFFF"/>
      </rPr>
      <t>Holandia /</t>
    </r>
    <r>
      <rPr>
        <rFont val="Arial"/>
        <b val="0"/>
        <i/>
        <color rgb="FFFFFFFF"/>
      </rPr>
      <t>Maroko</t>
    </r>
  </si>
  <si>
    <r>
      <rPr>
        <rFont val="Arial"/>
        <color rgb="FFFFFFFF"/>
      </rPr>
      <t xml:space="preserve">Yarek </t>
    </r>
    <r>
      <rPr>
        <rFont val="Arial"/>
        <b/>
        <color rgb="FFFFFFFF"/>
      </rPr>
      <t>Gasiorowski</t>
    </r>
  </si>
  <si>
    <r>
      <rPr>
        <rFont val="Arial"/>
        <b/>
        <color rgb="FFFFFFFF"/>
      </rPr>
      <t>Hiszpania /</t>
    </r>
    <r>
      <rPr>
        <rFont val="Arial"/>
        <b val="0"/>
        <i/>
        <color rgb="FFFFFFFF"/>
      </rPr>
      <t>Polska</t>
    </r>
  </si>
  <si>
    <r>
      <rPr>
        <rFont val="Arial"/>
        <color rgb="FFFFFFFF"/>
      </rPr>
      <t xml:space="preserve">Armando </t>
    </r>
    <r>
      <rPr>
        <rFont val="Arial"/>
        <b/>
        <color rgb="FFFFFFFF"/>
      </rPr>
      <t>Obispo</t>
    </r>
  </si>
  <si>
    <r>
      <rPr>
        <rFont val="Arial"/>
        <b/>
        <color rgb="FFFFFFFF"/>
      </rPr>
      <t>Curaçao /</t>
    </r>
    <r>
      <rPr>
        <rFont val="Arial"/>
        <b val="0"/>
        <i/>
        <color rgb="FFFFFFFF"/>
      </rPr>
      <t>Holandia</t>
    </r>
  </si>
  <si>
    <r>
      <rPr>
        <rFont val="Arial"/>
        <color rgb="FFFFFFFF"/>
      </rPr>
      <t xml:space="preserve">Ivan </t>
    </r>
    <r>
      <rPr>
        <rFont val="Arial"/>
        <b/>
        <color rgb="FFFFFFFF"/>
      </rPr>
      <t>Perišić</t>
    </r>
  </si>
  <si>
    <r>
      <rPr>
        <rFont val="Arial"/>
        <color rgb="FFFFFFFF"/>
      </rPr>
      <t xml:space="preserve">Ryan </t>
    </r>
    <r>
      <rPr>
        <rFont val="Arial"/>
        <b/>
        <color rgb="FFFFFFFF"/>
      </rPr>
      <t>Flamingo</t>
    </r>
  </si>
  <si>
    <r>
      <rPr>
        <rFont val="Arial"/>
        <b/>
        <color rgb="FFFFFFFF"/>
      </rPr>
      <t>Holandia /</t>
    </r>
    <r>
      <rPr>
        <rFont val="Arial"/>
        <b val="0"/>
        <i/>
        <color rgb="FFFFFFFF"/>
      </rPr>
      <t>Surinam</t>
    </r>
  </si>
  <si>
    <r>
      <rPr>
        <rFont val="Arial"/>
        <color rgb="FFFFFFFF"/>
      </rPr>
      <t xml:space="preserve">Ruben </t>
    </r>
    <r>
      <rPr>
        <rFont val="Arial"/>
        <b/>
        <color rgb="FFFFFFFF"/>
      </rPr>
      <t>van Bommel</t>
    </r>
  </si>
  <si>
    <r>
      <rPr>
        <rFont val="Arial"/>
        <color rgb="FFFFFFFF"/>
      </rPr>
      <t xml:space="preserve">Sergiño </t>
    </r>
    <r>
      <rPr>
        <rFont val="Arial"/>
        <b/>
        <color rgb="FFFFFFFF"/>
      </rPr>
      <t>Dest</t>
    </r>
  </si>
  <si>
    <r>
      <rPr>
        <rFont val="Arial"/>
        <b/>
        <color rgb="FFFFFFFF"/>
      </rPr>
      <t>USA /</t>
    </r>
    <r>
      <rPr>
        <rFont val="Arial"/>
        <b val="0"/>
        <i/>
        <color rgb="FFFFFFFF"/>
      </rPr>
      <t>Holandia</t>
    </r>
  </si>
  <si>
    <r>
      <rPr>
        <rFont val="Arial"/>
        <color rgb="FFFFFFFF"/>
      </rPr>
      <t xml:space="preserve">Ricardo </t>
    </r>
    <r>
      <rPr>
        <rFont val="Arial"/>
        <b/>
        <color rgb="FFFFFFFF"/>
      </rPr>
      <t>Pepi</t>
    </r>
  </si>
  <si>
    <r>
      <rPr>
        <rFont val="Arial"/>
        <b/>
        <color rgb="FFFFFFFF"/>
      </rPr>
      <t>USA /</t>
    </r>
    <r>
      <rPr>
        <rFont val="Arial"/>
        <b val="0"/>
        <i/>
        <color rgb="FFFFFFFF"/>
      </rPr>
      <t>Meksyk</t>
    </r>
  </si>
  <si>
    <r>
      <rPr>
        <rFont val="Arial"/>
        <color rgb="FFFFFFFF"/>
      </rPr>
      <t xml:space="preserve">Paul </t>
    </r>
    <r>
      <rPr>
        <rFont val="Arial"/>
        <b/>
        <color rgb="FFFFFFFF"/>
      </rPr>
      <t>Wanner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</si>
  <si>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Austria</t>
    </r>
  </si>
  <si>
    <r>
      <rPr>
        <rFont val="Arial"/>
        <color rgb="FFFFFFFF"/>
      </rPr>
      <t xml:space="preserve">Couhaib </t>
    </r>
    <r>
      <rPr>
        <rFont val="Arial"/>
        <b/>
        <color rgb="FFFFFFFF"/>
      </rPr>
      <t>Driouech</t>
    </r>
  </si>
  <si>
    <r>
      <rPr>
        <rFont val="Arial"/>
        <b/>
        <color rgb="FFFFFFFF"/>
      </rPr>
      <t>Maroko /</t>
    </r>
    <r>
      <rPr>
        <rFont val="Arial"/>
        <b val="0"/>
        <i/>
        <color rgb="FFFFFFFF"/>
      </rPr>
      <t>Holandia</t>
    </r>
  </si>
  <si>
    <t>Mauro Júnior</t>
  </si>
  <si>
    <r>
      <rPr>
        <rFont val="Arial"/>
        <color rgb="FFFFFFFF"/>
      </rPr>
      <t xml:space="preserve">Esmir </t>
    </r>
    <r>
      <rPr>
        <rFont val="Arial"/>
        <b/>
        <color rgb="FFFFFFFF"/>
      </rPr>
      <t>Bajraktarević</t>
    </r>
  </si>
  <si>
    <r>
      <rPr>
        <rFont val="Arial"/>
        <b/>
        <color rgb="FFFFFFFF"/>
      </rPr>
      <t>Bośnia i Hercegowina /</t>
    </r>
    <r>
      <rPr>
        <rFont val="Arial"/>
        <b val="0"/>
        <i/>
        <color rgb="FFFFFFFF"/>
      </rPr>
      <t>USA</t>
    </r>
  </si>
  <si>
    <r>
      <rPr>
        <rFont val="Arial"/>
        <color rgb="FFFFFFFF"/>
      </rPr>
      <t xml:space="preserve">Guus </t>
    </r>
    <r>
      <rPr>
        <rFont val="Arial"/>
        <b/>
        <color rgb="FFFFFFFF"/>
      </rPr>
      <t>Til</t>
    </r>
  </si>
  <si>
    <r>
      <rPr>
        <rFont val="Arial"/>
        <color rgb="FFFFFFFF"/>
      </rPr>
      <t xml:space="preserve">Myron </t>
    </r>
    <r>
      <rPr>
        <rFont val="Arial"/>
        <b/>
        <color rgb="FFFFFFFF"/>
      </rPr>
      <t>Boadu</t>
    </r>
  </si>
  <si>
    <r>
      <rPr>
        <rFont val="Arial"/>
        <b/>
        <color rgb="FFFFFFFF"/>
      </rPr>
      <t>Holandia /</t>
    </r>
    <r>
      <rPr>
        <rFont val="Arial"/>
        <b val="0"/>
        <i/>
        <color rgb="FFFFFFFF"/>
      </rPr>
      <t>Ghana</t>
    </r>
  </si>
  <si>
    <r>
      <rPr>
        <rFont val="Arial"/>
        <color rgb="FFFFFFFF"/>
      </rPr>
      <t xml:space="preserve">Jerdy </t>
    </r>
    <r>
      <rPr>
        <rFont val="Arial"/>
        <b/>
        <color rgb="FFFFFFFF"/>
      </rPr>
      <t>Schouten</t>
    </r>
  </si>
  <si>
    <r>
      <rPr>
        <rFont val="Arial"/>
        <color rgb="FFFFFFFF"/>
      </rPr>
      <t xml:space="preserve">Joey </t>
    </r>
    <r>
      <rPr>
        <rFont val="Arial"/>
        <b/>
        <color rgb="FFFFFFFF"/>
      </rPr>
      <t>Veerman</t>
    </r>
  </si>
  <si>
    <r>
      <rPr>
        <rFont val="Arial"/>
        <color rgb="FFFFFFFF"/>
        <u/>
      </rPr>
      <t xml:space="preserve">Niek </t>
    </r>
    <r>
      <rPr>
        <rFont val="Arial"/>
        <b/>
        <color rgb="FFFFFFFF"/>
        <u/>
      </rPr>
      <t>Schiks</t>
    </r>
  </si>
  <si>
    <r>
      <rPr>
        <rFont val="Arial"/>
        <color rgb="FFFFFFFF"/>
      </rPr>
      <t xml:space="preserve">Kiliann </t>
    </r>
    <r>
      <rPr>
        <rFont val="Arial"/>
        <b/>
        <color rgb="FFFFFFFF"/>
      </rPr>
      <t>Sidillia</t>
    </r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</si>
  <si>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Gwadelupa</t>
    </r>
  </si>
  <si>
    <r>
      <rPr>
        <rFont val="Arial"/>
        <color rgb="FFFFFFFF"/>
      </rPr>
      <t xml:space="preserve">Dennis </t>
    </r>
    <r>
      <rPr>
        <rFont val="Arial"/>
        <b/>
        <color rgb="FFFFFFFF"/>
      </rPr>
      <t>Man</t>
    </r>
  </si>
  <si>
    <r>
      <rPr>
        <rFont val="Arial"/>
        <color rgb="FFFFFFFF"/>
      </rPr>
      <t xml:space="preserve">Noah </t>
    </r>
    <r>
      <rPr>
        <rFont val="Arial"/>
        <b/>
        <color rgb="FFFFFFFF"/>
      </rPr>
      <t>Fernandez</t>
    </r>
  </si>
  <si>
    <r>
      <rPr>
        <rFont val="Arial"/>
        <b/>
        <color rgb="FFFFFFFF"/>
      </rPr>
      <t>Belgia /</t>
    </r>
    <r>
      <rPr>
        <rFont val="Arial"/>
        <b val="0"/>
        <i/>
        <color rgb="FFFFFFFF"/>
      </rPr>
      <t>Jamajka</t>
    </r>
  </si>
  <si>
    <r>
      <rPr>
        <rFont val="Arial"/>
        <color rgb="FFFFFFFF"/>
      </rPr>
      <t xml:space="preserve">Matěj </t>
    </r>
    <r>
      <rPr>
        <rFont val="Arial"/>
        <b/>
        <color rgb="FFFFFFFF"/>
      </rPr>
      <t>Kovář</t>
    </r>
  </si>
  <si>
    <r>
      <rPr>
        <rFont val="Arial"/>
        <color rgb="FFFFFFFF"/>
      </rPr>
      <t xml:space="preserve">Eus </t>
    </r>
    <r>
      <rPr>
        <rFont val="Arial"/>
        <b/>
        <color rgb="FFFFFFFF"/>
      </rPr>
      <t>Waayers</t>
    </r>
  </si>
  <si>
    <r>
      <rPr>
        <rFont val="Arial"/>
        <color rgb="FFFFFFFF"/>
      </rPr>
      <t xml:space="preserve">Ismael </t>
    </r>
    <r>
      <rPr>
        <rFont val="Arial"/>
        <b/>
        <color rgb="FFFFFFFF"/>
      </rPr>
      <t>Saibari</t>
    </r>
  </si>
  <si>
    <r>
      <rPr>
        <rFont val="Arial"/>
        <b/>
        <color rgb="FFFFFFFF"/>
      </rPr>
      <t>Maroko /</t>
    </r>
    <r>
      <rPr>
        <rFont val="Arial"/>
        <b val="0"/>
        <i/>
        <color rgb="FFFFFFFF"/>
      </rPr>
      <t>Belgia</t>
    </r>
  </si>
  <si>
    <r>
      <rPr>
        <rFont val="Arial"/>
        <color rgb="FFFFFFFF"/>
        <u/>
      </rPr>
      <t xml:space="preserve">Joel </t>
    </r>
    <r>
      <rPr>
        <rFont val="Arial"/>
        <b/>
        <color rgb="FFFFFFFF"/>
        <u/>
      </rPr>
      <t>van den Berg</t>
    </r>
  </si>
  <si>
    <r>
      <rPr>
        <rFont val="Arial"/>
        <color rgb="FFFFFFFF"/>
        <u/>
      </rPr>
      <t xml:space="preserve">Wessel </t>
    </r>
    <r>
      <rPr>
        <rFont val="Arial"/>
        <b/>
        <color rgb="FFFFFFFF"/>
        <u/>
      </rPr>
      <t>Kuhn</t>
    </r>
  </si>
  <si>
    <r>
      <rPr>
        <rFont val="Arial"/>
        <color rgb="FFFFFFFF"/>
        <u/>
      </rPr>
      <t xml:space="preserve">Manuel </t>
    </r>
    <r>
      <rPr>
        <rFont val="Arial"/>
        <b/>
        <color rgb="FFFFFFFF"/>
        <u/>
      </rPr>
      <t>Bahaty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</si>
  <si>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Demokratyczna Republika Konga</t>
    </r>
  </si>
  <si>
    <r>
      <rPr>
        <rFont val="Arial"/>
        <color rgb="FFFFFFFF"/>
        <u/>
      </rPr>
      <t xml:space="preserve">Fabian </t>
    </r>
    <r>
      <rPr>
        <rFont val="Arial"/>
        <b/>
        <color rgb="FFFFFFFF"/>
        <u/>
      </rPr>
      <t>Merién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</si>
  <si>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Curaçao</t>
    </r>
  </si>
  <si>
    <r>
      <rPr>
        <rFont val="Arial"/>
        <color rgb="FFFFFFFF"/>
      </rPr>
      <t xml:space="preserve">Adamo </t>
    </r>
    <r>
      <rPr>
        <rFont val="Arial"/>
        <b/>
        <color rgb="FFFFFFFF"/>
      </rPr>
      <t>Nagalo</t>
    </r>
  </si>
  <si>
    <r>
      <rPr>
        <rFont val="Arial"/>
        <b/>
        <color rgb="FFFFFFFF"/>
      </rPr>
      <t>Burkina Faso /</t>
    </r>
    <r>
      <rPr>
        <rFont val="Arial"/>
        <b val="0"/>
        <i/>
        <color rgb="FFFFFFFF"/>
      </rPr>
      <t>Wybrzeże Kości Słoniowej</t>
    </r>
  </si>
  <si>
    <r>
      <rPr>
        <rFont val="Arial"/>
        <color rgb="FFFFFFFF"/>
        <u/>
      </rPr>
      <t xml:space="preserve">Robin </t>
    </r>
    <r>
      <rPr>
        <rFont val="Arial"/>
        <b/>
        <color rgb="FFFFFFFF"/>
        <u/>
      </rPr>
      <t>van Duiven</t>
    </r>
  </si>
  <si>
    <r>
      <rPr>
        <rFont val="Arial"/>
        <color rgb="FFFFFFFF"/>
        <u/>
      </rPr>
      <t xml:space="preserve">Stijn </t>
    </r>
    <r>
      <rPr>
        <rFont val="Arial"/>
        <b/>
        <color rgb="FFFFFFFF"/>
        <u/>
      </rPr>
      <t>Kuijsten</t>
    </r>
  </si>
  <si>
    <r>
      <rPr>
        <rFont val="Arial"/>
        <color rgb="FFFFFFFF"/>
        <u/>
      </rPr>
      <t xml:space="preserve">Ayodele </t>
    </r>
    <r>
      <rPr>
        <rFont val="Arial"/>
        <b/>
        <color rgb="FFFFFFFF"/>
        <u/>
      </rPr>
      <t>Thomas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</si>
  <si>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Nigeria</t>
    </r>
  </si>
  <si>
    <r>
      <rPr>
        <rFont val="Arial"/>
        <color rgb="FFFFFFFF"/>
        <u/>
      </rPr>
      <t xml:space="preserve">Sven </t>
    </r>
    <r>
      <rPr>
        <rFont val="Arial"/>
        <b/>
        <color rgb="FFFFFFFF"/>
        <u/>
      </rPr>
      <t>van der Plas</t>
    </r>
  </si>
  <si>
    <r>
      <rPr>
        <rFont val="Arial"/>
        <color rgb="FFFFFFFF"/>
        <u/>
      </rPr>
      <t xml:space="preserve">Yiandro </t>
    </r>
    <r>
      <rPr>
        <rFont val="Arial"/>
        <b/>
        <color rgb="FFFFFFFF"/>
        <u/>
      </rPr>
      <t>Raap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</si>
  <si>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Wenezuela</t>
    </r>
  </si>
  <si>
    <r>
      <rPr>
        <rFont val="Arial"/>
        <color rgb="FFFFFFFF"/>
        <u/>
      </rPr>
      <t xml:space="preserve">Michael </t>
    </r>
    <r>
      <rPr>
        <rFont val="Arial"/>
        <b/>
        <color rgb="FFFFFFFF"/>
        <u/>
      </rPr>
      <t>Bresser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</si>
  <si>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USA</t>
    </r>
  </si>
  <si>
    <r>
      <rPr>
        <rFont val="Arial"/>
        <color rgb="FFFFFFFF"/>
        <u/>
      </rPr>
      <t xml:space="preserve">Tai </t>
    </r>
    <r>
      <rPr>
        <rFont val="Arial"/>
        <b/>
        <color rgb="FFFFFFFF"/>
        <u/>
      </rPr>
      <t>Abed</t>
    </r>
  </si>
  <si>
    <r>
      <rPr>
        <rFont val="Arial"/>
        <b/>
        <color rgb="FFFFFFFF"/>
        <u/>
      </rPr>
      <t>Hiszpania /</t>
    </r>
    <r>
      <rPr>
        <rFont val="Arial"/>
        <b val="0"/>
        <i/>
        <color rgb="FFFFFFFF"/>
        <u/>
      </rPr>
      <t>Izrael</t>
    </r>
  </si>
  <si>
    <r>
      <rPr>
        <rFont val="Arial"/>
        <color rgb="FFFFFFFF"/>
        <u/>
      </rPr>
      <t xml:space="preserve">Floris </t>
    </r>
    <r>
      <rPr>
        <rFont val="Arial"/>
        <b/>
        <color rgb="FFFFFFFF"/>
        <u/>
      </rPr>
      <t>Bos</t>
    </r>
  </si>
  <si>
    <r>
      <rPr>
        <rFont val="Arial"/>
        <color rgb="FFFFFFFF"/>
        <u/>
      </rPr>
      <t xml:space="preserve">Fabio </t>
    </r>
    <r>
      <rPr>
        <rFont val="Arial"/>
        <b/>
        <color rgb="FFFFFFFF"/>
        <u/>
      </rPr>
      <t>Kluit</t>
    </r>
  </si>
  <si>
    <r>
      <rPr>
        <rFont val="Arial"/>
        <color rgb="FFFFFFFF"/>
        <u/>
      </rPr>
      <t xml:space="preserve">Nicolas </t>
    </r>
    <r>
      <rPr>
        <rFont val="Arial"/>
        <b/>
        <color rgb="FFFFFFFF"/>
        <u/>
      </rPr>
      <t>Verkooijen</t>
    </r>
  </si>
  <si>
    <r>
      <rPr>
        <rFont val="Arial"/>
        <color rgb="FFFFFFFF"/>
        <u/>
      </rPr>
      <t xml:space="preserve">Tijn </t>
    </r>
    <r>
      <rPr>
        <rFont val="Arial"/>
        <b/>
        <color rgb="FFFFFFFF"/>
        <u/>
      </rPr>
      <t>Smolenaars</t>
    </r>
  </si>
  <si>
    <r>
      <rPr>
        <rFont val="Arial"/>
        <color rgb="FFFFFFFF"/>
        <u/>
      </rPr>
      <t xml:space="preserve">Jordy </t>
    </r>
    <r>
      <rPr>
        <rFont val="Arial"/>
        <b/>
        <color rgb="FFFFFFFF"/>
        <u/>
      </rPr>
      <t>Bawuah</t>
    </r>
  </si>
  <si>
    <r>
      <rPr>
        <rFont val="Arial"/>
        <b/>
        <color rgb="FFFFFFFF"/>
        <u/>
      </rPr>
      <t>Belgia /</t>
    </r>
    <r>
      <rPr>
        <rFont val="Arial"/>
        <b val="0"/>
        <i/>
        <color rgb="FFFFFFFF"/>
        <u/>
      </rPr>
      <t>Ghana</t>
    </r>
  </si>
  <si>
    <r>
      <rPr>
        <rFont val="Arial"/>
        <color rgb="FFFFFFFF"/>
        <u/>
      </rPr>
      <t xml:space="preserve">Peter </t>
    </r>
    <r>
      <rPr>
        <rFont val="Arial"/>
        <b/>
        <color rgb="FFFFFFFF"/>
        <u/>
      </rPr>
      <t>Quispel</t>
    </r>
  </si>
  <si>
    <r>
      <rPr>
        <rFont val="Arial"/>
        <color rgb="FFFFFFFF"/>
        <u/>
      </rPr>
      <t xml:space="preserve">Essien </t>
    </r>
    <r>
      <rPr>
        <rFont val="Arial"/>
        <b/>
        <color rgb="FFFFFFFF"/>
        <u/>
      </rPr>
      <t>Bassey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</si>
  <si>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Ghana</t>
    </r>
  </si>
  <si>
    <r>
      <rPr>
        <rFont val="Arial"/>
        <color rgb="FFFFFFFF"/>
        <u/>
      </rPr>
      <t xml:space="preserve">Raf </t>
    </r>
    <r>
      <rPr>
        <rFont val="Arial"/>
        <b/>
        <color rgb="FFFFFFFF"/>
        <u/>
      </rPr>
      <t>van de Riet</t>
    </r>
  </si>
  <si>
    <r>
      <rPr>
        <rFont val="Arial"/>
        <color rgb="FFFFFFFF"/>
        <u/>
      </rPr>
      <t xml:space="preserve">Jairo </t>
    </r>
    <r>
      <rPr>
        <rFont val="Arial"/>
        <b/>
        <color rgb="FFFFFFFF"/>
        <u/>
      </rPr>
      <t>Beerens</t>
    </r>
  </si>
  <si>
    <r>
      <rPr>
        <rFont val="Arial"/>
        <color rgb="FFFFFFFF"/>
        <u/>
      </rPr>
      <t xml:space="preserve">Sami </t>
    </r>
    <r>
      <rPr>
        <rFont val="Arial"/>
        <b/>
        <color rgb="FFFFFFFF"/>
        <u/>
      </rPr>
      <t>Bouhoudane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</si>
  <si>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Maroko</t>
    </r>
  </si>
  <si>
    <r>
      <rPr>
        <rFont val="Arial"/>
        <color rgb="FFFFFFFF"/>
        <u/>
      </rPr>
      <t xml:space="preserve">Alseny </t>
    </r>
    <r>
      <rPr>
        <rFont val="Arial"/>
        <b/>
        <color rgb="FFFFFFFF"/>
        <u/>
      </rPr>
      <t>Cissé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</si>
  <si>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Gwinea</t>
    </r>
  </si>
  <si>
    <r>
      <rPr>
        <rFont val="Arial"/>
        <color rgb="FFFFFFFF"/>
        <u/>
      </rPr>
      <t xml:space="preserve">Kane </t>
    </r>
    <r>
      <rPr>
        <rFont val="Arial"/>
        <b/>
        <color rgb="FFFFFFFF"/>
        <u/>
      </rPr>
      <t>Aerts</t>
    </r>
  </si>
  <si>
    <r>
      <rPr>
        <rFont val="Arial"/>
        <color rgb="FFFFFFFF"/>
        <u/>
      </rPr>
      <t xml:space="preserve">Shuryjano </t>
    </r>
    <r>
      <rPr>
        <rFont val="Arial"/>
        <b/>
        <color rgb="FFFFFFFF"/>
        <u/>
      </rPr>
      <t>Cornecion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</si>
  <si>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Curaçao</t>
    </r>
  </si>
  <si>
    <r>
      <rPr>
        <rFont val="Arial"/>
        <color rgb="FFFFFFFF"/>
        <u/>
      </rPr>
      <t xml:space="preserve">Jaden </t>
    </r>
    <r>
      <rPr>
        <rFont val="Arial"/>
        <b/>
        <color rgb="FFFFFFFF"/>
        <u/>
      </rPr>
      <t>de Guzmán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</si>
  <si>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Kanada</t>
    </r>
  </si>
  <si>
    <r>
      <rPr>
        <rFont val="Arial"/>
        <color rgb="FFFFFFFF"/>
        <u/>
      </rPr>
      <t xml:space="preserve">Austyn </t>
    </r>
    <r>
      <rPr>
        <rFont val="Arial"/>
        <b/>
        <color rgb="FFFFFFFF"/>
        <u/>
      </rPr>
      <t>Jones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</si>
  <si>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USA</t>
    </r>
  </si>
  <si>
    <r>
      <rPr>
        <rFont val="Arial"/>
        <color rgb="FFFFFFFF"/>
        <u/>
      </rPr>
      <t xml:space="preserve">Brent </t>
    </r>
    <r>
      <rPr>
        <rFont val="Arial"/>
        <b/>
        <color rgb="FFFFFFFF"/>
        <u/>
      </rPr>
      <t>Jonkers</t>
    </r>
  </si>
  <si>
    <r>
      <rPr>
        <rFont val="Arial"/>
        <color rgb="FFFFFFFF"/>
        <u/>
      </rPr>
      <t xml:space="preserve">Benjamin </t>
    </r>
    <r>
      <rPr>
        <rFont val="Arial"/>
        <b/>
        <color rgb="FFFFFFFF"/>
        <u/>
      </rPr>
      <t>Khaderi</t>
    </r>
  </si>
  <si>
    <r>
      <rPr>
        <rFont val="Arial"/>
        <b/>
        <color rgb="FFFFFFFF"/>
        <u/>
      </rPr>
      <t>Holandia /</t>
    </r>
    <r>
      <rPr>
        <rFont val="Arial"/>
        <b val="0"/>
        <i/>
        <color rgb="FFFFFFFF"/>
        <u/>
      </rPr>
      <t>Maroko</t>
    </r>
  </si>
  <si>
    <r>
      <rPr>
        <rFont val="Arial"/>
        <color rgb="FFFFFFFF"/>
        <u/>
      </rPr>
      <t xml:space="preserve">Rivas </t>
    </r>
    <r>
      <rPr>
        <rFont val="Arial"/>
        <b/>
        <color rgb="FFFFFFFF"/>
        <u/>
      </rPr>
      <t>Manuhutu</t>
    </r>
  </si>
  <si>
    <r>
      <rPr>
        <rFont val="Arial"/>
        <color rgb="FFFFFFFF"/>
        <u/>
      </rPr>
      <t xml:space="preserve">Gino </t>
    </r>
    <r>
      <rPr>
        <rFont val="Arial"/>
        <b/>
        <color rgb="FFFFFFFF"/>
        <u/>
      </rPr>
      <t>Verhulst</t>
    </r>
  </si>
  <si>
    <r>
      <rPr>
        <rFont val="Arial"/>
        <color rgb="FFFFFFFF"/>
      </rPr>
      <t xml:space="preserve">Peter </t>
    </r>
    <r>
      <rPr>
        <rFont val="Arial"/>
        <b/>
        <color rgb="FFFFFFFF"/>
      </rPr>
      <t>Bosz</t>
    </r>
  </si>
  <si>
    <t>gole dla PSV</t>
  </si>
  <si>
    <t>Ruben van Bommel 90</t>
  </si>
  <si>
    <t>Ismael Saibari 72</t>
  </si>
  <si>
    <t>Alessandro Buongiorno 35 (s), Ismael Saibari 38, Dennis Man 54, 80, Ricardo Pepi 87, Couhaib Driouech 89</t>
  </si>
  <si>
    <t>Ricardo Pepi 90</t>
  </si>
  <si>
    <t>Ivan Perišić 6 (k), Guus Til 56, Couhaib Driouech 73, 90</t>
  </si>
  <si>
    <t>Guus Til 10, Ricardo Pepi 85</t>
  </si>
  <si>
    <r>
      <rPr>
        <rFont val="Arial"/>
        <color rgb="FF004AA8"/>
      </rPr>
      <t xml:space="preserve">Thibaut </t>
    </r>
    <r>
      <rPr>
        <rFont val="Arial"/>
        <b/>
        <color rgb="FF004AA8"/>
      </rPr>
      <t>Courtois</t>
    </r>
  </si>
  <si>
    <r>
      <rPr>
        <rFont val="Arial"/>
        <color rgb="FF004AA8"/>
      </rPr>
      <t xml:space="preserve">Daniel </t>
    </r>
    <r>
      <rPr>
        <rFont val="Arial"/>
        <b/>
        <color rgb="FF004AA8"/>
      </rPr>
      <t>Carvajal</t>
    </r>
  </si>
  <si>
    <t>Éder Militão</t>
  </si>
  <si>
    <r>
      <rPr>
        <rFont val="Arial"/>
        <color rgb="FF004AA8"/>
      </rPr>
      <t xml:space="preserve">David </t>
    </r>
    <r>
      <rPr>
        <rFont val="Arial"/>
        <b/>
        <color rgb="FF004AA8"/>
      </rPr>
      <t>Alaba</t>
    </r>
  </si>
  <si>
    <r>
      <rPr>
        <rFont val="Arial"/>
        <color rgb="FF004AA8"/>
      </rPr>
      <t xml:space="preserve">Jude </t>
    </r>
    <r>
      <rPr>
        <rFont val="Arial"/>
        <b/>
        <color rgb="FF004AA8"/>
      </rPr>
      <t>Bellingham</t>
    </r>
  </si>
  <si>
    <r>
      <rPr>
        <rFont val="Arial"/>
        <b/>
        <color rgb="FF004AA8"/>
      </rPr>
      <t>Anglia /</t>
    </r>
    <r>
      <rPr>
        <rFont val="Arial"/>
        <b val="0"/>
        <i/>
        <color rgb="FF004AA8"/>
      </rPr>
      <t>Irlandia</t>
    </r>
  </si>
  <si>
    <r>
      <rPr>
        <rFont val="Arial"/>
        <color rgb="FF004AA8"/>
      </rPr>
      <t xml:space="preserve">Eduardo </t>
    </r>
    <r>
      <rPr>
        <rFont val="Arial"/>
        <b/>
        <color rgb="FF004AA8"/>
      </rPr>
      <t>Camavinga</t>
    </r>
  </si>
  <si>
    <r>
      <rPr>
        <rFont val="Arial"/>
        <b/>
        <color rgb="FF004AA8"/>
      </rPr>
      <t>Francja /</t>
    </r>
    <r>
      <rPr>
        <rFont val="Arial"/>
        <b val="0"/>
        <i/>
        <color rgb="FF004AA8"/>
      </rPr>
      <t>Demokratyczna Republika Konga</t>
    </r>
  </si>
  <si>
    <t>Vinicius Junior</t>
  </si>
  <si>
    <r>
      <rPr>
        <rFont val="Arial"/>
        <b/>
        <color rgb="FF004AA8"/>
      </rPr>
      <t>Brazylia /</t>
    </r>
    <r>
      <rPr>
        <rFont val="Arial"/>
        <b val="0"/>
        <i/>
        <color rgb="FF004AA8"/>
      </rPr>
      <t>Hiszpania</t>
    </r>
  </si>
  <si>
    <r>
      <rPr>
        <rFont val="Arial"/>
        <color rgb="FF004AA8"/>
      </rPr>
      <t xml:space="preserve">Federico </t>
    </r>
    <r>
      <rPr>
        <rFont val="Arial"/>
        <b/>
        <color rgb="FF004AA8"/>
      </rPr>
      <t>Valverde</t>
    </r>
  </si>
  <si>
    <r>
      <rPr>
        <rFont val="Arial"/>
        <b/>
        <color rgb="FF004AA8"/>
      </rPr>
      <t>Urugwaj /</t>
    </r>
    <r>
      <rPr>
        <rFont val="Arial"/>
        <b val="0"/>
        <i/>
        <color rgb="FF004AA8"/>
      </rPr>
      <t>Hiszpania</t>
    </r>
  </si>
  <si>
    <t>Endrick</t>
  </si>
  <si>
    <r>
      <rPr>
        <rFont val="Arial"/>
        <color rgb="FF004AA8"/>
      </rPr>
      <t xml:space="preserve">Kylian </t>
    </r>
    <r>
      <rPr>
        <rFont val="Arial"/>
        <b/>
        <color rgb="FF004AA8"/>
      </rPr>
      <t>Mbappé</t>
    </r>
  </si>
  <si>
    <r>
      <rPr>
        <rFont val="Arial"/>
        <b/>
        <color rgb="FF004AA8"/>
      </rPr>
      <t>Francja /</t>
    </r>
    <r>
      <rPr>
        <rFont val="Arial"/>
        <b val="0"/>
        <i/>
        <color rgb="FF004AA8"/>
      </rPr>
      <t>Kamerun</t>
    </r>
  </si>
  <si>
    <t>Rodrygo</t>
  </si>
  <si>
    <r>
      <rPr>
        <rFont val="Arial"/>
        <b/>
        <color rgb="FF004AA8"/>
      </rPr>
      <t>Brazylia /</t>
    </r>
    <r>
      <rPr>
        <rFont val="Arial"/>
        <b val="0"/>
        <i/>
        <color rgb="FF004AA8"/>
      </rPr>
      <t>Hiszpania</t>
    </r>
  </si>
  <si>
    <r>
      <rPr>
        <rFont val="Arial"/>
        <color rgb="FF004AA8"/>
      </rPr>
      <t xml:space="preserve">Trent </t>
    </r>
    <r>
      <rPr>
        <rFont val="Arial"/>
        <b/>
        <color rgb="FF004AA8"/>
      </rPr>
      <t>Alexander-Arnold</t>
    </r>
  </si>
  <si>
    <r>
      <rPr>
        <rFont val="Arial"/>
        <color rgb="FF004AA8"/>
      </rPr>
      <t xml:space="preserve">Andrij </t>
    </r>
    <r>
      <rPr>
        <rFont val="Arial"/>
        <b/>
        <color rgb="FF004AA8"/>
      </rPr>
      <t>Łunin</t>
    </r>
  </si>
  <si>
    <r>
      <rPr>
        <rFont val="Arial"/>
        <color rgb="FF004AA8"/>
      </rPr>
      <t xml:space="preserve">Aurélien </t>
    </r>
    <r>
      <rPr>
        <rFont val="Arial"/>
        <b/>
        <color rgb="FF004AA8"/>
      </rPr>
      <t>Tchouaméni</t>
    </r>
  </si>
  <si>
    <r>
      <rPr>
        <rFont val="Arial"/>
        <b/>
        <color rgb="FF004AA8"/>
      </rPr>
      <t>Francja /</t>
    </r>
    <r>
      <rPr>
        <rFont val="Arial"/>
        <b val="0"/>
        <i/>
        <color rgb="FF004AA8"/>
      </rPr>
      <t>Kamerun</t>
    </r>
  </si>
  <si>
    <r>
      <rPr>
        <rFont val="Arial"/>
        <color rgb="FF004AA8"/>
      </rPr>
      <t xml:space="preserve">Arda </t>
    </r>
    <r>
      <rPr>
        <rFont val="Arial"/>
        <b/>
        <color rgb="FF004AA8"/>
      </rPr>
      <t>Güler</t>
    </r>
  </si>
  <si>
    <r>
      <rPr>
        <rFont val="Arial"/>
        <color rgb="FF004AA8"/>
      </rPr>
      <t xml:space="preserve">Gonzalo </t>
    </r>
    <r>
      <rPr>
        <rFont val="Arial"/>
        <b/>
        <color rgb="FF004AA8"/>
      </rPr>
      <t>García</t>
    </r>
  </si>
  <si>
    <r>
      <rPr>
        <rFont val="Arial"/>
        <color rgb="FF004AA8"/>
      </rPr>
      <t xml:space="preserve">Raúl </t>
    </r>
    <r>
      <rPr>
        <rFont val="Arial"/>
        <b/>
        <color rgb="FF004AA8"/>
      </rPr>
      <t>Asencio</t>
    </r>
  </si>
  <si>
    <r>
      <rPr>
        <rFont val="Arial"/>
        <color rgb="FF004AA8"/>
      </rPr>
      <t xml:space="preserve">Álvaro </t>
    </r>
    <r>
      <rPr>
        <rFont val="Arial"/>
        <b/>
        <color rgb="FF004AA8"/>
      </rPr>
      <t>Carreras</t>
    </r>
  </si>
  <si>
    <r>
      <rPr>
        <rFont val="Arial"/>
        <color rgb="FF004AA8"/>
      </rPr>
      <t xml:space="preserve">Dani </t>
    </r>
    <r>
      <rPr>
        <rFont val="Arial"/>
        <b/>
        <color rgb="FF004AA8"/>
      </rPr>
      <t>Ceballos</t>
    </r>
  </si>
  <si>
    <r>
      <rPr>
        <rFont val="Arial"/>
        <color rgb="FF004AA8"/>
      </rPr>
      <t xml:space="preserve">Fran </t>
    </r>
    <r>
      <rPr>
        <rFont val="Arial"/>
        <b/>
        <color rgb="FF004AA8"/>
      </rPr>
      <t>García</t>
    </r>
  </si>
  <si>
    <r>
      <rPr>
        <rFont val="Arial"/>
        <color rgb="FF004AA8"/>
      </rPr>
      <t xml:space="preserve">Brahim </t>
    </r>
    <r>
      <rPr>
        <rFont val="Arial"/>
        <b/>
        <color rgb="FF004AA8"/>
      </rPr>
      <t>Díaz</t>
    </r>
  </si>
  <si>
    <r>
      <rPr>
        <rFont val="Arial"/>
        <b/>
        <color rgb="FF004AA8"/>
      </rPr>
      <t>Maroko /</t>
    </r>
    <r>
      <rPr>
        <rFont val="Arial"/>
        <b val="0"/>
        <i/>
        <color rgb="FF004AA8"/>
      </rPr>
      <t>Hiszpania</t>
    </r>
  </si>
  <si>
    <r>
      <rPr>
        <rFont val="Arial"/>
        <color rgb="FF004AA8"/>
      </rPr>
      <t xml:space="preserve">Antonio </t>
    </r>
    <r>
      <rPr>
        <rFont val="Arial"/>
        <b/>
        <color rgb="FF004AA8"/>
      </rPr>
      <t>Rüdiger</t>
    </r>
  </si>
  <si>
    <r>
      <rPr>
        <rFont val="Arial"/>
        <b/>
        <color rgb="FF004AA8"/>
      </rPr>
      <t>Niemcy /</t>
    </r>
    <r>
      <rPr>
        <rFont val="Arial"/>
        <b val="0"/>
        <i/>
        <color rgb="FF004AA8"/>
      </rPr>
      <t>Sierra Leone</t>
    </r>
  </si>
  <si>
    <r>
      <rPr>
        <rFont val="Arial"/>
        <color rgb="FF004AA8"/>
      </rPr>
      <t xml:space="preserve">Ferland </t>
    </r>
    <r>
      <rPr>
        <rFont val="Arial"/>
        <b/>
        <color rgb="FF004AA8"/>
      </rPr>
      <t>Mendy</t>
    </r>
  </si>
  <si>
    <r>
      <rPr>
        <rFont val="Arial"/>
        <b/>
        <color rgb="FF004AA8"/>
      </rPr>
      <t>Francja /</t>
    </r>
    <r>
      <rPr>
        <rFont val="Arial"/>
        <b val="0"/>
        <i/>
        <color rgb="FF004AA8"/>
      </rPr>
      <t>Senegal</t>
    </r>
  </si>
  <si>
    <r>
      <rPr>
        <rFont val="Arial"/>
        <color rgb="FF004AA8"/>
      </rPr>
      <t xml:space="preserve">Dean </t>
    </r>
    <r>
      <rPr>
        <rFont val="Arial"/>
        <b/>
        <color rgb="FF004AA8"/>
      </rPr>
      <t>Huijsen</t>
    </r>
  </si>
  <si>
    <r>
      <rPr>
        <rFont val="Arial"/>
        <b/>
        <color rgb="FF004AA8"/>
      </rPr>
      <t>Hiszpania /</t>
    </r>
    <r>
      <rPr>
        <rFont val="Arial"/>
        <b val="0"/>
        <i/>
        <color rgb="FF004AA8"/>
      </rPr>
      <t>Holandia</t>
    </r>
  </si>
  <si>
    <r>
      <rPr>
        <rFont val="Arial"/>
        <color rgb="FF004AA8"/>
        <u/>
      </rPr>
      <t xml:space="preserve">Fran </t>
    </r>
    <r>
      <rPr>
        <rFont val="Arial"/>
        <b/>
        <color rgb="FF004AA8"/>
        <u/>
      </rPr>
      <t>González</t>
    </r>
  </si>
  <si>
    <r>
      <rPr>
        <rFont val="Arial"/>
        <color rgb="FF004AA8"/>
        <u/>
      </rPr>
      <t xml:space="preserve">Diego </t>
    </r>
    <r>
      <rPr>
        <rFont val="Arial"/>
        <b/>
        <color rgb="FF004AA8"/>
        <u/>
      </rPr>
      <t>Aguado</t>
    </r>
  </si>
  <si>
    <r>
      <rPr>
        <rFont val="Arial"/>
        <color rgb="FF004AA8"/>
        <u/>
      </rPr>
      <t xml:space="preserve">Jorge </t>
    </r>
    <r>
      <rPr>
        <rFont val="Arial"/>
        <b/>
        <color rgb="FF004AA8"/>
        <u/>
      </rPr>
      <t>Cestero</t>
    </r>
  </si>
  <si>
    <r>
      <rPr>
        <rFont val="Arial"/>
        <color rgb="FF004AA8"/>
        <u/>
      </rPr>
      <t xml:space="preserve">Javier </t>
    </r>
    <r>
      <rPr>
        <rFont val="Arial"/>
        <b/>
        <color rgb="FF004AA8"/>
        <u/>
      </rPr>
      <t>Navarro</t>
    </r>
  </si>
  <si>
    <r>
      <rPr>
        <rFont val="Arial"/>
        <color rgb="FF004AA8"/>
      </rPr>
      <t xml:space="preserve">Franco </t>
    </r>
    <r>
      <rPr>
        <rFont val="Arial"/>
        <b/>
        <color rgb="FF004AA8"/>
      </rPr>
      <t>Mastantuono</t>
    </r>
  </si>
  <si>
    <r>
      <rPr>
        <rFont val="Arial"/>
        <b/>
        <color rgb="FF004AA8"/>
      </rPr>
      <t>Argentyna /</t>
    </r>
    <r>
      <rPr>
        <rFont val="Arial"/>
        <b val="0"/>
        <i/>
        <color rgb="FF004AA8"/>
      </rPr>
      <t>Włochy</t>
    </r>
  </si>
  <si>
    <r>
      <rPr>
        <rFont val="Arial"/>
        <color rgb="FF004AA8"/>
        <u/>
      </rPr>
      <t xml:space="preserve">Jesús </t>
    </r>
    <r>
      <rPr>
        <rFont val="Arial"/>
        <b/>
        <color rgb="FF004AA8"/>
        <u/>
      </rPr>
      <t>Fortea</t>
    </r>
  </si>
  <si>
    <r>
      <rPr>
        <rFont val="Arial"/>
        <color rgb="FF004AA8"/>
        <u/>
      </rPr>
      <t xml:space="preserve">Pol </t>
    </r>
    <r>
      <rPr>
        <rFont val="Arial"/>
        <b/>
        <color rgb="FF004AA8"/>
        <u/>
      </rPr>
      <t>Fortuny</t>
    </r>
  </si>
  <si>
    <r>
      <rPr>
        <rFont val="Arial"/>
        <color rgb="FF004AA8"/>
        <u/>
      </rPr>
      <t xml:space="preserve">David </t>
    </r>
    <r>
      <rPr>
        <rFont val="Arial"/>
        <b/>
        <color rgb="FF004AA8"/>
        <u/>
      </rPr>
      <t>Jiménez</t>
    </r>
  </si>
  <si>
    <r>
      <rPr>
        <rFont val="Arial"/>
        <color rgb="FF004AA8"/>
        <u/>
      </rPr>
      <t xml:space="preserve">Joan </t>
    </r>
    <r>
      <rPr>
        <rFont val="Arial"/>
        <b/>
        <color rgb="FF004AA8"/>
        <u/>
      </rPr>
      <t>Martínez</t>
    </r>
  </si>
  <si>
    <r>
      <rPr>
        <rFont val="Arial"/>
        <color rgb="FF004AA8"/>
        <u/>
      </rPr>
      <t xml:space="preserve">Manuel </t>
    </r>
    <r>
      <rPr>
        <rFont val="Arial"/>
        <b/>
        <color rgb="FF004AA8"/>
        <u/>
      </rPr>
      <t>Ángel</t>
    </r>
  </si>
  <si>
    <r>
      <rPr>
        <rFont val="Arial"/>
        <color rgb="FF004AA8"/>
        <u/>
      </rPr>
      <t xml:space="preserve">César </t>
    </r>
    <r>
      <rPr>
        <rFont val="Arial"/>
        <b/>
        <color rgb="FF004AA8"/>
        <u/>
      </rPr>
      <t>Palacios</t>
    </r>
  </si>
  <si>
    <r>
      <rPr>
        <rFont val="Arial"/>
        <color rgb="FF004AA8"/>
        <u/>
      </rPr>
      <t xml:space="preserve">Cristian </t>
    </r>
    <r>
      <rPr>
        <rFont val="Arial"/>
        <b/>
        <color rgb="FF004AA8"/>
        <u/>
      </rPr>
      <t>Perea</t>
    </r>
  </si>
  <si>
    <r>
      <rPr>
        <rFont val="Arial"/>
        <b/>
        <color rgb="FF004AA8"/>
        <u/>
      </rPr>
      <t>Hiszpania /</t>
    </r>
    <r>
      <rPr>
        <rFont val="Arial"/>
        <b val="0"/>
        <i/>
        <color rgb="FF004AA8"/>
        <u/>
      </rPr>
      <t>Kolumbia</t>
    </r>
  </si>
  <si>
    <r>
      <rPr>
        <rFont val="Arial"/>
        <color rgb="FF004AA8"/>
        <u/>
      </rPr>
      <t xml:space="preserve">Víctor </t>
    </r>
    <r>
      <rPr>
        <rFont val="Arial"/>
        <b/>
        <color rgb="FF004AA8"/>
        <u/>
      </rPr>
      <t>Valdepeñas</t>
    </r>
  </si>
  <si>
    <r>
      <rPr>
        <rFont val="Arial"/>
        <color rgb="FF004AA8"/>
        <u/>
      </rPr>
      <t xml:space="preserve">Daniel </t>
    </r>
    <r>
      <rPr>
        <rFont val="Arial"/>
        <b/>
        <color rgb="FF004AA8"/>
        <u/>
      </rPr>
      <t>Yáñez</t>
    </r>
  </si>
  <si>
    <r>
      <rPr>
        <rFont val="Arial"/>
        <color rgb="FF004AA8"/>
        <u/>
      </rPr>
      <t xml:space="preserve">Hugo </t>
    </r>
    <r>
      <rPr>
        <rFont val="Arial"/>
        <b/>
        <color rgb="FF004AA8"/>
        <u/>
      </rPr>
      <t>de Llanos</t>
    </r>
  </si>
  <si>
    <r>
      <rPr>
        <rFont val="Arial"/>
        <color rgb="FF004AA8"/>
        <u/>
      </rPr>
      <t xml:space="preserve">Thiago </t>
    </r>
    <r>
      <rPr>
        <rFont val="Arial"/>
        <b/>
        <color rgb="FF004AA8"/>
        <u/>
      </rPr>
      <t>Pitarch</t>
    </r>
  </si>
  <si>
    <r>
      <rPr>
        <rFont val="Arial"/>
        <b/>
        <color rgb="FF004AA8"/>
        <u/>
      </rPr>
      <t>Hiszpania /</t>
    </r>
    <r>
      <rPr>
        <rFont val="Arial"/>
        <b val="0"/>
        <i/>
        <color rgb="FF004AA8"/>
        <u/>
      </rPr>
      <t>Maroko</t>
    </r>
  </si>
  <si>
    <r>
      <rPr>
        <rFont val="Arial"/>
        <color rgb="FF004AA8"/>
        <u/>
      </rPr>
      <t xml:space="preserve">Dani </t>
    </r>
    <r>
      <rPr>
        <rFont val="Arial"/>
        <b/>
        <color rgb="FF004AA8"/>
        <u/>
      </rPr>
      <t>Mesonero</t>
    </r>
  </si>
  <si>
    <r>
      <rPr>
        <rFont val="Arial"/>
        <color rgb="FF004AA8"/>
      </rPr>
      <t xml:space="preserve">Xabi </t>
    </r>
    <r>
      <rPr>
        <rFont val="Arial"/>
        <b/>
        <color rgb="FF004AA8"/>
      </rPr>
      <t>Alonso</t>
    </r>
  </si>
  <si>
    <r>
      <rPr>
        <rFont val="Arial"/>
        <color rgb="FF004AA8"/>
      </rPr>
      <t xml:space="preserve">Álvaro </t>
    </r>
    <r>
      <rPr>
        <rFont val="Arial"/>
        <b/>
        <color rgb="FF004AA8"/>
      </rPr>
      <t>Arbeloa</t>
    </r>
  </si>
  <si>
    <t>gole dla Realu</t>
  </si>
  <si>
    <t>Kylian Mbappé 29 (k), 81 (k)</t>
  </si>
  <si>
    <t>Kylian Mbappé 25 (k), 52, 73, Eduardo Camavinga 83, Brahim Díaz 90</t>
  </si>
  <si>
    <t>Jude Bellingham 57</t>
  </si>
  <si>
    <t>Kylian Mbappé 22, 24, 29, 60</t>
  </si>
  <si>
    <t>Rodrygo 28</t>
  </si>
  <si>
    <t>Kylian Mbappé 5, 26, Franco Mastantuono 51, Thilo Kehrer 55 (s), Vinicius Junior 63, Jude Bellingham 80</t>
  </si>
  <si>
    <r>
      <rPr>
        <rFont val="Arial"/>
        <color rgb="FFE9E9EB"/>
      </rPr>
      <t xml:space="preserve">Štěpán </t>
    </r>
    <r>
      <rPr>
        <rFont val="Arial"/>
        <b/>
        <color rgb="FFE9E9EB"/>
      </rPr>
      <t>Chaloupek</t>
    </r>
  </si>
  <si>
    <r>
      <rPr>
        <rFont val="Arial"/>
        <color rgb="FFE9E9EB"/>
      </rPr>
      <t xml:space="preserve">Tomáš </t>
    </r>
    <r>
      <rPr>
        <rFont val="Arial"/>
        <b/>
        <color rgb="FFE9E9EB"/>
      </rPr>
      <t>Holeš</t>
    </r>
  </si>
  <si>
    <r>
      <rPr>
        <rFont val="Arial"/>
        <color rgb="FFE9E9EB"/>
      </rPr>
      <t xml:space="preserve">David </t>
    </r>
    <r>
      <rPr>
        <rFont val="Arial"/>
        <b/>
        <color rgb="FFE9E9EB"/>
      </rPr>
      <t>Zima</t>
    </r>
  </si>
  <si>
    <r>
      <rPr>
        <rFont val="Arial"/>
        <color rgb="FFE9E9EB"/>
      </rPr>
      <t xml:space="preserve">Igoh </t>
    </r>
    <r>
      <rPr>
        <rFont val="Arial"/>
        <b/>
        <color rgb="FFE9E9EB"/>
      </rPr>
      <t>Ogbu</t>
    </r>
  </si>
  <si>
    <r>
      <rPr>
        <rFont val="Arial"/>
        <color rgb="FFE9E9EB"/>
      </rPr>
      <t xml:space="preserve">Muhammed </t>
    </r>
    <r>
      <rPr>
        <rFont val="Arial"/>
        <b/>
        <color rgb="FFE9E9EB"/>
      </rPr>
      <t>Cham</t>
    </r>
  </si>
  <si>
    <r>
      <rPr>
        <rFont val="Arial"/>
        <color rgb="FFE9E9EB"/>
      </rPr>
      <t xml:space="preserve">Daiki </t>
    </r>
    <r>
      <rPr>
        <rFont val="Arial"/>
        <b/>
        <color rgb="FFE9E9EB"/>
      </rPr>
      <t>Hashioka</t>
    </r>
  </si>
  <si>
    <r>
      <rPr>
        <rFont val="Arial"/>
        <color rgb="FFE9E9EB"/>
      </rPr>
      <t xml:space="preserve">Vasil </t>
    </r>
    <r>
      <rPr>
        <rFont val="Arial"/>
        <b/>
        <color rgb="FFE9E9EB"/>
      </rPr>
      <t>Kušej</t>
    </r>
  </si>
  <si>
    <r>
      <rPr>
        <rFont val="Arial"/>
        <color rgb="FFE9E9EB"/>
      </rPr>
      <t xml:space="preserve">Chrístos </t>
    </r>
    <r>
      <rPr>
        <rFont val="Arial"/>
        <b/>
        <color rgb="FFE9E9EB"/>
      </rPr>
      <t>Zafeíris</t>
    </r>
  </si>
  <si>
    <r>
      <rPr>
        <rFont val="Arial"/>
        <b/>
        <color rgb="FFE9E9EB"/>
      </rPr>
      <t>Grecja /</t>
    </r>
    <r>
      <rPr>
        <rFont val="Arial"/>
        <b val="0"/>
        <i/>
        <color rgb="FFE9E9EB"/>
      </rPr>
      <t>Norwegia</t>
    </r>
  </si>
  <si>
    <r>
      <rPr>
        <rFont val="Arial"/>
        <color rgb="FFE9E9EB"/>
      </rPr>
      <t xml:space="preserve">Youssoupha </t>
    </r>
    <r>
      <rPr>
        <rFont val="Arial"/>
        <b/>
        <color rgb="FFE9E9EB"/>
      </rPr>
      <t>Sanyang</t>
    </r>
  </si>
  <si>
    <r>
      <rPr>
        <rFont val="Arial"/>
        <b/>
        <color rgb="FFE9E9EB"/>
      </rPr>
      <t>Gambia /</t>
    </r>
    <r>
      <rPr>
        <rFont val="Arial"/>
        <b val="0"/>
        <i/>
        <color rgb="FFE9E9EB"/>
      </rPr>
      <t>Senegal</t>
    </r>
  </si>
  <si>
    <r>
      <rPr>
        <rFont val="Arial"/>
        <color rgb="FFE9E9EB"/>
      </rPr>
      <t xml:space="preserve">Youssoupha </t>
    </r>
    <r>
      <rPr>
        <rFont val="Arial"/>
        <b/>
        <color rgb="FFE9E9EB"/>
      </rPr>
      <t>Mbodji</t>
    </r>
  </si>
  <si>
    <r>
      <rPr>
        <rFont val="Arial"/>
        <color rgb="FFE9E9EB"/>
      </rPr>
      <t xml:space="preserve">Mojmír </t>
    </r>
    <r>
      <rPr>
        <rFont val="Arial"/>
        <b/>
        <color rgb="FFE9E9EB"/>
      </rPr>
      <t>Chytil</t>
    </r>
  </si>
  <si>
    <r>
      <rPr>
        <rFont val="Arial"/>
        <color rgb="FFE9E9EB"/>
      </rPr>
      <t xml:space="preserve">David </t>
    </r>
    <r>
      <rPr>
        <rFont val="Arial"/>
        <b/>
        <color rgb="FFE9E9EB"/>
      </rPr>
      <t>Moses</t>
    </r>
  </si>
  <si>
    <r>
      <rPr>
        <rFont val="Arial"/>
        <color rgb="FFE9E9EB"/>
      </rPr>
      <t xml:space="preserve">Lukáš </t>
    </r>
    <r>
      <rPr>
        <rFont val="Arial"/>
        <b/>
        <color rgb="FFE9E9EB"/>
      </rPr>
      <t>Provod</t>
    </r>
  </si>
  <si>
    <r>
      <rPr>
        <rFont val="Arial"/>
        <color rgb="FFE9E9EB"/>
      </rPr>
      <t xml:space="preserve">Jan </t>
    </r>
    <r>
      <rPr>
        <rFont val="Arial"/>
        <b/>
        <color rgb="FFE9E9EB"/>
      </rPr>
      <t>Bořil</t>
    </r>
  </si>
  <si>
    <t>Oscar</t>
  </si>
  <si>
    <t>Liberia</t>
  </si>
  <si>
    <r>
      <rPr>
        <rFont val="Arial"/>
        <color rgb="FFE9E9EB"/>
      </rPr>
      <t xml:space="preserve">David </t>
    </r>
    <r>
      <rPr>
        <rFont val="Arial"/>
        <b/>
        <color rgb="FFE9E9EB"/>
      </rPr>
      <t>Douděra</t>
    </r>
  </si>
  <si>
    <r>
      <rPr>
        <rFont val="Arial"/>
        <color rgb="FFE9E9EB"/>
      </rPr>
      <t xml:space="preserve">Michal </t>
    </r>
    <r>
      <rPr>
        <rFont val="Arial"/>
        <b/>
        <color rgb="FFE9E9EB"/>
      </rPr>
      <t>Sadílek</t>
    </r>
  </si>
  <si>
    <r>
      <rPr>
        <rFont val="Arial"/>
        <color rgb="FFE9E9EB"/>
      </rPr>
      <t xml:space="preserve">Tomáš </t>
    </r>
    <r>
      <rPr>
        <rFont val="Arial"/>
        <b/>
        <color rgb="FFE9E9EB"/>
      </rPr>
      <t>Chorý</t>
    </r>
  </si>
  <si>
    <r>
      <rPr>
        <rFont val="Arial"/>
        <color rgb="FFE9E9EB"/>
      </rPr>
      <t xml:space="preserve">Ivan </t>
    </r>
    <r>
      <rPr>
        <rFont val="Arial"/>
        <b/>
        <color rgb="FFE9E9EB"/>
      </rPr>
      <t>Schranz</t>
    </r>
  </si>
  <si>
    <r>
      <rPr>
        <rFont val="Arial"/>
        <color rgb="FFE9E9EB"/>
      </rPr>
      <t xml:space="preserve">Tomáš </t>
    </r>
    <r>
      <rPr>
        <rFont val="Arial"/>
        <b/>
        <color rgb="FFE9E9EB"/>
      </rPr>
      <t>Vlček</t>
    </r>
  </si>
  <si>
    <r>
      <rPr>
        <rFont val="Arial"/>
        <color rgb="FFE9E9EB"/>
        <u/>
      </rPr>
      <t xml:space="preserve">Daniel </t>
    </r>
    <r>
      <rPr>
        <rFont val="Arial"/>
        <b/>
        <color rgb="FFE9E9EB"/>
        <u/>
      </rPr>
      <t>Toula</t>
    </r>
  </si>
  <si>
    <r>
      <rPr>
        <rFont val="Arial"/>
        <color rgb="FFE9E9EB"/>
      </rPr>
      <t xml:space="preserve">Erik </t>
    </r>
    <r>
      <rPr>
        <rFont val="Arial"/>
        <b/>
        <color rgb="FFE9E9EB"/>
      </rPr>
      <t>Prekop</t>
    </r>
  </si>
  <si>
    <r>
      <rPr>
        <rFont val="Arial"/>
        <color rgb="FFE9E9EB"/>
      </rPr>
      <t xml:space="preserve">Jakub </t>
    </r>
    <r>
      <rPr>
        <rFont val="Arial"/>
        <b/>
        <color rgb="FFE9E9EB"/>
      </rPr>
      <t>Markovič</t>
    </r>
  </si>
  <si>
    <r>
      <rPr>
        <rFont val="Arial"/>
        <color rgb="FFE9E9EB"/>
      </rPr>
      <t xml:space="preserve">Jindřich </t>
    </r>
    <r>
      <rPr>
        <rFont val="Arial"/>
        <b/>
        <color rgb="FFE9E9EB"/>
      </rPr>
      <t>Staněk</t>
    </r>
  </si>
  <si>
    <r>
      <rPr>
        <rFont val="Arial"/>
        <color rgb="FFE9E9EB"/>
        <u/>
      </rPr>
      <t xml:space="preserve">Adam </t>
    </r>
    <r>
      <rPr>
        <rFont val="Arial"/>
        <b/>
        <color rgb="FFE9E9EB"/>
        <u/>
      </rPr>
      <t>Rezek</t>
    </r>
  </si>
  <si>
    <r>
      <rPr>
        <rFont val="Arial"/>
        <color rgb="FFE9E9EB"/>
        <u/>
      </rPr>
      <t xml:space="preserve">Tobias </t>
    </r>
    <r>
      <rPr>
        <rFont val="Arial"/>
        <b/>
        <color rgb="FFE9E9EB"/>
        <u/>
      </rPr>
      <t>Boledovič</t>
    </r>
  </si>
  <si>
    <r>
      <rPr>
        <rFont val="Arial"/>
        <color rgb="FFE9E9EB"/>
        <u/>
      </rPr>
      <t xml:space="preserve">David </t>
    </r>
    <r>
      <rPr>
        <rFont val="Arial"/>
        <b/>
        <color rgb="FFE9E9EB"/>
        <u/>
      </rPr>
      <t>Hájek</t>
    </r>
  </si>
  <si>
    <r>
      <rPr>
        <rFont val="Arial"/>
        <color rgb="FFE9E9EB"/>
        <u/>
      </rPr>
      <t xml:space="preserve">Tomáš </t>
    </r>
    <r>
      <rPr>
        <rFont val="Arial"/>
        <b/>
        <color rgb="FFE9E9EB"/>
        <u/>
      </rPr>
      <t>Jelínek</t>
    </r>
  </si>
  <si>
    <r>
      <rPr>
        <rFont val="Arial"/>
        <color rgb="FFE9E9EB"/>
        <u/>
      </rPr>
      <t xml:space="preserve">Jakub </t>
    </r>
    <r>
      <rPr>
        <rFont val="Arial"/>
        <b/>
        <color rgb="FFE9E9EB"/>
        <u/>
      </rPr>
      <t>Kolísek</t>
    </r>
  </si>
  <si>
    <r>
      <rPr>
        <rFont val="Arial"/>
        <color rgb="FFE9E9EB"/>
        <u/>
      </rPr>
      <t xml:space="preserve">Martin </t>
    </r>
    <r>
      <rPr>
        <rFont val="Arial"/>
        <b/>
        <color rgb="FFE9E9EB"/>
        <u/>
      </rPr>
      <t>Kovář</t>
    </r>
  </si>
  <si>
    <r>
      <rPr>
        <rFont val="Arial"/>
        <color rgb="FFE9E9EB"/>
        <u/>
      </rPr>
      <t xml:space="preserve">Marek </t>
    </r>
    <r>
      <rPr>
        <rFont val="Arial"/>
        <b/>
        <color rgb="FFE9E9EB"/>
        <u/>
      </rPr>
      <t>Naskok</t>
    </r>
  </si>
  <si>
    <r>
      <rPr>
        <rFont val="Arial"/>
        <color rgb="FFE9E9EB"/>
        <u/>
      </rPr>
      <t xml:space="preserve">Boluwatife </t>
    </r>
    <r>
      <rPr>
        <rFont val="Arial"/>
        <b/>
        <color rgb="FFE9E9EB"/>
        <u/>
      </rPr>
      <t>Ogungbayi</t>
    </r>
  </si>
  <si>
    <r>
      <rPr>
        <rFont val="Arial"/>
        <color rgb="FFE9E9EB"/>
        <u/>
      </rPr>
      <t xml:space="preserve">Martin </t>
    </r>
    <r>
      <rPr>
        <rFont val="Arial"/>
        <b/>
        <color rgb="FFE9E9EB"/>
        <u/>
      </rPr>
      <t>Palaščák</t>
    </r>
  </si>
  <si>
    <r>
      <rPr>
        <rFont val="Arial"/>
        <color rgb="FFE9E9EB"/>
        <u/>
      </rPr>
      <t xml:space="preserve">Samuel </t>
    </r>
    <r>
      <rPr>
        <rFont val="Arial"/>
        <b/>
        <color rgb="FFE9E9EB"/>
        <u/>
      </rPr>
      <t>Pikolon</t>
    </r>
  </si>
  <si>
    <r>
      <rPr>
        <rFont val="Arial"/>
        <color rgb="FFE9E9EB"/>
        <u/>
      </rPr>
      <t xml:space="preserve">Adam </t>
    </r>
    <r>
      <rPr>
        <rFont val="Arial"/>
        <b/>
        <color rgb="FFE9E9EB"/>
        <u/>
      </rPr>
      <t>Paar</t>
    </r>
  </si>
  <si>
    <r>
      <rPr>
        <rFont val="Arial"/>
        <color rgb="FFE9E9EB"/>
        <u/>
      </rPr>
      <t xml:space="preserve">Eliáš </t>
    </r>
    <r>
      <rPr>
        <rFont val="Arial"/>
        <b/>
        <color rgb="FFE9E9EB"/>
        <u/>
      </rPr>
      <t>Piták</t>
    </r>
  </si>
  <si>
    <r>
      <rPr>
        <rFont val="Arial"/>
        <color rgb="FFE9E9EB"/>
        <u/>
      </rPr>
      <t xml:space="preserve">Petr </t>
    </r>
    <r>
      <rPr>
        <rFont val="Arial"/>
        <b/>
        <color rgb="FFE9E9EB"/>
        <u/>
      </rPr>
      <t>Potměšil</t>
    </r>
  </si>
  <si>
    <r>
      <rPr>
        <rFont val="Arial"/>
        <color rgb="FFE9E9EB"/>
        <u/>
      </rPr>
      <t xml:space="preserve">Šimon </t>
    </r>
    <r>
      <rPr>
        <rFont val="Arial"/>
        <b/>
        <color rgb="FFE9E9EB"/>
        <u/>
      </rPr>
      <t>Slončík</t>
    </r>
  </si>
  <si>
    <r>
      <rPr>
        <rFont val="Arial"/>
        <color rgb="FFE9E9EB"/>
        <u/>
      </rPr>
      <t xml:space="preserve">Matouš </t>
    </r>
    <r>
      <rPr>
        <rFont val="Arial"/>
        <b/>
        <color rgb="FFE9E9EB"/>
        <u/>
      </rPr>
      <t>Srb</t>
    </r>
  </si>
  <si>
    <r>
      <rPr>
        <rFont val="Arial"/>
        <color rgb="FFE9E9EB"/>
      </rPr>
      <t xml:space="preserve">Jindřich </t>
    </r>
    <r>
      <rPr>
        <rFont val="Arial"/>
        <b/>
        <color rgb="FFE9E9EB"/>
      </rPr>
      <t>Trpišovský</t>
    </r>
  </si>
  <si>
    <t>gole dla Slavii</t>
  </si>
  <si>
    <t>Youssoupha Mbodji 23, 74</t>
  </si>
  <si>
    <t>Vasil Kušej 10, Robert Lewandowski 44 (s)</t>
  </si>
  <si>
    <t>Rui Silva</t>
  </si>
  <si>
    <t>Matheus Reis</t>
  </si>
  <si>
    <r>
      <rPr>
        <rFont val="Arial"/>
        <color rgb="FFFFFFFF"/>
      </rPr>
      <t xml:space="preserve">Jeremiash </t>
    </r>
    <r>
      <rPr>
        <rFont val="Arial"/>
        <b/>
        <color rgb="FFFFFFFF"/>
      </rPr>
      <t>St. Juste</t>
    </r>
  </si>
  <si>
    <r>
      <rPr>
        <rFont val="Arial"/>
        <b/>
        <color rgb="FFFFFFFF"/>
      </rPr>
      <t>Holandia /</t>
    </r>
    <r>
      <rPr>
        <rFont val="Arial"/>
        <b val="0"/>
        <i/>
        <color rgb="FFFFFFFF"/>
      </rPr>
      <t>St. Kitts i Nevis</t>
    </r>
  </si>
  <si>
    <r>
      <rPr>
        <rFont val="Arial"/>
        <color rgb="FFFFFFFF"/>
      </rPr>
      <t xml:space="preserve">Hidemasa </t>
    </r>
    <r>
      <rPr>
        <rFont val="Arial"/>
        <b/>
        <color rgb="FFFFFFFF"/>
      </rPr>
      <t>Morita</t>
    </r>
  </si>
  <si>
    <r>
      <rPr>
        <rFont val="Arial"/>
        <color rgb="FFFFFFFF"/>
      </rPr>
      <t xml:space="preserve">Zeno </t>
    </r>
    <r>
      <rPr>
        <rFont val="Arial"/>
        <b/>
        <color rgb="FFFFFFFF"/>
      </rPr>
      <t>Debast</t>
    </r>
  </si>
  <si>
    <t>Geovany Quenda</t>
  </si>
  <si>
    <r>
      <rPr>
        <rFont val="Arial"/>
        <b/>
        <color rgb="FFFFFFFF"/>
        <u/>
      </rPr>
      <t>Portugalia /</t>
    </r>
    <r>
      <rPr>
        <rFont val="Arial"/>
        <b val="0"/>
        <i/>
        <color rgb="FFFFFFFF"/>
        <u/>
      </rPr>
      <t>Gwinea Bissau</t>
    </r>
  </si>
  <si>
    <t>Pedro Gonçalves</t>
  </si>
  <si>
    <t>Geny Catamo</t>
  </si>
  <si>
    <t>Nuno Santos</t>
  </si>
  <si>
    <t>João Virgínia</t>
  </si>
  <si>
    <r>
      <rPr>
        <rFont val="Arial"/>
        <color rgb="FFFFFFFF"/>
      </rPr>
      <t xml:space="preserve">Geórgios </t>
    </r>
    <r>
      <rPr>
        <rFont val="Arial"/>
        <b/>
        <color rgb="FFFFFFFF"/>
      </rPr>
      <t>Vagiannídis</t>
    </r>
  </si>
  <si>
    <r>
      <rPr>
        <rFont val="Arial"/>
        <color rgb="FFFFFFFF"/>
      </rPr>
      <t xml:space="preserve">Giorgi </t>
    </r>
    <r>
      <rPr>
        <rFont val="Arial"/>
        <b/>
        <color rgb="FFFFFFFF"/>
      </rPr>
      <t>Koczoraszwili</t>
    </r>
  </si>
  <si>
    <t>Francisco Trincão</t>
  </si>
  <si>
    <r>
      <rPr>
        <rFont val="Arial"/>
        <color rgb="FFFFFFFF"/>
      </rPr>
      <t xml:space="preserve">Maxi </t>
    </r>
    <r>
      <rPr>
        <rFont val="Arial"/>
        <b/>
        <color rgb="FFFFFFFF"/>
      </rPr>
      <t>Araújo</t>
    </r>
  </si>
  <si>
    <t>Urugwaj</t>
  </si>
  <si>
    <r>
      <rPr>
        <rFont val="Arial"/>
        <color rgb="FFFFFFFF"/>
      </rPr>
      <t xml:space="preserve">Iván </t>
    </r>
    <r>
      <rPr>
        <rFont val="Arial"/>
        <b/>
        <color rgb="FFFFFFFF"/>
      </rPr>
      <t>Fresneda</t>
    </r>
  </si>
  <si>
    <t>Daniel Bragança</t>
  </si>
  <si>
    <t>Gonçalo Inácio</t>
  </si>
  <si>
    <r>
      <rPr>
        <rFont val="Arial"/>
        <color rgb="FFFFFFFF"/>
      </rPr>
      <t xml:space="preserve">Ousmane </t>
    </r>
    <r>
      <rPr>
        <rFont val="Arial"/>
        <b/>
        <color rgb="FFFFFFFF"/>
      </rPr>
      <t>Diomande</t>
    </r>
  </si>
  <si>
    <t>Alisson Santos</t>
  </si>
  <si>
    <t>Rodrigo Ribeiro</t>
  </si>
  <si>
    <t>Diego Callai</t>
  </si>
  <si>
    <r>
      <rPr>
        <rFont val="Arial"/>
        <b/>
        <color rgb="FFFFFFFF"/>
        <u/>
      </rPr>
      <t>Brazylia /</t>
    </r>
    <r>
      <rPr>
        <rFont val="Arial"/>
        <b val="0"/>
        <i/>
        <color rgb="FFFFFFFF"/>
        <u/>
      </rPr>
      <t>Włochy</t>
    </r>
  </si>
  <si>
    <r>
      <rPr>
        <rFont val="Arial"/>
        <color rgb="FFFFFFFF"/>
      </rPr>
      <t xml:space="preserve">Morten </t>
    </r>
    <r>
      <rPr>
        <rFont val="Arial"/>
        <b/>
        <color rgb="FFFFFFFF"/>
      </rPr>
      <t>Hjulmand</t>
    </r>
  </si>
  <si>
    <t>David Moreira</t>
  </si>
  <si>
    <r>
      <rPr>
        <rFont val="Arial"/>
        <b/>
        <color rgb="FFFFFFFF"/>
        <u/>
      </rPr>
      <t>Republika Zielonego Przylądka /</t>
    </r>
    <r>
      <rPr>
        <rFont val="Arial"/>
        <b val="0"/>
        <i/>
        <color rgb="FFFFFFFF"/>
        <u/>
      </rPr>
      <t>Portugalia</t>
    </r>
  </si>
  <si>
    <t>João Simões</t>
  </si>
  <si>
    <t>Bruno Ramos</t>
  </si>
  <si>
    <t>Flávio Gonçalves</t>
  </si>
  <si>
    <r>
      <rPr>
        <rFont val="Arial"/>
        <b/>
        <color rgb="FFFFFFFF"/>
        <u/>
      </rPr>
      <t>Portugalia /</t>
    </r>
    <r>
      <rPr>
        <rFont val="Arial"/>
        <b val="0"/>
        <i/>
        <color rgb="FFFFFFFF"/>
        <u/>
      </rPr>
      <t>Francja</t>
    </r>
  </si>
  <si>
    <t>Rayan Lucas</t>
  </si>
  <si>
    <t>Lucas Anjos</t>
  </si>
  <si>
    <r>
      <rPr>
        <rFont val="Arial"/>
        <b/>
        <color rgb="FFFFFFFF"/>
        <u/>
      </rPr>
      <t>Portugalia /</t>
    </r>
    <r>
      <rPr>
        <rFont val="Arial"/>
        <b val="0"/>
        <i/>
        <color rgb="FFFFFFFF"/>
        <u/>
      </rPr>
      <t>Brazylia</t>
    </r>
  </si>
  <si>
    <t>Salvador Blopa</t>
  </si>
  <si>
    <t>Eduardo Quaresma</t>
  </si>
  <si>
    <t>Eduardo Felicíssimo</t>
  </si>
  <si>
    <t>Mauro Couto</t>
  </si>
  <si>
    <r>
      <rPr>
        <rFont val="Arial"/>
        <color rgb="FFFFFFFF"/>
      </rPr>
      <t xml:space="preserve">Fótis </t>
    </r>
    <r>
      <rPr>
        <rFont val="Arial"/>
        <b/>
        <color rgb="FFFFFFFF"/>
      </rPr>
      <t>Ioannídis</t>
    </r>
  </si>
  <si>
    <t>Rafael Nel</t>
  </si>
  <si>
    <t>Ricardo Mangas</t>
  </si>
  <si>
    <r>
      <rPr>
        <rFont val="Arial"/>
        <color rgb="FFFFFFFF"/>
      </rPr>
      <t xml:space="preserve">Luis </t>
    </r>
    <r>
      <rPr>
        <rFont val="Arial"/>
        <b/>
        <color rgb="FFFFFFFF"/>
      </rPr>
      <t>Suárez</t>
    </r>
  </si>
  <si>
    <r>
      <rPr>
        <rFont val="Arial"/>
        <b/>
        <color rgb="FFFFFFFF"/>
      </rPr>
      <t>Kolumbia /</t>
    </r>
    <r>
      <rPr>
        <rFont val="Arial"/>
        <b val="0"/>
        <i/>
        <color rgb="FFFFFFFF"/>
      </rPr>
      <t>Hiszpania</t>
    </r>
  </si>
  <si>
    <t>Rui Borges</t>
  </si>
  <si>
    <t>gole dla Sportingu</t>
  </si>
  <si>
    <t>Francisco Trincão 44, 65, Alisson Santos 67, Geovany Quenda 68</t>
  </si>
  <si>
    <t>Luis Suárez 62 (k)</t>
  </si>
  <si>
    <t>Geny Caramo 69, Alisson Santos 86</t>
  </si>
  <si>
    <t>Maxi Araújo 12</t>
  </si>
  <si>
    <t>Geovany Quenda 21, Luis Suárez 31, Francisco Trincão 70</t>
  </si>
  <si>
    <t>Joshua Kimmich 54 (s)</t>
  </si>
  <si>
    <t>Luis Suárez 74, 90</t>
  </si>
  <si>
    <r>
      <rPr>
        <rFont val="Arial"/>
        <color rgb="FFFEFCE5"/>
      </rPr>
      <t xml:space="preserve">Şahruddin </t>
    </r>
    <r>
      <rPr>
        <rFont val="Arial"/>
        <b/>
        <color rgb="FFFEFCE5"/>
      </rPr>
      <t xml:space="preserve">Magomedaliev </t>
    </r>
  </si>
  <si>
    <r>
      <rPr>
        <rFont val="Arial"/>
        <b/>
        <color rgb="FFFEFCE5"/>
      </rPr>
      <t>Azerbejdżan /</t>
    </r>
    <r>
      <rPr>
        <rFont val="Arial"/>
        <b val="0"/>
        <i/>
        <color rgb="FFFEFCE5"/>
      </rPr>
      <t>Rosja</t>
    </r>
  </si>
  <si>
    <t>Matheus Silva</t>
  </si>
  <si>
    <r>
      <rPr>
        <rFont val="Arial"/>
        <color rgb="FFFEFCE5"/>
      </rPr>
      <t xml:space="preserve">Samy </t>
    </r>
    <r>
      <rPr>
        <rFont val="Arial"/>
        <b/>
        <color rgb="FFFEFCE5"/>
      </rPr>
      <t>Mmaee</t>
    </r>
  </si>
  <si>
    <r>
      <rPr>
        <rFont val="Arial"/>
        <b/>
        <color rgb="FFFEFCE5"/>
      </rPr>
      <t>Maroko /</t>
    </r>
    <r>
      <rPr>
        <rFont val="Arial"/>
        <b val="0"/>
        <i/>
        <color rgb="FFFEFCE5"/>
      </rPr>
      <t>Belgia</t>
    </r>
  </si>
  <si>
    <t>Chriso</t>
  </si>
  <si>
    <r>
      <rPr>
        <rFont val="Arial"/>
        <color rgb="FFFEFCE5"/>
        <u/>
      </rPr>
      <t xml:space="preserve">Nəriman </t>
    </r>
    <r>
      <rPr>
        <rFont val="Arial"/>
        <b/>
        <color rgb="FFFEFCE5"/>
        <u/>
      </rPr>
      <t>Axundzadə</t>
    </r>
  </si>
  <si>
    <t>Azerbejdżan</t>
  </si>
  <si>
    <r>
      <rPr>
        <rFont val="Arial"/>
        <color rgb="FFFEFCE5"/>
      </rPr>
      <t xml:space="preserve">Marko </t>
    </r>
    <r>
      <rPr>
        <rFont val="Arial"/>
        <b/>
        <color rgb="FFFEFCE5"/>
      </rPr>
      <t>Janković</t>
    </r>
  </si>
  <si>
    <r>
      <rPr>
        <rFont val="Arial"/>
        <b/>
        <color rgb="FFFEFCE5"/>
      </rPr>
      <t>Czarnogóra /</t>
    </r>
    <r>
      <rPr>
        <rFont val="Arial"/>
        <b val="0"/>
        <i/>
        <color rgb="FFFEFCE5"/>
      </rPr>
      <t>Serbia</t>
    </r>
  </si>
  <si>
    <r>
      <rPr>
        <rFont val="Arial"/>
        <color rgb="FFFEFCE5"/>
      </rPr>
      <t xml:space="preserve">Joni </t>
    </r>
    <r>
      <rPr>
        <rFont val="Arial"/>
        <b/>
        <color rgb="FFFEFCE5"/>
      </rPr>
      <t>Montiel</t>
    </r>
  </si>
  <si>
    <r>
      <rPr>
        <rFont val="Arial"/>
        <color rgb="FFFEFCE5"/>
      </rPr>
      <t xml:space="preserve">Abdellah </t>
    </r>
    <r>
      <rPr>
        <rFont val="Arial"/>
        <b/>
        <color rgb="FFFEFCE5"/>
      </rPr>
      <t>Zoubir</t>
    </r>
  </si>
  <si>
    <r>
      <rPr>
        <rFont val="Arial"/>
        <b/>
        <color rgb="FFFEFCE5"/>
      </rPr>
      <t>Francja /</t>
    </r>
    <r>
      <rPr>
        <rFont val="Arial"/>
        <b val="0"/>
        <i/>
        <color rgb="FFFEFCE5"/>
      </rPr>
      <t>Maroko</t>
    </r>
  </si>
  <si>
    <r>
      <rPr>
        <rFont val="Arial"/>
        <color rgb="FFFEFCE5"/>
      </rPr>
      <t xml:space="preserve">Emmanuel </t>
    </r>
    <r>
      <rPr>
        <rFont val="Arial"/>
        <b/>
        <color rgb="FFFEFCE5"/>
      </rPr>
      <t>Addai</t>
    </r>
  </si>
  <si>
    <r>
      <rPr>
        <rFont val="Arial"/>
        <color rgb="FFFEFCE5"/>
      </rPr>
      <t xml:space="preserve">Bəhlul </t>
    </r>
    <r>
      <rPr>
        <rFont val="Arial"/>
        <b/>
        <color rgb="FFFEFCE5"/>
      </rPr>
      <t>Mustafazadə</t>
    </r>
  </si>
  <si>
    <t>Leandro Andrade</t>
  </si>
  <si>
    <r>
      <rPr>
        <rFont val="Arial"/>
        <b/>
        <color rgb="FFFEFCE5"/>
      </rPr>
      <t>Republika Zielonego Przylądka /</t>
    </r>
    <r>
      <rPr>
        <rFont val="Arial"/>
        <b val="0"/>
        <i/>
        <color rgb="FFFEFCE5"/>
      </rPr>
      <t>Portugalia</t>
    </r>
  </si>
  <si>
    <r>
      <rPr>
        <rFont val="Arial"/>
        <color rgb="FFFEFCE5"/>
      </rPr>
      <t xml:space="preserve">Camilo </t>
    </r>
    <r>
      <rPr>
        <rFont val="Arial"/>
        <b/>
        <color rgb="FFFEFCE5"/>
      </rPr>
      <t>Durán</t>
    </r>
  </si>
  <si>
    <t>Dani Bolt</t>
  </si>
  <si>
    <t>Kady</t>
  </si>
  <si>
    <r>
      <rPr>
        <rFont val="Arial"/>
        <b/>
        <color rgb="FFFEFCE5"/>
      </rPr>
      <t>Brazylia /</t>
    </r>
    <r>
      <rPr>
        <rFont val="Arial"/>
        <b val="0"/>
        <i/>
        <color rgb="FFFEFCE5"/>
      </rPr>
      <t>Polska</t>
    </r>
  </si>
  <si>
    <r>
      <rPr>
        <rFont val="Arial"/>
        <color rgb="FFFEFCE5"/>
      </rPr>
      <t xml:space="preserve">Ołeksij </t>
    </r>
    <r>
      <rPr>
        <rFont val="Arial"/>
        <b/>
        <color rgb="FFFEFCE5"/>
      </rPr>
      <t>Kaszczuk</t>
    </r>
  </si>
  <si>
    <r>
      <rPr>
        <rFont val="Arial"/>
        <color rgb="FFFEFCE5"/>
      </rPr>
      <t xml:space="preserve">Musa </t>
    </r>
    <r>
      <rPr>
        <rFont val="Arial"/>
        <b/>
        <color rgb="FFFEFCE5"/>
      </rPr>
      <t>Qurbanlı</t>
    </r>
  </si>
  <si>
    <r>
      <rPr>
        <rFont val="Arial"/>
        <color rgb="FFFEFCE5"/>
      </rPr>
      <t xml:space="preserve">Toral </t>
    </r>
    <r>
      <rPr>
        <rFont val="Arial"/>
        <b/>
        <color rgb="FFFEFCE5"/>
      </rPr>
      <t>Bayramov</t>
    </r>
  </si>
  <si>
    <r>
      <rPr>
        <rFont val="Arial"/>
        <color rgb="FFFEFCE5"/>
      </rPr>
      <t xml:space="preserve">Abbas </t>
    </r>
    <r>
      <rPr>
        <rFont val="Arial"/>
        <b/>
        <color rgb="FFFEFCE5"/>
      </rPr>
      <t>Hüseynov</t>
    </r>
  </si>
  <si>
    <r>
      <rPr>
        <rFont val="Arial"/>
        <color rgb="FFFEFCE5"/>
        <u/>
      </rPr>
      <t xml:space="preserve">Hikmət </t>
    </r>
    <r>
      <rPr>
        <rFont val="Arial"/>
        <b/>
        <color rgb="FFFEFCE5"/>
        <u/>
      </rPr>
      <t>Cəbrayılzadə</t>
    </r>
  </si>
  <si>
    <t>Pedro Bicalho</t>
  </si>
  <si>
    <r>
      <rPr>
        <rFont val="Arial"/>
        <color rgb="FFFEFCE5"/>
      </rPr>
      <t xml:space="preserve">Elvin </t>
    </r>
    <r>
      <rPr>
        <rFont val="Arial"/>
        <b/>
        <color rgb="FFFEFCE5"/>
      </rPr>
      <t>Cəfərquliyev</t>
    </r>
  </si>
  <si>
    <r>
      <rPr>
        <rFont val="Arial"/>
        <color rgb="FFFEFCE5"/>
      </rPr>
      <t xml:space="preserve">Bədavi </t>
    </r>
    <r>
      <rPr>
        <rFont val="Arial"/>
        <b/>
        <color rgb="FFFEFCE5"/>
      </rPr>
      <t>Hüseynov</t>
    </r>
  </si>
  <si>
    <r>
      <rPr>
        <rFont val="Arial"/>
        <b/>
        <color rgb="FFFEFCE5"/>
      </rPr>
      <t>Azerbejdżan /</t>
    </r>
    <r>
      <rPr>
        <rFont val="Arial"/>
        <b val="0"/>
        <i/>
        <color rgb="FFFEFCE5"/>
      </rPr>
      <t>Rosja</t>
    </r>
  </si>
  <si>
    <r>
      <rPr>
        <rFont val="Arial"/>
        <color rgb="FFFEFCE5"/>
      </rPr>
      <t xml:space="preserve">Kevin </t>
    </r>
    <r>
      <rPr>
        <rFont val="Arial"/>
        <b/>
        <color rgb="FFFEFCE5"/>
      </rPr>
      <t>Medina</t>
    </r>
  </si>
  <si>
    <r>
      <rPr>
        <rFont val="Arial"/>
        <color rgb="FFFEFCE5"/>
      </rPr>
      <t xml:space="preserve">Amin </t>
    </r>
    <r>
      <rPr>
        <rFont val="Arial"/>
        <b/>
        <color rgb="FFFEFCE5"/>
      </rPr>
      <t>Ramazanov</t>
    </r>
  </si>
  <si>
    <r>
      <rPr>
        <rFont val="Arial"/>
        <color rgb="FFFEFCE5"/>
      </rPr>
      <t xml:space="preserve">Fabijan </t>
    </r>
    <r>
      <rPr>
        <rFont val="Arial"/>
        <b/>
        <color rgb="FFFEFCE5"/>
      </rPr>
      <t>Buntić</t>
    </r>
  </si>
  <si>
    <r>
      <rPr>
        <rFont val="Arial"/>
        <b/>
        <color rgb="FFFEFCE5"/>
      </rPr>
      <t>Chorwacja /</t>
    </r>
    <r>
      <rPr>
        <rFont val="Arial"/>
        <b val="0"/>
        <i/>
        <color rgb="FFFEFCE5"/>
      </rPr>
      <t>Niemcy</t>
    </r>
  </si>
  <si>
    <r>
      <rPr>
        <rFont val="Arial"/>
        <color rgb="FFFEFCE5"/>
      </rPr>
      <t xml:space="preserve">Mateusz </t>
    </r>
    <r>
      <rPr>
        <rFont val="Arial"/>
        <b/>
        <color rgb="FFFEFCE5"/>
      </rPr>
      <t>Kochalski</t>
    </r>
  </si>
  <si>
    <r>
      <rPr>
        <rFont val="Arial"/>
        <color rgb="FFFEFCE5"/>
      </rPr>
      <t xml:space="preserve">Qurban </t>
    </r>
    <r>
      <rPr>
        <rFont val="Arial"/>
        <b/>
        <color rgb="FFFEFCE5"/>
      </rPr>
      <t>Qurbanov</t>
    </r>
  </si>
  <si>
    <t>gole dla Karabach</t>
  </si>
  <si>
    <t>Leândro Andrade 30, Camilo Durán 48, Ołeksij Kaszczuk 86</t>
  </si>
  <si>
    <t>Abdellah Zoubir 28, Emmanuel Addai 83</t>
  </si>
  <si>
    <t>Leândro Andrade 1</t>
  </si>
  <si>
    <t>Leândro Andrade 29, Marko Janković 39 (k)</t>
  </si>
  <si>
    <t>Camilo Durán 10, Matheus Silva 47</t>
  </si>
  <si>
    <t>Camilo Durán 4, 80, Bəhlul Mustafazadə 90</t>
  </si>
  <si>
    <r>
      <rPr>
        <rFont val="Roboto"/>
        <color rgb="FF000A3C"/>
      </rPr>
      <t xml:space="preserve">Guglielmo </t>
    </r>
    <r>
      <rPr>
        <rFont val="Roboto"/>
        <b/>
        <color rgb="FF000A3C"/>
      </rPr>
      <t>Vicario</t>
    </r>
  </si>
  <si>
    <r>
      <rPr>
        <rFont val="Roboto"/>
        <color rgb="FF000A3C"/>
      </rPr>
      <t xml:space="preserve">Kevin </t>
    </r>
    <r>
      <rPr>
        <rFont val="Roboto"/>
        <b/>
        <color rgb="FF000A3C"/>
      </rPr>
      <t>Danso</t>
    </r>
  </si>
  <si>
    <t>João Palhinha</t>
  </si>
  <si>
    <r>
      <rPr>
        <rFont val="Roboto"/>
        <color rgb="FF000A3C"/>
      </rPr>
      <t xml:space="preserve">Xavi </t>
    </r>
    <r>
      <rPr>
        <rFont val="Roboto"/>
        <b/>
        <color rgb="FF000A3C"/>
      </rPr>
      <t>Simons</t>
    </r>
  </si>
  <si>
    <r>
      <rPr>
        <rFont val="Roboto"/>
        <b/>
        <color rgb="FF000A3C"/>
      </rPr>
      <t>Holandia /</t>
    </r>
    <r>
      <rPr>
        <rFont val="Roboto"/>
        <b val="0"/>
        <i/>
        <color rgb="FF000A3C"/>
      </rPr>
      <t>Surinam</t>
    </r>
  </si>
  <si>
    <t>Richarlison</t>
  </si>
  <si>
    <r>
      <rPr>
        <rFont val="Roboto"/>
        <color rgb="FF000A3C"/>
        <u/>
      </rPr>
      <t xml:space="preserve">Mathys </t>
    </r>
    <r>
      <rPr>
        <rFont val="Roboto"/>
        <b/>
        <color rgb="FF000A3C"/>
        <u/>
      </rPr>
      <t>Tel</t>
    </r>
  </si>
  <si>
    <r>
      <rPr>
        <rFont val="Roboto"/>
        <b/>
        <color rgb="FF000A3C"/>
        <u/>
      </rPr>
      <t>Francja /</t>
    </r>
    <r>
      <rPr>
        <rFont val="Roboto"/>
        <b val="0"/>
        <i/>
        <color rgb="FF000A3C"/>
        <u/>
      </rPr>
      <t>Gwadelupa</t>
    </r>
  </si>
  <si>
    <r>
      <rPr>
        <rFont val="Roboto"/>
        <color rgb="FF000A3C"/>
      </rPr>
      <t xml:space="preserve">Destiny </t>
    </r>
    <r>
      <rPr>
        <rFont val="Roboto"/>
        <b/>
        <color rgb="FF000A3C"/>
      </rPr>
      <t>Udogie</t>
    </r>
  </si>
  <si>
    <r>
      <rPr>
        <rFont val="Roboto"/>
        <b/>
        <color rgb="FF000A3C"/>
      </rPr>
      <t>Włochy /</t>
    </r>
    <r>
      <rPr>
        <rFont val="Roboto"/>
        <b val="0"/>
        <i/>
        <color rgb="FF000A3C"/>
      </rPr>
      <t>Nigeria</t>
    </r>
  </si>
  <si>
    <r>
      <rPr>
        <rFont val="Roboto"/>
        <color rgb="FF000A3C"/>
      </rPr>
      <t xml:space="preserve">Archie </t>
    </r>
    <r>
      <rPr>
        <rFont val="Roboto"/>
        <b/>
        <color rgb="FF000A3C"/>
      </rPr>
      <t>Gray</t>
    </r>
  </si>
  <si>
    <r>
      <rPr>
        <rFont val="Roboto"/>
        <b/>
        <color rgb="FF000A3C"/>
      </rPr>
      <t>Anglia /</t>
    </r>
    <r>
      <rPr>
        <rFont val="Roboto"/>
        <b val="0"/>
        <i/>
        <color rgb="FF000A3C"/>
      </rPr>
      <t>Szkocja</t>
    </r>
  </si>
  <si>
    <r>
      <rPr>
        <rFont val="Roboto"/>
        <color rgb="FF000A3C"/>
      </rPr>
      <t xml:space="preserve">Lucas </t>
    </r>
    <r>
      <rPr>
        <rFont val="Roboto"/>
        <b/>
        <color rgb="FF000A3C"/>
      </rPr>
      <t>Bergvall</t>
    </r>
  </si>
  <si>
    <r>
      <rPr>
        <rFont val="Roboto"/>
        <color rgb="FF000A3C"/>
      </rPr>
      <t xml:space="preserve">Cristian </t>
    </r>
    <r>
      <rPr>
        <rFont val="Roboto"/>
        <b/>
        <color rgb="FF000A3C"/>
      </rPr>
      <t>Romero</t>
    </r>
  </si>
  <si>
    <r>
      <rPr>
        <rFont val="Roboto"/>
        <color rgb="FF000A3C"/>
      </rPr>
      <t xml:space="preserve">Dominic </t>
    </r>
    <r>
      <rPr>
        <rFont val="Roboto"/>
        <b/>
        <color rgb="FF000A3C"/>
      </rPr>
      <t>Solanke</t>
    </r>
  </si>
  <si>
    <r>
      <rPr>
        <rFont val="Roboto"/>
        <b/>
        <color rgb="FF000A3C"/>
      </rPr>
      <t>Anglia /</t>
    </r>
    <r>
      <rPr>
        <rFont val="Roboto"/>
        <b val="0"/>
        <i/>
        <color rgb="FF000A3C"/>
      </rPr>
      <t>Nigeria</t>
    </r>
  </si>
  <si>
    <r>
      <rPr>
        <rFont val="Roboto"/>
        <color rgb="FF000A3C"/>
      </rPr>
      <t xml:space="preserve">Mohammed </t>
    </r>
    <r>
      <rPr>
        <rFont val="Roboto"/>
        <b/>
        <color rgb="FF000A3C"/>
      </rPr>
      <t>Kudus</t>
    </r>
  </si>
  <si>
    <r>
      <rPr>
        <rFont val="Roboto"/>
        <color rgb="FF000A3C"/>
      </rPr>
      <t xml:space="preserve">Dejan </t>
    </r>
    <r>
      <rPr>
        <rFont val="Roboto"/>
        <b/>
        <color rgb="FF000A3C"/>
      </rPr>
      <t>Kulusevski</t>
    </r>
  </si>
  <si>
    <r>
      <rPr>
        <rFont val="Roboto"/>
        <b/>
        <color rgb="FF000A3C"/>
      </rPr>
      <t>Szwecja /</t>
    </r>
    <r>
      <rPr>
        <rFont val="Roboto"/>
        <b val="0"/>
        <i/>
        <color rgb="FF000A3C"/>
      </rPr>
      <t>Macedonia Północna</t>
    </r>
  </si>
  <si>
    <r>
      <rPr>
        <rFont val="Roboto"/>
        <color rgb="FF000A3C"/>
      </rPr>
      <t xml:space="preserve">Brennan </t>
    </r>
    <r>
      <rPr>
        <rFont val="Roboto"/>
        <b/>
        <color rgb="FF000A3C"/>
      </rPr>
      <t>Johnson</t>
    </r>
  </si>
  <si>
    <r>
      <rPr>
        <rFont val="Roboto"/>
        <b/>
        <color rgb="FF000A3C"/>
      </rPr>
      <t>Walia /</t>
    </r>
    <r>
      <rPr>
        <rFont val="Roboto"/>
        <b val="0"/>
        <i/>
        <color rgb="FF000A3C"/>
      </rPr>
      <t>Anglia</t>
    </r>
  </si>
  <si>
    <r>
      <rPr>
        <rFont val="Roboto"/>
        <color rgb="FF000A3C"/>
      </rPr>
      <t xml:space="preserve">Pedro </t>
    </r>
    <r>
      <rPr>
        <rFont val="Roboto"/>
        <b/>
        <color rgb="FF000A3C"/>
      </rPr>
      <t>Porro</t>
    </r>
  </si>
  <si>
    <r>
      <rPr>
        <rFont val="Roboto"/>
        <color rgb="FF000A3C"/>
      </rPr>
      <t xml:space="preserve">Djed </t>
    </r>
    <r>
      <rPr>
        <rFont val="Roboto"/>
        <b/>
        <color rgb="FF000A3C"/>
      </rPr>
      <t>Spence</t>
    </r>
  </si>
  <si>
    <r>
      <rPr>
        <rFont val="Roboto"/>
        <b/>
        <color rgb="FF000A3C"/>
      </rPr>
      <t>Anglia /</t>
    </r>
    <r>
      <rPr>
        <rFont val="Roboto"/>
        <b val="0"/>
        <i/>
        <color rgb="FF000A3C"/>
      </rPr>
      <t>Jamajka</t>
    </r>
  </si>
  <si>
    <r>
      <rPr>
        <rFont val="Roboto"/>
        <color rgb="FF000A3C"/>
      </rPr>
      <t xml:space="preserve">Wilson </t>
    </r>
    <r>
      <rPr>
        <rFont val="Roboto"/>
        <b/>
        <color rgb="FF000A3C"/>
      </rPr>
      <t>Odobert</t>
    </r>
  </si>
  <si>
    <r>
      <rPr>
        <rFont val="Roboto"/>
        <b/>
        <color rgb="FF000A3C"/>
      </rPr>
      <t>Francja /</t>
    </r>
    <r>
      <rPr>
        <rFont val="Roboto"/>
        <b val="0"/>
        <i/>
        <color rgb="FF000A3C"/>
      </rPr>
      <t>Erytrea</t>
    </r>
  </si>
  <si>
    <r>
      <rPr>
        <rFont val="Roboto"/>
        <color rgb="FF000A3C"/>
      </rPr>
      <t xml:space="preserve">Pape Matar </t>
    </r>
    <r>
      <rPr>
        <rFont val="Roboto"/>
        <b/>
        <color rgb="FF000A3C"/>
      </rPr>
      <t>Sarr</t>
    </r>
  </si>
  <si>
    <r>
      <rPr>
        <rFont val="Roboto"/>
        <color rgb="FF000A3C"/>
      </rPr>
      <t xml:space="preserve">Rodrigo </t>
    </r>
    <r>
      <rPr>
        <rFont val="Roboto"/>
        <b/>
        <color rgb="FF000A3C"/>
      </rPr>
      <t>Bentancur</t>
    </r>
  </si>
  <si>
    <r>
      <rPr>
        <rFont val="Roboto"/>
        <color rgb="FF000A3C"/>
      </rPr>
      <t xml:space="preserve">Antonín </t>
    </r>
    <r>
      <rPr>
        <rFont val="Roboto"/>
        <b/>
        <color rgb="FF000A3C"/>
      </rPr>
      <t>Kinský</t>
    </r>
  </si>
  <si>
    <r>
      <rPr>
        <rFont val="Roboto"/>
        <color rgb="FF000A3C"/>
      </rPr>
      <t xml:space="preserve">Ben </t>
    </r>
    <r>
      <rPr>
        <rFont val="Roboto"/>
        <b/>
        <color rgb="FF000A3C"/>
      </rPr>
      <t>Davies</t>
    </r>
  </si>
  <si>
    <t>Walia</t>
  </si>
  <si>
    <r>
      <rPr>
        <rFont val="Roboto"/>
        <color rgb="FF000A3C"/>
      </rPr>
      <t xml:space="preserve">Micky </t>
    </r>
    <r>
      <rPr>
        <rFont val="Roboto"/>
        <b/>
        <color rgb="FF000A3C"/>
      </rPr>
      <t>van den Ven</t>
    </r>
  </si>
  <si>
    <r>
      <rPr>
        <rFont val="Roboto"/>
        <color rgb="FF000A3C"/>
      </rPr>
      <t xml:space="preserve">Randal </t>
    </r>
    <r>
      <rPr>
        <rFont val="Roboto"/>
        <b/>
        <color rgb="FF000A3C"/>
      </rPr>
      <t>Kolo Muani</t>
    </r>
  </si>
  <si>
    <r>
      <rPr>
        <rFont val="Roboto"/>
        <b/>
        <color rgb="FF000A3C"/>
      </rPr>
      <t>Francja /</t>
    </r>
    <r>
      <rPr>
        <rFont val="Roboto"/>
        <b val="0"/>
        <i/>
        <color rgb="FF000A3C"/>
      </rPr>
      <t>Demokratyczna Republika Konga</t>
    </r>
  </si>
  <si>
    <r>
      <rPr>
        <rFont val="Roboto"/>
        <color rgb="FF000A3C"/>
      </rPr>
      <t xml:space="preserve">Brandon </t>
    </r>
    <r>
      <rPr>
        <rFont val="Roboto"/>
        <b/>
        <color rgb="FF000A3C"/>
      </rPr>
      <t>Austin</t>
    </r>
  </si>
  <si>
    <r>
      <rPr>
        <rFont val="Roboto"/>
        <b/>
        <color rgb="FF000A3C"/>
      </rPr>
      <t>Anglia /</t>
    </r>
    <r>
      <rPr>
        <rFont val="Roboto"/>
        <b val="0"/>
        <i/>
        <color rgb="FF000A3C"/>
      </rPr>
      <t>USA</t>
    </r>
  </si>
  <si>
    <r>
      <rPr>
        <rFont val="Roboto"/>
        <color rgb="FF000A3C"/>
        <u/>
      </rPr>
      <t xml:space="preserve">Dane </t>
    </r>
    <r>
      <rPr>
        <rFont val="Roboto"/>
        <b/>
        <color rgb="FF000A3C"/>
        <u/>
      </rPr>
      <t>Scarlett</t>
    </r>
  </si>
  <si>
    <r>
      <rPr>
        <rFont val="Roboto"/>
        <b/>
        <color rgb="FF000A3C"/>
        <u/>
      </rPr>
      <t>Anglia /</t>
    </r>
    <r>
      <rPr>
        <rFont val="Roboto"/>
        <b val="0"/>
        <i/>
        <color rgb="FF000A3C"/>
        <u/>
      </rPr>
      <t>Jamajka</t>
    </r>
  </si>
  <si>
    <r>
      <rPr>
        <rFont val="Roboto"/>
        <color rgb="FF000A3C"/>
        <u/>
      </rPr>
      <t xml:space="preserve">Luca </t>
    </r>
    <r>
      <rPr>
        <rFont val="Roboto"/>
        <b/>
        <color rgb="FF000A3C"/>
        <u/>
      </rPr>
      <t>Gunter</t>
    </r>
  </si>
  <si>
    <r>
      <rPr>
        <rFont val="Roboto"/>
        <color rgb="FF000A3C"/>
        <u/>
      </rPr>
      <t xml:space="preserve">Callum </t>
    </r>
    <r>
      <rPr>
        <rFont val="Roboto"/>
        <b/>
        <color rgb="FF000A3C"/>
        <u/>
      </rPr>
      <t>Olusesi</t>
    </r>
  </si>
  <si>
    <r>
      <rPr>
        <rFont val="Roboto"/>
        <b/>
        <color rgb="FF000A3C"/>
        <u/>
      </rPr>
      <t>Anglia /</t>
    </r>
    <r>
      <rPr>
        <rFont val="Roboto"/>
        <b val="0"/>
        <i/>
        <color rgb="FF000A3C"/>
        <u/>
      </rPr>
      <t>Nigeria</t>
    </r>
  </si>
  <si>
    <r>
      <rPr>
        <rFont val="Roboto"/>
        <color rgb="FF000A3C"/>
        <u/>
      </rPr>
      <t xml:space="preserve">Tynan </t>
    </r>
    <r>
      <rPr>
        <rFont val="Roboto"/>
        <b/>
        <color rgb="FF000A3C"/>
        <u/>
      </rPr>
      <t>Thompson</t>
    </r>
  </si>
  <si>
    <r>
      <rPr>
        <rFont val="Roboto"/>
        <color rgb="FF000A3C"/>
        <u/>
      </rPr>
      <t xml:space="preserve">Rio </t>
    </r>
    <r>
      <rPr>
        <rFont val="Roboto"/>
        <b/>
        <color rgb="FF000A3C"/>
        <u/>
      </rPr>
      <t>Kyerematen</t>
    </r>
  </si>
  <si>
    <r>
      <rPr>
        <rFont val="Roboto"/>
        <b/>
        <color rgb="FF000A3C"/>
        <u/>
      </rPr>
      <t>Anglia /</t>
    </r>
    <r>
      <rPr>
        <rFont val="Roboto"/>
        <b val="0"/>
        <i/>
        <color rgb="FF000A3C"/>
        <u/>
      </rPr>
      <t>Ghana</t>
    </r>
  </si>
  <si>
    <r>
      <rPr>
        <rFont val="Roboto"/>
        <color rgb="FF000A3C"/>
        <u/>
      </rPr>
      <t xml:space="preserve">Malachi </t>
    </r>
    <r>
      <rPr>
        <rFont val="Roboto"/>
        <b/>
        <color rgb="FF000A3C"/>
        <u/>
      </rPr>
      <t>Hardy</t>
    </r>
  </si>
  <si>
    <r>
      <rPr>
        <rFont val="Roboto"/>
        <color rgb="FF000A3C"/>
        <u/>
      </rPr>
      <t xml:space="preserve">Jun'ai </t>
    </r>
    <r>
      <rPr>
        <rFont val="Roboto"/>
        <b/>
        <color rgb="FF000A3C"/>
        <u/>
      </rPr>
      <t>Byfield</t>
    </r>
  </si>
  <si>
    <r>
      <rPr>
        <rFont val="Roboto"/>
        <color rgb="FF000A3C"/>
        <u/>
      </rPr>
      <t xml:space="preserve">Lucá </t>
    </r>
    <r>
      <rPr>
        <rFont val="Roboto"/>
        <b/>
        <color rgb="FF000A3C"/>
        <u/>
      </rPr>
      <t>Williams-Barnett</t>
    </r>
  </si>
  <si>
    <r>
      <rPr>
        <rFont val="Roboto"/>
        <color rgb="FF000A3C"/>
        <u/>
      </rPr>
      <t xml:space="preserve">Yusuf </t>
    </r>
    <r>
      <rPr>
        <rFont val="Roboto"/>
        <b/>
        <color rgb="FF000A3C"/>
        <u/>
      </rPr>
      <t>Akhamrich</t>
    </r>
  </si>
  <si>
    <r>
      <rPr>
        <rFont val="Roboto"/>
        <b/>
        <color rgb="FF000A3C"/>
        <u/>
      </rPr>
      <t>Maroko /</t>
    </r>
    <r>
      <rPr>
        <rFont val="Roboto"/>
        <b val="0"/>
        <i/>
        <color rgb="FF000A3C"/>
        <u/>
      </rPr>
      <t>Anglia</t>
    </r>
  </si>
  <si>
    <r>
      <rPr>
        <rFont val="Roboto"/>
        <color rgb="FF000A3C"/>
        <u/>
      </rPr>
      <t xml:space="preserve">James </t>
    </r>
    <r>
      <rPr>
        <rFont val="Roboto"/>
        <b/>
        <color rgb="FF000A3C"/>
        <u/>
      </rPr>
      <t>Rowswell</t>
    </r>
  </si>
  <si>
    <r>
      <rPr>
        <rFont val="Arial"/>
        <color rgb="FF000A3C"/>
      </rPr>
      <t xml:space="preserve">Thomas </t>
    </r>
    <r>
      <rPr>
        <rFont val="Arial"/>
        <b/>
        <color rgb="FF000A3C"/>
      </rPr>
      <t>Frank</t>
    </r>
  </si>
  <si>
    <t>gole dla Tottenhamu</t>
  </si>
  <si>
    <t>Luiz Júnior 4 (s)</t>
  </si>
  <si>
    <t>Micky van de Ven 68, Jostein Maurstad Gundersen 89 (s)</t>
  </si>
  <si>
    <t>Brennan Johnson 19, Wilson Odobert 51, Micky van de Ven 64, João Palhinha 67</t>
  </si>
  <si>
    <t>Richarlison 35, Randal Kolo Muani 50, 73</t>
  </si>
  <si>
    <t>David Zima 26 (s), Mohammed Kudus 50 (k), Xavi Simons 79 (k)</t>
  </si>
  <si>
    <t>Cristian Romero 14, Dominic Solanke 37</t>
  </si>
  <si>
    <r>
      <rPr>
        <rFont val="Arial"/>
        <color rgb="FF197BB7"/>
      </rPr>
      <t xml:space="preserve">Vic </t>
    </r>
    <r>
      <rPr>
        <rFont val="Arial"/>
        <b/>
        <color rgb="FF197BB7"/>
      </rPr>
      <t>Chambaere</t>
    </r>
  </si>
  <si>
    <r>
      <rPr>
        <rFont val="Arial"/>
        <color rgb="FF197BB7"/>
      </rPr>
      <t xml:space="preserve">Mamadou Thierno </t>
    </r>
    <r>
      <rPr>
        <rFont val="Arial"/>
        <b/>
        <color rgb="FF197BB7"/>
      </rPr>
      <t>Barry</t>
    </r>
  </si>
  <si>
    <r>
      <rPr>
        <rFont val="Arial"/>
        <color rgb="FF197BB7"/>
      </rPr>
      <t xml:space="preserve">Mathias </t>
    </r>
    <r>
      <rPr>
        <rFont val="Arial"/>
        <b/>
        <color rgb="FF197BB7"/>
      </rPr>
      <t>Rasmussen</t>
    </r>
  </si>
  <si>
    <r>
      <rPr>
        <rFont val="Arial"/>
        <color rgb="FF197BB7"/>
      </rPr>
      <t xml:space="preserve">Kevin </t>
    </r>
    <r>
      <rPr>
        <rFont val="Arial"/>
        <b/>
        <color rgb="FF197BB7"/>
      </rPr>
      <t>Mac Allister</t>
    </r>
  </si>
  <si>
    <r>
      <rPr>
        <rFont val="Arial"/>
        <b/>
        <color rgb="FF197BB7"/>
      </rPr>
      <t>Argentyna /</t>
    </r>
    <r>
      <rPr>
        <rFont val="Arial"/>
        <b val="0"/>
        <i/>
        <color rgb="FF197BB7"/>
      </rPr>
      <t>Włochy</t>
    </r>
  </si>
  <si>
    <r>
      <rPr>
        <rFont val="Arial"/>
        <color rgb="FF197BB7"/>
      </rPr>
      <t xml:space="preserve">Kamiel </t>
    </r>
    <r>
      <rPr>
        <rFont val="Arial"/>
        <b/>
        <color rgb="FF197BB7"/>
      </rPr>
      <t>Van De Perre</t>
    </r>
  </si>
  <si>
    <r>
      <rPr>
        <rFont val="Arial"/>
        <color rgb="FF197BB7"/>
      </rPr>
      <t xml:space="preserve">Mohammed </t>
    </r>
    <r>
      <rPr>
        <rFont val="Arial"/>
        <b/>
        <color rgb="FF197BB7"/>
      </rPr>
      <t>Fuseini</t>
    </r>
  </si>
  <si>
    <r>
      <rPr>
        <rFont val="Arial"/>
        <color rgb="FF197BB7"/>
      </rPr>
      <t xml:space="preserve">Adem </t>
    </r>
    <r>
      <rPr>
        <rFont val="Arial"/>
        <b/>
        <color rgb="FF197BB7"/>
      </rPr>
      <t>Zorgane</t>
    </r>
  </si>
  <si>
    <r>
      <rPr>
        <rFont val="Arial"/>
        <color rgb="FF197BB7"/>
      </rPr>
      <t xml:space="preserve">Anouar </t>
    </r>
    <r>
      <rPr>
        <rFont val="Arial"/>
        <b/>
        <color rgb="FF197BB7"/>
      </rPr>
      <t>Ait El Hadj</t>
    </r>
  </si>
  <si>
    <r>
      <rPr>
        <rFont val="Arial"/>
        <b/>
        <color rgb="FF197BB7"/>
      </rPr>
      <t>Belgia /</t>
    </r>
    <r>
      <rPr>
        <rFont val="Arial"/>
        <b val="0"/>
        <i/>
        <color rgb="FF197BB7"/>
      </rPr>
      <t>Maroko</t>
    </r>
  </si>
  <si>
    <t>Guilherme Smith</t>
  </si>
  <si>
    <r>
      <rPr>
        <rFont val="Arial"/>
        <color rgb="FF197BB7"/>
      </rPr>
      <t xml:space="preserve">Promise </t>
    </r>
    <r>
      <rPr>
        <rFont val="Arial"/>
        <b/>
        <color rgb="FF197BB7"/>
      </rPr>
      <t>David</t>
    </r>
  </si>
  <si>
    <r>
      <rPr>
        <rFont val="Arial"/>
        <b/>
        <color rgb="FF197BB7"/>
      </rPr>
      <t>Kanada /</t>
    </r>
    <r>
      <rPr>
        <rFont val="Arial"/>
        <b val="0"/>
        <i/>
        <color rgb="FF197BB7"/>
      </rPr>
      <t>Nigeria</t>
    </r>
  </si>
  <si>
    <r>
      <rPr>
        <rFont val="Arial"/>
        <color rgb="FF197BB7"/>
      </rPr>
      <t xml:space="preserve">Kevin </t>
    </r>
    <r>
      <rPr>
        <rFont val="Arial"/>
        <b/>
        <color rgb="FF197BB7"/>
      </rPr>
      <t>Rodríguez</t>
    </r>
  </si>
  <si>
    <r>
      <rPr>
        <rFont val="Arial"/>
        <color rgb="FF197BB7"/>
      </rPr>
      <t xml:space="preserve">Christian </t>
    </r>
    <r>
      <rPr>
        <rFont val="Arial"/>
        <b/>
        <color rgb="FF197BB7"/>
      </rPr>
      <t>Burgees</t>
    </r>
  </si>
  <si>
    <r>
      <rPr>
        <rFont val="Arial"/>
        <color rgb="FF197BB7"/>
      </rPr>
      <t xml:space="preserve">Rob </t>
    </r>
    <r>
      <rPr>
        <rFont val="Arial"/>
        <b/>
        <color rgb="FF197BB7"/>
      </rPr>
      <t>Schoofs</t>
    </r>
  </si>
  <si>
    <r>
      <rPr>
        <rFont val="Arial"/>
        <color rgb="FF197BB7"/>
      </rPr>
      <t xml:space="preserve">Marc </t>
    </r>
    <r>
      <rPr>
        <rFont val="Arial"/>
        <b/>
        <color rgb="FF197BB7"/>
      </rPr>
      <t>Giger</t>
    </r>
  </si>
  <si>
    <r>
      <rPr>
        <rFont val="Arial"/>
        <b/>
        <color rgb="FF197BB7"/>
      </rPr>
      <t>Szwajcaria /</t>
    </r>
    <r>
      <rPr>
        <rFont val="Arial"/>
        <b val="0"/>
        <i/>
        <color rgb="FF197BB7"/>
      </rPr>
      <t>Kamerun</t>
    </r>
  </si>
  <si>
    <r>
      <rPr>
        <rFont val="Arial"/>
        <color rgb="FF197BB7"/>
      </rPr>
      <t xml:space="preserve">Ousseynou </t>
    </r>
    <r>
      <rPr>
        <rFont val="Arial"/>
        <b/>
        <color rgb="FF197BB7"/>
      </rPr>
      <t>Niang</t>
    </r>
  </si>
  <si>
    <r>
      <rPr>
        <rFont val="Arial"/>
        <color rgb="FF197BB7"/>
      </rPr>
      <t xml:space="preserve">Sofiane </t>
    </r>
    <r>
      <rPr>
        <rFont val="Arial"/>
        <b/>
        <color rgb="FF197BB7"/>
      </rPr>
      <t>Boufal</t>
    </r>
  </si>
  <si>
    <r>
      <rPr>
        <rFont val="Arial"/>
        <b/>
        <color rgb="FF197BB7"/>
      </rPr>
      <t>Maroko /</t>
    </r>
    <r>
      <rPr>
        <rFont val="Arial"/>
        <b val="0"/>
        <i/>
        <color rgb="FF197BB7"/>
      </rPr>
      <t>Francja</t>
    </r>
  </si>
  <si>
    <r>
      <rPr>
        <rFont val="Arial"/>
        <color rgb="FF197BB7"/>
      </rPr>
      <t xml:space="preserve">Anan </t>
    </r>
    <r>
      <rPr>
        <rFont val="Arial"/>
        <b/>
        <color rgb="FF197BB7"/>
      </rPr>
      <t>Khalaili</t>
    </r>
  </si>
  <si>
    <r>
      <rPr>
        <rFont val="Arial"/>
        <color rgb="FF197BB7"/>
      </rPr>
      <t xml:space="preserve">Ross </t>
    </r>
    <r>
      <rPr>
        <rFont val="Arial"/>
        <b/>
        <color rgb="FF197BB7"/>
      </rPr>
      <t>Sykes</t>
    </r>
  </si>
  <si>
    <r>
      <rPr>
        <rFont val="Arial"/>
        <color rgb="FF197BB7"/>
      </rPr>
      <t xml:space="preserve">Louis </t>
    </r>
    <r>
      <rPr>
        <rFont val="Arial"/>
        <b/>
        <color rgb="FF197BB7"/>
      </rPr>
      <t>Patris</t>
    </r>
  </si>
  <si>
    <r>
      <rPr>
        <rFont val="Arial"/>
        <color rgb="FF197BB7"/>
      </rPr>
      <t xml:space="preserve">Raul </t>
    </r>
    <r>
      <rPr>
        <rFont val="Arial"/>
        <b/>
        <color rgb="FF197BB7"/>
      </rPr>
      <t>Florucz</t>
    </r>
  </si>
  <si>
    <r>
      <rPr>
        <rFont val="Arial"/>
        <color rgb="FF197BB7"/>
        <u/>
      </rPr>
      <t xml:space="preserve">Anass </t>
    </r>
    <r>
      <rPr>
        <rFont val="Arial"/>
        <b/>
        <color rgb="FF197BB7"/>
        <u/>
      </rPr>
      <t>El Marabet</t>
    </r>
  </si>
  <si>
    <r>
      <rPr>
        <rFont val="Arial"/>
        <color rgb="FF197BB7"/>
        <u/>
      </rPr>
      <t xml:space="preserve">Sekou </t>
    </r>
    <r>
      <rPr>
        <rFont val="Arial"/>
        <b/>
        <color rgb="FF197BB7"/>
        <u/>
      </rPr>
      <t>Keita</t>
    </r>
  </si>
  <si>
    <r>
      <rPr>
        <rFont val="Arial"/>
        <b/>
        <color rgb="FF197BB7"/>
        <u/>
      </rPr>
      <t>Belgia /</t>
    </r>
    <r>
      <rPr>
        <rFont val="Arial"/>
        <b val="0"/>
        <i/>
        <color rgb="FF197BB7"/>
        <u/>
      </rPr>
      <t>Gwinea</t>
    </r>
  </si>
  <si>
    <r>
      <rPr>
        <rFont val="Arial"/>
        <color rgb="FF197BB7"/>
        <u/>
      </rPr>
      <t xml:space="preserve">Soulaimane </t>
    </r>
    <r>
      <rPr>
        <rFont val="Arial"/>
        <b/>
        <color rgb="FF197BB7"/>
        <u/>
      </rPr>
      <t>Berradi</t>
    </r>
  </si>
  <si>
    <r>
      <rPr>
        <rFont val="Arial"/>
        <b/>
        <color rgb="FF197BB7"/>
        <u/>
      </rPr>
      <t>Belgia /</t>
    </r>
    <r>
      <rPr>
        <rFont val="Arial"/>
        <b val="0"/>
        <i/>
        <color rgb="FF197BB7"/>
        <u/>
      </rPr>
      <t>Maroko</t>
    </r>
  </si>
  <si>
    <r>
      <rPr>
        <rFont val="Arial"/>
        <color rgb="FF197BB7"/>
        <u/>
      </rPr>
      <t xml:space="preserve">Franciszek </t>
    </r>
    <r>
      <rPr>
        <rFont val="Arial"/>
        <b/>
        <color rgb="FF197BB7"/>
        <u/>
      </rPr>
      <t>Zabrowarny</t>
    </r>
  </si>
  <si>
    <r>
      <rPr>
        <rFont val="Arial"/>
        <color rgb="FF197BB7"/>
        <u/>
      </rPr>
      <t xml:space="preserve">Nathan </t>
    </r>
    <r>
      <rPr>
        <rFont val="Arial"/>
        <b/>
        <color rgb="FF197BB7"/>
        <u/>
      </rPr>
      <t>Hugyvelde</t>
    </r>
  </si>
  <si>
    <r>
      <rPr>
        <rFont val="Arial"/>
        <color rgb="FF197BB7"/>
        <u/>
      </rPr>
      <t xml:space="preserve">Pedro </t>
    </r>
    <r>
      <rPr>
        <rFont val="Arial"/>
        <b/>
        <color rgb="FF197BB7"/>
        <u/>
      </rPr>
      <t>Pinto</t>
    </r>
  </si>
  <si>
    <r>
      <rPr>
        <rFont val="Arial"/>
        <color rgb="FF197BB7"/>
      </rPr>
      <t xml:space="preserve">Kjell </t>
    </r>
    <r>
      <rPr>
        <rFont val="Arial"/>
        <b/>
        <color rgb="FF197BB7"/>
      </rPr>
      <t>Scherpen</t>
    </r>
  </si>
  <si>
    <r>
      <rPr>
        <rFont val="Arial"/>
        <color rgb="FF197BB7"/>
        <u/>
      </rPr>
      <t xml:space="preserve">Mateo </t>
    </r>
    <r>
      <rPr>
        <rFont val="Arial"/>
        <b/>
        <color rgb="FF197BB7"/>
        <u/>
      </rPr>
      <t>Delph</t>
    </r>
  </si>
  <si>
    <r>
      <rPr>
        <rFont val="Arial"/>
        <color rgb="FF197BB7"/>
        <u/>
      </rPr>
      <t xml:space="preserve">Youssef </t>
    </r>
    <r>
      <rPr>
        <rFont val="Arial"/>
        <b/>
        <color rgb="FF197BB7"/>
        <u/>
      </rPr>
      <t>Hamoutahar</t>
    </r>
  </si>
  <si>
    <r>
      <rPr>
        <rFont val="Arial"/>
        <color rgb="FF197BB7"/>
        <u/>
      </rPr>
      <t xml:space="preserve">Adriaan </t>
    </r>
    <r>
      <rPr>
        <rFont val="Arial"/>
        <b/>
        <color rgb="FF197BB7"/>
        <u/>
      </rPr>
      <t>Van Etten</t>
    </r>
  </si>
  <si>
    <r>
      <rPr>
        <rFont val="Arial"/>
        <color rgb="FF197BB7"/>
        <u/>
      </rPr>
      <t xml:space="preserve">Mohamed </t>
    </r>
    <r>
      <rPr>
        <rFont val="Arial"/>
        <b/>
        <color rgb="FF197BB7"/>
        <u/>
      </rPr>
      <t>Asri</t>
    </r>
  </si>
  <si>
    <r>
      <rPr>
        <rFont val="Arial"/>
        <color rgb="FF197BB7"/>
      </rPr>
      <t xml:space="preserve">Fedde </t>
    </r>
    <r>
      <rPr>
        <rFont val="Arial"/>
        <b/>
        <color rgb="FF197BB7"/>
      </rPr>
      <t>Leysen</t>
    </r>
  </si>
  <si>
    <r>
      <rPr>
        <rFont val="Arial"/>
        <color rgb="FF197BB7"/>
      </rPr>
      <t xml:space="preserve">Sébastien </t>
    </r>
    <r>
      <rPr>
        <rFont val="Arial"/>
        <b/>
        <color rgb="FF197BB7"/>
      </rPr>
      <t>Pocognoli</t>
    </r>
  </si>
  <si>
    <r>
      <rPr>
        <rFont val="Arial"/>
        <b/>
        <color rgb="FF197BB7"/>
      </rPr>
      <t>Belgia /</t>
    </r>
    <r>
      <rPr>
        <rFont val="Arial"/>
        <b val="0"/>
        <i/>
        <color rgb="FF197BB7"/>
      </rPr>
      <t>Włochy</t>
    </r>
  </si>
  <si>
    <r>
      <rPr>
        <rFont val="Arial"/>
        <color rgb="FF197BB7"/>
      </rPr>
      <t xml:space="preserve">David </t>
    </r>
    <r>
      <rPr>
        <rFont val="Arial"/>
        <b/>
        <color rgb="FF197BB7"/>
      </rPr>
      <t>Hubert</t>
    </r>
  </si>
  <si>
    <t>gole dla USG</t>
  </si>
  <si>
    <t>Promise David 9 (k), Anouar Ait El Hadj 39, Kevin Mac Allister 81</t>
  </si>
  <si>
    <t>Ross Sykes 80</t>
  </si>
  <si>
    <t>Promise David 57</t>
  </si>
  <si>
    <t>Anan Khalaili 5, 71</t>
  </si>
  <si>
    <t>Luiz Júnior</t>
  </si>
  <si>
    <r>
      <rPr>
        <rFont val="Arial"/>
        <b/>
        <color rgb="FF075589"/>
      </rPr>
      <t>Brazylia /</t>
    </r>
    <r>
      <rPr>
        <rFont val="Arial"/>
        <b val="0"/>
        <i/>
        <color rgb="FF075589"/>
      </rPr>
      <t>Portugalia</t>
    </r>
  </si>
  <si>
    <r>
      <rPr>
        <rFont val="Arial"/>
        <color rgb="FF075589"/>
      </rPr>
      <t xml:space="preserve">Adrià </t>
    </r>
    <r>
      <rPr>
        <rFont val="Arial"/>
        <b/>
        <color rgb="FF075589"/>
      </rPr>
      <t>Altimira</t>
    </r>
  </si>
  <si>
    <r>
      <rPr>
        <rFont val="Arial"/>
        <color rgb="FF075589"/>
      </rPr>
      <t xml:space="preserve">Rafa </t>
    </r>
    <r>
      <rPr>
        <rFont val="Arial"/>
        <b/>
        <color rgb="FF075589"/>
      </rPr>
      <t>Marín</t>
    </r>
  </si>
  <si>
    <r>
      <rPr>
        <rFont val="Arial"/>
        <color rgb="FF075589"/>
      </rPr>
      <t xml:space="preserve">Willy </t>
    </r>
    <r>
      <rPr>
        <rFont val="Arial"/>
        <b/>
        <color rgb="FF075589"/>
      </rPr>
      <t>Kambwala</t>
    </r>
  </si>
  <si>
    <r>
      <rPr>
        <rFont val="Arial"/>
        <b/>
        <color rgb="FF075589"/>
      </rPr>
      <t>Francja /</t>
    </r>
    <r>
      <rPr>
        <rFont val="Arial"/>
        <b val="0"/>
        <i/>
        <color rgb="FF075589"/>
      </rPr>
      <t>Demokratyczna Republika Konga</t>
    </r>
  </si>
  <si>
    <r>
      <rPr>
        <rFont val="Arial"/>
        <color rgb="FF075589"/>
      </rPr>
      <t xml:space="preserve">Manor </t>
    </r>
    <r>
      <rPr>
        <rFont val="Arial"/>
        <b/>
        <color rgb="FF075589"/>
      </rPr>
      <t>Solomon</t>
    </r>
  </si>
  <si>
    <r>
      <rPr>
        <rFont val="Arial"/>
        <b/>
        <color rgb="FF075589"/>
      </rPr>
      <t>Izrael /</t>
    </r>
    <r>
      <rPr>
        <rFont val="Arial"/>
        <b val="0"/>
        <i/>
        <color rgb="FF075589"/>
      </rPr>
      <t>Portugalia</t>
    </r>
  </si>
  <si>
    <r>
      <rPr>
        <rFont val="Arial"/>
        <color rgb="FF075589"/>
      </rPr>
      <t xml:space="preserve">Gerard </t>
    </r>
    <r>
      <rPr>
        <rFont val="Arial"/>
        <b/>
        <color rgb="FF075589"/>
      </rPr>
      <t>Moreno</t>
    </r>
  </si>
  <si>
    <r>
      <rPr>
        <rFont val="Arial"/>
        <color rgb="FF075589"/>
      </rPr>
      <t xml:space="preserve">Juan </t>
    </r>
    <r>
      <rPr>
        <rFont val="Arial"/>
        <b/>
        <color rgb="FF075589"/>
      </rPr>
      <t>Foyth</t>
    </r>
  </si>
  <si>
    <r>
      <rPr>
        <rFont val="Arial"/>
        <b/>
        <color rgb="FF075589"/>
      </rPr>
      <t>Argentyna /</t>
    </r>
    <r>
      <rPr>
        <rFont val="Arial"/>
        <b val="0"/>
        <i/>
        <color rgb="FF075589"/>
      </rPr>
      <t>Hiszpania</t>
    </r>
  </si>
  <si>
    <r>
      <rPr>
        <rFont val="Arial"/>
        <color rgb="FF075589"/>
      </rPr>
      <t xml:space="preserve">Georges </t>
    </r>
    <r>
      <rPr>
        <rFont val="Arial"/>
        <b/>
        <color rgb="FF075589"/>
      </rPr>
      <t>Mikautadze</t>
    </r>
  </si>
  <si>
    <r>
      <rPr>
        <rFont val="Arial"/>
        <b/>
        <color rgb="FF075589"/>
      </rPr>
      <t>Gruzja /</t>
    </r>
    <r>
      <rPr>
        <rFont val="Arial"/>
        <b val="0"/>
        <i/>
        <color rgb="FF075589"/>
      </rPr>
      <t>Francja</t>
    </r>
  </si>
  <si>
    <r>
      <rPr>
        <rFont val="Arial"/>
        <color rgb="FF075589"/>
      </rPr>
      <t xml:space="preserve">Dani </t>
    </r>
    <r>
      <rPr>
        <rFont val="Arial"/>
        <b/>
        <color rgb="FF075589"/>
      </rPr>
      <t>Parejo</t>
    </r>
  </si>
  <si>
    <r>
      <rPr>
        <rFont val="Arial"/>
        <color rgb="FF075589"/>
      </rPr>
      <t xml:space="preserve">Ilias </t>
    </r>
    <r>
      <rPr>
        <rFont val="Arial"/>
        <b/>
        <color rgb="FF075589"/>
      </rPr>
      <t>Akhomach</t>
    </r>
  </si>
  <si>
    <r>
      <rPr>
        <rFont val="Arial"/>
        <b/>
        <color rgb="FF075589"/>
      </rPr>
      <t>Maroko /</t>
    </r>
    <r>
      <rPr>
        <rFont val="Arial"/>
        <b val="0"/>
        <i/>
        <color rgb="FF075589"/>
      </rPr>
      <t>Hiszpania</t>
    </r>
  </si>
  <si>
    <t>Renato Veiga</t>
  </si>
  <si>
    <r>
      <rPr>
        <rFont val="Arial"/>
        <b/>
        <color rgb="FF075589"/>
      </rPr>
      <t>Portugalia /</t>
    </r>
    <r>
      <rPr>
        <rFont val="Arial"/>
        <b val="0"/>
        <i/>
        <color rgb="FF075589"/>
      </rPr>
      <t>Republika Zielonego Przylądka</t>
    </r>
  </si>
  <si>
    <r>
      <rPr>
        <rFont val="Arial"/>
        <color rgb="FF075589"/>
      </rPr>
      <t xml:space="preserve">Diego </t>
    </r>
    <r>
      <rPr>
        <rFont val="Arial"/>
        <b/>
        <color rgb="FF075589"/>
      </rPr>
      <t>Conde</t>
    </r>
  </si>
  <si>
    <r>
      <rPr>
        <rFont val="Arial"/>
        <color rgb="FF075589"/>
      </rPr>
      <t xml:space="preserve">Santi </t>
    </r>
    <r>
      <rPr>
        <rFont val="Arial"/>
        <b/>
        <color rgb="FF075589"/>
      </rPr>
      <t>Comesaña</t>
    </r>
  </si>
  <si>
    <r>
      <rPr>
        <rFont val="Arial"/>
        <color rgb="FF075589"/>
      </rPr>
      <t xml:space="preserve">Santiago </t>
    </r>
    <r>
      <rPr>
        <rFont val="Arial"/>
        <b/>
        <color rgb="FF075589"/>
      </rPr>
      <t>Mouriño</t>
    </r>
  </si>
  <si>
    <r>
      <rPr>
        <rFont val="Arial"/>
        <b/>
        <color rgb="FF075589"/>
      </rPr>
      <t>Urugwaj /</t>
    </r>
    <r>
      <rPr>
        <rFont val="Arial"/>
        <b val="0"/>
        <i/>
        <color rgb="FF075589"/>
      </rPr>
      <t>Hiszpania</t>
    </r>
  </si>
  <si>
    <r>
      <rPr>
        <rFont val="Arial"/>
        <color rgb="FF075589"/>
      </rPr>
      <t xml:space="preserve">Thomas </t>
    </r>
    <r>
      <rPr>
        <rFont val="Arial"/>
        <b/>
        <color rgb="FF075589"/>
      </rPr>
      <t>Partey</t>
    </r>
  </si>
  <si>
    <r>
      <rPr>
        <rFont val="Arial"/>
        <color rgb="FF075589"/>
      </rPr>
      <t xml:space="preserve">Tajon </t>
    </r>
    <r>
      <rPr>
        <rFont val="Arial"/>
        <b/>
        <color rgb="FF075589"/>
      </rPr>
      <t>Buchanan</t>
    </r>
  </si>
  <si>
    <r>
      <rPr>
        <rFont val="Arial"/>
        <b/>
        <color rgb="FF075589"/>
      </rPr>
      <t>Kanada /</t>
    </r>
    <r>
      <rPr>
        <rFont val="Arial"/>
        <b val="0"/>
        <i/>
        <color rgb="FF075589"/>
      </rPr>
      <t>Jamajka</t>
    </r>
  </si>
  <si>
    <r>
      <rPr>
        <rFont val="Arial"/>
        <color rgb="FF075589"/>
      </rPr>
      <t xml:space="preserve">Pape </t>
    </r>
    <r>
      <rPr>
        <rFont val="Arial"/>
        <b/>
        <color rgb="FF075589"/>
      </rPr>
      <t>Gueye</t>
    </r>
  </si>
  <si>
    <r>
      <rPr>
        <rFont val="Arial"/>
        <b/>
        <color rgb="FF075589"/>
      </rPr>
      <t>Senegal /</t>
    </r>
    <r>
      <rPr>
        <rFont val="Arial"/>
        <b val="0"/>
        <i/>
        <color rgb="FF075589"/>
      </rPr>
      <t>Francja</t>
    </r>
  </si>
  <si>
    <r>
      <rPr>
        <rFont val="Arial"/>
        <color rgb="FF075589"/>
      </rPr>
      <t xml:space="preserve">Nicolas </t>
    </r>
    <r>
      <rPr>
        <rFont val="Arial"/>
        <b/>
        <color rgb="FF075589"/>
      </rPr>
      <t>Pépé</t>
    </r>
  </si>
  <si>
    <r>
      <rPr>
        <rFont val="Arial"/>
        <b/>
        <color rgb="FF075589"/>
      </rPr>
      <t>Wybrzeże Kości Słoniowej /</t>
    </r>
    <r>
      <rPr>
        <rFont val="Arial"/>
        <b val="0"/>
        <i/>
        <color rgb="FF075589"/>
      </rPr>
      <t>Francja</t>
    </r>
  </si>
  <si>
    <r>
      <rPr>
        <rFont val="Arial"/>
        <color rgb="FF075589"/>
      </rPr>
      <t xml:space="preserve">Alberto </t>
    </r>
    <r>
      <rPr>
        <rFont val="Arial"/>
        <b/>
        <color rgb="FF075589"/>
      </rPr>
      <t>Moleiro</t>
    </r>
  </si>
  <si>
    <r>
      <rPr>
        <rFont val="Arial"/>
        <b/>
        <color rgb="FF075589"/>
      </rPr>
      <t>Hiszpania /</t>
    </r>
    <r>
      <rPr>
        <rFont val="Arial"/>
        <b val="0"/>
        <i/>
        <color rgb="FF075589"/>
      </rPr>
      <t>Kuba</t>
    </r>
  </si>
  <si>
    <r>
      <rPr>
        <rFont val="Arial"/>
        <color rgb="FF075589"/>
      </rPr>
      <t xml:space="preserve">Tani </t>
    </r>
    <r>
      <rPr>
        <rFont val="Arial"/>
        <b/>
        <color rgb="FF075589"/>
      </rPr>
      <t>Oluwaseyi</t>
    </r>
  </si>
  <si>
    <r>
      <rPr>
        <rFont val="Arial"/>
        <b/>
        <color rgb="FF075589"/>
      </rPr>
      <t>Kanada /</t>
    </r>
    <r>
      <rPr>
        <rFont val="Arial"/>
        <b val="0"/>
        <i/>
        <color rgb="FF075589"/>
      </rPr>
      <t>Nigeria</t>
    </r>
  </si>
  <si>
    <r>
      <rPr>
        <rFont val="Arial"/>
        <color rgb="FF075589"/>
      </rPr>
      <t xml:space="preserve">Ayoze </t>
    </r>
    <r>
      <rPr>
        <rFont val="Arial"/>
        <b/>
        <color rgb="FF075589"/>
      </rPr>
      <t>Pérez</t>
    </r>
  </si>
  <si>
    <r>
      <rPr>
        <rFont val="Arial"/>
        <color rgb="FF075589"/>
      </rPr>
      <t xml:space="preserve">Sergi </t>
    </r>
    <r>
      <rPr>
        <rFont val="Arial"/>
        <b/>
        <color rgb="FF075589"/>
      </rPr>
      <t>Cardona</t>
    </r>
  </si>
  <si>
    <r>
      <rPr>
        <rFont val="Arial"/>
        <color rgb="FF075589"/>
      </rPr>
      <t xml:space="preserve">Alfonso </t>
    </r>
    <r>
      <rPr>
        <rFont val="Arial"/>
        <b/>
        <color rgb="FF075589"/>
      </rPr>
      <t>Pedraza</t>
    </r>
  </si>
  <si>
    <r>
      <rPr>
        <rFont val="Arial"/>
        <color rgb="FF075589"/>
      </rPr>
      <t xml:space="preserve">Arnau </t>
    </r>
    <r>
      <rPr>
        <rFont val="Arial"/>
        <b/>
        <color rgb="FF075589"/>
      </rPr>
      <t>Tenas</t>
    </r>
  </si>
  <si>
    <r>
      <rPr>
        <rFont val="Arial"/>
        <color rgb="FF075589"/>
      </rPr>
      <t xml:space="preserve">Pau </t>
    </r>
    <r>
      <rPr>
        <rFont val="Arial"/>
        <b/>
        <color rgb="FF075589"/>
      </rPr>
      <t>Navarro</t>
    </r>
  </si>
  <si>
    <r>
      <rPr>
        <rFont val="Arial"/>
        <color rgb="FF075589"/>
        <u/>
      </rPr>
      <t xml:space="preserve">Daniel </t>
    </r>
    <r>
      <rPr>
        <rFont val="Arial"/>
        <b/>
        <color rgb="FF075589"/>
        <u/>
      </rPr>
      <t>Budesca</t>
    </r>
  </si>
  <si>
    <r>
      <rPr>
        <rFont val="Arial"/>
        <color rgb="FF075589"/>
      </rPr>
      <t xml:space="preserve">Rubén </t>
    </r>
    <r>
      <rPr>
        <rFont val="Arial"/>
        <b/>
        <color rgb="FF075589"/>
      </rPr>
      <t>Gómez</t>
    </r>
  </si>
  <si>
    <r>
      <rPr>
        <rFont val="Arial"/>
        <color rgb="FF075589"/>
        <u/>
      </rPr>
      <t xml:space="preserve">Hugo </t>
    </r>
    <r>
      <rPr>
        <rFont val="Arial"/>
        <b/>
        <color rgb="FF075589"/>
        <u/>
      </rPr>
      <t>López</t>
    </r>
  </si>
  <si>
    <r>
      <rPr>
        <rFont val="Arial"/>
        <color rgb="FF075589"/>
        <u/>
      </rPr>
      <t xml:space="preserve">Víctor </t>
    </r>
    <r>
      <rPr>
        <rFont val="Arial"/>
        <b/>
        <color rgb="FF075589"/>
        <u/>
      </rPr>
      <t>Moreno</t>
    </r>
  </si>
  <si>
    <t>Marcelino</t>
  </si>
  <si>
    <t>gole dla Villarrealu</t>
  </si>
  <si>
    <t>Georges Mikautadze 18, Renato Veiga 90</t>
  </si>
  <si>
    <t>Santi Comesaña 47, Tani Oluwaseyi 56</t>
  </si>
  <si>
    <t>Tani Oluwaseyi 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</si>
</sst>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50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b/>
      <sz val="10.0"/>
      <color rgb="FFFFFFFF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sz val="12.0"/>
      <color theme="1"/>
      <name val="Arial"/>
      <scheme val="minor"/>
    </font>
    <font>
      <b/>
      <sz val="14.0"/>
      <color rgb="FF000000"/>
      <name val="Arial"/>
      <scheme val="minor"/>
    </font>
    <font>
      <b/>
      <color rgb="FFCB2A43"/>
      <name val="Arial"/>
      <scheme val="minor"/>
    </font>
    <font>
      <color rgb="FFCB2A43"/>
      <name val="Arial"/>
      <scheme val="minor"/>
    </font>
    <font>
      <b/>
      <i/>
      <color rgb="FFCB2A43"/>
      <name val="Arial"/>
      <scheme val="minor"/>
    </font>
    <font>
      <u/>
      <color theme="1"/>
      <name val="Arial"/>
      <scheme val="minor"/>
    </font>
    <font>
      <b/>
      <u/>
      <color rgb="FFCB2A43"/>
      <name val="Arial"/>
      <scheme val="minor"/>
    </font>
    <font>
      <u/>
      <color rgb="FFCB2A43"/>
      <name val="Arial"/>
      <scheme val="minor"/>
    </font>
    <font>
      <u/>
      <color rgb="FFCB2A43"/>
      <name val="Arial"/>
      <scheme val="minor"/>
    </font>
    <font>
      <b/>
      <u/>
      <color rgb="FFCB2A43"/>
      <name val="Arial"/>
      <scheme val="minor"/>
    </font>
    <font>
      <u/>
      <color rgb="FFCB2A43"/>
      <name val="Arial"/>
      <scheme val="minor"/>
    </font>
    <font>
      <b/>
      <u/>
      <color rgb="FFCB2A43"/>
      <name val="Arial"/>
      <scheme val="minor"/>
    </font>
    <font>
      <b/>
      <u/>
      <color rgb="FFCB2A43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CB2A43"/>
      <name val="Arial"/>
      <scheme val="minor"/>
    </font>
    <font>
      <b/>
      <u/>
      <color rgb="FFCB2A43"/>
      <name val="Arial"/>
      <scheme val="minor"/>
    </font>
    <font>
      <u/>
      <color rgb="FFCB2A43"/>
      <name val="Arial"/>
      <scheme val="minor"/>
    </font>
    <font>
      <u/>
      <color rgb="FFCB2A43"/>
      <name val="Arial"/>
      <scheme val="minor"/>
    </font>
    <font>
      <b/>
      <u/>
      <color rgb="FFCB2A43"/>
      <name val="Arial"/>
      <scheme val="minor"/>
    </font>
    <font>
      <u/>
      <color rgb="FFCB2A43"/>
      <name val="Arial"/>
      <scheme val="minor"/>
    </font>
    <font>
      <b/>
      <u/>
      <color rgb="FFCB2A43"/>
      <name val="Arial"/>
      <scheme val="minor"/>
    </font>
    <font>
      <b/>
      <u/>
      <color rgb="FFCB2A43"/>
      <name val="Arial"/>
      <scheme val="minor"/>
    </font>
    <font>
      <b/>
      <u/>
      <color rgb="FF000000"/>
      <name val="Arial"/>
      <scheme val="minor"/>
    </font>
    <font>
      <b/>
      <sz val="12.0"/>
      <color rgb="FF000000"/>
      <name val="Arial"/>
      <scheme val="minor"/>
    </font>
    <font>
      <color rgb="FF000000"/>
      <name val="Arial"/>
      <scheme val="minor"/>
    </font>
    <font>
      <b/>
      <color rgb="FFFFFFF0"/>
      <name val="Arial"/>
      <scheme val="minor"/>
    </font>
    <font>
      <b/>
      <color rgb="FFFFFFF0"/>
      <name val="Roboto"/>
    </font>
    <font>
      <color rgb="FFFFFFF0"/>
      <name val="Roboto"/>
    </font>
    <font>
      <color rgb="FFFFFFF0"/>
      <name val="Arial"/>
    </font>
    <font>
      <b/>
      <i/>
      <color rgb="FFFFFFF0"/>
      <name val="Roboto"/>
    </font>
    <font>
      <color theme="1"/>
      <name val="Arial"/>
    </font>
    <font>
      <b/>
      <u/>
      <color rgb="FFFFFFF0"/>
      <name val="Roboto"/>
    </font>
    <font>
      <u/>
      <color rgb="FFFFFFF0"/>
      <name val="Roboto"/>
    </font>
    <font>
      <u/>
      <color rgb="FFFFFFF0"/>
      <name val="Roboto"/>
    </font>
    <font>
      <b/>
      <u/>
      <color rgb="FFFFFFF0"/>
      <name val="Roboto"/>
    </font>
    <font>
      <u/>
      <color theme="1"/>
      <name val="Arial"/>
    </font>
    <font>
      <b/>
      <u/>
      <color rgb="FFFFFFF0"/>
      <name val="Roboto"/>
    </font>
    <font>
      <b/>
      <u/>
      <color rgb="FFFFFFF0"/>
      <name val="Roboto"/>
    </font>
    <font>
      <b/>
      <u/>
      <color rgb="FF000000"/>
      <name val="Arial"/>
      <scheme val="minor"/>
    </font>
    <font>
      <b/>
      <u/>
      <color rgb="FFFFFFF0"/>
      <name val="Roboto"/>
    </font>
    <font>
      <u/>
      <color rgb="FFFFFFF0"/>
      <name val="Roboto"/>
    </font>
    <font>
      <u/>
      <color rgb="FFFFFFF0"/>
      <name val="Roboto"/>
    </font>
    <font>
      <b/>
      <u/>
      <color rgb="FFFFFFF0"/>
      <name val="Roboto"/>
    </font>
    <font>
      <u/>
      <color rgb="FFFFFFF0"/>
      <name val="Arial"/>
    </font>
    <font>
      <b/>
      <u/>
      <color rgb="FFFFFFF0"/>
      <name val="Roboto"/>
    </font>
    <font>
      <b/>
      <u/>
      <color rgb="FF000000"/>
      <name val="Arial"/>
      <scheme val="minor"/>
    </font>
    <font>
      <b/>
      <u/>
      <color theme="1"/>
      <name val="Arial"/>
      <scheme val="minor"/>
    </font>
    <font>
      <b/>
      <u/>
      <color rgb="FFFFFFF0"/>
      <name val="Roboto"/>
    </font>
    <font>
      <u/>
      <color rgb="FFFFFFF0"/>
      <name val="Roboto"/>
    </font>
    <font>
      <u/>
      <color rgb="FFFFFFF0"/>
      <name val="Roboto"/>
    </font>
    <font>
      <b/>
      <u/>
      <color rgb="FFFFFFF0"/>
      <name val="Roboto"/>
    </font>
    <font>
      <u/>
      <color rgb="FFFFFFF0"/>
      <name val="Arial"/>
    </font>
    <font>
      <b/>
      <u/>
      <color rgb="FFFFFFF0"/>
      <name val="Roboto"/>
    </font>
    <font>
      <b/>
      <u/>
      <color rgb="FFFFFFF0"/>
      <name val="Roboto"/>
    </font>
    <font>
      <b/>
      <u/>
      <color rgb="FF000000"/>
      <name val="Arial"/>
      <scheme val="minor"/>
    </font>
    <font>
      <b/>
      <u/>
      <color rgb="FFFFFFF0"/>
      <name val="Roboto"/>
    </font>
    <font>
      <u/>
      <color rgb="FFFFFFF0"/>
      <name val="Roboto"/>
    </font>
    <font>
      <u/>
      <color rgb="FFFFFFF0"/>
      <name val="Roboto"/>
    </font>
    <font>
      <b/>
      <u/>
      <color rgb="FFFFFFF0"/>
      <name val="Roboto"/>
    </font>
    <font>
      <u/>
      <color rgb="FFFFFFF0"/>
      <name val="Arial"/>
    </font>
    <font>
      <b/>
      <u/>
      <color rgb="FFFFFFF0"/>
      <name val="Roboto"/>
    </font>
    <font>
      <color rgb="FFFFFFF0"/>
      <name val="Arial"/>
      <scheme val="minor"/>
    </font>
    <font>
      <b/>
      <color rgb="FF1E191A"/>
      <name val="Arial"/>
      <scheme val="minor"/>
    </font>
    <font>
      <color rgb="FF1E191A"/>
      <name val="Arial"/>
      <scheme val="minor"/>
    </font>
    <font>
      <b/>
      <i/>
      <color rgb="FF1E191A"/>
      <name val="Arial"/>
      <scheme val="minor"/>
    </font>
    <font>
      <b/>
      <u/>
      <color rgb="FF1E191A"/>
      <name val="Arial"/>
      <scheme val="minor"/>
    </font>
    <font>
      <u/>
      <color rgb="FF1E191A"/>
      <name val="Arial"/>
      <scheme val="minor"/>
    </font>
    <font>
      <u/>
      <color rgb="FF1E191A"/>
      <name val="Arial"/>
      <scheme val="minor"/>
    </font>
    <font>
      <b/>
      <u/>
      <color rgb="FF1E191A"/>
      <name val="Arial"/>
      <scheme val="minor"/>
    </font>
    <font>
      <b/>
      <u/>
      <color rgb="FF1E191A"/>
      <name val="Arial"/>
      <scheme val="minor"/>
    </font>
    <font>
      <b/>
      <u/>
      <color rgb="FF1E191A"/>
      <name val="Arial"/>
      <scheme val="minor"/>
    </font>
    <font>
      <b/>
      <u/>
      <color rgb="FF1E191A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FF1E11"/>
      <name val="Arial"/>
      <scheme val="minor"/>
    </font>
    <font>
      <color rgb="FFFF1E11"/>
      <name val="Arial"/>
      <scheme val="minor"/>
    </font>
    <font>
      <b/>
      <u/>
      <color rgb="FFFF1E11"/>
      <name val="Arial"/>
      <scheme val="minor"/>
    </font>
    <font>
      <u/>
      <color rgb="FFFF1E11"/>
      <name val="Arial"/>
      <scheme val="minor"/>
    </font>
    <font>
      <u/>
      <color rgb="FFFF1E11"/>
      <name val="Arial"/>
      <scheme val="minor"/>
    </font>
    <font>
      <b/>
      <u/>
      <color rgb="FFFF1E11"/>
      <name val="Arial"/>
      <scheme val="minor"/>
    </font>
    <font>
      <b/>
      <u/>
      <color rgb="FFFF1E11"/>
      <name val="Arial"/>
      <scheme val="minor"/>
    </font>
    <font>
      <b/>
      <u/>
      <color rgb="FFFF1E11"/>
      <name val="Arial"/>
      <scheme val="minor"/>
    </font>
    <font>
      <b/>
      <u/>
      <color rgb="FFFF1E11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E2211C"/>
      <name val="Arial"/>
      <scheme val="minor"/>
    </font>
    <font>
      <color rgb="FFE2211C"/>
      <name val="Arial"/>
      <scheme val="minor"/>
    </font>
    <font>
      <b/>
      <i/>
      <color rgb="FFE2211C"/>
      <name val="Arial"/>
      <scheme val="minor"/>
    </font>
    <font>
      <b/>
      <u/>
      <color rgb="FFE2211C"/>
      <name val="Arial"/>
      <scheme val="minor"/>
    </font>
    <font>
      <b/>
      <u/>
      <color rgb="FFE2211C"/>
      <name val="Arial"/>
      <scheme val="minor"/>
    </font>
    <font>
      <u/>
      <color rgb="FFE2211C"/>
      <name val="Arial"/>
      <scheme val="minor"/>
    </font>
    <font>
      <b/>
      <u/>
      <color rgb="FFE2211C"/>
      <name val="Arial"/>
      <scheme val="minor"/>
    </font>
    <font>
      <b/>
      <u/>
      <color rgb="FFE2211C"/>
      <name val="Arial"/>
      <scheme val="minor"/>
    </font>
    <font>
      <b/>
      <u/>
      <color rgb="FFE2211C"/>
      <name val="Arial"/>
      <scheme val="minor"/>
    </font>
    <font>
      <b/>
      <u/>
      <color rgb="FFE2211C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E2211C"/>
      <name val="Arial"/>
      <scheme val="minor"/>
    </font>
    <font>
      <b/>
      <color rgb="FF231F20"/>
      <name val="Arial"/>
      <scheme val="minor"/>
    </font>
    <font>
      <color rgb="FF231F20"/>
      <name val="Arial"/>
      <scheme val="minor"/>
    </font>
    <font>
      <b/>
      <i/>
      <color rgb="FF231F20"/>
      <name val="Arial"/>
      <scheme val="minor"/>
    </font>
    <font>
      <b/>
      <u/>
      <color rgb="FF231F20"/>
      <name val="Arial"/>
      <scheme val="minor"/>
    </font>
    <font>
      <u/>
      <color rgb="FF231F20"/>
      <name val="Arial"/>
      <scheme val="minor"/>
    </font>
    <font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DB2E35"/>
      <name val="Arial"/>
      <scheme val="minor"/>
    </font>
    <font>
      <color rgb="FFDB2E35"/>
      <name val="Arial"/>
      <scheme val="minor"/>
    </font>
    <font>
      <b/>
      <i/>
      <color rgb="FFDB2E35"/>
      <name val="Arial"/>
      <scheme val="minor"/>
    </font>
    <font>
      <b/>
      <u/>
      <color rgb="FFDB2E35"/>
      <name val="Arial"/>
      <scheme val="minor"/>
    </font>
    <font>
      <u/>
      <color rgb="FFDB2E35"/>
      <name val="Arial"/>
      <scheme val="minor"/>
    </font>
    <font>
      <u/>
      <color rgb="FFDB2E35"/>
      <name val="Arial"/>
      <scheme val="minor"/>
    </font>
    <font>
      <b/>
      <u/>
      <color rgb="FFDB2E35"/>
      <name val="Arial"/>
      <scheme val="minor"/>
    </font>
    <font>
      <b/>
      <u/>
      <color rgb="FFDB2E35"/>
      <name val="Arial"/>
      <scheme val="minor"/>
    </font>
    <font>
      <b/>
      <u/>
      <color rgb="FFDB2E35"/>
      <name val="Arial"/>
      <scheme val="minor"/>
    </font>
    <font>
      <b/>
      <u/>
      <color rgb="FFDB2E35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color rgb="FFFFFFFF"/>
      <name val="Arial"/>
      <scheme val="minor"/>
    </font>
    <font>
      <b/>
      <i/>
      <color rgb="FFFFFFFF"/>
      <name val="Arial"/>
      <scheme val="minor"/>
    </font>
    <font>
      <b/>
      <u/>
      <color rgb="FFFFFFFF"/>
      <name val="Arial"/>
      <scheme val="minor"/>
    </font>
    <font>
      <u/>
      <color rgb="FFFFFFFF"/>
      <name val="Arial"/>
      <scheme val="minor"/>
    </font>
    <font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i/>
      <u/>
      <color rgb="FFFFFFFF"/>
      <name val="Arial"/>
      <scheme val="minor"/>
    </font>
    <font>
      <b/>
      <color rgb="FFFEFEFE"/>
      <name val="Arial"/>
      <scheme val="minor"/>
    </font>
    <font>
      <color rgb="FFFEFEFE"/>
      <name val="Arial"/>
      <scheme val="minor"/>
    </font>
    <font>
      <b/>
      <i/>
      <color rgb="FFFEFEFE"/>
      <name val="Arial"/>
      <scheme val="minor"/>
    </font>
    <font>
      <b/>
      <u/>
      <color rgb="FFFEFEFE"/>
      <name val="Arial"/>
      <scheme val="minor"/>
    </font>
    <font>
      <b/>
      <i/>
      <u/>
      <color rgb="FFFEFEFE"/>
      <name val="Arial"/>
      <scheme val="minor"/>
    </font>
    <font>
      <u/>
      <color rgb="FFFEFEFE"/>
      <name val="Arial"/>
      <scheme val="minor"/>
    </font>
    <font>
      <b/>
      <u/>
      <color rgb="FFFEFEFE"/>
      <name val="Arial"/>
      <scheme val="minor"/>
    </font>
    <font>
      <u/>
      <color rgb="FFFEFEFE"/>
      <name val="Arial"/>
      <scheme val="minor"/>
    </font>
    <font>
      <b/>
      <u/>
      <color rgb="FFFEFEFE"/>
      <name val="Arial"/>
      <scheme val="minor"/>
    </font>
    <font>
      <b/>
      <u/>
      <color rgb="FFFEFEFE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FEFEFE"/>
      <name val="Arial"/>
      <scheme val="minor"/>
    </font>
    <font>
      <b/>
      <color rgb="FFFFEC00"/>
      <name val="Arial"/>
      <scheme val="minor"/>
    </font>
    <font>
      <color rgb="FFFFEC00"/>
      <name val="Arial"/>
      <scheme val="minor"/>
    </font>
    <font>
      <b/>
      <u/>
      <color rgb="FFFFEC00"/>
      <name val="Arial"/>
      <scheme val="minor"/>
    </font>
    <font>
      <u/>
      <color rgb="FFFFEC00"/>
      <name val="Arial"/>
      <scheme val="minor"/>
    </font>
    <font>
      <u/>
      <color rgb="FFFFEC00"/>
      <name val="Arial"/>
      <scheme val="minor"/>
    </font>
    <font>
      <b/>
      <u/>
      <color rgb="FFFFEC00"/>
      <name val="Arial"/>
      <scheme val="minor"/>
    </font>
    <font>
      <b/>
      <u/>
      <color rgb="FFFFEC00"/>
      <name val="Arial"/>
      <scheme val="minor"/>
    </font>
    <font>
      <b/>
      <u/>
      <color rgb="FFFFEC00"/>
      <name val="Arial"/>
      <scheme val="minor"/>
    </font>
    <font>
      <b/>
      <u/>
      <color rgb="FFFFEC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FDFDFD"/>
      <name val="Arial"/>
      <scheme val="minor"/>
    </font>
    <font>
      <b/>
      <color rgb="FFFDFDFD"/>
      <name val="Roboto"/>
    </font>
    <font>
      <color rgb="FFFDFDFD"/>
      <name val="Roboto"/>
    </font>
    <font>
      <color rgb="FFFDFDFD"/>
      <name val="Arial"/>
    </font>
    <font>
      <b/>
      <i/>
      <color rgb="FFFDFDFD"/>
      <name val="Roboto"/>
    </font>
    <font>
      <b/>
      <u/>
      <color rgb="FFFDFDFD"/>
      <name val="Roboto"/>
    </font>
    <font>
      <u/>
      <color rgb="FFFDFDFD"/>
      <name val="Roboto"/>
    </font>
    <font>
      <u/>
      <color rgb="FFFDFDFD"/>
      <name val="Roboto"/>
    </font>
    <font>
      <b/>
      <u/>
      <color rgb="FFFDFDFD"/>
      <name val="Roboto"/>
    </font>
    <font>
      <u/>
      <color theme="1"/>
      <name val="Arial"/>
    </font>
    <font>
      <b/>
      <u/>
      <color rgb="FFFDFDFD"/>
      <name val="Roboto"/>
    </font>
    <font>
      <b/>
      <u/>
      <color rgb="FFFDFDFD"/>
      <name val="Roboto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FDFDFD"/>
      <name val="Roboto"/>
    </font>
    <font>
      <u/>
      <color rgb="FFFDFDFD"/>
      <name val="Roboto"/>
    </font>
    <font>
      <b/>
      <u/>
      <color rgb="FFFDFDFD"/>
      <name val="Roboto"/>
    </font>
    <font>
      <b/>
      <u/>
      <color rgb="FFFDFDFD"/>
      <name val="Roboto"/>
    </font>
    <font>
      <b/>
      <u/>
      <color rgb="FFFDFDFD"/>
      <name val="Roboto"/>
    </font>
    <font>
      <u/>
      <color rgb="FFFDFDFD"/>
      <name val="Roboto"/>
    </font>
    <font>
      <u/>
      <color rgb="FFFDFDFD"/>
      <name val="Roboto"/>
    </font>
    <font>
      <b/>
      <u/>
      <color rgb="FFFDFDFD"/>
      <name val="Roboto"/>
    </font>
    <font>
      <u/>
      <color theme="1"/>
      <name val="Arial"/>
    </font>
    <font>
      <b/>
      <u/>
      <color rgb="FFFDFDFD"/>
      <name val="Roboto"/>
    </font>
    <font>
      <color rgb="FFFDFDFD"/>
      <name val="Arial"/>
      <scheme val="minor"/>
    </font>
    <font>
      <b/>
      <u/>
      <color rgb="FF231F20"/>
      <name val="Arial"/>
      <scheme val="minor"/>
    </font>
    <font>
      <u/>
      <color rgb="FF231F20"/>
      <name val="Arial"/>
      <scheme val="minor"/>
    </font>
    <font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0F2DB9"/>
      <name val="Arial"/>
      <scheme val="minor"/>
    </font>
    <font>
      <color rgb="FF0F2DB9"/>
      <name val="Arial"/>
      <scheme val="minor"/>
    </font>
    <font>
      <b/>
      <i/>
      <color rgb="FF0F2DB9"/>
      <name val="Arial"/>
      <scheme val="minor"/>
    </font>
    <font>
      <b/>
      <u/>
      <color rgb="FF0F2DB9"/>
      <name val="Arial"/>
      <scheme val="minor"/>
    </font>
    <font>
      <u/>
      <color rgb="FF0F2DB9"/>
      <name val="Arial"/>
      <scheme val="minor"/>
    </font>
    <font>
      <u/>
      <color rgb="FF0F2DB9"/>
      <name val="Arial"/>
      <scheme val="minor"/>
    </font>
    <font>
      <b/>
      <u/>
      <color rgb="FF0F2DB9"/>
      <name val="Arial"/>
      <scheme val="minor"/>
    </font>
    <font>
      <b/>
      <u/>
      <color rgb="FF0F2DB9"/>
      <name val="Arial"/>
      <scheme val="minor"/>
    </font>
    <font>
      <b/>
      <u/>
      <color rgb="FF0F2DB9"/>
      <name val="Arial"/>
      <scheme val="minor"/>
    </font>
    <font>
      <b/>
      <u/>
      <color rgb="FF0F2DB9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F3B2B2"/>
      <name val="Arial"/>
      <scheme val="minor"/>
    </font>
    <font>
      <color rgb="FFF3B2B2"/>
      <name val="Arial"/>
      <scheme val="minor"/>
    </font>
    <font>
      <b/>
      <u/>
      <color rgb="FFF3B2B2"/>
      <name val="Arial"/>
      <scheme val="minor"/>
    </font>
    <font>
      <u/>
      <color rgb="FFF3B2B2"/>
      <name val="Arial"/>
      <scheme val="minor"/>
    </font>
    <font>
      <u/>
      <color rgb="FFF3B2B2"/>
      <name val="Arial"/>
      <scheme val="minor"/>
    </font>
    <font>
      <b/>
      <u/>
      <color rgb="FFF3B2B2"/>
      <name val="Arial"/>
      <scheme val="minor"/>
    </font>
    <font>
      <b/>
      <u/>
      <color rgb="FFF3B2B2"/>
      <name val="Arial"/>
      <scheme val="minor"/>
    </font>
    <font>
      <b/>
      <u/>
      <color rgb="FFF3B2B2"/>
      <name val="Arial"/>
      <scheme val="minor"/>
    </font>
    <font>
      <b/>
      <u/>
      <color rgb="FFF3B2B2"/>
      <name val="Arial"/>
      <scheme val="minor"/>
    </font>
    <font>
      <b/>
      <u/>
      <color rgb="FF000000"/>
      <name val="Arial"/>
      <scheme val="minor"/>
    </font>
    <font>
      <b/>
      <i/>
      <color rgb="FFF3B2B2"/>
      <name val="Arial"/>
      <scheme val="minor"/>
    </font>
    <font>
      <b/>
      <u/>
      <color rgb="FF000000"/>
      <name val="Arial"/>
      <scheme val="minor"/>
    </font>
    <font>
      <b/>
      <color rgb="FFFAC00D"/>
      <name val="Arial"/>
      <scheme val="minor"/>
    </font>
    <font>
      <color rgb="FFFAC00D"/>
      <name val="Arial"/>
      <scheme val="minor"/>
    </font>
    <font>
      <b/>
      <i/>
      <color rgb="FFFAC00D"/>
      <name val="Arial"/>
      <scheme val="minor"/>
    </font>
    <font>
      <b/>
      <u/>
      <color rgb="FFFAC00D"/>
      <name val="Arial"/>
      <scheme val="minor"/>
    </font>
    <font>
      <u/>
      <color rgb="FFFAC00D"/>
      <name val="Arial"/>
      <scheme val="minor"/>
    </font>
    <font>
      <u/>
      <color rgb="FFFAC00D"/>
      <name val="Arial"/>
      <scheme val="minor"/>
    </font>
    <font>
      <b/>
      <u/>
      <color rgb="FFFAC00D"/>
      <name val="Arial"/>
      <scheme val="minor"/>
    </font>
    <font>
      <b/>
      <u/>
      <color rgb="FFFAC00D"/>
      <name val="Arial"/>
      <scheme val="minor"/>
    </font>
    <font>
      <b/>
      <u/>
      <color rgb="FFFAC00D"/>
      <name val="Arial"/>
      <scheme val="minor"/>
    </font>
    <font>
      <b/>
      <u/>
      <color rgb="FFFAC00D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FFFFFF"/>
      <name val="Arial"/>
      <scheme val="minor"/>
    </font>
    <font>
      <u/>
      <color rgb="FFFFFFFF"/>
      <name val="Arial"/>
      <scheme val="minor"/>
    </font>
    <font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26230E"/>
      <name val="Arial"/>
      <scheme val="minor"/>
    </font>
    <font>
      <color rgb="FF26230E"/>
      <name val="Arial"/>
      <scheme val="minor"/>
    </font>
    <font>
      <b/>
      <i/>
      <color rgb="FF26230E"/>
      <name val="Arial"/>
      <scheme val="minor"/>
    </font>
    <font>
      <b/>
      <u/>
      <color rgb="FF26230E"/>
      <name val="Arial"/>
      <scheme val="minor"/>
    </font>
    <font>
      <u/>
      <color rgb="FF26230E"/>
      <name val="Arial"/>
      <scheme val="minor"/>
    </font>
    <font>
      <u/>
      <color rgb="FF26230E"/>
      <name val="Arial"/>
      <scheme val="minor"/>
    </font>
    <font>
      <b/>
      <u/>
      <color rgb="FF26230E"/>
      <name val="Arial"/>
      <scheme val="minor"/>
    </font>
    <font>
      <b/>
      <u/>
      <color rgb="FF26230E"/>
      <name val="Arial"/>
      <scheme val="minor"/>
    </font>
    <font>
      <b/>
      <u/>
      <color rgb="FF26230E"/>
      <name val="Arial"/>
      <scheme val="minor"/>
    </font>
    <font>
      <b/>
      <u/>
      <color rgb="FF26230E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i/>
      <color rgb="FF000000"/>
      <name val="Arial"/>
      <scheme val="minor"/>
    </font>
    <font>
      <b/>
      <u/>
      <color rgb="FF000000"/>
      <name val="Arial"/>
      <scheme val="minor"/>
    </font>
    <font>
      <u/>
      <color rgb="FF000000"/>
      <name val="Arial"/>
      <scheme val="minor"/>
    </font>
    <font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E9CD00"/>
      <name val="Arial"/>
      <scheme val="minor"/>
    </font>
    <font>
      <color rgb="FFE9CD00"/>
      <name val="Arial"/>
      <scheme val="minor"/>
    </font>
    <font>
      <b/>
      <i/>
      <color rgb="FFE9CD00"/>
      <name val="Arial"/>
      <scheme val="minor"/>
    </font>
    <font>
      <b/>
      <u/>
      <color rgb="FFE9CD00"/>
      <name val="Arial"/>
      <scheme val="minor"/>
    </font>
    <font>
      <u/>
      <color rgb="FFE9CD00"/>
      <name val="Arial"/>
      <scheme val="minor"/>
    </font>
    <font>
      <u/>
      <color rgb="FFE9CD00"/>
      <name val="Arial"/>
      <scheme val="minor"/>
    </font>
    <font>
      <b/>
      <u/>
      <color rgb="FFE9CD00"/>
      <name val="Arial"/>
      <scheme val="minor"/>
    </font>
    <font>
      <b/>
      <u/>
      <color rgb="FFE9CD00"/>
      <name val="Arial"/>
      <scheme val="minor"/>
    </font>
    <font>
      <b/>
      <u/>
      <color rgb="FFE9CD00"/>
      <name val="Arial"/>
      <scheme val="minor"/>
    </font>
    <font>
      <b/>
      <u/>
      <color rgb="FFE9CD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FFFFFF"/>
      <name val="Roboto"/>
    </font>
    <font>
      <b/>
      <i/>
      <color rgb="FFFFFFFF"/>
      <name val="Roboto"/>
    </font>
    <font>
      <color rgb="FFFFFFFF"/>
      <name val="Roboto"/>
    </font>
    <font>
      <color rgb="FFFFFFFF"/>
      <name val="Arial"/>
    </font>
    <font>
      <b/>
      <u/>
      <color rgb="FFFFFFFF"/>
      <name val="Roboto"/>
    </font>
    <font>
      <u/>
      <color rgb="FFFFFFFF"/>
      <name val="Roboto"/>
    </font>
    <font>
      <u/>
      <color rgb="FFFFFFFF"/>
      <name val="Roboto"/>
    </font>
    <font>
      <b/>
      <u/>
      <color rgb="FFFFFFFF"/>
      <name val="Roboto"/>
    </font>
    <font>
      <u/>
      <color rgb="FFFFFFFF"/>
      <name val="Arial"/>
    </font>
    <font>
      <b/>
      <u/>
      <color rgb="FFFFFFFF"/>
      <name val="Roboto"/>
    </font>
    <font>
      <b/>
      <u/>
      <color rgb="FFFFFFFF"/>
      <name val="Roboto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FFFFFF"/>
      <name val="Roboto"/>
    </font>
    <font>
      <u/>
      <color rgb="FFFFFFFF"/>
      <name val="Roboto"/>
    </font>
    <font>
      <u/>
      <color rgb="FFFFFFFF"/>
      <name val="Roboto"/>
    </font>
    <font>
      <b/>
      <u/>
      <color rgb="FFFFFFFF"/>
      <name val="Roboto"/>
    </font>
    <font>
      <u/>
      <color rgb="FFFFFFFF"/>
      <name val="Arial"/>
    </font>
    <font>
      <b/>
      <u/>
      <color rgb="FFFFFFFF"/>
      <name val="Roboto"/>
    </font>
    <font>
      <b/>
      <u/>
      <color rgb="FFFFFFFF"/>
      <name val="Roboto"/>
    </font>
    <font>
      <b/>
      <u/>
      <color rgb="FF000000"/>
      <name val="Arial"/>
      <scheme val="minor"/>
    </font>
    <font>
      <b/>
      <u/>
      <color rgb="FFFFFFFF"/>
      <name val="Roboto"/>
    </font>
    <font>
      <u/>
      <color rgb="FFFFFFFF"/>
      <name val="Roboto"/>
    </font>
    <font>
      <u/>
      <color rgb="FFFFFFFF"/>
      <name val="Roboto"/>
    </font>
    <font>
      <b/>
      <u/>
      <color rgb="FFFFFFFF"/>
      <name val="Roboto"/>
    </font>
    <font>
      <u/>
      <color theme="1"/>
      <name val="Arial"/>
    </font>
    <font>
      <b/>
      <u/>
      <color rgb="FFFFFFFF"/>
      <name val="Roboto"/>
    </font>
    <font>
      <b/>
      <u/>
      <color rgb="FF000000"/>
      <name val="Arial"/>
      <scheme val="minor"/>
    </font>
    <font>
      <b/>
      <color rgb="FF009DDC"/>
      <name val="Arial"/>
      <scheme val="minor"/>
    </font>
    <font>
      <color rgb="FF009DDC"/>
      <name val="Arial"/>
      <scheme val="minor"/>
    </font>
    <font>
      <b/>
      <i/>
      <color rgb="FF009DDC"/>
      <name val="Arial"/>
      <scheme val="minor"/>
    </font>
    <font>
      <b/>
      <u/>
      <color rgb="FF009DDC"/>
      <name val="Arial"/>
      <scheme val="minor"/>
    </font>
    <font>
      <u/>
      <color rgb="FF009DDC"/>
      <name val="Arial"/>
      <scheme val="minor"/>
    </font>
    <font>
      <u/>
      <color rgb="FF009DDC"/>
      <name val="Arial"/>
      <scheme val="minor"/>
    </font>
    <font>
      <b/>
      <u/>
      <color rgb="FF009DDC"/>
      <name val="Arial"/>
      <scheme val="minor"/>
    </font>
    <font>
      <b/>
      <u/>
      <color rgb="FF009DDC"/>
      <name val="Arial"/>
      <scheme val="minor"/>
    </font>
    <font>
      <b/>
      <u/>
      <color rgb="FF009DDC"/>
      <name val="Arial"/>
      <scheme val="minor"/>
    </font>
    <font>
      <b/>
      <u/>
      <color rgb="FF009DDC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i/>
      <u/>
      <color rgb="FF009DDC"/>
      <name val="Arial"/>
      <scheme val="minor"/>
    </font>
    <font>
      <b/>
      <color rgb="FF00A7E1"/>
      <name val="Arial"/>
      <scheme val="minor"/>
    </font>
    <font>
      <color rgb="FF00A7E1"/>
      <name val="Arial"/>
      <scheme val="minor"/>
    </font>
    <font>
      <b/>
      <color rgb="FFD6002D"/>
      <name val="Arial"/>
      <scheme val="minor"/>
    </font>
    <font>
      <color rgb="FFD6002D"/>
      <name val="Arial"/>
      <scheme val="minor"/>
    </font>
    <font>
      <b/>
      <i/>
      <color rgb="FFD6002D"/>
      <name val="Arial"/>
      <scheme val="minor"/>
    </font>
    <font>
      <b/>
      <u/>
      <color rgb="FFD6002D"/>
      <name val="Arial"/>
      <scheme val="minor"/>
    </font>
    <font>
      <u/>
      <color rgb="FFD6002D"/>
      <name val="Arial"/>
      <scheme val="minor"/>
    </font>
    <font>
      <u/>
      <color rgb="FFD6002D"/>
      <name val="Arial"/>
      <scheme val="minor"/>
    </font>
    <font>
      <b/>
      <u/>
      <color rgb="FFD6002D"/>
      <name val="Arial"/>
      <scheme val="minor"/>
    </font>
    <font>
      <b/>
      <u/>
      <color rgb="FFD6002D"/>
      <name val="Arial"/>
      <scheme val="minor"/>
    </font>
    <font>
      <b/>
      <u/>
      <color rgb="FFD6002D"/>
      <name val="Arial"/>
      <scheme val="minor"/>
    </font>
    <font>
      <b/>
      <u/>
      <color rgb="FFD6002D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FFFFFF"/>
      <name val="Arial"/>
      <scheme val="minor"/>
    </font>
    <font>
      <u/>
      <color rgb="FFFFFFFF"/>
      <name val="Arial"/>
      <scheme val="minor"/>
    </font>
    <font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00B6F1"/>
      <name val="Arial"/>
      <scheme val="minor"/>
    </font>
    <font>
      <b/>
      <color rgb="FF00B6F1"/>
      <name val="Roboto"/>
    </font>
    <font>
      <color rgb="FF00B6F1"/>
      <name val="Roboto"/>
    </font>
    <font>
      <color rgb="FF00B6F1"/>
      <name val="Arial"/>
    </font>
    <font>
      <b/>
      <u/>
      <color rgb="FF00B6F1"/>
      <name val="Roboto"/>
    </font>
    <font>
      <u/>
      <color rgb="FF00B6F1"/>
      <name val="Roboto"/>
    </font>
    <font>
      <u/>
      <color rgb="FF00B6F1"/>
      <name val="Roboto"/>
    </font>
    <font>
      <b/>
      <u/>
      <color rgb="FF00B6F1"/>
      <name val="Roboto"/>
    </font>
    <font>
      <u/>
      <color theme="1"/>
      <name val="Arial"/>
    </font>
    <font>
      <b/>
      <u/>
      <color rgb="FF00B6F1"/>
      <name val="Roboto"/>
    </font>
    <font>
      <b/>
      <u/>
      <color rgb="FF00B6F1"/>
      <name val="Roboto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i/>
      <color rgb="FF00B6F1"/>
      <name val="Roboto"/>
    </font>
    <font>
      <u/>
      <color rgb="FF00B6F1"/>
      <name val="Roboto"/>
    </font>
    <font>
      <u/>
      <color rgb="FF00B6F1"/>
      <name val="Roboto"/>
    </font>
    <font>
      <b/>
      <u/>
      <color rgb="FF00B6F1"/>
      <name val="Roboto"/>
    </font>
    <font>
      <b/>
      <u/>
      <color rgb="FF00B6F1"/>
      <name val="Roboto"/>
    </font>
    <font>
      <b/>
      <u/>
      <color rgb="FF00B6F1"/>
      <name val="Roboto"/>
    </font>
    <font>
      <u/>
      <color rgb="FF00B6F1"/>
      <name val="Roboto"/>
    </font>
    <font>
      <b/>
      <u/>
      <color rgb="FF00B6F1"/>
      <name val="Roboto"/>
    </font>
    <font>
      <color rgb="FF00B6F1"/>
      <name val="Arial"/>
      <scheme val="minor"/>
    </font>
    <font>
      <b/>
      <u/>
      <color rgb="FFFFFFFF"/>
      <name val="Arial"/>
      <scheme val="minor"/>
    </font>
    <font>
      <u/>
      <color rgb="FFFFFFFF"/>
      <name val="Arial"/>
      <scheme val="minor"/>
    </font>
    <font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FFD100"/>
      <name val="Arial"/>
      <scheme val="minor"/>
    </font>
    <font>
      <color rgb="FFFFD100"/>
      <name val="Arial"/>
      <scheme val="minor"/>
    </font>
    <font>
      <b/>
      <i/>
      <color rgb="FFFFD100"/>
      <name val="Arial"/>
      <scheme val="minor"/>
    </font>
    <font>
      <b/>
      <u/>
      <color rgb="FFFFD100"/>
      <name val="Arial"/>
      <scheme val="minor"/>
    </font>
    <font>
      <u/>
      <color rgb="FFFFD100"/>
      <name val="Arial"/>
      <scheme val="minor"/>
    </font>
    <font>
      <u/>
      <color rgb="FFFFD100"/>
      <name val="Arial"/>
      <scheme val="minor"/>
    </font>
    <font>
      <b/>
      <u/>
      <color rgb="FFFFD100"/>
      <name val="Arial"/>
      <scheme val="minor"/>
    </font>
    <font>
      <b/>
      <u/>
      <color rgb="FFFFD100"/>
      <name val="Arial"/>
      <scheme val="minor"/>
    </font>
    <font>
      <b/>
      <u/>
      <color rgb="FFFFD100"/>
      <name val="Arial"/>
      <scheme val="minor"/>
    </font>
    <font>
      <b/>
      <u/>
      <color rgb="FFFFD1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i/>
      <u/>
      <color rgb="FFFFD100"/>
      <name val="Arial"/>
      <scheme val="minor"/>
    </font>
    <font>
      <b/>
      <color rgb="FFFD3A45"/>
      <name val="Arial"/>
      <scheme val="minor"/>
    </font>
    <font>
      <color rgb="FFFD3A45"/>
      <name val="Arial"/>
      <scheme val="minor"/>
    </font>
    <font>
      <b/>
      <i/>
      <color rgb="FFFD3A45"/>
      <name val="Arial"/>
      <scheme val="minor"/>
    </font>
    <font>
      <b/>
      <u/>
      <color rgb="FFFD3A45"/>
      <name val="Arial"/>
      <scheme val="minor"/>
    </font>
    <font>
      <u/>
      <color rgb="FFFD3A45"/>
      <name val="Arial"/>
      <scheme val="minor"/>
    </font>
    <font>
      <u/>
      <color rgb="FFFD3A45"/>
      <name val="Arial"/>
      <scheme val="minor"/>
    </font>
    <font>
      <b/>
      <u/>
      <color rgb="FFFD3A45"/>
      <name val="Arial"/>
      <scheme val="minor"/>
    </font>
    <font>
      <b/>
      <u/>
      <color rgb="FFFD3A45"/>
      <name val="Arial"/>
      <scheme val="minor"/>
    </font>
    <font>
      <b/>
      <u/>
      <color rgb="FFFD3A45"/>
      <name val="Arial"/>
      <scheme val="minor"/>
    </font>
    <font>
      <b/>
      <u/>
      <color rgb="FFFD3A45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FFFFFF"/>
      <name val="Arial"/>
      <scheme val="minor"/>
    </font>
    <font>
      <u/>
      <color rgb="FFFFFFFF"/>
      <name val="Arial"/>
      <scheme val="minor"/>
    </font>
    <font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FFFFFF"/>
      <name val="Arial"/>
      <scheme val="minor"/>
    </font>
    <font>
      <u/>
      <color rgb="FFFFFFFF"/>
      <name val="Arial"/>
      <scheme val="minor"/>
    </font>
    <font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000000"/>
      <name val="Arial"/>
      <scheme val="minor"/>
    </font>
    <font>
      <b/>
      <color rgb="FF004AA8"/>
      <name val="Arial"/>
      <scheme val="minor"/>
    </font>
    <font>
      <color rgb="FF004AA8"/>
      <name val="Arial"/>
      <scheme val="minor"/>
    </font>
    <font>
      <b/>
      <i/>
      <color rgb="FF004AA8"/>
      <name val="Arial"/>
      <scheme val="minor"/>
    </font>
    <font>
      <b/>
      <u/>
      <color rgb="FF004AA8"/>
      <name val="Arial"/>
      <scheme val="minor"/>
    </font>
    <font>
      <u/>
      <color rgb="FF004AA8"/>
      <name val="Arial"/>
      <scheme val="minor"/>
    </font>
    <font>
      <u/>
      <color rgb="FF004AA8"/>
      <name val="Arial"/>
      <scheme val="minor"/>
    </font>
    <font>
      <b/>
      <u/>
      <color rgb="FF004AA8"/>
      <name val="Arial"/>
      <scheme val="minor"/>
    </font>
    <font>
      <b/>
      <u/>
      <color rgb="FF004AA8"/>
      <name val="Arial"/>
      <scheme val="minor"/>
    </font>
    <font>
      <b/>
      <u/>
      <color rgb="FF004AA8"/>
      <name val="Arial"/>
      <scheme val="minor"/>
    </font>
    <font>
      <b/>
      <u/>
      <color rgb="FF004AA8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E9E9EB"/>
      <name val="Arial"/>
      <scheme val="minor"/>
    </font>
    <font>
      <color rgb="FFE9E9EB"/>
      <name val="Arial"/>
      <scheme val="minor"/>
    </font>
    <font>
      <b/>
      <i/>
      <color rgb="FFE9E9EB"/>
      <name val="Arial"/>
      <scheme val="minor"/>
    </font>
    <font>
      <b/>
      <u/>
      <color rgb="FFE9E9EB"/>
      <name val="Arial"/>
      <scheme val="minor"/>
    </font>
    <font>
      <u/>
      <color rgb="FFE9E9EB"/>
      <name val="Arial"/>
      <scheme val="minor"/>
    </font>
    <font>
      <u/>
      <color rgb="FFE9E9EB"/>
      <name val="Arial"/>
      <scheme val="minor"/>
    </font>
    <font>
      <b/>
      <u/>
      <color rgb="FFE9E9EB"/>
      <name val="Arial"/>
      <scheme val="minor"/>
    </font>
    <font>
      <b/>
      <u/>
      <color rgb="FFE9E9EB"/>
      <name val="Arial"/>
      <scheme val="minor"/>
    </font>
    <font>
      <b/>
      <u/>
      <color rgb="FFE9E9EB"/>
      <name val="Arial"/>
      <scheme val="minor"/>
    </font>
    <font>
      <b/>
      <u/>
      <color rgb="FFE9E9EB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FFFFFF"/>
      <name val="Arial"/>
      <scheme val="minor"/>
    </font>
    <font>
      <b/>
      <i/>
      <u/>
      <color rgb="FFFFFFFF"/>
      <name val="Arial"/>
      <scheme val="minor"/>
    </font>
    <font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FEFCE5"/>
      <name val="Arial"/>
      <scheme val="minor"/>
    </font>
    <font>
      <color rgb="FFFEFCE5"/>
      <name val="Arial"/>
      <scheme val="minor"/>
    </font>
    <font>
      <b/>
      <i/>
      <color rgb="FFFEFCE5"/>
      <name val="Arial"/>
      <scheme val="minor"/>
    </font>
    <font>
      <b/>
      <u/>
      <color rgb="FFFEFCE5"/>
      <name val="Arial"/>
      <scheme val="minor"/>
    </font>
    <font>
      <u/>
      <color rgb="FFFEFCE5"/>
      <name val="Arial"/>
      <scheme val="minor"/>
    </font>
    <font>
      <u/>
      <color rgb="FFFEFCE5"/>
      <name val="Arial"/>
      <scheme val="minor"/>
    </font>
    <font>
      <b/>
      <u/>
      <color rgb="FFFEFCE5"/>
      <name val="Arial"/>
      <scheme val="minor"/>
    </font>
    <font>
      <b/>
      <u/>
      <color rgb="FFFEFCE5"/>
      <name val="Arial"/>
      <scheme val="minor"/>
    </font>
    <font>
      <b/>
      <u/>
      <color rgb="FFFEFCE5"/>
      <name val="Arial"/>
      <scheme val="minor"/>
    </font>
    <font>
      <b/>
      <u/>
      <color rgb="FFFEFCE5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color rgb="FF000A3C"/>
      <name val="Arial"/>
      <scheme val="minor"/>
    </font>
    <font>
      <b/>
      <color rgb="FF000A3C"/>
      <name val="Roboto"/>
    </font>
    <font>
      <color rgb="FF000A3C"/>
      <name val="Roboto"/>
    </font>
    <font>
      <color rgb="FF000A3C"/>
      <name val="Arial"/>
    </font>
    <font>
      <b/>
      <i/>
      <color rgb="FF000A3C"/>
      <name val="Roboto"/>
    </font>
    <font>
      <b/>
      <u/>
      <color rgb="FF000A3C"/>
      <name val="Roboto"/>
    </font>
    <font>
      <u/>
      <color rgb="FF000A3C"/>
      <name val="Roboto"/>
    </font>
    <font>
      <u/>
      <color rgb="FF000A3C"/>
      <name val="Roboto"/>
    </font>
    <font>
      <b/>
      <u/>
      <color rgb="FF000A3C"/>
      <name val="Roboto"/>
    </font>
    <font>
      <u/>
      <color theme="1"/>
      <name val="Arial"/>
    </font>
    <font>
      <b/>
      <u/>
      <color rgb="FF000A3C"/>
      <name val="Roboto"/>
    </font>
    <font>
      <b/>
      <u/>
      <color rgb="FF000A3C"/>
      <name val="Roboto"/>
    </font>
    <font>
      <b/>
      <u/>
      <color rgb="FF000000"/>
      <name val="Arial"/>
      <scheme val="minor"/>
    </font>
    <font>
      <b/>
      <u/>
      <color rgb="FF000A3C"/>
      <name val="Roboto"/>
    </font>
    <font>
      <u/>
      <color rgb="FF000A3C"/>
      <name val="Roboto"/>
    </font>
    <font>
      <u/>
      <color rgb="FF000A3C"/>
      <name val="Roboto"/>
    </font>
    <font>
      <b/>
      <u/>
      <color rgb="FF000A3C"/>
      <name val="Roboto"/>
    </font>
    <font>
      <u/>
      <color rgb="FF000A3C"/>
      <name val="Arial"/>
    </font>
    <font>
      <b/>
      <u/>
      <color rgb="FF000A3C"/>
      <name val="Roboto"/>
    </font>
    <font>
      <b/>
      <u/>
      <color rgb="FF000000"/>
      <name val="Arial"/>
      <scheme val="minor"/>
    </font>
    <font>
      <color rgb="FF000A3C"/>
      <name val="Arial"/>
      <scheme val="minor"/>
    </font>
    <font>
      <b/>
      <color rgb="FF197BB7"/>
      <name val="Arial"/>
      <scheme val="minor"/>
    </font>
    <font>
      <color rgb="FF197BB7"/>
      <name val="Arial"/>
      <scheme val="minor"/>
    </font>
    <font>
      <b/>
      <i/>
      <color rgb="FF197BB7"/>
      <name val="Arial"/>
      <scheme val="minor"/>
    </font>
    <font>
      <b/>
      <u/>
      <color rgb="FF197BB7"/>
      <name val="Arial"/>
      <scheme val="minor"/>
    </font>
    <font>
      <u/>
      <color rgb="FF197BB7"/>
      <name val="Arial"/>
      <scheme val="minor"/>
    </font>
    <font>
      <u/>
      <color rgb="FF197BB7"/>
      <name val="Arial"/>
      <scheme val="minor"/>
    </font>
    <font>
      <b/>
      <u/>
      <color rgb="FF197BB7"/>
      <name val="Arial"/>
      <scheme val="minor"/>
    </font>
    <font>
      <b/>
      <u/>
      <color rgb="FF197BB7"/>
      <name val="Arial"/>
      <scheme val="minor"/>
    </font>
    <font>
      <b/>
      <u/>
      <color rgb="FF197BB7"/>
      <name val="Arial"/>
      <scheme val="minor"/>
    </font>
    <font>
      <b/>
      <u/>
      <color rgb="FF197BB7"/>
      <name val="Arial"/>
      <scheme val="minor"/>
    </font>
    <font>
      <b/>
      <u/>
      <color rgb="FF000000"/>
      <name val="Arial"/>
      <scheme val="minor"/>
    </font>
    <font>
      <b/>
      <color rgb="FF075589"/>
      <name val="Arial"/>
      <scheme val="minor"/>
    </font>
    <font>
      <b/>
      <i/>
      <color rgb="FF075589"/>
      <name val="Arial"/>
      <scheme val="minor"/>
    </font>
    <font>
      <color rgb="FF075589"/>
      <name val="Arial"/>
      <scheme val="minor"/>
    </font>
    <font>
      <b/>
      <u/>
      <color rgb="FF075589"/>
      <name val="Arial"/>
      <scheme val="minor"/>
    </font>
    <font>
      <u/>
      <color rgb="FF075589"/>
      <name val="Arial"/>
      <scheme val="minor"/>
    </font>
    <font>
      <u/>
      <color rgb="FF075589"/>
      <name val="Arial"/>
      <scheme val="minor"/>
    </font>
    <font>
      <b/>
      <u/>
      <color rgb="FF075589"/>
      <name val="Arial"/>
      <scheme val="minor"/>
    </font>
    <font>
      <b/>
      <u/>
      <color rgb="FF075589"/>
      <name val="Arial"/>
      <scheme val="minor"/>
    </font>
    <font>
      <b/>
      <u/>
      <color rgb="FF075589"/>
      <name val="Arial"/>
      <scheme val="minor"/>
    </font>
    <font>
      <b/>
      <u/>
      <color rgb="FF075589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</fonts>
  <fills count="45">
    <fill>
      <patternFill patternType="none"/>
    </fill>
    <fill>
      <patternFill patternType="lightGray"/>
    </fill>
    <fill>
      <patternFill patternType="solid">
        <fgColor rgb="FF0231F9"/>
        <bgColor rgb="FF0231F9"/>
      </patternFill>
    </fill>
    <fill>
      <patternFill patternType="solid">
        <fgColor rgb="FF004682"/>
        <bgColor rgb="FF004682"/>
      </patternFill>
    </fill>
    <fill>
      <patternFill patternType="solid">
        <fgColor rgb="FFFFFFFF"/>
        <bgColor rgb="FFFFFFFF"/>
      </patternFill>
    </fill>
    <fill>
      <patternFill patternType="solid">
        <fgColor rgb="FF1EA8EC"/>
        <bgColor rgb="FF1EA8EC"/>
      </patternFill>
    </fill>
    <fill>
      <patternFill patternType="solid">
        <fgColor rgb="FFFDFDFD"/>
        <bgColor rgb="FFFDFDFD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C0615"/>
        <bgColor rgb="FFDC0615"/>
      </patternFill>
    </fill>
    <fill>
      <patternFill patternType="solid">
        <fgColor theme="5"/>
        <bgColor theme="5"/>
      </patternFill>
    </fill>
    <fill>
      <patternFill patternType="solid">
        <fgColor rgb="FF0167B2"/>
        <bgColor rgb="FF0167B2"/>
      </patternFill>
    </fill>
    <fill>
      <patternFill patternType="solid">
        <fgColor rgb="FFD5D5D5"/>
        <bgColor rgb="FFD5D5D5"/>
      </patternFill>
    </fill>
    <fill>
      <patternFill patternType="solid">
        <fgColor rgb="FFF09997"/>
        <bgColor rgb="FFF09997"/>
      </patternFill>
    </fill>
    <fill>
      <patternFill patternType="solid">
        <fgColor rgb="FFFDE100"/>
        <bgColor rgb="FFFDE100"/>
      </patternFill>
    </fill>
    <fill>
      <patternFill patternType="solid">
        <fgColor rgb="FF014D98"/>
        <bgColor rgb="FF014D98"/>
      </patternFill>
    </fill>
    <fill>
      <patternFill patternType="solid">
        <fgColor rgb="FFEC0038"/>
        <bgColor rgb="FFEC0038"/>
      </patternFill>
    </fill>
    <fill>
      <patternFill patternType="solid">
        <fgColor rgb="FF34A853"/>
        <bgColor rgb="FF34A853"/>
      </patternFill>
    </fill>
    <fill>
      <patternFill patternType="solid">
        <fgColor rgb="FFE71C23"/>
        <bgColor rgb="FFE71C23"/>
      </patternFill>
    </fill>
    <fill>
      <patternFill patternType="solid">
        <fgColor rgb="FF100F14"/>
        <bgColor rgb="FF100F14"/>
      </patternFill>
    </fill>
    <fill>
      <patternFill patternType="solid">
        <fgColor rgb="FF001489"/>
        <bgColor rgb="FF001489"/>
      </patternFill>
    </fill>
    <fill>
      <patternFill patternType="solid">
        <fgColor rgb="FF007DC3"/>
        <bgColor rgb="FF007DC3"/>
      </patternFill>
    </fill>
    <fill>
      <patternFill patternType="solid">
        <fgColor rgb="FFFEFEFE"/>
        <bgColor rgb="FFFEFEFE"/>
      </patternFill>
    </fill>
    <fill>
      <patternFill patternType="solid">
        <fgColor rgb="FFDC0007"/>
        <bgColor rgb="FFDC0007"/>
      </patternFill>
    </fill>
    <fill>
      <patternFill patternType="solid">
        <fgColor rgb="FFAF2A47"/>
        <bgColor rgb="FFAF2A47"/>
      </patternFill>
    </fill>
    <fill>
      <patternFill patternType="solid">
        <fgColor rgb="FF011E9D"/>
        <bgColor rgb="FF011E9D"/>
      </patternFill>
    </fill>
    <fill>
      <patternFill patternType="solid">
        <fgColor rgb="FFFFDF49"/>
        <bgColor rgb="FFFFDF49"/>
      </patternFill>
    </fill>
    <fill>
      <patternFill patternType="solid">
        <fgColor rgb="FF9B9B9C"/>
        <bgColor rgb="FF9B9B9C"/>
      </patternFill>
    </fill>
    <fill>
      <patternFill patternType="solid">
        <fgColor rgb="FFE11A22"/>
        <bgColor rgb="FFE11A22"/>
      </patternFill>
    </fill>
    <fill>
      <patternFill patternType="solid">
        <fgColor rgb="FFC80014"/>
        <bgColor rgb="FFC80014"/>
      </patternFill>
    </fill>
    <fill>
      <patternFill patternType="solid">
        <fgColor rgb="FF7AB2E1"/>
        <bgColor rgb="FF7AB2E1"/>
      </patternFill>
    </fill>
    <fill>
      <patternFill patternType="solid">
        <fgColor rgb="FFF1F3F8"/>
        <bgColor rgb="FFF1F3F8"/>
      </patternFill>
    </fill>
    <fill>
      <patternFill patternType="solid">
        <fgColor rgb="FFF8DFDF"/>
        <bgColor rgb="FFF8DFDF"/>
      </patternFill>
    </fill>
    <fill>
      <patternFill patternType="solid">
        <fgColor rgb="FF00A7E1"/>
        <bgColor rgb="FF00A7E1"/>
      </patternFill>
    </fill>
    <fill>
      <patternFill patternType="solid">
        <fgColor rgb="FF393536"/>
        <bgColor rgb="FF393536"/>
      </patternFill>
    </fill>
    <fill>
      <patternFill patternType="solid">
        <fgColor rgb="FFE02F36"/>
        <bgColor rgb="FFE02F36"/>
      </patternFill>
    </fill>
    <fill>
      <patternFill patternType="solid">
        <fgColor rgb="FF0396CA"/>
        <bgColor rgb="FF0396CA"/>
      </patternFill>
    </fill>
    <fill>
      <patternFill patternType="solid">
        <fgColor rgb="FF004172"/>
        <bgColor rgb="FF004172"/>
      </patternFill>
    </fill>
    <fill>
      <patternFill patternType="solid">
        <fgColor rgb="FFF47A7F"/>
        <bgColor rgb="FFF47A7F"/>
      </patternFill>
    </fill>
    <fill>
      <patternFill patternType="solid">
        <fgColor rgb="FFED1B2F"/>
        <bgColor rgb="FFED1B2F"/>
      </patternFill>
    </fill>
    <fill>
      <patternFill patternType="solid">
        <fgColor rgb="FF018056"/>
        <bgColor rgb="FF018056"/>
      </patternFill>
    </fill>
    <fill>
      <patternFill patternType="solid">
        <fgColor rgb="FF332554"/>
        <bgColor rgb="FF332554"/>
      </patternFill>
    </fill>
    <fill>
      <patternFill patternType="solid">
        <fgColor rgb="FFF8E07A"/>
        <bgColor rgb="FFF8E07A"/>
      </patternFill>
    </fill>
    <fill>
      <patternFill patternType="solid">
        <fgColor rgb="FFFFE76F"/>
        <bgColor rgb="FFFFE76F"/>
      </patternFill>
    </fill>
  </fills>
  <borders count="33">
    <border/>
    <border>
      <left style="dotted">
        <color rgb="FFCB2A43"/>
      </left>
      <right style="dotted">
        <color rgb="FFCB2A43"/>
      </right>
      <top style="dotted">
        <color rgb="FFCB2A43"/>
      </top>
      <bottom style="dotted">
        <color rgb="FFCB2A43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thin">
        <color rgb="FF284E3F"/>
      </left>
      <right style="thin">
        <color rgb="FFDC0615"/>
      </right>
      <bottom style="thin">
        <color rgb="FFDC0615"/>
      </bottom>
    </border>
    <border>
      <left style="thin">
        <color rgb="FFDC0615"/>
      </left>
      <right style="thin">
        <color rgb="FFDC0615"/>
      </right>
      <bottom style="thin">
        <color rgb="FFDC0615"/>
      </bottom>
    </border>
    <border>
      <left style="thin">
        <color rgb="FF284E3F"/>
      </left>
      <right style="thin">
        <color rgb="FFDC0615"/>
      </right>
      <top style="thin">
        <color rgb="FFDC0615"/>
      </top>
      <bottom style="thin">
        <color rgb="FFDC0615"/>
      </bottom>
    </border>
    <border>
      <left style="thin">
        <color rgb="FFDC0615"/>
      </left>
      <right style="thin">
        <color rgb="FFDC0615"/>
      </right>
      <top style="thin">
        <color rgb="FFDC0615"/>
      </top>
      <bottom style="thin">
        <color rgb="FFDC0615"/>
      </bottom>
    </border>
    <border>
      <left style="dotted">
        <color rgb="FF1E191A"/>
      </left>
      <right style="dotted">
        <color rgb="FF1E191A"/>
      </right>
      <top style="dotted">
        <color rgb="FF1E191A"/>
      </top>
      <bottom style="dotted">
        <color rgb="FF1E191A"/>
      </bottom>
    </border>
    <border>
      <left style="dotted">
        <color rgb="FFFF1E11"/>
      </left>
      <right style="dotted">
        <color rgb="FFFF1E11"/>
      </right>
      <top style="dotted">
        <color rgb="FFFF1E11"/>
      </top>
      <bottom style="dotted">
        <color rgb="FFFF1E11"/>
      </bottom>
    </border>
    <border>
      <left style="dotted">
        <color rgb="FFE2211C"/>
      </left>
      <right style="dotted">
        <color rgb="FFE2211C"/>
      </right>
      <top style="dotted">
        <color rgb="FFE2211C"/>
      </top>
      <bottom style="dotted">
        <color rgb="FFE2211C"/>
      </bottom>
    </border>
    <border>
      <left style="dotted">
        <color rgb="FF231F20"/>
      </left>
      <right style="dotted">
        <color rgb="FF231F20"/>
      </right>
      <top style="dotted">
        <color rgb="FF231F20"/>
      </top>
      <bottom style="dotted">
        <color rgb="FF231F20"/>
      </bottom>
    </border>
    <border>
      <left style="dotted">
        <color rgb="FFDB2E35"/>
      </left>
      <right style="dotted">
        <color rgb="FFDB2E35"/>
      </right>
      <top style="dotted">
        <color rgb="FFDB2E35"/>
      </top>
      <bottom style="dotted">
        <color rgb="FFDB2E35"/>
      </bottom>
    </border>
    <border>
      <left style="dotted">
        <color rgb="FFB7E1CD"/>
      </left>
      <right style="dotted">
        <color rgb="FFB7E1CD"/>
      </right>
      <top style="dotted">
        <color rgb="FFB7E1CD"/>
      </top>
      <bottom style="dotted">
        <color rgb="FFB7E1CD"/>
      </bottom>
    </border>
    <border>
      <left style="dotted">
        <color rgb="FFFEFEFE"/>
      </left>
      <right style="dotted">
        <color rgb="FFFEFEFE"/>
      </right>
      <top style="dotted">
        <color rgb="FFFEFEFE"/>
      </top>
      <bottom style="dotted">
        <color rgb="FFFEFEFE"/>
      </bottom>
    </border>
    <border>
      <left style="dotted">
        <color rgb="FFFFEC00"/>
      </left>
      <right style="dotted">
        <color rgb="FFFFEC00"/>
      </right>
      <top style="dotted">
        <color rgb="FFFFEC00"/>
      </top>
      <bottom style="dotted">
        <color rgb="FFFFEC00"/>
      </bottom>
    </border>
    <border>
      <left style="dotted">
        <color rgb="FFFDFDFD"/>
      </left>
      <right style="dotted">
        <color rgb="FFFDFDFD"/>
      </right>
      <top style="dotted">
        <color rgb="FFFDFDFD"/>
      </top>
      <bottom style="dotted">
        <color rgb="FFFDFDFD"/>
      </bottom>
    </border>
    <border>
      <left style="dotted">
        <color rgb="FF0F2DB9"/>
      </left>
      <right style="dotted">
        <color rgb="FF0F2DB9"/>
      </right>
      <top style="dotted">
        <color rgb="FF0F2DB9"/>
      </top>
      <bottom style="dotted">
        <color rgb="FF0F2DB9"/>
      </bottom>
    </border>
    <border>
      <left style="dotted">
        <color rgb="FFF3B2B2"/>
      </left>
      <right style="dotted">
        <color rgb="FFF3B2B2"/>
      </right>
      <top style="dotted">
        <color rgb="FFF3B2B2"/>
      </top>
      <bottom style="dotted">
        <color rgb="FFF3B2B2"/>
      </bottom>
    </border>
    <border>
      <left style="dotted">
        <color rgb="FFFAC00D"/>
      </left>
      <right style="dotted">
        <color rgb="FFFAC00D"/>
      </right>
      <top style="dotted">
        <color rgb="FFFAC00D"/>
      </top>
      <bottom style="dotted">
        <color rgb="FFFAC00D"/>
      </bottom>
    </border>
    <border>
      <left style="dotted">
        <color rgb="FF26230E"/>
      </left>
      <right style="dotted">
        <color rgb="FF26230E"/>
      </right>
      <top style="dotted">
        <color rgb="FF26230E"/>
      </top>
      <bottom style="dotted">
        <color rgb="FF26230E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E9CD00"/>
      </left>
      <right style="dotted">
        <color rgb="FFE9CD00"/>
      </right>
      <top style="dotted">
        <color rgb="FFE9CD00"/>
      </top>
      <bottom style="dotted">
        <color rgb="FFE9CD00"/>
      </bottom>
    </border>
    <border>
      <left style="dotted">
        <color rgb="FF00A7E1"/>
      </left>
      <right style="dotted">
        <color rgb="FF00A7E1"/>
      </right>
      <top style="dotted">
        <color rgb="FF00A7E1"/>
      </top>
      <bottom style="dotted">
        <color rgb="FF00A7E1"/>
      </bottom>
    </border>
    <border>
      <left style="dotted">
        <color rgb="FFD6002D"/>
      </left>
      <right style="dotted">
        <color rgb="FFD6002D"/>
      </right>
      <top style="dotted">
        <color rgb="FFD6002D"/>
      </top>
      <bottom style="dotted">
        <color rgb="FFD6002D"/>
      </bottom>
    </border>
    <border>
      <left style="dotted">
        <color rgb="FF00B6F1"/>
      </left>
      <right style="dotted">
        <color rgb="FF00B6F1"/>
      </right>
      <top style="dotted">
        <color rgb="FF00B6F1"/>
      </top>
      <bottom style="dotted">
        <color rgb="FF00B6F1"/>
      </bottom>
    </border>
    <border>
      <left style="dotted">
        <color rgb="FFFFD100"/>
      </left>
      <right style="dotted">
        <color rgb="FFFFD100"/>
      </right>
      <top style="dotted">
        <color rgb="FFFFD100"/>
      </top>
      <bottom style="dotted">
        <color rgb="FFFFD100"/>
      </bottom>
    </border>
    <border>
      <left style="dotted">
        <color rgb="FFFD3A45"/>
      </left>
      <right style="dotted">
        <color rgb="FFFD3A45"/>
      </right>
      <top style="dotted">
        <color rgb="FFFD3A45"/>
      </top>
      <bottom style="dotted">
        <color rgb="FFFD3A45"/>
      </bottom>
    </border>
    <border>
      <left style="dotted">
        <color rgb="FF004AA8"/>
      </left>
      <right style="dotted">
        <color rgb="FF004AA8"/>
      </right>
      <top style="dotted">
        <color rgb="FF004AA8"/>
      </top>
      <bottom style="dotted">
        <color rgb="FF004AA8"/>
      </bottom>
    </border>
    <border>
      <left style="dotted">
        <color rgb="FFE9E9EB"/>
      </left>
      <right style="dotted">
        <color rgb="FFE9E9EB"/>
      </right>
      <top style="dotted">
        <color rgb="FFE9E9EB"/>
      </top>
      <bottom style="dotted">
        <color rgb="FFE9E9EB"/>
      </bottom>
    </border>
    <border>
      <left style="dotted">
        <color rgb="FFFEFCE5"/>
      </left>
      <right style="dotted">
        <color rgb="FFFEFCE5"/>
      </right>
      <top style="dotted">
        <color rgb="FFFEFCE5"/>
      </top>
      <bottom style="dotted">
        <color rgb="FFFEFCE5"/>
      </bottom>
    </border>
    <border>
      <left style="dotted">
        <color rgb="FF000A3C"/>
      </left>
      <right style="dotted">
        <color rgb="FF000A3C"/>
      </right>
      <top style="dotted">
        <color rgb="FF000A3C"/>
      </top>
      <bottom style="dotted">
        <color rgb="FF000A3C"/>
      </bottom>
    </border>
    <border>
      <left style="dotted">
        <color rgb="FF197BB7"/>
      </left>
      <right style="dotted">
        <color rgb="FF197BB7"/>
      </right>
      <top style="dotted">
        <color rgb="FF197BB7"/>
      </top>
      <bottom style="dotted">
        <color rgb="FF197BB7"/>
      </bottom>
    </border>
    <border>
      <left style="dotted">
        <color rgb="FF075589"/>
      </left>
      <right style="dotted">
        <color rgb="FF075589"/>
      </right>
      <top style="dotted">
        <color rgb="FF075589"/>
      </top>
      <bottom style="dotted">
        <color rgb="FF075589"/>
      </bottom>
    </border>
  </borders>
  <cellStyleXfs count="1">
    <xf borderId="0" fillId="0" fontId="0" numFmtId="0" applyAlignment="1" applyFont="1"/>
  </cellStyleXfs>
  <cellXfs count="13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shrinkToFit="0" vertical="center" wrapText="0"/>
    </xf>
    <xf borderId="0" fillId="2" fontId="3" numFmtId="49" xfId="0" applyAlignment="1" applyFont="1" applyNumberForma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/>
    </xf>
    <xf borderId="0" fillId="2" fontId="5" numFmtId="0" xfId="0" applyAlignment="1" applyFont="1">
      <alignment horizontal="center" readingOrder="0" shrinkToFit="0" vertical="center" wrapText="0"/>
    </xf>
    <xf borderId="0" fillId="4" fontId="6" numFmtId="0" xfId="0" applyAlignment="1" applyFill="1" applyFont="1">
      <alignment horizontal="center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2" fontId="8" numFmtId="0" xfId="0" applyAlignment="1" applyFont="1">
      <alignment horizontal="center" shrinkToFit="0" vertical="center" wrapText="0"/>
    </xf>
    <xf borderId="0" fillId="5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5" numFmtId="0" xfId="0" applyFont="1"/>
    <xf borderId="0" fillId="2" fontId="1" numFmtId="0" xfId="0" applyAlignment="1" applyFont="1">
      <alignment readingOrder="0"/>
    </xf>
    <xf borderId="0" fillId="2" fontId="1" numFmtId="3" xfId="0" applyAlignment="1" applyFont="1" applyNumberFormat="1">
      <alignment readingOrder="0"/>
    </xf>
    <xf borderId="0" fillId="0" fontId="9" numFmtId="0" xfId="0" applyFont="1"/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Font="1"/>
    <xf borderId="0" fillId="2" fontId="2" numFmtId="164" xfId="0" applyFont="1" applyNumberFormat="1"/>
    <xf borderId="0" fillId="2" fontId="2" numFmtId="3" xfId="0" applyFont="1" applyNumberFormat="1"/>
    <xf borderId="0" fillId="2" fontId="10" numFmtId="3" xfId="0" applyAlignment="1" applyFont="1" applyNumberFormat="1">
      <alignment horizontal="center"/>
    </xf>
    <xf borderId="0" fillId="0" fontId="10" numFmtId="3" xfId="0" applyAlignment="1" applyFont="1" applyNumberFormat="1">
      <alignment horizontal="center"/>
    </xf>
    <xf borderId="0" fillId="0" fontId="5" numFmtId="164" xfId="0" applyFont="1" applyNumberFormat="1"/>
    <xf borderId="0" fillId="0" fontId="5" numFmtId="3" xfId="0" applyFont="1" applyNumberFormat="1"/>
    <xf borderId="0" fillId="6" fontId="11" numFmtId="0" xfId="0" applyAlignment="1" applyFill="1" applyFont="1">
      <alignment horizontal="center" readingOrder="0" shrinkToFit="0" vertical="center" wrapText="0"/>
    </xf>
    <xf borderId="0" fillId="6" fontId="11" numFmtId="0" xfId="0" applyAlignment="1" applyFont="1">
      <alignment horizontal="left" readingOrder="0" shrinkToFit="0" vertical="center" wrapText="0"/>
    </xf>
    <xf borderId="0" fillId="6" fontId="11" numFmtId="0" xfId="0" applyAlignment="1" applyFont="1">
      <alignment horizontal="left" readingOrder="0" shrinkToFit="0" vertical="center" wrapText="1"/>
    </xf>
    <xf borderId="0" fillId="6" fontId="11" numFmtId="0" xfId="0" applyAlignment="1" applyFont="1">
      <alignment horizontal="center" readingOrder="0" shrinkToFit="0" vertical="center" wrapText="0"/>
    </xf>
    <xf borderId="0" fillId="6" fontId="11" numFmtId="164" xfId="0" applyAlignment="1" applyFont="1" applyNumberFormat="1">
      <alignment horizontal="left" readingOrder="0" shrinkToFit="0" vertical="center" wrapText="0"/>
    </xf>
    <xf borderId="0" fillId="6" fontId="11" numFmtId="0" xfId="0" applyAlignment="1" applyFont="1">
      <alignment horizontal="left" readingOrder="0" shrinkToFit="0" vertical="center" wrapText="0"/>
    </xf>
    <xf borderId="0" fillId="6" fontId="11" numFmtId="49" xfId="0" applyAlignment="1" applyFont="1" applyNumberFormat="1">
      <alignment horizontal="center" readingOrder="0" shrinkToFit="0" vertical="center" wrapText="0"/>
    </xf>
    <xf borderId="1" fillId="6" fontId="11" numFmtId="0" xfId="0" applyAlignment="1" applyBorder="1" applyFont="1">
      <alignment horizontal="center" readingOrder="0" shrinkToFit="0" vertical="center" wrapText="0"/>
    </xf>
    <xf borderId="1" fillId="6" fontId="12" numFmtId="0" xfId="0" applyAlignment="1" applyBorder="1" applyFont="1">
      <alignment readingOrder="0" shrinkToFit="0" vertical="center" wrapText="0"/>
    </xf>
    <xf borderId="1" fillId="6" fontId="12" numFmtId="0" xfId="0" applyAlignment="1" applyBorder="1" applyFont="1">
      <alignment readingOrder="0" shrinkToFit="0" vertical="center" wrapText="0"/>
    </xf>
    <xf borderId="1" fillId="6" fontId="11" numFmtId="0" xfId="0" applyAlignment="1" applyBorder="1" applyFont="1">
      <alignment readingOrder="0" shrinkToFit="0" vertical="center" wrapText="1"/>
    </xf>
    <xf borderId="1" fillId="6" fontId="12" numFmtId="0" xfId="0" applyAlignment="1" applyBorder="1" applyFont="1">
      <alignment horizontal="center" shrinkToFit="0" vertical="center" wrapText="0"/>
    </xf>
    <xf borderId="1" fillId="6" fontId="11" numFmtId="164" xfId="0" applyAlignment="1" applyBorder="1" applyFont="1" applyNumberFormat="1">
      <alignment readingOrder="0" shrinkToFit="0" vertical="center" wrapText="0"/>
    </xf>
    <xf borderId="1" fillId="6" fontId="11" numFmtId="0" xfId="0" applyAlignment="1" applyBorder="1" applyFont="1">
      <alignment shrinkToFit="0" vertical="center" wrapText="0"/>
    </xf>
    <xf borderId="1" fillId="6" fontId="8" numFmtId="0" xfId="0" applyAlignment="1" applyBorder="1" applyFont="1">
      <alignment horizontal="center" shrinkToFit="0" vertical="center" wrapText="0"/>
    </xf>
    <xf borderId="1" fillId="6" fontId="13" numFmtId="0" xfId="0" applyAlignment="1" applyBorder="1" applyFont="1">
      <alignment readingOrder="0" shrinkToFit="0" vertical="center" wrapText="0"/>
    </xf>
    <xf borderId="1" fillId="6" fontId="8" numFmtId="0" xfId="0" applyAlignment="1" applyBorder="1" applyFont="1">
      <alignment horizontal="center" readingOrder="0" shrinkToFit="0" vertical="center" wrapText="0"/>
    </xf>
    <xf borderId="0" fillId="0" fontId="14" numFmtId="0" xfId="0" applyFont="1"/>
    <xf borderId="1" fillId="6" fontId="15" numFmtId="0" xfId="0" applyAlignment="1" applyBorder="1" applyFont="1">
      <alignment horizontal="center" readingOrder="0" shrinkToFit="0" vertical="center" wrapText="0"/>
    </xf>
    <xf borderId="1" fillId="6" fontId="16" numFmtId="0" xfId="0" applyAlignment="1" applyBorder="1" applyFont="1">
      <alignment readingOrder="0" shrinkToFit="0" vertical="center" wrapText="0"/>
    </xf>
    <xf borderId="1" fillId="6" fontId="17" numFmtId="0" xfId="0" applyAlignment="1" applyBorder="1" applyFont="1">
      <alignment readingOrder="0" shrinkToFit="0" vertical="center" wrapText="0"/>
    </xf>
    <xf borderId="1" fillId="6" fontId="18" numFmtId="0" xfId="0" applyAlignment="1" applyBorder="1" applyFont="1">
      <alignment readingOrder="0" shrinkToFit="0" vertical="center" wrapText="1"/>
    </xf>
    <xf borderId="1" fillId="6" fontId="19" numFmtId="0" xfId="0" applyAlignment="1" applyBorder="1" applyFont="1">
      <alignment horizontal="center" shrinkToFit="0" vertical="center" wrapText="0"/>
    </xf>
    <xf borderId="1" fillId="6" fontId="20" numFmtId="164" xfId="0" applyAlignment="1" applyBorder="1" applyFont="1" applyNumberFormat="1">
      <alignment readingOrder="0" shrinkToFit="0" vertical="center" wrapText="0"/>
    </xf>
    <xf borderId="1" fillId="6" fontId="21" numFmtId="0" xfId="0" applyAlignment="1" applyBorder="1" applyFont="1">
      <alignment shrinkToFit="0" vertical="center" wrapText="0"/>
    </xf>
    <xf borderId="1" fillId="6" fontId="22" numFmtId="0" xfId="0" applyAlignment="1" applyBorder="1" applyFont="1">
      <alignment horizontal="center" shrinkToFit="0" vertical="center" wrapText="0"/>
    </xf>
    <xf borderId="1" fillId="6" fontId="23" numFmtId="0" xfId="0" applyAlignment="1" applyBorder="1" applyFont="1">
      <alignment horizontal="center" readingOrder="0" shrinkToFit="0" vertical="center" wrapText="0"/>
    </xf>
    <xf borderId="1" fillId="6" fontId="24" numFmtId="0" xfId="0" applyAlignment="1" applyBorder="1" applyFont="1">
      <alignment readingOrder="0" shrinkToFit="0" vertical="center" wrapText="0"/>
    </xf>
    <xf borderId="1" fillId="6" fontId="25" numFmtId="0" xfId="0" applyAlignment="1" applyBorder="1" applyFont="1">
      <alignment horizontal="center" readingOrder="0" shrinkToFit="0" vertical="center" wrapText="0"/>
    </xf>
    <xf borderId="1" fillId="6" fontId="26" numFmtId="0" xfId="0" applyAlignment="1" applyBorder="1" applyFont="1">
      <alignment readingOrder="0" shrinkToFit="0" vertical="center" wrapText="0"/>
    </xf>
    <xf borderId="1" fillId="6" fontId="27" numFmtId="0" xfId="0" applyAlignment="1" applyBorder="1" applyFont="1">
      <alignment readingOrder="0" shrinkToFit="0" vertical="center" wrapText="0"/>
    </xf>
    <xf borderId="1" fillId="6" fontId="28" numFmtId="0" xfId="0" applyAlignment="1" applyBorder="1" applyFont="1">
      <alignment readingOrder="0" shrinkToFit="0" vertical="center" wrapText="1"/>
    </xf>
    <xf borderId="1" fillId="6" fontId="29" numFmtId="0" xfId="0" applyAlignment="1" applyBorder="1" applyFont="1">
      <alignment horizontal="center" shrinkToFit="0" vertical="center" wrapText="0"/>
    </xf>
    <xf borderId="1" fillId="6" fontId="30" numFmtId="164" xfId="0" applyAlignment="1" applyBorder="1" applyFont="1" applyNumberFormat="1">
      <alignment readingOrder="0" shrinkToFit="0" vertical="center" wrapText="0"/>
    </xf>
    <xf borderId="1" fillId="6" fontId="31" numFmtId="0" xfId="0" applyAlignment="1" applyBorder="1" applyFont="1">
      <alignment shrinkToFit="0" vertical="center" wrapText="0"/>
    </xf>
    <xf borderId="1" fillId="6" fontId="32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0" fillId="0" fontId="9" numFmtId="164" xfId="0" applyFont="1" applyNumberFormat="1"/>
    <xf borderId="0" fillId="0" fontId="4" numFmtId="4" xfId="0" applyFont="1" applyNumberFormat="1"/>
    <xf borderId="1" fillId="6" fontId="11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7" fontId="8" numFmtId="0" xfId="0" applyAlignment="1" applyBorder="1" applyFill="1" applyFont="1">
      <alignment horizontal="center" shrinkToFit="0" vertical="center" wrapText="0"/>
    </xf>
    <xf borderId="1" fillId="8" fontId="8" numFmtId="0" xfId="0" applyAlignment="1" applyBorder="1" applyFill="1" applyFont="1">
      <alignment horizontal="center" shrinkToFit="0" vertical="center" wrapText="0"/>
    </xf>
    <xf borderId="1" fillId="9" fontId="8" numFmtId="0" xfId="0" applyAlignment="1" applyBorder="1" applyFill="1" applyFont="1">
      <alignment horizontal="center" shrinkToFit="0" vertical="center" wrapText="0"/>
    </xf>
    <xf borderId="0" fillId="0" fontId="33" numFmtId="0" xfId="0" applyAlignment="1" applyFont="1">
      <alignment horizontal="center"/>
    </xf>
    <xf borderId="0" fillId="0" fontId="33" numFmtId="0" xfId="0" applyFont="1"/>
    <xf borderId="0" fillId="0" fontId="33" numFmtId="0" xfId="0" applyAlignment="1" applyFont="1">
      <alignment shrinkToFit="0" wrapText="1"/>
    </xf>
    <xf borderId="0" fillId="0" fontId="33" numFmtId="164" xfId="0" applyFont="1" applyNumberFormat="1"/>
    <xf borderId="0" fillId="9" fontId="8" numFmtId="0" xfId="0" applyAlignment="1" applyFont="1">
      <alignment horizontal="center" readingOrder="0" shrinkToFit="0" vertical="center" wrapText="0"/>
    </xf>
    <xf borderId="0" fillId="9" fontId="8" numFmtId="0" xfId="0" applyAlignment="1" applyFont="1">
      <alignment horizontal="center" readingOrder="0" shrinkToFit="0" vertical="center" wrapText="0"/>
    </xf>
    <xf borderId="0" fillId="9" fontId="34" numFmtId="0" xfId="0" applyAlignment="1" applyFont="1">
      <alignment shrinkToFit="0" vertical="center" wrapText="1"/>
    </xf>
    <xf borderId="0" fillId="9" fontId="34" numFmtId="0" xfId="0" applyAlignment="1" applyFont="1">
      <alignment horizontal="center" readingOrder="0" shrinkToFit="0" vertical="center" wrapText="0"/>
    </xf>
    <xf borderId="0" fillId="4" fontId="8" numFmtId="0" xfId="0" applyAlignment="1" applyFont="1">
      <alignment horizontal="center" readingOrder="0" shrinkToFit="0" vertical="center" wrapText="0"/>
    </xf>
    <xf borderId="0" fillId="9" fontId="8" numFmtId="0" xfId="0" applyAlignment="1" applyFont="1">
      <alignment horizontal="center" readingOrder="0" shrinkToFit="0" vertical="center" wrapText="0"/>
    </xf>
    <xf borderId="0" fillId="9" fontId="34" numFmtId="0" xfId="0" applyAlignment="1" applyFont="1">
      <alignment readingOrder="0" shrinkToFit="0" vertical="center" wrapText="1"/>
    </xf>
    <xf borderId="0" fillId="9" fontId="34" numFmtId="165" xfId="0" applyAlignment="1" applyFont="1" applyNumberFormat="1">
      <alignment horizontal="center" readingOrder="0" shrinkToFit="0" vertical="center" wrapText="0"/>
    </xf>
    <xf borderId="0" fillId="9" fontId="34" numFmtId="0" xfId="0" applyAlignment="1" applyFont="1">
      <alignment horizontal="center" shrinkToFit="0" vertical="center" wrapText="0"/>
    </xf>
    <xf borderId="0" fillId="7" fontId="8" numFmtId="0" xfId="0" applyAlignment="1" applyFont="1">
      <alignment horizontal="center" readingOrder="0" shrinkToFit="0" vertical="center" wrapText="0"/>
    </xf>
    <xf borderId="0" fillId="7" fontId="8" numFmtId="0" xfId="0" applyAlignment="1" applyFont="1">
      <alignment horizontal="center" readingOrder="0" shrinkToFit="0" vertical="center" wrapText="0"/>
    </xf>
    <xf borderId="0" fillId="7" fontId="34" numFmtId="0" xfId="0" applyAlignment="1" applyFont="1">
      <alignment readingOrder="0" shrinkToFit="0" vertical="center" wrapText="1"/>
    </xf>
    <xf borderId="0" fillId="7" fontId="34" numFmtId="165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34" numFmtId="0" xfId="0" applyAlignment="1" applyFont="1">
      <alignment shrinkToFit="0" vertical="center" wrapText="1"/>
    </xf>
    <xf borderId="0" fillId="0" fontId="34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shrinkToFit="0" wrapText="1"/>
    </xf>
    <xf borderId="0" fillId="0" fontId="7" numFmtId="164" xfId="0" applyFont="1" applyNumberFormat="1"/>
    <xf borderId="0" fillId="10" fontId="35" numFmtId="0" xfId="0" applyAlignment="1" applyFill="1" applyFont="1">
      <alignment horizontal="center" readingOrder="0" shrinkToFit="0" vertical="center" wrapText="0"/>
    </xf>
    <xf borderId="0" fillId="10" fontId="35" numFmtId="0" xfId="0" applyAlignment="1" applyFont="1">
      <alignment horizontal="left" readingOrder="0" shrinkToFit="0" vertical="center" wrapText="0"/>
    </xf>
    <xf borderId="0" fillId="10" fontId="35" numFmtId="0" xfId="0" applyAlignment="1" applyFont="1">
      <alignment horizontal="left" readingOrder="0" shrinkToFit="0" vertical="center" wrapText="1"/>
    </xf>
    <xf borderId="0" fillId="10" fontId="35" numFmtId="0" xfId="0" applyAlignment="1" applyFont="1">
      <alignment horizontal="center" readingOrder="0" shrinkToFit="0" vertical="center" wrapText="0"/>
    </xf>
    <xf borderId="0" fillId="10" fontId="35" numFmtId="164" xfId="0" applyAlignment="1" applyFont="1" applyNumberFormat="1">
      <alignment horizontal="left" readingOrder="0" shrinkToFit="0" vertical="center" wrapText="0"/>
    </xf>
    <xf borderId="0" fillId="10" fontId="35" numFmtId="0" xfId="0" applyAlignment="1" applyFont="1">
      <alignment horizontal="left" readingOrder="0" shrinkToFit="0" vertical="center" wrapText="0"/>
    </xf>
    <xf borderId="0" fillId="10" fontId="35" numFmtId="49" xfId="0" applyAlignment="1" applyFont="1" applyNumberFormat="1">
      <alignment horizontal="center" readingOrder="0" shrinkToFit="0" vertical="center" wrapText="0"/>
    </xf>
    <xf borderId="2" fillId="10" fontId="36" numFmtId="0" xfId="0" applyAlignment="1" applyBorder="1" applyFont="1">
      <alignment horizontal="center" shrinkToFit="0" vertical="center" wrapText="0"/>
    </xf>
    <xf borderId="2" fillId="10" fontId="37" numFmtId="0" xfId="0" applyAlignment="1" applyBorder="1" applyFont="1">
      <alignment shrinkToFit="0" vertical="center" wrapText="0"/>
    </xf>
    <xf borderId="2" fillId="10" fontId="37" numFmtId="0" xfId="0" applyAlignment="1" applyBorder="1" applyFont="1">
      <alignment shrinkToFit="0" vertical="center" wrapText="0"/>
    </xf>
    <xf borderId="2" fillId="10" fontId="36" numFmtId="0" xfId="0" applyAlignment="1" applyBorder="1" applyFont="1">
      <alignment shrinkToFit="0" vertical="center" wrapText="1"/>
    </xf>
    <xf borderId="2" fillId="10" fontId="38" numFmtId="0" xfId="0" applyAlignment="1" applyBorder="1" applyFont="1">
      <alignment horizontal="center" shrinkToFit="0" vertical="center" wrapText="0"/>
    </xf>
    <xf borderId="2" fillId="10" fontId="36" numFmtId="164" xfId="0" applyAlignment="1" applyBorder="1" applyFont="1" applyNumberFormat="1">
      <alignment horizontal="right" shrinkToFit="0" vertical="center" wrapText="0"/>
    </xf>
    <xf borderId="2" fillId="10" fontId="36" numFmtId="0" xfId="0" applyAlignment="1" applyBorder="1" applyFont="1">
      <alignment horizontal="right" shrinkToFit="0" vertical="center" wrapText="0"/>
    </xf>
    <xf borderId="2" fillId="10" fontId="8" numFmtId="0" xfId="0" applyAlignment="1" applyBorder="1" applyFont="1">
      <alignment horizontal="center" shrinkToFit="0" vertical="center" wrapText="0"/>
    </xf>
    <xf borderId="2" fillId="10" fontId="8" numFmtId="0" xfId="0" applyAlignment="1" applyBorder="1" applyFont="1">
      <alignment horizontal="center" readingOrder="0" shrinkToFit="0" vertical="center" wrapText="0"/>
    </xf>
    <xf borderId="2" fillId="10" fontId="39" numFmtId="0" xfId="0" applyAlignment="1" applyBorder="1" applyFont="1">
      <alignment shrinkToFit="0" vertical="center" wrapText="0"/>
    </xf>
    <xf borderId="2" fillId="10" fontId="36" numFmtId="0" xfId="0" applyAlignment="1" applyBorder="1" applyFont="1">
      <alignment horizontal="center" readingOrder="0" shrinkToFit="0" vertical="center" wrapText="0"/>
    </xf>
    <xf borderId="2" fillId="10" fontId="40" numFmtId="0" xfId="0" applyAlignment="1" applyBorder="1" applyFont="1">
      <alignment horizontal="center" shrinkToFit="0" vertical="center" wrapText="0"/>
    </xf>
    <xf borderId="2" fillId="10" fontId="41" numFmtId="0" xfId="0" applyAlignment="1" applyBorder="1" applyFont="1">
      <alignment horizontal="center" shrinkToFit="0" vertical="center" wrapText="0"/>
    </xf>
    <xf borderId="2" fillId="10" fontId="42" numFmtId="0" xfId="0" applyAlignment="1" applyBorder="1" applyFont="1">
      <alignment shrinkToFit="0" vertical="center" wrapText="0"/>
    </xf>
    <xf borderId="2" fillId="10" fontId="43" numFmtId="0" xfId="0" applyAlignment="1" applyBorder="1" applyFont="1">
      <alignment shrinkToFit="0" vertical="center" wrapText="0"/>
    </xf>
    <xf borderId="2" fillId="10" fontId="44" numFmtId="0" xfId="0" applyAlignment="1" applyBorder="1" applyFont="1">
      <alignment shrinkToFit="0" vertical="center" wrapText="1"/>
    </xf>
    <xf borderId="2" fillId="10" fontId="45" numFmtId="0" xfId="0" applyAlignment="1" applyBorder="1" applyFont="1">
      <alignment horizontal="center" shrinkToFit="0" vertical="center" wrapText="0"/>
    </xf>
    <xf borderId="2" fillId="10" fontId="46" numFmtId="164" xfId="0" applyAlignment="1" applyBorder="1" applyFont="1" applyNumberFormat="1">
      <alignment horizontal="right" shrinkToFit="0" vertical="center" wrapText="0"/>
    </xf>
    <xf borderId="2" fillId="10" fontId="47" numFmtId="0" xfId="0" applyAlignment="1" applyBorder="1" applyFont="1">
      <alignment horizontal="right" shrinkToFit="0" vertical="center" wrapText="0"/>
    </xf>
    <xf borderId="2" fillId="10" fontId="48" numFmtId="0" xfId="0" applyAlignment="1" applyBorder="1" applyFont="1">
      <alignment horizontal="center" shrinkToFit="0" vertical="center" wrapText="0"/>
    </xf>
    <xf borderId="2" fillId="10" fontId="37" numFmtId="0" xfId="0" applyAlignment="1" applyBorder="1" applyFont="1">
      <alignment readingOrder="0" shrinkToFit="0" vertical="center" wrapText="0"/>
    </xf>
    <xf borderId="2" fillId="10" fontId="37" numFmtId="0" xfId="0" applyAlignment="1" applyBorder="1" applyFont="1">
      <alignment readingOrder="0" shrinkToFit="0" vertical="center" wrapText="0"/>
    </xf>
    <xf borderId="2" fillId="10" fontId="36" numFmtId="0" xfId="0" applyAlignment="1" applyBorder="1" applyFont="1">
      <alignment readingOrder="0" shrinkToFit="0" vertical="center" wrapText="1"/>
    </xf>
    <xf borderId="2" fillId="10" fontId="36" numFmtId="164" xfId="0" applyAlignment="1" applyBorder="1" applyFont="1" applyNumberFormat="1">
      <alignment horizontal="right" readingOrder="0" shrinkToFit="0" vertical="center" wrapText="0"/>
    </xf>
    <xf borderId="2" fillId="10" fontId="49" numFmtId="0" xfId="0" applyAlignment="1" applyBorder="1" applyFont="1">
      <alignment horizontal="center" readingOrder="0" shrinkToFit="0" vertical="center" wrapText="0"/>
    </xf>
    <xf borderId="2" fillId="10" fontId="50" numFmtId="0" xfId="0" applyAlignment="1" applyBorder="1" applyFont="1">
      <alignment readingOrder="0" shrinkToFit="0" vertical="center" wrapText="0"/>
    </xf>
    <xf borderId="2" fillId="10" fontId="51" numFmtId="0" xfId="0" applyAlignment="1" applyBorder="1" applyFont="1">
      <alignment readingOrder="0" shrinkToFit="0" vertical="center" wrapText="0"/>
    </xf>
    <xf borderId="2" fillId="10" fontId="52" numFmtId="0" xfId="0" applyAlignment="1" applyBorder="1" applyFont="1">
      <alignment readingOrder="0" shrinkToFit="0" vertical="center" wrapText="1"/>
    </xf>
    <xf borderId="2" fillId="10" fontId="53" numFmtId="0" xfId="0" applyAlignment="1" applyBorder="1" applyFont="1">
      <alignment horizontal="center" shrinkToFit="0" vertical="center" wrapText="0"/>
    </xf>
    <xf borderId="2" fillId="10" fontId="54" numFmtId="164" xfId="0" applyAlignment="1" applyBorder="1" applyFont="1" applyNumberFormat="1">
      <alignment horizontal="right" readingOrder="0" shrinkToFit="0" vertical="center" wrapText="0"/>
    </xf>
    <xf borderId="2" fillId="10" fontId="55" numFmtId="0" xfId="0" applyAlignment="1" applyBorder="1" applyFont="1">
      <alignment horizontal="center" readingOrder="0" shrinkToFit="0" vertical="center" wrapText="0"/>
    </xf>
    <xf borderId="0" fillId="0" fontId="56" numFmtId="0" xfId="0" applyFont="1"/>
    <xf borderId="3" fillId="10" fontId="57" numFmtId="0" xfId="0" applyAlignment="1" applyBorder="1" applyFont="1">
      <alignment horizontal="center" readingOrder="0" shrinkToFit="0" vertical="center" wrapText="0"/>
    </xf>
    <xf borderId="4" fillId="10" fontId="58" numFmtId="0" xfId="0" applyAlignment="1" applyBorder="1" applyFont="1">
      <alignment readingOrder="0" shrinkToFit="0" vertical="center" wrapText="0"/>
    </xf>
    <xf borderId="4" fillId="10" fontId="59" numFmtId="0" xfId="0" applyAlignment="1" applyBorder="1" applyFont="1">
      <alignment readingOrder="0" shrinkToFit="0" vertical="center" wrapText="0"/>
    </xf>
    <xf borderId="4" fillId="10" fontId="60" numFmtId="0" xfId="0" applyAlignment="1" applyBorder="1" applyFont="1">
      <alignment readingOrder="0" shrinkToFit="0" vertical="center" wrapText="1"/>
    </xf>
    <xf borderId="4" fillId="10" fontId="61" numFmtId="0" xfId="0" applyAlignment="1" applyBorder="1" applyFont="1">
      <alignment horizontal="center" shrinkToFit="0" vertical="center" wrapText="0"/>
    </xf>
    <xf borderId="4" fillId="10" fontId="62" numFmtId="164" xfId="0" applyAlignment="1" applyBorder="1" applyFont="1" applyNumberFormat="1">
      <alignment horizontal="right" readingOrder="0" shrinkToFit="0" vertical="center" wrapText="0"/>
    </xf>
    <xf borderId="0" fillId="10" fontId="63" numFmtId="0" xfId="0" applyAlignment="1" applyFont="1">
      <alignment horizontal="right" shrinkToFit="0" vertical="center" wrapText="0"/>
    </xf>
    <xf borderId="0" fillId="10" fontId="64" numFmtId="0" xfId="0" applyAlignment="1" applyFont="1">
      <alignment horizontal="center" shrinkToFit="0" vertical="center" wrapText="0"/>
    </xf>
    <xf borderId="5" fillId="10" fontId="65" numFmtId="0" xfId="0" applyAlignment="1" applyBorder="1" applyFont="1">
      <alignment horizontal="center" readingOrder="0" shrinkToFit="0" vertical="center" wrapText="0"/>
    </xf>
    <xf borderId="6" fillId="10" fontId="66" numFmtId="0" xfId="0" applyAlignment="1" applyBorder="1" applyFont="1">
      <alignment readingOrder="0" shrinkToFit="0" vertical="center" wrapText="0"/>
    </xf>
    <xf borderId="6" fillId="10" fontId="67" numFmtId="0" xfId="0" applyAlignment="1" applyBorder="1" applyFont="1">
      <alignment readingOrder="0" shrinkToFit="0" vertical="center" wrapText="0"/>
    </xf>
    <xf borderId="6" fillId="10" fontId="68" numFmtId="0" xfId="0" applyAlignment="1" applyBorder="1" applyFont="1">
      <alignment readingOrder="0" shrinkToFit="0" vertical="center" wrapText="1"/>
    </xf>
    <xf borderId="6" fillId="10" fontId="69" numFmtId="0" xfId="0" applyAlignment="1" applyBorder="1" applyFont="1">
      <alignment horizontal="center" shrinkToFit="0" vertical="center" wrapText="0"/>
    </xf>
    <xf borderId="6" fillId="10" fontId="70" numFmtId="164" xfId="0" applyAlignment="1" applyBorder="1" applyFont="1" applyNumberFormat="1">
      <alignment horizontal="right" readingOrder="0" shrinkToFit="0" vertical="center" wrapText="0"/>
    </xf>
    <xf borderId="0" fillId="10" fontId="35" numFmtId="0" xfId="0" applyAlignment="1" applyFont="1">
      <alignment horizontal="left" readingOrder="0" shrinkToFit="0" vertical="center" wrapText="1"/>
    </xf>
    <xf borderId="2" fillId="10" fontId="71" numFmtId="0" xfId="0" applyAlignment="1" applyBorder="1" applyFont="1">
      <alignment shrinkToFit="0" vertical="center" wrapText="0"/>
    </xf>
    <xf borderId="2" fillId="10" fontId="71" numFmtId="0" xfId="0" applyAlignment="1" applyBorder="1" applyFont="1">
      <alignment readingOrder="0" shrinkToFit="0" vertical="center" wrapText="0"/>
    </xf>
    <xf borderId="2" fillId="10" fontId="35" numFmtId="0" xfId="0" applyAlignment="1" applyBorder="1" applyFont="1">
      <alignment shrinkToFit="0" vertical="center" wrapText="1"/>
    </xf>
    <xf borderId="2" fillId="10" fontId="35" numFmtId="0" xfId="0" applyAlignment="1" applyBorder="1" applyFont="1">
      <alignment horizontal="center" shrinkToFit="0" vertical="center" wrapText="0"/>
    </xf>
    <xf borderId="2" fillId="10" fontId="35" numFmtId="164" xfId="0" applyAlignment="1" applyBorder="1" applyFont="1" applyNumberFormat="1">
      <alignment shrinkToFit="0" vertical="center" wrapText="0"/>
    </xf>
    <xf borderId="2" fillId="10" fontId="35" numFmtId="0" xfId="0" applyAlignment="1" applyBorder="1" applyFont="1">
      <alignment shrinkToFit="0" vertical="center" wrapText="0"/>
    </xf>
    <xf borderId="2" fillId="0" fontId="8" numFmtId="0" xfId="0" applyAlignment="1" applyBorder="1" applyFont="1">
      <alignment horizontal="center" shrinkToFit="0" vertical="center" wrapText="0"/>
    </xf>
    <xf borderId="2" fillId="7" fontId="8" numFmtId="0" xfId="0" applyAlignment="1" applyBorder="1" applyFont="1">
      <alignment horizontal="center" shrinkToFit="0" vertical="center" wrapText="0"/>
    </xf>
    <xf borderId="2" fillId="8" fontId="8" numFmtId="0" xfId="0" applyAlignment="1" applyBorder="1" applyFont="1">
      <alignment horizontal="center" shrinkToFit="0" vertical="center" wrapText="0"/>
    </xf>
    <xf borderId="2" fillId="11" fontId="8" numFmtId="0" xfId="0" applyAlignment="1" applyBorder="1" applyFill="1" applyFont="1">
      <alignment horizontal="center" shrinkToFit="0" vertical="center" wrapText="0"/>
    </xf>
    <xf borderId="0" fillId="7" fontId="34" numFmtId="0" xfId="0" applyAlignment="1" applyFont="1">
      <alignment horizontal="center" readingOrder="0" shrinkToFit="0" vertical="center" wrapText="0"/>
    </xf>
    <xf borderId="0" fillId="12" fontId="72" numFmtId="0" xfId="0" applyAlignment="1" applyFill="1" applyFont="1">
      <alignment horizontal="center" readingOrder="0" shrinkToFit="0" vertical="center" wrapText="0"/>
    </xf>
    <xf borderId="0" fillId="12" fontId="72" numFmtId="0" xfId="0" applyAlignment="1" applyFont="1">
      <alignment horizontal="left" readingOrder="0" shrinkToFit="0" vertical="center" wrapText="0"/>
    </xf>
    <xf borderId="0" fillId="12" fontId="72" numFmtId="0" xfId="0" applyAlignment="1" applyFont="1">
      <alignment horizontal="left" readingOrder="0" shrinkToFit="0" vertical="center" wrapText="1"/>
    </xf>
    <xf borderId="0" fillId="12" fontId="72" numFmtId="164" xfId="0" applyAlignment="1" applyFont="1" applyNumberFormat="1">
      <alignment horizontal="left" readingOrder="0" shrinkToFit="0" vertical="center" wrapText="0"/>
    </xf>
    <xf borderId="0" fillId="12" fontId="72" numFmtId="0" xfId="0" applyAlignment="1" applyFont="1">
      <alignment horizontal="left" readingOrder="0" shrinkToFit="0" vertical="center" wrapText="0"/>
    </xf>
    <xf borderId="0" fillId="12" fontId="72" numFmtId="49" xfId="0" applyAlignment="1" applyFont="1" applyNumberFormat="1">
      <alignment horizontal="center" readingOrder="0" shrinkToFit="0" vertical="center" wrapText="0"/>
    </xf>
    <xf borderId="7" fillId="12" fontId="72" numFmtId="0" xfId="0" applyAlignment="1" applyBorder="1" applyFont="1">
      <alignment horizontal="center" readingOrder="0" shrinkToFit="0" vertical="center" wrapText="0"/>
    </xf>
    <xf borderId="7" fillId="12" fontId="73" numFmtId="0" xfId="0" applyAlignment="1" applyBorder="1" applyFont="1">
      <alignment readingOrder="0" shrinkToFit="0" vertical="center" wrapText="0"/>
    </xf>
    <xf borderId="7" fillId="12" fontId="73" numFmtId="0" xfId="0" applyAlignment="1" applyBorder="1" applyFont="1">
      <alignment readingOrder="0" shrinkToFit="0" vertical="center" wrapText="0"/>
    </xf>
    <xf borderId="7" fillId="12" fontId="72" numFmtId="0" xfId="0" applyAlignment="1" applyBorder="1" applyFont="1">
      <alignment readingOrder="0" shrinkToFit="0" vertical="center" wrapText="1"/>
    </xf>
    <xf borderId="7" fillId="12" fontId="72" numFmtId="0" xfId="0" applyAlignment="1" applyBorder="1" applyFont="1">
      <alignment horizontal="center" shrinkToFit="0" vertical="center" wrapText="0"/>
    </xf>
    <xf borderId="7" fillId="12" fontId="72" numFmtId="164" xfId="0" applyAlignment="1" applyBorder="1" applyFont="1" applyNumberFormat="1">
      <alignment readingOrder="0" shrinkToFit="0" vertical="center" wrapText="0"/>
    </xf>
    <xf borderId="7" fillId="12" fontId="72" numFmtId="0" xfId="0" applyAlignment="1" applyBorder="1" applyFont="1">
      <alignment shrinkToFit="0" vertical="center" wrapText="0"/>
    </xf>
    <xf borderId="7" fillId="12" fontId="8" numFmtId="0" xfId="0" applyAlignment="1" applyBorder="1" applyFont="1">
      <alignment horizontal="center" shrinkToFit="0" vertical="center" wrapText="0"/>
    </xf>
    <xf borderId="7" fillId="12" fontId="8" numFmtId="0" xfId="0" applyAlignment="1" applyBorder="1" applyFont="1">
      <alignment horizontal="center" readingOrder="0" shrinkToFit="0" vertical="center" wrapText="0"/>
    </xf>
    <xf borderId="7" fillId="12" fontId="74" numFmtId="0" xfId="0" applyAlignment="1" applyBorder="1" applyFont="1">
      <alignment readingOrder="0" shrinkToFit="0" vertical="center" wrapText="0"/>
    </xf>
    <xf borderId="7" fillId="12" fontId="75" numFmtId="0" xfId="0" applyAlignment="1" applyBorder="1" applyFont="1">
      <alignment horizontal="center" readingOrder="0" shrinkToFit="0" vertical="center" wrapText="0"/>
    </xf>
    <xf borderId="7" fillId="12" fontId="76" numFmtId="0" xfId="0" applyAlignment="1" applyBorder="1" applyFont="1">
      <alignment readingOrder="0" shrinkToFit="0" vertical="center" wrapText="0"/>
    </xf>
    <xf borderId="7" fillId="12" fontId="77" numFmtId="0" xfId="0" applyAlignment="1" applyBorder="1" applyFont="1">
      <alignment readingOrder="0" shrinkToFit="0" vertical="center" wrapText="0"/>
    </xf>
    <xf borderId="7" fillId="12" fontId="78" numFmtId="0" xfId="0" applyAlignment="1" applyBorder="1" applyFont="1">
      <alignment readingOrder="0" shrinkToFit="0" vertical="center" wrapText="1"/>
    </xf>
    <xf borderId="7" fillId="12" fontId="79" numFmtId="0" xfId="0" applyAlignment="1" applyBorder="1" applyFont="1">
      <alignment horizontal="center" shrinkToFit="0" vertical="center" wrapText="0"/>
    </xf>
    <xf borderId="7" fillId="12" fontId="80" numFmtId="164" xfId="0" applyAlignment="1" applyBorder="1" applyFont="1" applyNumberFormat="1">
      <alignment readingOrder="0" shrinkToFit="0" vertical="center" wrapText="0"/>
    </xf>
    <xf borderId="7" fillId="12" fontId="81" numFmtId="0" xfId="0" applyAlignment="1" applyBorder="1" applyFont="1">
      <alignment shrinkToFit="0" vertical="center" wrapText="0"/>
    </xf>
    <xf borderId="7" fillId="12" fontId="82" numFmtId="0" xfId="0" applyAlignment="1" applyBorder="1" applyFont="1">
      <alignment horizontal="center" readingOrder="0" shrinkToFit="0" vertical="center" wrapText="0"/>
    </xf>
    <xf borderId="7" fillId="12" fontId="83" numFmtId="0" xfId="0" applyAlignment="1" applyBorder="1" applyFont="1">
      <alignment horizontal="center" shrinkToFit="0" vertical="center" wrapText="0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164" xfId="0" applyFont="1" applyNumberFormat="1"/>
    <xf borderId="0" fillId="12" fontId="72" numFmtId="0" xfId="0" applyAlignment="1" applyFont="1">
      <alignment horizontal="left" readingOrder="0" shrinkToFit="0" vertical="center" wrapText="1"/>
    </xf>
    <xf borderId="0" fillId="12" fontId="72" numFmtId="0" xfId="0" applyAlignment="1" applyFont="1">
      <alignment horizontal="center" readingOrder="0" shrinkToFit="0" vertical="center" wrapText="0"/>
    </xf>
    <xf borderId="7" fillId="12" fontId="73" numFmtId="0" xfId="0" applyAlignment="1" applyBorder="1" applyFont="1">
      <alignment shrinkToFit="0" vertical="center" wrapText="0"/>
    </xf>
    <xf borderId="7" fillId="0" fontId="8" numFmtId="0" xfId="0" applyAlignment="1" applyBorder="1" applyFont="1">
      <alignment horizontal="center" shrinkToFit="0" vertical="center" wrapText="0"/>
    </xf>
    <xf borderId="7" fillId="7" fontId="8" numFmtId="0" xfId="0" applyAlignment="1" applyBorder="1" applyFont="1">
      <alignment horizontal="center" shrinkToFit="0" vertical="center" wrapText="0"/>
    </xf>
    <xf borderId="7" fillId="8" fontId="8" numFmtId="0" xfId="0" applyAlignment="1" applyBorder="1" applyFont="1">
      <alignment horizontal="center" shrinkToFit="0" vertical="center" wrapText="0"/>
    </xf>
    <xf borderId="7" fillId="9" fontId="8" numFmtId="0" xfId="0" applyAlignment="1" applyBorder="1" applyFont="1">
      <alignment horizontal="center" shrinkToFit="0" vertical="center" wrapText="0"/>
    </xf>
    <xf borderId="0" fillId="8" fontId="8" numFmtId="0" xfId="0" applyAlignment="1" applyFont="1">
      <alignment horizontal="center" readingOrder="0" shrinkToFit="0" vertical="center" wrapText="0"/>
    </xf>
    <xf borderId="0" fillId="8" fontId="8" numFmtId="0" xfId="0" applyAlignment="1" applyFont="1">
      <alignment horizontal="center" readingOrder="0" shrinkToFit="0" vertical="center" wrapText="0"/>
    </xf>
    <xf borderId="0" fillId="8" fontId="34" numFmtId="0" xfId="0" applyAlignment="1" applyFont="1">
      <alignment shrinkToFit="0" vertical="center" wrapText="1"/>
    </xf>
    <xf borderId="0" fillId="8" fontId="34" numFmtId="0" xfId="0" applyAlignment="1" applyFont="1">
      <alignment horizontal="center" readingOrder="0" shrinkToFit="0" vertical="center" wrapText="0"/>
    </xf>
    <xf borderId="0" fillId="13" fontId="84" numFmtId="0" xfId="0" applyAlignment="1" applyFill="1" applyFont="1">
      <alignment horizontal="center" readingOrder="0" shrinkToFit="0" vertical="center" wrapText="0"/>
    </xf>
    <xf borderId="0" fillId="13" fontId="84" numFmtId="0" xfId="0" applyAlignment="1" applyFont="1">
      <alignment horizontal="left" readingOrder="0" shrinkToFit="0" vertical="center" wrapText="0"/>
    </xf>
    <xf borderId="0" fillId="13" fontId="84" numFmtId="0" xfId="0" applyAlignment="1" applyFont="1">
      <alignment horizontal="left" readingOrder="0" shrinkToFit="0" vertical="center" wrapText="1"/>
    </xf>
    <xf borderId="0" fillId="13" fontId="84" numFmtId="164" xfId="0" applyAlignment="1" applyFont="1" applyNumberFormat="1">
      <alignment horizontal="left" readingOrder="0" shrinkToFit="0" vertical="center" wrapText="0"/>
    </xf>
    <xf borderId="0" fillId="13" fontId="84" numFmtId="0" xfId="0" applyAlignment="1" applyFont="1">
      <alignment horizontal="left" readingOrder="0" shrinkToFit="0" vertical="center" wrapText="0"/>
    </xf>
    <xf borderId="0" fillId="13" fontId="84" numFmtId="49" xfId="0" applyAlignment="1" applyFont="1" applyNumberFormat="1">
      <alignment horizontal="center" readingOrder="0" shrinkToFit="0" vertical="center" wrapText="0"/>
    </xf>
    <xf borderId="8" fillId="13" fontId="84" numFmtId="0" xfId="0" applyAlignment="1" applyBorder="1" applyFont="1">
      <alignment horizontal="center" readingOrder="0" shrinkToFit="0" vertical="center" wrapText="0"/>
    </xf>
    <xf borderId="8" fillId="13" fontId="85" numFmtId="0" xfId="0" applyAlignment="1" applyBorder="1" applyFont="1">
      <alignment readingOrder="0" shrinkToFit="0" vertical="center" wrapText="0"/>
    </xf>
    <xf borderId="8" fillId="13" fontId="85" numFmtId="0" xfId="0" applyAlignment="1" applyBorder="1" applyFont="1">
      <alignment readingOrder="0" shrinkToFit="0" vertical="center" wrapText="0"/>
    </xf>
    <xf borderId="8" fillId="13" fontId="84" numFmtId="0" xfId="0" applyAlignment="1" applyBorder="1" applyFont="1">
      <alignment readingOrder="0" shrinkToFit="0" vertical="center" wrapText="1"/>
    </xf>
    <xf borderId="8" fillId="13" fontId="84" numFmtId="0" xfId="0" applyAlignment="1" applyBorder="1" applyFont="1">
      <alignment horizontal="center" shrinkToFit="0" vertical="center" wrapText="0"/>
    </xf>
    <xf borderId="8" fillId="13" fontId="84" numFmtId="164" xfId="0" applyAlignment="1" applyBorder="1" applyFont="1" applyNumberFormat="1">
      <alignment readingOrder="0" shrinkToFit="0" vertical="center" wrapText="0"/>
    </xf>
    <xf borderId="8" fillId="13" fontId="84" numFmtId="0" xfId="0" applyAlignment="1" applyBorder="1" applyFont="1">
      <alignment shrinkToFit="0" vertical="center" wrapText="0"/>
    </xf>
    <xf borderId="8" fillId="13" fontId="8" numFmtId="0" xfId="0" applyAlignment="1" applyBorder="1" applyFont="1">
      <alignment horizontal="center" shrinkToFit="0" vertical="center" wrapText="0"/>
    </xf>
    <xf borderId="8" fillId="13" fontId="8" numFmtId="0" xfId="0" applyAlignment="1" applyBorder="1" applyFont="1">
      <alignment horizontal="center" readingOrder="0" shrinkToFit="0" vertical="center" wrapText="0"/>
    </xf>
    <xf borderId="8" fillId="13" fontId="86" numFmtId="0" xfId="0" applyAlignment="1" applyBorder="1" applyFont="1">
      <alignment horizontal="center" readingOrder="0" shrinkToFit="0" vertical="center" wrapText="0"/>
    </xf>
    <xf borderId="8" fillId="13" fontId="87" numFmtId="0" xfId="0" applyAlignment="1" applyBorder="1" applyFont="1">
      <alignment readingOrder="0" shrinkToFit="0" vertical="center" wrapText="0"/>
    </xf>
    <xf borderId="8" fillId="13" fontId="88" numFmtId="0" xfId="0" applyAlignment="1" applyBorder="1" applyFont="1">
      <alignment readingOrder="0" shrinkToFit="0" vertical="center" wrapText="0"/>
    </xf>
    <xf borderId="8" fillId="13" fontId="89" numFmtId="0" xfId="0" applyAlignment="1" applyBorder="1" applyFont="1">
      <alignment readingOrder="0" shrinkToFit="0" vertical="center" wrapText="1"/>
    </xf>
    <xf borderId="8" fillId="13" fontId="90" numFmtId="0" xfId="0" applyAlignment="1" applyBorder="1" applyFont="1">
      <alignment horizontal="center" shrinkToFit="0" vertical="center" wrapText="0"/>
    </xf>
    <xf borderId="8" fillId="13" fontId="91" numFmtId="164" xfId="0" applyAlignment="1" applyBorder="1" applyFont="1" applyNumberFormat="1">
      <alignment readingOrder="0" shrinkToFit="0" vertical="center" wrapText="0"/>
    </xf>
    <xf borderId="8" fillId="13" fontId="92" numFmtId="0" xfId="0" applyAlignment="1" applyBorder="1" applyFont="1">
      <alignment shrinkToFit="0" vertical="center" wrapText="0"/>
    </xf>
    <xf borderId="8" fillId="13" fontId="93" numFmtId="0" xfId="0" applyAlignment="1" applyBorder="1" applyFont="1">
      <alignment horizontal="center" shrinkToFit="0" vertical="center" wrapText="0"/>
    </xf>
    <xf borderId="8" fillId="13" fontId="94" numFmtId="0" xfId="0" applyAlignment="1" applyBorder="1" applyFont="1">
      <alignment horizontal="center" readingOrder="0" shrinkToFit="0" vertical="center" wrapText="0"/>
    </xf>
    <xf borderId="0" fillId="13" fontId="84" numFmtId="0" xfId="0" applyAlignment="1" applyFont="1">
      <alignment horizontal="left" readingOrder="0" shrinkToFit="0" vertical="center" wrapText="1"/>
    </xf>
    <xf borderId="8" fillId="13" fontId="85" numFmtId="0" xfId="0" applyAlignment="1" applyBorder="1" applyFont="1">
      <alignment shrinkToFit="0" vertical="center" wrapText="0"/>
    </xf>
    <xf borderId="8" fillId="0" fontId="8" numFmtId="0" xfId="0" applyAlignment="1" applyBorder="1" applyFont="1">
      <alignment horizontal="center" shrinkToFit="0" vertical="center" wrapText="0"/>
    </xf>
    <xf borderId="8" fillId="7" fontId="8" numFmtId="0" xfId="0" applyAlignment="1" applyBorder="1" applyFont="1">
      <alignment horizontal="center" shrinkToFit="0" vertical="center" wrapText="0"/>
    </xf>
    <xf borderId="8" fillId="8" fontId="8" numFmtId="0" xfId="0" applyAlignment="1" applyBorder="1" applyFont="1">
      <alignment horizontal="center" shrinkToFit="0" vertical="center" wrapText="0"/>
    </xf>
    <xf borderId="8" fillId="9" fontId="8" numFmtId="0" xfId="0" applyAlignment="1" applyBorder="1" applyFont="1">
      <alignment horizontal="center" shrinkToFit="0" vertical="center" wrapText="0"/>
    </xf>
    <xf borderId="0" fillId="14" fontId="95" numFmtId="0" xfId="0" applyAlignment="1" applyFill="1" applyFont="1">
      <alignment horizontal="center" readingOrder="0" shrinkToFit="0" vertical="center" wrapText="0"/>
    </xf>
    <xf borderId="0" fillId="14" fontId="95" numFmtId="0" xfId="0" applyAlignment="1" applyFont="1">
      <alignment horizontal="left" readingOrder="0" shrinkToFit="0" vertical="center" wrapText="0"/>
    </xf>
    <xf borderId="0" fillId="14" fontId="95" numFmtId="0" xfId="0" applyAlignment="1" applyFont="1">
      <alignment horizontal="left" readingOrder="0" shrinkToFit="0" vertical="center" wrapText="1"/>
    </xf>
    <xf borderId="0" fillId="14" fontId="95" numFmtId="164" xfId="0" applyAlignment="1" applyFont="1" applyNumberFormat="1">
      <alignment horizontal="left" readingOrder="0" shrinkToFit="0" vertical="center" wrapText="0"/>
    </xf>
    <xf borderId="0" fillId="14" fontId="95" numFmtId="0" xfId="0" applyAlignment="1" applyFont="1">
      <alignment horizontal="left" readingOrder="0" shrinkToFit="0" vertical="center" wrapText="0"/>
    </xf>
    <xf borderId="0" fillId="14" fontId="95" numFmtId="49" xfId="0" applyAlignment="1" applyFont="1" applyNumberFormat="1">
      <alignment horizontal="center" readingOrder="0" shrinkToFit="0" vertical="center" wrapText="0"/>
    </xf>
    <xf borderId="9" fillId="14" fontId="95" numFmtId="0" xfId="0" applyAlignment="1" applyBorder="1" applyFont="1">
      <alignment horizontal="center" readingOrder="0" shrinkToFit="0" vertical="center" wrapText="0"/>
    </xf>
    <xf borderId="9" fillId="14" fontId="96" numFmtId="0" xfId="0" applyAlignment="1" applyBorder="1" applyFont="1">
      <alignment readingOrder="0" shrinkToFit="0" vertical="center" wrapText="0"/>
    </xf>
    <xf borderId="9" fillId="14" fontId="96" numFmtId="0" xfId="0" applyAlignment="1" applyBorder="1" applyFont="1">
      <alignment readingOrder="0" shrinkToFit="0" vertical="center" wrapText="0"/>
    </xf>
    <xf borderId="9" fillId="14" fontId="95" numFmtId="0" xfId="0" applyAlignment="1" applyBorder="1" applyFont="1">
      <alignment readingOrder="0" shrinkToFit="0" vertical="center" wrapText="1"/>
    </xf>
    <xf borderId="9" fillId="14" fontId="95" numFmtId="0" xfId="0" applyAlignment="1" applyBorder="1" applyFont="1">
      <alignment horizontal="center" shrinkToFit="0" vertical="center" wrapText="0"/>
    </xf>
    <xf borderId="9" fillId="14" fontId="95" numFmtId="164" xfId="0" applyAlignment="1" applyBorder="1" applyFont="1" applyNumberFormat="1">
      <alignment readingOrder="0" shrinkToFit="0" vertical="center" wrapText="0"/>
    </xf>
    <xf borderId="9" fillId="14" fontId="95" numFmtId="0" xfId="0" applyAlignment="1" applyBorder="1" applyFont="1">
      <alignment shrinkToFit="0" vertical="center" wrapText="0"/>
    </xf>
    <xf borderId="9" fillId="14" fontId="8" numFmtId="0" xfId="0" applyAlignment="1" applyBorder="1" applyFont="1">
      <alignment horizontal="center" readingOrder="0" shrinkToFit="0" vertical="center" wrapText="0"/>
    </xf>
    <xf borderId="9" fillId="14" fontId="8" numFmtId="0" xfId="0" applyAlignment="1" applyBorder="1" applyFont="1">
      <alignment horizontal="center" shrinkToFit="0" vertical="center" wrapText="0"/>
    </xf>
    <xf borderId="9" fillId="14" fontId="97" numFmtId="0" xfId="0" applyAlignment="1" applyBorder="1" applyFont="1">
      <alignment readingOrder="0" shrinkToFit="0" vertical="center" wrapText="0"/>
    </xf>
    <xf borderId="9" fillId="14" fontId="98" numFmtId="0" xfId="0" applyAlignment="1" applyBorder="1" applyFont="1">
      <alignment horizontal="center" readingOrder="0" shrinkToFit="0" vertical="center" wrapText="0"/>
    </xf>
    <xf borderId="9" fillId="14" fontId="99" numFmtId="0" xfId="0" applyAlignment="1" applyBorder="1" applyFont="1">
      <alignment readingOrder="0" shrinkToFit="0" vertical="center" wrapText="0"/>
    </xf>
    <xf borderId="9" fillId="14" fontId="100" numFmtId="0" xfId="0" applyAlignment="1" applyBorder="1" applyFont="1">
      <alignment readingOrder="0" shrinkToFit="0" vertical="center" wrapText="0"/>
    </xf>
    <xf borderId="9" fillId="14" fontId="101" numFmtId="0" xfId="0" applyAlignment="1" applyBorder="1" applyFont="1">
      <alignment readingOrder="0" shrinkToFit="0" vertical="center" wrapText="1"/>
    </xf>
    <xf borderId="9" fillId="14" fontId="102" numFmtId="0" xfId="0" applyAlignment="1" applyBorder="1" applyFont="1">
      <alignment horizontal="center" shrinkToFit="0" vertical="center" wrapText="0"/>
    </xf>
    <xf borderId="9" fillId="14" fontId="103" numFmtId="164" xfId="0" applyAlignment="1" applyBorder="1" applyFont="1" applyNumberFormat="1">
      <alignment readingOrder="0" shrinkToFit="0" vertical="center" wrapText="0"/>
    </xf>
    <xf borderId="9" fillId="14" fontId="104" numFmtId="0" xfId="0" applyAlignment="1" applyBorder="1" applyFont="1">
      <alignment shrinkToFit="0" vertical="center" wrapText="0"/>
    </xf>
    <xf borderId="9" fillId="14" fontId="105" numFmtId="0" xfId="0" applyAlignment="1" applyBorder="1" applyFont="1">
      <alignment horizontal="center" readingOrder="0" shrinkToFit="0" vertical="center" wrapText="0"/>
    </xf>
    <xf borderId="9" fillId="14" fontId="106" numFmtId="0" xfId="0" applyAlignment="1" applyBorder="1" applyFont="1">
      <alignment horizontal="center" shrinkToFit="0" vertical="center" wrapText="0"/>
    </xf>
    <xf borderId="9" fillId="14" fontId="107" numFmtId="0" xfId="0" applyAlignment="1" applyBorder="1" applyFont="1">
      <alignment readingOrder="0" shrinkToFit="0" vertical="center" wrapText="0"/>
    </xf>
    <xf borderId="0" fillId="14" fontId="95" numFmtId="0" xfId="0" applyAlignment="1" applyFont="1">
      <alignment horizontal="left" readingOrder="0" shrinkToFit="0" vertical="center" wrapText="1"/>
    </xf>
    <xf borderId="0" fillId="14" fontId="95" numFmtId="0" xfId="0" applyAlignment="1" applyFont="1">
      <alignment horizontal="center" readingOrder="0" shrinkToFit="0" vertical="center" wrapText="0"/>
    </xf>
    <xf borderId="9" fillId="14" fontId="96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horizontal="center" shrinkToFit="0" vertical="center" wrapText="0"/>
    </xf>
    <xf borderId="9" fillId="7" fontId="8" numFmtId="0" xfId="0" applyAlignment="1" applyBorder="1" applyFont="1">
      <alignment horizontal="center" shrinkToFit="0" vertical="center" wrapText="0"/>
    </xf>
    <xf borderId="9" fillId="8" fontId="8" numFmtId="0" xfId="0" applyAlignment="1" applyBorder="1" applyFont="1">
      <alignment horizontal="center" shrinkToFit="0" vertical="center" wrapText="0"/>
    </xf>
    <xf borderId="9" fillId="9" fontId="8" numFmtId="0" xfId="0" applyAlignment="1" applyBorder="1" applyFont="1">
      <alignment horizontal="center" shrinkToFit="0" vertical="center" wrapText="0"/>
    </xf>
    <xf borderId="0" fillId="8" fontId="34" numFmtId="0" xfId="0" applyAlignment="1" applyFont="1">
      <alignment readingOrder="0" shrinkToFit="0" vertical="center" wrapText="1"/>
    </xf>
    <xf borderId="0" fillId="8" fontId="34" numFmtId="165" xfId="0" applyAlignment="1" applyFont="1" applyNumberFormat="1">
      <alignment horizontal="center" readingOrder="0" shrinkToFit="0" vertical="center" wrapText="0"/>
    </xf>
    <xf borderId="0" fillId="0" fontId="5" numFmtId="164" xfId="0" applyFont="1" applyNumberFormat="1"/>
    <xf borderId="0" fillId="15" fontId="108" numFmtId="0" xfId="0" applyAlignment="1" applyFill="1" applyFont="1">
      <alignment horizontal="center" readingOrder="0" shrinkToFit="0" vertical="center" wrapText="0"/>
    </xf>
    <xf borderId="0" fillId="15" fontId="108" numFmtId="0" xfId="0" applyAlignment="1" applyFont="1">
      <alignment horizontal="left" readingOrder="0" shrinkToFit="0" vertical="center" wrapText="0"/>
    </xf>
    <xf borderId="0" fillId="15" fontId="108" numFmtId="0" xfId="0" applyAlignment="1" applyFont="1">
      <alignment horizontal="left" readingOrder="0" shrinkToFit="0" vertical="center" wrapText="1"/>
    </xf>
    <xf borderId="0" fillId="15" fontId="108" numFmtId="164" xfId="0" applyAlignment="1" applyFont="1" applyNumberFormat="1">
      <alignment horizontal="left" readingOrder="0" shrinkToFit="0" vertical="center" wrapText="0"/>
    </xf>
    <xf borderId="0" fillId="15" fontId="108" numFmtId="0" xfId="0" applyAlignment="1" applyFont="1">
      <alignment horizontal="left" readingOrder="0" shrinkToFit="0" vertical="center" wrapText="0"/>
    </xf>
    <xf borderId="0" fillId="15" fontId="108" numFmtId="49" xfId="0" applyAlignment="1" applyFont="1" applyNumberFormat="1">
      <alignment horizontal="center" readingOrder="0" shrinkToFit="0" vertical="center" wrapText="0"/>
    </xf>
    <xf borderId="10" fillId="15" fontId="108" numFmtId="0" xfId="0" applyAlignment="1" applyBorder="1" applyFont="1">
      <alignment horizontal="center" readingOrder="0" shrinkToFit="0" vertical="center" wrapText="0"/>
    </xf>
    <xf borderId="10" fillId="15" fontId="109" numFmtId="0" xfId="0" applyAlignment="1" applyBorder="1" applyFont="1">
      <alignment readingOrder="0" shrinkToFit="0" vertical="center" wrapText="0"/>
    </xf>
    <xf borderId="10" fillId="15" fontId="109" numFmtId="0" xfId="0" applyAlignment="1" applyBorder="1" applyFont="1">
      <alignment readingOrder="0" shrinkToFit="0" vertical="center" wrapText="0"/>
    </xf>
    <xf borderId="10" fillId="15" fontId="108" numFmtId="0" xfId="0" applyAlignment="1" applyBorder="1" applyFont="1">
      <alignment readingOrder="0" shrinkToFit="0" vertical="center" wrapText="1"/>
    </xf>
    <xf borderId="10" fillId="15" fontId="108" numFmtId="0" xfId="0" applyAlignment="1" applyBorder="1" applyFont="1">
      <alignment horizontal="center" shrinkToFit="0" vertical="center" wrapText="0"/>
    </xf>
    <xf borderId="10" fillId="15" fontId="108" numFmtId="164" xfId="0" applyAlignment="1" applyBorder="1" applyFont="1" applyNumberFormat="1">
      <alignment readingOrder="0" shrinkToFit="0" vertical="center" wrapText="0"/>
    </xf>
    <xf borderId="10" fillId="15" fontId="108" numFmtId="0" xfId="0" applyAlignment="1" applyBorder="1" applyFont="1">
      <alignment shrinkToFit="0" vertical="center" wrapText="0"/>
    </xf>
    <xf borderId="10" fillId="15" fontId="8" numFmtId="0" xfId="0" applyAlignment="1" applyBorder="1" applyFont="1">
      <alignment horizontal="center" shrinkToFit="0" vertical="center" wrapText="0"/>
    </xf>
    <xf borderId="10" fillId="15" fontId="110" numFmtId="0" xfId="0" applyAlignment="1" applyBorder="1" applyFont="1">
      <alignment readingOrder="0" shrinkToFit="0" vertical="center" wrapText="0"/>
    </xf>
    <xf borderId="10" fillId="15" fontId="111" numFmtId="0" xfId="0" applyAlignment="1" applyBorder="1" applyFont="1">
      <alignment horizontal="center" readingOrder="0" shrinkToFit="0" vertical="center" wrapText="0"/>
    </xf>
    <xf borderId="10" fillId="15" fontId="112" numFmtId="0" xfId="0" applyAlignment="1" applyBorder="1" applyFont="1">
      <alignment readingOrder="0" shrinkToFit="0" vertical="center" wrapText="0"/>
    </xf>
    <xf borderId="10" fillId="15" fontId="113" numFmtId="0" xfId="0" applyAlignment="1" applyBorder="1" applyFont="1">
      <alignment readingOrder="0" shrinkToFit="0" vertical="center" wrapText="0"/>
    </xf>
    <xf borderId="10" fillId="15" fontId="114" numFmtId="0" xfId="0" applyAlignment="1" applyBorder="1" applyFont="1">
      <alignment readingOrder="0" shrinkToFit="0" vertical="center" wrapText="1"/>
    </xf>
    <xf borderId="10" fillId="15" fontId="115" numFmtId="0" xfId="0" applyAlignment="1" applyBorder="1" applyFont="1">
      <alignment horizontal="center" shrinkToFit="0" vertical="center" wrapText="0"/>
    </xf>
    <xf borderId="10" fillId="15" fontId="116" numFmtId="164" xfId="0" applyAlignment="1" applyBorder="1" applyFont="1" applyNumberFormat="1">
      <alignment readingOrder="0" shrinkToFit="0" vertical="center" wrapText="0"/>
    </xf>
    <xf borderId="10" fillId="15" fontId="117" numFmtId="0" xfId="0" applyAlignment="1" applyBorder="1" applyFont="1">
      <alignment shrinkToFit="0" vertical="center" wrapText="0"/>
    </xf>
    <xf borderId="10" fillId="15" fontId="118" numFmtId="0" xfId="0" applyAlignment="1" applyBorder="1" applyFont="1">
      <alignment horizontal="center" readingOrder="0" shrinkToFit="0" vertical="center" wrapText="0"/>
    </xf>
    <xf borderId="10" fillId="15" fontId="119" numFmtId="0" xfId="0" applyAlignment="1" applyBorder="1" applyFont="1">
      <alignment horizontal="center" shrinkToFit="0" vertical="center" wrapText="0"/>
    </xf>
    <xf borderId="10" fillId="15" fontId="8" numFmtId="0" xfId="0" applyAlignment="1" applyBorder="1" applyFont="1">
      <alignment horizontal="center" readingOrder="0" shrinkToFit="0" vertical="center" wrapText="0"/>
    </xf>
    <xf borderId="0" fillId="15" fontId="108" numFmtId="0" xfId="0" applyAlignment="1" applyFont="1">
      <alignment horizontal="left" readingOrder="0" shrinkToFit="0" vertical="center" wrapText="1"/>
    </xf>
    <xf borderId="10" fillId="15" fontId="109" numFmtId="0" xfId="0" applyAlignment="1" applyBorder="1" applyFont="1">
      <alignment shrinkToFit="0" vertical="center" wrapText="0"/>
    </xf>
    <xf borderId="10" fillId="0" fontId="8" numFmtId="0" xfId="0" applyAlignment="1" applyBorder="1" applyFont="1">
      <alignment horizontal="center" shrinkToFit="0" vertical="center" wrapText="0"/>
    </xf>
    <xf borderId="10" fillId="7" fontId="8" numFmtId="0" xfId="0" applyAlignment="1" applyBorder="1" applyFont="1">
      <alignment horizontal="center" shrinkToFit="0" vertical="center" wrapText="0"/>
    </xf>
    <xf borderId="10" fillId="8" fontId="8" numFmtId="0" xfId="0" applyAlignment="1" applyBorder="1" applyFont="1">
      <alignment horizontal="center" shrinkToFit="0" vertical="center" wrapText="0"/>
    </xf>
    <xf borderId="10" fillId="9" fontId="8" numFmtId="0" xfId="0" applyAlignment="1" applyBorder="1" applyFont="1">
      <alignment horizontal="center" shrinkToFit="0" vertical="center" wrapText="0"/>
    </xf>
    <xf borderId="0" fillId="16" fontId="120" numFmtId="0" xfId="0" applyAlignment="1" applyFill="1" applyFont="1">
      <alignment horizontal="center" readingOrder="0" shrinkToFit="0" vertical="center" wrapText="0"/>
    </xf>
    <xf borderId="0" fillId="16" fontId="120" numFmtId="0" xfId="0" applyAlignment="1" applyFont="1">
      <alignment horizontal="left" readingOrder="0" shrinkToFit="0" vertical="center" wrapText="0"/>
    </xf>
    <xf borderId="0" fillId="16" fontId="120" numFmtId="0" xfId="0" applyAlignment="1" applyFont="1">
      <alignment horizontal="left" readingOrder="0" shrinkToFit="0" vertical="center" wrapText="1"/>
    </xf>
    <xf borderId="0" fillId="16" fontId="120" numFmtId="164" xfId="0" applyAlignment="1" applyFont="1" applyNumberFormat="1">
      <alignment horizontal="left" readingOrder="0" shrinkToFit="0" vertical="center" wrapText="0"/>
    </xf>
    <xf borderId="0" fillId="16" fontId="120" numFmtId="0" xfId="0" applyAlignment="1" applyFont="1">
      <alignment horizontal="left" readingOrder="0" shrinkToFit="0" vertical="center" wrapText="0"/>
    </xf>
    <xf borderId="0" fillId="16" fontId="120" numFmtId="49" xfId="0" applyAlignment="1" applyFont="1" applyNumberFormat="1">
      <alignment horizontal="center" readingOrder="0" shrinkToFit="0" vertical="center" wrapText="0"/>
    </xf>
    <xf borderId="11" fillId="16" fontId="120" numFmtId="0" xfId="0" applyAlignment="1" applyBorder="1" applyFont="1">
      <alignment horizontal="center" readingOrder="0" shrinkToFit="0" vertical="center" wrapText="0"/>
    </xf>
    <xf borderId="11" fillId="16" fontId="121" numFmtId="0" xfId="0" applyAlignment="1" applyBorder="1" applyFont="1">
      <alignment readingOrder="0" shrinkToFit="0" vertical="center" wrapText="0"/>
    </xf>
    <xf borderId="11" fillId="16" fontId="121" numFmtId="0" xfId="0" applyAlignment="1" applyBorder="1" applyFont="1">
      <alignment readingOrder="0" shrinkToFit="0" vertical="center" wrapText="0"/>
    </xf>
    <xf borderId="11" fillId="16" fontId="120" numFmtId="0" xfId="0" applyAlignment="1" applyBorder="1" applyFont="1">
      <alignment readingOrder="0" shrinkToFit="0" vertical="center" wrapText="1"/>
    </xf>
    <xf borderId="11" fillId="16" fontId="120" numFmtId="0" xfId="0" applyAlignment="1" applyBorder="1" applyFont="1">
      <alignment horizontal="center" shrinkToFit="0" vertical="center" wrapText="0"/>
    </xf>
    <xf borderId="11" fillId="16" fontId="120" numFmtId="164" xfId="0" applyAlignment="1" applyBorder="1" applyFont="1" applyNumberFormat="1">
      <alignment readingOrder="0" shrinkToFit="0" vertical="center" wrapText="0"/>
    </xf>
    <xf borderId="11" fillId="16" fontId="120" numFmtId="0" xfId="0" applyAlignment="1" applyBorder="1" applyFont="1">
      <alignment shrinkToFit="0" vertical="center" wrapText="0"/>
    </xf>
    <xf borderId="11" fillId="16" fontId="8" numFmtId="0" xfId="0" applyAlignment="1" applyBorder="1" applyFont="1">
      <alignment horizontal="center" readingOrder="0" shrinkToFit="0" vertical="center" wrapText="0"/>
    </xf>
    <xf borderId="11" fillId="16" fontId="8" numFmtId="0" xfId="0" applyAlignment="1" applyBorder="1" applyFont="1">
      <alignment horizontal="center" shrinkToFit="0" vertical="center" wrapText="0"/>
    </xf>
    <xf borderId="11" fillId="16" fontId="122" numFmtId="0" xfId="0" applyAlignment="1" applyBorder="1" applyFont="1">
      <alignment readingOrder="0" shrinkToFit="0" vertical="center" wrapText="0"/>
    </xf>
    <xf borderId="11" fillId="16" fontId="123" numFmtId="0" xfId="0" applyAlignment="1" applyBorder="1" applyFont="1">
      <alignment horizontal="center" readingOrder="0" shrinkToFit="0" vertical="center" wrapText="0"/>
    </xf>
    <xf borderId="11" fillId="16" fontId="124" numFmtId="0" xfId="0" applyAlignment="1" applyBorder="1" applyFont="1">
      <alignment readingOrder="0" shrinkToFit="0" vertical="center" wrapText="0"/>
    </xf>
    <xf borderId="11" fillId="16" fontId="125" numFmtId="0" xfId="0" applyAlignment="1" applyBorder="1" applyFont="1">
      <alignment readingOrder="0" shrinkToFit="0" vertical="center" wrapText="0"/>
    </xf>
    <xf borderId="11" fillId="16" fontId="126" numFmtId="0" xfId="0" applyAlignment="1" applyBorder="1" applyFont="1">
      <alignment readingOrder="0" shrinkToFit="0" vertical="center" wrapText="1"/>
    </xf>
    <xf borderId="11" fillId="16" fontId="127" numFmtId="0" xfId="0" applyAlignment="1" applyBorder="1" applyFont="1">
      <alignment horizontal="center" shrinkToFit="0" vertical="center" wrapText="0"/>
    </xf>
    <xf borderId="11" fillId="16" fontId="128" numFmtId="164" xfId="0" applyAlignment="1" applyBorder="1" applyFont="1" applyNumberFormat="1">
      <alignment readingOrder="0" shrinkToFit="0" vertical="center" wrapText="0"/>
    </xf>
    <xf borderId="11" fillId="16" fontId="129" numFmtId="0" xfId="0" applyAlignment="1" applyBorder="1" applyFont="1">
      <alignment shrinkToFit="0" vertical="center" wrapText="0"/>
    </xf>
    <xf borderId="11" fillId="16" fontId="130" numFmtId="0" xfId="0" applyAlignment="1" applyBorder="1" applyFont="1">
      <alignment horizontal="center" readingOrder="0" shrinkToFit="0" vertical="center" wrapText="0"/>
    </xf>
    <xf borderId="11" fillId="16" fontId="131" numFmtId="0" xfId="0" applyAlignment="1" applyBorder="1" applyFont="1">
      <alignment horizontal="center" shrinkToFit="0" vertical="center" wrapText="0"/>
    </xf>
    <xf borderId="0" fillId="16" fontId="120" numFmtId="0" xfId="0" applyAlignment="1" applyFont="1">
      <alignment horizontal="left" readingOrder="0" shrinkToFit="0" vertical="center" wrapText="1"/>
    </xf>
    <xf borderId="0" fillId="16" fontId="120" numFmtId="0" xfId="0" applyAlignment="1" applyFont="1">
      <alignment horizontal="center" readingOrder="0" shrinkToFit="0" vertical="center" wrapText="0"/>
    </xf>
    <xf borderId="11" fillId="16" fontId="121" numFmtId="0" xfId="0" applyAlignment="1" applyBorder="1" applyFont="1">
      <alignment shrinkToFit="0" vertical="center" wrapText="0"/>
    </xf>
    <xf borderId="11" fillId="0" fontId="8" numFmtId="0" xfId="0" applyAlignment="1" applyBorder="1" applyFont="1">
      <alignment horizontal="center" shrinkToFit="0" vertical="center" wrapText="0"/>
    </xf>
    <xf borderId="11" fillId="7" fontId="8" numFmtId="0" xfId="0" applyAlignment="1" applyBorder="1" applyFont="1">
      <alignment horizontal="center" shrinkToFit="0" vertical="center" wrapText="0"/>
    </xf>
    <xf borderId="11" fillId="8" fontId="8" numFmtId="0" xfId="0" applyAlignment="1" applyBorder="1" applyFont="1">
      <alignment horizontal="center" shrinkToFit="0" vertical="center" wrapText="0"/>
    </xf>
    <xf borderId="11" fillId="9" fontId="8" numFmtId="0" xfId="0" applyAlignment="1" applyBorder="1" applyFont="1">
      <alignment horizontal="center" shrinkToFit="0" vertical="center" wrapText="0"/>
    </xf>
    <xf borderId="0" fillId="17" fontId="2" numFmtId="0" xfId="0" applyAlignment="1" applyFill="1" applyFont="1">
      <alignment horizontal="center" readingOrder="0" shrinkToFit="0" vertical="center" wrapText="0"/>
    </xf>
    <xf borderId="0" fillId="17" fontId="2" numFmtId="0" xfId="0" applyAlignment="1" applyFont="1">
      <alignment horizontal="left" readingOrder="0" shrinkToFit="0" vertical="center" wrapText="0"/>
    </xf>
    <xf borderId="0" fillId="17" fontId="2" numFmtId="0" xfId="0" applyAlignment="1" applyFont="1">
      <alignment horizontal="left" readingOrder="0" shrinkToFit="0" vertical="center" wrapText="1"/>
    </xf>
    <xf borderId="0" fillId="17" fontId="2" numFmtId="164" xfId="0" applyAlignment="1" applyFont="1" applyNumberFormat="1">
      <alignment horizontal="left" readingOrder="0" shrinkToFit="0" vertical="center" wrapText="0"/>
    </xf>
    <xf borderId="0" fillId="17" fontId="2" numFmtId="0" xfId="0" applyAlignment="1" applyFont="1">
      <alignment horizontal="left" readingOrder="0" shrinkToFit="0" vertical="center" wrapText="0"/>
    </xf>
    <xf borderId="0" fillId="17" fontId="2" numFmtId="49" xfId="0" applyAlignment="1" applyFont="1" applyNumberFormat="1">
      <alignment horizontal="center" readingOrder="0" shrinkToFit="0" vertical="center" wrapText="0"/>
    </xf>
    <xf borderId="12" fillId="17" fontId="2" numFmtId="0" xfId="0" applyAlignment="1" applyBorder="1" applyFont="1">
      <alignment horizontal="center" readingOrder="0" shrinkToFit="0" vertical="center" wrapText="0"/>
    </xf>
    <xf borderId="12" fillId="17" fontId="132" numFmtId="0" xfId="0" applyAlignment="1" applyBorder="1" applyFont="1">
      <alignment readingOrder="0" shrinkToFit="0" vertical="center" wrapText="0"/>
    </xf>
    <xf borderId="12" fillId="17" fontId="132" numFmtId="0" xfId="0" applyAlignment="1" applyBorder="1" applyFont="1">
      <alignment readingOrder="0" shrinkToFit="0" vertical="center" wrapText="0"/>
    </xf>
    <xf borderId="12" fillId="17" fontId="2" numFmtId="0" xfId="0" applyAlignment="1" applyBorder="1" applyFont="1">
      <alignment readingOrder="0" shrinkToFit="0" vertical="center" wrapText="1"/>
    </xf>
    <xf borderId="12" fillId="17" fontId="2" numFmtId="0" xfId="0" applyAlignment="1" applyBorder="1" applyFont="1">
      <alignment horizontal="center" shrinkToFit="0" vertical="center" wrapText="0"/>
    </xf>
    <xf borderId="12" fillId="17" fontId="2" numFmtId="164" xfId="0" applyAlignment="1" applyBorder="1" applyFont="1" applyNumberFormat="1">
      <alignment readingOrder="0" shrinkToFit="0" vertical="center" wrapText="0"/>
    </xf>
    <xf borderId="12" fillId="17" fontId="2" numFmtId="0" xfId="0" applyAlignment="1" applyBorder="1" applyFont="1">
      <alignment shrinkToFit="0" vertical="center" wrapText="0"/>
    </xf>
    <xf borderId="12" fillId="17" fontId="8" numFmtId="0" xfId="0" applyAlignment="1" applyBorder="1" applyFont="1">
      <alignment horizontal="center" shrinkToFit="0" vertical="center" wrapText="0"/>
    </xf>
    <xf borderId="12" fillId="17" fontId="2" numFmtId="0" xfId="0" applyAlignment="1" applyBorder="1" applyFont="1">
      <alignment readingOrder="0" shrinkToFit="0" vertical="center" wrapText="0"/>
    </xf>
    <xf borderId="12" fillId="17" fontId="8" numFmtId="0" xfId="0" applyAlignment="1" applyBorder="1" applyFont="1">
      <alignment horizontal="center" readingOrder="0" shrinkToFit="0" vertical="center" wrapText="0"/>
    </xf>
    <xf borderId="12" fillId="17" fontId="133" numFmtId="0" xfId="0" applyAlignment="1" applyBorder="1" applyFont="1">
      <alignment readingOrder="0" shrinkToFit="0" vertical="center" wrapText="0"/>
    </xf>
    <xf borderId="12" fillId="17" fontId="134" numFmtId="0" xfId="0" applyAlignment="1" applyBorder="1" applyFont="1">
      <alignment horizontal="center" readingOrder="0" shrinkToFit="0" vertical="center" wrapText="0"/>
    </xf>
    <xf borderId="12" fillId="17" fontId="135" numFmtId="0" xfId="0" applyAlignment="1" applyBorder="1" applyFont="1">
      <alignment readingOrder="0" shrinkToFit="0" vertical="center" wrapText="0"/>
    </xf>
    <xf borderId="12" fillId="17" fontId="136" numFmtId="0" xfId="0" applyAlignment="1" applyBorder="1" applyFont="1">
      <alignment readingOrder="0" shrinkToFit="0" vertical="center" wrapText="0"/>
    </xf>
    <xf borderId="12" fillId="17" fontId="137" numFmtId="0" xfId="0" applyAlignment="1" applyBorder="1" applyFont="1">
      <alignment readingOrder="0" shrinkToFit="0" vertical="center" wrapText="1"/>
    </xf>
    <xf borderId="12" fillId="17" fontId="138" numFmtId="0" xfId="0" applyAlignment="1" applyBorder="1" applyFont="1">
      <alignment horizontal="center" shrinkToFit="0" vertical="center" wrapText="0"/>
    </xf>
    <xf borderId="12" fillId="17" fontId="139" numFmtId="164" xfId="0" applyAlignment="1" applyBorder="1" applyFont="1" applyNumberFormat="1">
      <alignment readingOrder="0" shrinkToFit="0" vertical="center" wrapText="0"/>
    </xf>
    <xf borderId="12" fillId="17" fontId="140" numFmtId="0" xfId="0" applyAlignment="1" applyBorder="1" applyFont="1">
      <alignment shrinkToFit="0" vertical="center" wrapText="0"/>
    </xf>
    <xf borderId="12" fillId="17" fontId="141" numFmtId="0" xfId="0" applyAlignment="1" applyBorder="1" applyFont="1">
      <alignment horizontal="center" readingOrder="0" shrinkToFit="0" vertical="center" wrapText="0"/>
    </xf>
    <xf borderId="12" fillId="17" fontId="142" numFmtId="0" xfId="0" applyAlignment="1" applyBorder="1" applyFont="1">
      <alignment horizontal="center" shrinkToFit="0" vertical="center" wrapText="0"/>
    </xf>
    <xf borderId="12" fillId="17" fontId="143" numFmtId="0" xfId="0" applyAlignment="1" applyBorder="1" applyFont="1">
      <alignment readingOrder="0" shrinkToFit="0" vertical="center" wrapText="0"/>
    </xf>
    <xf borderId="0" fillId="17" fontId="2" numFmtId="0" xfId="0" applyAlignment="1" applyFont="1">
      <alignment horizontal="left" readingOrder="0" shrinkToFit="0" vertical="center" wrapText="1"/>
    </xf>
    <xf borderId="0" fillId="17" fontId="2" numFmtId="0" xfId="0" applyAlignment="1" applyFont="1">
      <alignment horizontal="center" readingOrder="0" shrinkToFit="0" vertical="center" wrapText="0"/>
    </xf>
    <xf borderId="12" fillId="17" fontId="132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horizontal="center" shrinkToFit="0" vertical="center" wrapText="0"/>
    </xf>
    <xf borderId="12" fillId="7" fontId="8" numFmtId="0" xfId="0" applyAlignment="1" applyBorder="1" applyFont="1">
      <alignment horizontal="center" shrinkToFit="0" vertical="center" wrapText="0"/>
    </xf>
    <xf borderId="12" fillId="8" fontId="8" numFmtId="0" xfId="0" applyAlignment="1" applyBorder="1" applyFont="1">
      <alignment horizontal="center" shrinkToFit="0" vertical="center" wrapText="0"/>
    </xf>
    <xf borderId="12" fillId="9" fontId="8" numFmtId="0" xfId="0" applyAlignment="1" applyBorder="1" applyFont="1">
      <alignment horizontal="center" shrinkToFit="0" vertical="center" wrapText="0"/>
    </xf>
    <xf borderId="0" fillId="18" fontId="8" numFmtId="0" xfId="0" applyAlignment="1" applyFill="1" applyFont="1">
      <alignment horizontal="center" readingOrder="0" shrinkToFit="0" vertical="center" wrapText="0"/>
    </xf>
    <xf borderId="0" fillId="18" fontId="8" numFmtId="0" xfId="0" applyAlignment="1" applyFont="1">
      <alignment horizontal="center" readingOrder="0" shrinkToFit="0" vertical="center" wrapText="0"/>
    </xf>
    <xf borderId="0" fillId="18" fontId="34" numFmtId="0" xfId="0" applyAlignment="1" applyFont="1">
      <alignment readingOrder="0" shrinkToFit="0" vertical="center" wrapText="1"/>
    </xf>
    <xf borderId="0" fillId="18" fontId="34" numFmtId="165" xfId="0" applyAlignment="1" applyFont="1" applyNumberFormat="1">
      <alignment horizontal="center" readingOrder="0" shrinkToFit="0" vertical="center" wrapText="0"/>
    </xf>
    <xf borderId="0" fillId="18" fontId="34" numFmtId="0" xfId="0" applyAlignment="1" applyFont="1">
      <alignment horizontal="center" readingOrder="0" shrinkToFit="0" vertical="center" wrapText="0"/>
    </xf>
    <xf borderId="0" fillId="19" fontId="144" numFmtId="0" xfId="0" applyAlignment="1" applyFill="1" applyFont="1">
      <alignment horizontal="center" readingOrder="0" shrinkToFit="0" vertical="center" wrapText="0"/>
    </xf>
    <xf borderId="0" fillId="19" fontId="144" numFmtId="0" xfId="0" applyAlignment="1" applyFont="1">
      <alignment horizontal="left" readingOrder="0" shrinkToFit="0" vertical="center" wrapText="0"/>
    </xf>
    <xf borderId="0" fillId="19" fontId="144" numFmtId="0" xfId="0" applyAlignment="1" applyFont="1">
      <alignment horizontal="left" readingOrder="0" shrinkToFit="0" vertical="center" wrapText="1"/>
    </xf>
    <xf borderId="0" fillId="19" fontId="144" numFmtId="0" xfId="0" applyAlignment="1" applyFont="1">
      <alignment horizontal="center" readingOrder="0" shrinkToFit="0" vertical="center" wrapText="0"/>
    </xf>
    <xf borderId="0" fillId="19" fontId="144" numFmtId="164" xfId="0" applyAlignment="1" applyFont="1" applyNumberFormat="1">
      <alignment horizontal="left" readingOrder="0" shrinkToFit="0" vertical="center" wrapText="0"/>
    </xf>
    <xf borderId="0" fillId="19" fontId="144" numFmtId="0" xfId="0" applyAlignment="1" applyFont="1">
      <alignment horizontal="right" readingOrder="0" shrinkToFit="0" vertical="center" wrapText="0"/>
    </xf>
    <xf borderId="0" fillId="19" fontId="144" numFmtId="49" xfId="0" applyAlignment="1" applyFont="1" applyNumberFormat="1">
      <alignment horizontal="center" readingOrder="0" shrinkToFit="0" vertical="center" wrapText="0"/>
    </xf>
    <xf borderId="13" fillId="19" fontId="144" numFmtId="0" xfId="0" applyAlignment="1" applyBorder="1" applyFont="1">
      <alignment horizontal="center" readingOrder="0" shrinkToFit="0" vertical="center" wrapText="0"/>
    </xf>
    <xf borderId="13" fillId="19" fontId="145" numFmtId="0" xfId="0" applyAlignment="1" applyBorder="1" applyFont="1">
      <alignment readingOrder="0" shrinkToFit="0" vertical="center" wrapText="0"/>
    </xf>
    <xf borderId="13" fillId="19" fontId="145" numFmtId="0" xfId="0" applyAlignment="1" applyBorder="1" applyFont="1">
      <alignment readingOrder="0" shrinkToFit="0" vertical="center" wrapText="0"/>
    </xf>
    <xf borderId="13" fillId="19" fontId="144" numFmtId="0" xfId="0" applyAlignment="1" applyBorder="1" applyFont="1">
      <alignment readingOrder="0" shrinkToFit="0" vertical="center" wrapText="1"/>
    </xf>
    <xf borderId="13" fillId="19" fontId="145" numFmtId="0" xfId="0" applyAlignment="1" applyBorder="1" applyFont="1">
      <alignment horizontal="center" shrinkToFit="0" vertical="center" wrapText="0"/>
    </xf>
    <xf borderId="13" fillId="19" fontId="144" numFmtId="164" xfId="0" applyAlignment="1" applyBorder="1" applyFont="1" applyNumberFormat="1">
      <alignment horizontal="right" readingOrder="0" shrinkToFit="0" vertical="center" wrapText="0"/>
    </xf>
    <xf borderId="13" fillId="19" fontId="144" numFmtId="0" xfId="0" applyAlignment="1" applyBorder="1" applyFont="1">
      <alignment horizontal="right" shrinkToFit="0" vertical="center" wrapText="0"/>
    </xf>
    <xf borderId="13" fillId="19" fontId="8" numFmtId="0" xfId="0" applyAlignment="1" applyBorder="1" applyFont="1">
      <alignment horizontal="center" shrinkToFit="0" vertical="center" wrapText="0"/>
    </xf>
    <xf borderId="13" fillId="19" fontId="146" numFmtId="0" xfId="0" applyAlignment="1" applyBorder="1" applyFont="1">
      <alignment readingOrder="0" shrinkToFit="0" vertical="center" wrapText="0"/>
    </xf>
    <xf borderId="13" fillId="19" fontId="144" numFmtId="0" xfId="0" applyAlignment="1" applyBorder="1" applyFont="1">
      <alignment readingOrder="0" shrinkToFit="0" vertical="center" wrapText="0"/>
    </xf>
    <xf borderId="13" fillId="19" fontId="8" numFmtId="0" xfId="0" applyAlignment="1" applyBorder="1" applyFont="1">
      <alignment horizontal="center" readingOrder="0" shrinkToFit="0" vertical="center" wrapText="0"/>
    </xf>
    <xf borderId="13" fillId="19" fontId="144" numFmtId="0" xfId="0" applyAlignment="1" applyBorder="1" applyFont="1">
      <alignment horizontal="center" shrinkToFit="0" vertical="center" wrapText="0"/>
    </xf>
    <xf borderId="13" fillId="19" fontId="147" numFmtId="0" xfId="0" applyAlignment="1" applyBorder="1" applyFont="1">
      <alignment horizontal="center" readingOrder="0" shrinkToFit="0" vertical="center" wrapText="0"/>
    </xf>
    <xf borderId="13" fillId="19" fontId="148" numFmtId="0" xfId="0" applyAlignment="1" applyBorder="1" applyFont="1">
      <alignment readingOrder="0" shrinkToFit="0" vertical="center" wrapText="0"/>
    </xf>
    <xf borderId="13" fillId="19" fontId="149" numFmtId="0" xfId="0" applyAlignment="1" applyBorder="1" applyFont="1">
      <alignment readingOrder="0" shrinkToFit="0" vertical="center" wrapText="0"/>
    </xf>
    <xf borderId="13" fillId="19" fontId="150" numFmtId="0" xfId="0" applyAlignment="1" applyBorder="1" applyFont="1">
      <alignment readingOrder="0" shrinkToFit="0" vertical="center" wrapText="1"/>
    </xf>
    <xf borderId="13" fillId="19" fontId="151" numFmtId="0" xfId="0" applyAlignment="1" applyBorder="1" applyFont="1">
      <alignment horizontal="center" shrinkToFit="0" vertical="center" wrapText="0"/>
    </xf>
    <xf borderId="13" fillId="19" fontId="152" numFmtId="164" xfId="0" applyAlignment="1" applyBorder="1" applyFont="1" applyNumberFormat="1">
      <alignment horizontal="right" readingOrder="0" shrinkToFit="0" vertical="center" wrapText="0"/>
    </xf>
    <xf borderId="13" fillId="19" fontId="153" numFmtId="0" xfId="0" applyAlignment="1" applyBorder="1" applyFont="1">
      <alignment horizontal="right" shrinkToFit="0" vertical="center" wrapText="0"/>
    </xf>
    <xf borderId="13" fillId="19" fontId="154" numFmtId="0" xfId="0" applyAlignment="1" applyBorder="1" applyFont="1">
      <alignment horizontal="center" readingOrder="0" shrinkToFit="0" vertical="center" wrapText="0"/>
    </xf>
    <xf borderId="13" fillId="19" fontId="155" numFmtId="0" xfId="0" applyAlignment="1" applyBorder="1" applyFont="1">
      <alignment horizontal="center" shrinkToFit="0" vertical="center" wrapText="0"/>
    </xf>
    <xf borderId="13" fillId="19" fontId="156" numFmtId="0" xfId="0" applyAlignment="1" applyBorder="1" applyFont="1">
      <alignment readingOrder="0" shrinkToFit="0" vertical="center" wrapText="0"/>
    </xf>
    <xf borderId="0" fillId="0" fontId="4" numFmtId="164" xfId="0" applyAlignment="1" applyFont="1" applyNumberFormat="1">
      <alignment horizontal="left"/>
    </xf>
    <xf borderId="0" fillId="0" fontId="4" numFmtId="0" xfId="0" applyAlignment="1" applyFont="1">
      <alignment horizontal="right"/>
    </xf>
    <xf borderId="0" fillId="19" fontId="144" numFmtId="0" xfId="0" applyAlignment="1" applyFont="1">
      <alignment horizontal="left" readingOrder="0" shrinkToFit="0" vertical="center" wrapText="1"/>
    </xf>
    <xf borderId="0" fillId="19" fontId="144" numFmtId="0" xfId="0" applyAlignment="1" applyFont="1">
      <alignment horizontal="right" readingOrder="0" shrinkToFit="0" vertical="center" wrapText="0"/>
    </xf>
    <xf borderId="13" fillId="19" fontId="145" numFmtId="0" xfId="0" applyAlignment="1" applyBorder="1" applyFont="1">
      <alignment shrinkToFit="0" vertical="center" wrapText="0"/>
    </xf>
    <xf borderId="13" fillId="19" fontId="144" numFmtId="164" xfId="0" applyAlignment="1" applyBorder="1" applyFont="1" applyNumberFormat="1">
      <alignment readingOrder="0" shrinkToFit="0" vertical="center" wrapText="0"/>
    </xf>
    <xf borderId="13" fillId="0" fontId="8" numFmtId="0" xfId="0" applyAlignment="1" applyBorder="1" applyFont="1">
      <alignment horizontal="center" shrinkToFit="0" vertical="center" wrapText="0"/>
    </xf>
    <xf borderId="13" fillId="7" fontId="8" numFmtId="0" xfId="0" applyAlignment="1" applyBorder="1" applyFont="1">
      <alignment horizontal="center" shrinkToFit="0" vertical="center" wrapText="0"/>
    </xf>
    <xf borderId="13" fillId="8" fontId="8" numFmtId="0" xfId="0" applyAlignment="1" applyBorder="1" applyFont="1">
      <alignment horizontal="center" shrinkToFit="0" vertical="center" wrapText="0"/>
    </xf>
    <xf borderId="13" fillId="9" fontId="8" numFmtId="0" xfId="0" applyAlignment="1" applyBorder="1" applyFont="1">
      <alignment horizontal="center" shrinkToFit="0" vertical="center" wrapText="0"/>
    </xf>
    <xf borderId="0" fillId="19" fontId="14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right"/>
    </xf>
    <xf borderId="0" fillId="0" fontId="5" numFmtId="164" xfId="0" applyAlignment="1" applyFont="1" applyNumberFormat="1">
      <alignment horizontal="left"/>
    </xf>
    <xf borderId="0" fillId="20" fontId="157" numFmtId="0" xfId="0" applyAlignment="1" applyFill="1" applyFont="1">
      <alignment horizontal="center" readingOrder="0" shrinkToFit="0" vertical="center" wrapText="0"/>
    </xf>
    <xf borderId="0" fillId="20" fontId="157" numFmtId="0" xfId="0" applyAlignment="1" applyFont="1">
      <alignment horizontal="left" readingOrder="0" shrinkToFit="0" vertical="center" wrapText="0"/>
    </xf>
    <xf borderId="0" fillId="20" fontId="157" numFmtId="0" xfId="0" applyAlignment="1" applyFont="1">
      <alignment horizontal="left" readingOrder="0" shrinkToFit="0" vertical="center" wrapText="1"/>
    </xf>
    <xf borderId="0" fillId="20" fontId="157" numFmtId="164" xfId="0" applyAlignment="1" applyFont="1" applyNumberFormat="1">
      <alignment horizontal="left" readingOrder="0" shrinkToFit="0" vertical="center" wrapText="0"/>
    </xf>
    <xf borderId="0" fillId="20" fontId="157" numFmtId="0" xfId="0" applyAlignment="1" applyFont="1">
      <alignment horizontal="left" readingOrder="0" shrinkToFit="0" vertical="center" wrapText="0"/>
    </xf>
    <xf borderId="0" fillId="20" fontId="157" numFmtId="49" xfId="0" applyAlignment="1" applyFont="1" applyNumberFormat="1">
      <alignment horizontal="center" readingOrder="0" shrinkToFit="0" vertical="center" wrapText="0"/>
    </xf>
    <xf borderId="14" fillId="20" fontId="157" numFmtId="0" xfId="0" applyAlignment="1" applyBorder="1" applyFont="1">
      <alignment horizontal="center" readingOrder="0" shrinkToFit="0" vertical="center" wrapText="0"/>
    </xf>
    <xf borderId="14" fillId="20" fontId="158" numFmtId="0" xfId="0" applyAlignment="1" applyBorder="1" applyFont="1">
      <alignment readingOrder="0" shrinkToFit="0" vertical="center" wrapText="0"/>
    </xf>
    <xf borderId="14" fillId="20" fontId="158" numFmtId="0" xfId="0" applyAlignment="1" applyBorder="1" applyFont="1">
      <alignment readingOrder="0" shrinkToFit="0" vertical="center" wrapText="0"/>
    </xf>
    <xf borderId="14" fillId="20" fontId="157" numFmtId="0" xfId="0" applyAlignment="1" applyBorder="1" applyFont="1">
      <alignment readingOrder="0" shrinkToFit="0" vertical="center" wrapText="1"/>
    </xf>
    <xf borderId="14" fillId="20" fontId="157" numFmtId="0" xfId="0" applyAlignment="1" applyBorder="1" applyFont="1">
      <alignment horizontal="center" shrinkToFit="0" vertical="center" wrapText="0"/>
    </xf>
    <xf borderId="14" fillId="20" fontId="157" numFmtId="164" xfId="0" applyAlignment="1" applyBorder="1" applyFont="1" applyNumberFormat="1">
      <alignment readingOrder="0" shrinkToFit="0" vertical="center" wrapText="0"/>
    </xf>
    <xf borderId="14" fillId="20" fontId="157" numFmtId="0" xfId="0" applyAlignment="1" applyBorder="1" applyFont="1">
      <alignment shrinkToFit="0" vertical="center" wrapText="0"/>
    </xf>
    <xf borderId="14" fillId="20" fontId="158" numFmtId="0" xfId="0" applyAlignment="1" applyBorder="1" applyFont="1">
      <alignment shrinkToFit="0" vertical="center" wrapText="0"/>
    </xf>
    <xf borderId="14" fillId="20" fontId="8" numFmtId="0" xfId="0" applyAlignment="1" applyBorder="1" applyFont="1">
      <alignment horizontal="center" shrinkToFit="0" vertical="center" wrapText="0"/>
    </xf>
    <xf borderId="14" fillId="20" fontId="8" numFmtId="0" xfId="0" applyAlignment="1" applyBorder="1" applyFont="1">
      <alignment horizontal="center" readingOrder="0" shrinkToFit="0" vertical="center" wrapText="0"/>
    </xf>
    <xf borderId="14" fillId="20" fontId="159" numFmtId="0" xfId="0" applyAlignment="1" applyBorder="1" applyFont="1">
      <alignment horizontal="center" readingOrder="0" shrinkToFit="0" vertical="center" wrapText="0"/>
    </xf>
    <xf borderId="14" fillId="20" fontId="160" numFmtId="0" xfId="0" applyAlignment="1" applyBorder="1" applyFont="1">
      <alignment readingOrder="0" shrinkToFit="0" vertical="center" wrapText="0"/>
    </xf>
    <xf borderId="14" fillId="20" fontId="161" numFmtId="0" xfId="0" applyAlignment="1" applyBorder="1" applyFont="1">
      <alignment readingOrder="0" shrinkToFit="0" vertical="center" wrapText="0"/>
    </xf>
    <xf borderId="14" fillId="20" fontId="162" numFmtId="0" xfId="0" applyAlignment="1" applyBorder="1" applyFont="1">
      <alignment readingOrder="0" shrinkToFit="0" vertical="center" wrapText="1"/>
    </xf>
    <xf borderId="14" fillId="20" fontId="163" numFmtId="0" xfId="0" applyAlignment="1" applyBorder="1" applyFont="1">
      <alignment horizontal="center" shrinkToFit="0" vertical="center" wrapText="0"/>
    </xf>
    <xf borderId="14" fillId="20" fontId="164" numFmtId="164" xfId="0" applyAlignment="1" applyBorder="1" applyFont="1" applyNumberFormat="1">
      <alignment readingOrder="0" shrinkToFit="0" vertical="center" wrapText="0"/>
    </xf>
    <xf borderId="14" fillId="20" fontId="165" numFmtId="0" xfId="0" applyAlignment="1" applyBorder="1" applyFont="1">
      <alignment shrinkToFit="0" vertical="center" wrapText="0"/>
    </xf>
    <xf borderId="14" fillId="20" fontId="166" numFmtId="0" xfId="0" applyAlignment="1" applyBorder="1" applyFont="1">
      <alignment horizontal="center" shrinkToFit="0" vertical="center" wrapText="0"/>
    </xf>
    <xf borderId="14" fillId="20" fontId="167" numFmtId="0" xfId="0" applyAlignment="1" applyBorder="1" applyFont="1">
      <alignment horizontal="center" readingOrder="0" shrinkToFit="0" vertical="center" wrapText="0"/>
    </xf>
    <xf borderId="0" fillId="20" fontId="157" numFmtId="0" xfId="0" applyAlignment="1" applyFont="1">
      <alignment horizontal="left" readingOrder="0" shrinkToFit="0" vertical="center" wrapText="1"/>
    </xf>
    <xf borderId="14" fillId="0" fontId="8" numFmtId="0" xfId="0" applyAlignment="1" applyBorder="1" applyFont="1">
      <alignment horizontal="center" shrinkToFit="0" vertical="center" wrapText="0"/>
    </xf>
    <xf borderId="14" fillId="7" fontId="8" numFmtId="0" xfId="0" applyAlignment="1" applyBorder="1" applyFont="1">
      <alignment horizontal="center" readingOrder="0" shrinkToFit="0" vertical="center" wrapText="0"/>
    </xf>
    <xf borderId="14" fillId="8" fontId="8" numFmtId="0" xfId="0" applyAlignment="1" applyBorder="1" applyFont="1">
      <alignment horizontal="center" shrinkToFit="0" vertical="center" wrapText="0"/>
    </xf>
    <xf borderId="14" fillId="9" fontId="8" numFmtId="0" xfId="0" applyAlignment="1" applyBorder="1" applyFont="1">
      <alignment horizontal="center" readingOrder="0" shrinkToFit="0" vertical="center" wrapText="0"/>
    </xf>
    <xf borderId="0" fillId="21" fontId="168" numFmtId="0" xfId="0" applyAlignment="1" applyFill="1" applyFont="1">
      <alignment horizontal="center" readingOrder="0" shrinkToFit="0" vertical="center" wrapText="0"/>
    </xf>
    <xf borderId="0" fillId="21" fontId="168" numFmtId="0" xfId="0" applyAlignment="1" applyFont="1">
      <alignment horizontal="left" readingOrder="0" shrinkToFit="0" vertical="center" wrapText="0"/>
    </xf>
    <xf borderId="0" fillId="21" fontId="168" numFmtId="0" xfId="0" applyAlignment="1" applyFont="1">
      <alignment horizontal="left" readingOrder="0" shrinkToFit="0" vertical="center" wrapText="1"/>
    </xf>
    <xf borderId="0" fillId="21" fontId="168" numFmtId="164" xfId="0" applyAlignment="1" applyFont="1" applyNumberFormat="1">
      <alignment horizontal="left" readingOrder="0" shrinkToFit="0" vertical="center" wrapText="0"/>
    </xf>
    <xf borderId="0" fillId="21" fontId="168" numFmtId="0" xfId="0" applyAlignment="1" applyFont="1">
      <alignment horizontal="left" readingOrder="0" shrinkToFit="0" vertical="center" wrapText="0"/>
    </xf>
    <xf borderId="0" fillId="21" fontId="168" numFmtId="49" xfId="0" applyAlignment="1" applyFont="1" applyNumberFormat="1">
      <alignment horizontal="center" readingOrder="0" shrinkToFit="0" vertical="center" wrapText="0"/>
    </xf>
    <xf borderId="2" fillId="21" fontId="169" numFmtId="0" xfId="0" applyAlignment="1" applyBorder="1" applyFont="1">
      <alignment horizontal="center" shrinkToFit="0" vertical="center" wrapText="0"/>
    </xf>
    <xf borderId="2" fillId="21" fontId="170" numFmtId="0" xfId="0" applyAlignment="1" applyBorder="1" applyFont="1">
      <alignment shrinkToFit="0" vertical="center" wrapText="0"/>
    </xf>
    <xf borderId="2" fillId="21" fontId="170" numFmtId="0" xfId="0" applyAlignment="1" applyBorder="1" applyFont="1">
      <alignment shrinkToFit="0" vertical="center" wrapText="0"/>
    </xf>
    <xf borderId="2" fillId="21" fontId="169" numFmtId="0" xfId="0" applyAlignment="1" applyBorder="1" applyFont="1">
      <alignment shrinkToFit="0" vertical="center" wrapText="1"/>
    </xf>
    <xf borderId="2" fillId="21" fontId="171" numFmtId="0" xfId="0" applyAlignment="1" applyBorder="1" applyFont="1">
      <alignment horizontal="center" shrinkToFit="0" vertical="center" wrapText="0"/>
    </xf>
    <xf borderId="2" fillId="21" fontId="169" numFmtId="164" xfId="0" applyAlignment="1" applyBorder="1" applyFont="1" applyNumberFormat="1">
      <alignment horizontal="right" shrinkToFit="0" vertical="center" wrapText="0"/>
    </xf>
    <xf borderId="2" fillId="21" fontId="169" numFmtId="0" xfId="0" applyAlignment="1" applyBorder="1" applyFont="1">
      <alignment horizontal="right" shrinkToFit="0" vertical="center" wrapText="0"/>
    </xf>
    <xf borderId="2" fillId="21" fontId="8" numFmtId="0" xfId="0" applyAlignment="1" applyBorder="1" applyFont="1">
      <alignment horizontal="center" shrinkToFit="0" vertical="center" wrapText="0"/>
    </xf>
    <xf borderId="2" fillId="21" fontId="8" numFmtId="0" xfId="0" applyAlignment="1" applyBorder="1" applyFont="1">
      <alignment horizontal="center" readingOrder="0" shrinkToFit="0" vertical="center" wrapText="0"/>
    </xf>
    <xf borderId="2" fillId="21" fontId="172" numFmtId="0" xfId="0" applyAlignment="1" applyBorder="1" applyFont="1">
      <alignment shrinkToFit="0" vertical="center" wrapText="0"/>
    </xf>
    <xf borderId="2" fillId="21" fontId="169" numFmtId="0" xfId="0" applyAlignment="1" applyBorder="1" applyFont="1">
      <alignment readingOrder="0" shrinkToFit="0" vertical="center" wrapText="1"/>
    </xf>
    <xf borderId="2" fillId="21" fontId="173" numFmtId="0" xfId="0" applyAlignment="1" applyBorder="1" applyFont="1">
      <alignment horizontal="center" readingOrder="0" shrinkToFit="0" vertical="center" wrapText="0"/>
    </xf>
    <xf borderId="2" fillId="21" fontId="174" numFmtId="0" xfId="0" applyAlignment="1" applyBorder="1" applyFont="1">
      <alignment shrinkToFit="0" vertical="center" wrapText="0"/>
    </xf>
    <xf borderId="2" fillId="21" fontId="175" numFmtId="0" xfId="0" applyAlignment="1" applyBorder="1" applyFont="1">
      <alignment shrinkToFit="0" vertical="center" wrapText="0"/>
    </xf>
    <xf borderId="2" fillId="21" fontId="176" numFmtId="0" xfId="0" applyAlignment="1" applyBorder="1" applyFont="1">
      <alignment shrinkToFit="0" vertical="center" wrapText="1"/>
    </xf>
    <xf borderId="2" fillId="21" fontId="177" numFmtId="0" xfId="0" applyAlignment="1" applyBorder="1" applyFont="1">
      <alignment horizontal="center" shrinkToFit="0" vertical="center" wrapText="0"/>
    </xf>
    <xf borderId="2" fillId="21" fontId="178" numFmtId="164" xfId="0" applyAlignment="1" applyBorder="1" applyFont="1" applyNumberFormat="1">
      <alignment horizontal="right" shrinkToFit="0" vertical="center" wrapText="0"/>
    </xf>
    <xf borderId="2" fillId="21" fontId="179" numFmtId="0" xfId="0" applyAlignment="1" applyBorder="1" applyFont="1">
      <alignment horizontal="right" shrinkToFit="0" vertical="center" wrapText="0"/>
    </xf>
    <xf borderId="2" fillId="21" fontId="180" numFmtId="0" xfId="0" applyAlignment="1" applyBorder="1" applyFont="1">
      <alignment horizontal="center" readingOrder="0" shrinkToFit="0" vertical="center" wrapText="0"/>
    </xf>
    <xf borderId="2" fillId="21" fontId="181" numFmtId="0" xfId="0" applyAlignment="1" applyBorder="1" applyFont="1">
      <alignment horizontal="center" shrinkToFit="0" vertical="center" wrapText="0"/>
    </xf>
    <xf borderId="2" fillId="21" fontId="182" numFmtId="0" xfId="0" applyAlignment="1" applyBorder="1" applyFont="1">
      <alignment readingOrder="0" shrinkToFit="0" vertical="center" wrapText="0"/>
    </xf>
    <xf borderId="2" fillId="21" fontId="183" numFmtId="0" xfId="0" applyAlignment="1" applyBorder="1" applyFont="1">
      <alignment readingOrder="0" shrinkToFit="0" vertical="center" wrapText="0"/>
    </xf>
    <xf borderId="2" fillId="21" fontId="184" numFmtId="0" xfId="0" applyAlignment="1" applyBorder="1" applyFont="1">
      <alignment readingOrder="0" shrinkToFit="0" vertical="center" wrapText="1"/>
    </xf>
    <xf borderId="2" fillId="21" fontId="185" numFmtId="164" xfId="0" applyAlignment="1" applyBorder="1" applyFont="1" applyNumberFormat="1">
      <alignment horizontal="right" readingOrder="0" shrinkToFit="0" vertical="center" wrapText="0"/>
    </xf>
    <xf borderId="2" fillId="21" fontId="169" numFmtId="0" xfId="0" applyAlignment="1" applyBorder="1" applyFont="1">
      <alignment horizontal="center" readingOrder="0" shrinkToFit="0" vertical="center" wrapText="0"/>
    </xf>
    <xf borderId="2" fillId="21" fontId="40" numFmtId="0" xfId="0" applyAlignment="1" applyBorder="1" applyFont="1">
      <alignment horizontal="center" shrinkToFit="0" vertical="center" wrapText="0"/>
    </xf>
    <xf borderId="15" fillId="21" fontId="186" numFmtId="0" xfId="0" applyAlignment="1" applyBorder="1" applyFont="1">
      <alignment horizontal="center" shrinkToFit="0" vertical="center" wrapText="0"/>
    </xf>
    <xf borderId="15" fillId="21" fontId="187" numFmtId="0" xfId="0" applyAlignment="1" applyBorder="1" applyFont="1">
      <alignment shrinkToFit="0" vertical="center" wrapText="0"/>
    </xf>
    <xf borderId="15" fillId="21" fontId="188" numFmtId="0" xfId="0" applyAlignment="1" applyBorder="1" applyFont="1">
      <alignment shrinkToFit="0" vertical="center" wrapText="0"/>
    </xf>
    <xf borderId="15" fillId="21" fontId="189" numFmtId="0" xfId="0" applyAlignment="1" applyBorder="1" applyFont="1">
      <alignment shrinkToFit="0" vertical="center" wrapText="1"/>
    </xf>
    <xf borderId="15" fillId="21" fontId="190" numFmtId="0" xfId="0" applyAlignment="1" applyBorder="1" applyFont="1">
      <alignment horizontal="center" shrinkToFit="0" vertical="center" wrapText="0"/>
    </xf>
    <xf borderId="15" fillId="21" fontId="191" numFmtId="164" xfId="0" applyAlignment="1" applyBorder="1" applyFont="1" applyNumberFormat="1">
      <alignment horizontal="right" shrinkToFit="0" vertical="center" wrapText="0"/>
    </xf>
    <xf borderId="0" fillId="21" fontId="168" numFmtId="0" xfId="0" applyAlignment="1" applyFont="1">
      <alignment horizontal="left" readingOrder="0" shrinkToFit="0" vertical="center" wrapText="1"/>
    </xf>
    <xf borderId="0" fillId="21" fontId="168" numFmtId="0" xfId="0" applyAlignment="1" applyFont="1">
      <alignment horizontal="center" readingOrder="0" shrinkToFit="0" vertical="center" wrapText="0"/>
    </xf>
    <xf borderId="2" fillId="21" fontId="192" numFmtId="0" xfId="0" applyAlignment="1" applyBorder="1" applyFont="1">
      <alignment shrinkToFit="0" vertical="center" wrapText="0"/>
    </xf>
    <xf borderId="2" fillId="21" fontId="192" numFmtId="0" xfId="0" applyAlignment="1" applyBorder="1" applyFont="1">
      <alignment readingOrder="0" shrinkToFit="0" vertical="center" wrapText="0"/>
    </xf>
    <xf borderId="2" fillId="21" fontId="168" numFmtId="0" xfId="0" applyAlignment="1" applyBorder="1" applyFont="1">
      <alignment shrinkToFit="0" vertical="center" wrapText="1"/>
    </xf>
    <xf borderId="2" fillId="21" fontId="192" numFmtId="0" xfId="0" applyAlignment="1" applyBorder="1" applyFont="1">
      <alignment horizontal="center" shrinkToFit="0" vertical="center" wrapText="0"/>
    </xf>
    <xf borderId="2" fillId="21" fontId="168" numFmtId="164" xfId="0" applyAlignment="1" applyBorder="1" applyFont="1" applyNumberFormat="1">
      <alignment shrinkToFit="0" vertical="center" wrapText="0"/>
    </xf>
    <xf borderId="2" fillId="21" fontId="168" numFmtId="0" xfId="0" applyAlignment="1" applyBorder="1" applyFont="1">
      <alignment shrinkToFit="0" vertical="center" wrapText="0"/>
    </xf>
    <xf borderId="2" fillId="9" fontId="8" numFmtId="0" xfId="0" applyAlignment="1" applyBorder="1" applyFont="1">
      <alignment horizontal="center" shrinkToFit="0" vertical="center" wrapText="0"/>
    </xf>
    <xf borderId="2" fillId="21" fontId="170" numFmtId="0" xfId="0" applyAlignment="1" applyBorder="1" applyFont="1">
      <alignment readingOrder="0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2" fillId="8" fontId="8" numFmtId="0" xfId="0" applyAlignment="1" applyBorder="1" applyFont="1">
      <alignment horizontal="center" readingOrder="0" shrinkToFit="0" vertical="center" wrapText="0"/>
    </xf>
    <xf borderId="2" fillId="9" fontId="8" numFmtId="0" xfId="0" applyAlignment="1" applyBorder="1" applyFont="1">
      <alignment horizontal="center" readingOrder="0" shrinkToFit="0" vertical="center" wrapText="0"/>
    </xf>
    <xf borderId="0" fillId="22" fontId="108" numFmtId="0" xfId="0" applyAlignment="1" applyFill="1" applyFont="1">
      <alignment horizontal="center" readingOrder="0" shrinkToFit="0" vertical="center" wrapText="0"/>
    </xf>
    <xf borderId="0" fillId="22" fontId="108" numFmtId="0" xfId="0" applyAlignment="1" applyFont="1">
      <alignment horizontal="left" readingOrder="0" shrinkToFit="0" vertical="center" wrapText="0"/>
    </xf>
    <xf borderId="0" fillId="22" fontId="108" numFmtId="0" xfId="0" applyAlignment="1" applyFont="1">
      <alignment horizontal="left" readingOrder="0" shrinkToFit="0" vertical="center" wrapText="1"/>
    </xf>
    <xf borderId="0" fillId="22" fontId="108" numFmtId="164" xfId="0" applyAlignment="1" applyFont="1" applyNumberFormat="1">
      <alignment horizontal="left" readingOrder="0" shrinkToFit="0" vertical="center" wrapText="0"/>
    </xf>
    <xf borderId="0" fillId="22" fontId="108" numFmtId="0" xfId="0" applyAlignment="1" applyFont="1">
      <alignment horizontal="left" readingOrder="0" shrinkToFit="0" vertical="center" wrapText="0"/>
    </xf>
    <xf borderId="0" fillId="22" fontId="108" numFmtId="49" xfId="0" applyAlignment="1" applyFont="1" applyNumberFormat="1">
      <alignment horizontal="center" readingOrder="0" shrinkToFit="0" vertical="center" wrapText="0"/>
    </xf>
    <xf borderId="10" fillId="22" fontId="108" numFmtId="0" xfId="0" applyAlignment="1" applyBorder="1" applyFont="1">
      <alignment horizontal="center" readingOrder="0" shrinkToFit="0" vertical="center" wrapText="0"/>
    </xf>
    <xf borderId="10" fillId="22" fontId="109" numFmtId="0" xfId="0" applyAlignment="1" applyBorder="1" applyFont="1">
      <alignment readingOrder="0" shrinkToFit="0" vertical="center" wrapText="0"/>
    </xf>
    <xf borderId="10" fillId="22" fontId="109" numFmtId="0" xfId="0" applyAlignment="1" applyBorder="1" applyFont="1">
      <alignment readingOrder="0" shrinkToFit="0" vertical="center" wrapText="0"/>
    </xf>
    <xf borderId="10" fillId="22" fontId="108" numFmtId="0" xfId="0" applyAlignment="1" applyBorder="1" applyFont="1">
      <alignment readingOrder="0" shrinkToFit="0" vertical="center" wrapText="1"/>
    </xf>
    <xf borderId="10" fillId="22" fontId="108" numFmtId="0" xfId="0" applyAlignment="1" applyBorder="1" applyFont="1">
      <alignment horizontal="center" shrinkToFit="0" vertical="center" wrapText="0"/>
    </xf>
    <xf borderId="10" fillId="22" fontId="108" numFmtId="164" xfId="0" applyAlignment="1" applyBorder="1" applyFont="1" applyNumberFormat="1">
      <alignment readingOrder="0" shrinkToFit="0" vertical="center" wrapText="0"/>
    </xf>
    <xf borderId="10" fillId="22" fontId="108" numFmtId="0" xfId="0" applyAlignment="1" applyBorder="1" applyFont="1">
      <alignment shrinkToFit="0" vertical="center" wrapText="0"/>
    </xf>
    <xf borderId="10" fillId="22" fontId="8" numFmtId="0" xfId="0" applyAlignment="1" applyBorder="1" applyFont="1">
      <alignment horizontal="center" shrinkToFit="0" vertical="center" wrapText="0"/>
    </xf>
    <xf borderId="10" fillId="22" fontId="193" numFmtId="0" xfId="0" applyAlignment="1" applyBorder="1" applyFont="1">
      <alignment horizontal="center" readingOrder="0" shrinkToFit="0" vertical="center" wrapText="0"/>
    </xf>
    <xf borderId="10" fillId="22" fontId="194" numFmtId="0" xfId="0" applyAlignment="1" applyBorder="1" applyFont="1">
      <alignment readingOrder="0" shrinkToFit="0" vertical="center" wrapText="0"/>
    </xf>
    <xf borderId="10" fillId="22" fontId="195" numFmtId="0" xfId="0" applyAlignment="1" applyBorder="1" applyFont="1">
      <alignment readingOrder="0" shrinkToFit="0" vertical="center" wrapText="0"/>
    </xf>
    <xf borderId="10" fillId="22" fontId="196" numFmtId="0" xfId="0" applyAlignment="1" applyBorder="1" applyFont="1">
      <alignment readingOrder="0" shrinkToFit="0" vertical="center" wrapText="1"/>
    </xf>
    <xf borderId="10" fillId="22" fontId="197" numFmtId="0" xfId="0" applyAlignment="1" applyBorder="1" applyFont="1">
      <alignment horizontal="center" shrinkToFit="0" vertical="center" wrapText="0"/>
    </xf>
    <xf borderId="10" fillId="22" fontId="198" numFmtId="164" xfId="0" applyAlignment="1" applyBorder="1" applyFont="1" applyNumberFormat="1">
      <alignment readingOrder="0" shrinkToFit="0" vertical="center" wrapText="0"/>
    </xf>
    <xf borderId="10" fillId="22" fontId="199" numFmtId="0" xfId="0" applyAlignment="1" applyBorder="1" applyFont="1">
      <alignment shrinkToFit="0" vertical="center" wrapText="0"/>
    </xf>
    <xf borderId="10" fillId="22" fontId="200" numFmtId="0" xfId="0" applyAlignment="1" applyBorder="1" applyFont="1">
      <alignment horizontal="center" shrinkToFit="0" vertical="center" wrapText="0"/>
    </xf>
    <xf borderId="10" fillId="22" fontId="8" numFmtId="0" xfId="0" applyAlignment="1" applyBorder="1" applyFont="1">
      <alignment horizontal="center" readingOrder="0" shrinkToFit="0" vertical="center" wrapText="0"/>
    </xf>
    <xf borderId="10" fillId="22" fontId="110" numFmtId="0" xfId="0" applyAlignment="1" applyBorder="1" applyFont="1">
      <alignment readingOrder="0" shrinkToFit="0" vertical="center" wrapText="0"/>
    </xf>
    <xf borderId="10" fillId="22" fontId="201" numFmtId="0" xfId="0" applyAlignment="1" applyBorder="1" applyFont="1">
      <alignment horizontal="center" readingOrder="0" shrinkToFit="0" vertical="center" wrapText="0"/>
    </xf>
    <xf borderId="0" fillId="22" fontId="108" numFmtId="0" xfId="0" applyAlignment="1" applyFont="1">
      <alignment horizontal="left" readingOrder="0" shrinkToFit="0" vertical="center" wrapText="1"/>
    </xf>
    <xf borderId="0" fillId="22" fontId="108" numFmtId="0" xfId="0" applyAlignment="1" applyFont="1">
      <alignment horizontal="center" readingOrder="0" shrinkToFit="0" vertical="center" wrapText="0"/>
    </xf>
    <xf borderId="10" fillId="22" fontId="109" numFmtId="0" xfId="0" applyAlignment="1" applyBorder="1" applyFont="1">
      <alignment shrinkToFit="0" vertical="center" wrapText="0"/>
    </xf>
    <xf borderId="10" fillId="22" fontId="109" numFmtId="0" xfId="0" applyAlignment="1" applyBorder="1" applyFont="1">
      <alignment horizontal="center" shrinkToFit="0" vertical="center" wrapText="0"/>
    </xf>
    <xf borderId="10" fillId="8" fontId="8" numFmtId="0" xfId="0" applyAlignment="1" applyBorder="1" applyFont="1">
      <alignment horizontal="center" readingOrder="0" shrinkToFit="0" vertical="center" wrapText="0"/>
    </xf>
    <xf borderId="0" fillId="7" fontId="8" numFmtId="0" xfId="0" applyAlignment="1" applyFont="1">
      <alignment horizontal="center" readingOrder="0" shrinkToFit="0" vertical="center" wrapText="0"/>
    </xf>
    <xf borderId="0" fillId="8" fontId="8" numFmtId="0" xfId="0" applyAlignment="1" applyFont="1">
      <alignment horizontal="center" readingOrder="0" shrinkToFit="0" vertical="center" wrapText="0"/>
    </xf>
    <xf borderId="0" fillId="23" fontId="202" numFmtId="0" xfId="0" applyAlignment="1" applyFill="1" applyFont="1">
      <alignment horizontal="center" readingOrder="0" shrinkToFit="0" vertical="center" wrapText="0"/>
    </xf>
    <xf borderId="0" fillId="23" fontId="202" numFmtId="0" xfId="0" applyAlignment="1" applyFont="1">
      <alignment horizontal="left" readingOrder="0" shrinkToFit="0" vertical="center" wrapText="0"/>
    </xf>
    <xf borderId="0" fillId="23" fontId="202" numFmtId="0" xfId="0" applyAlignment="1" applyFont="1">
      <alignment horizontal="left" readingOrder="0" shrinkToFit="0" vertical="center" wrapText="1"/>
    </xf>
    <xf borderId="0" fillId="23" fontId="202" numFmtId="164" xfId="0" applyAlignment="1" applyFont="1" applyNumberFormat="1">
      <alignment horizontal="left" readingOrder="0" shrinkToFit="0" vertical="center" wrapText="0"/>
    </xf>
    <xf borderId="0" fillId="23" fontId="202" numFmtId="0" xfId="0" applyAlignment="1" applyFont="1">
      <alignment horizontal="left" readingOrder="0" shrinkToFit="0" vertical="center" wrapText="0"/>
    </xf>
    <xf borderId="0" fillId="23" fontId="202" numFmtId="49" xfId="0" applyAlignment="1" applyFont="1" applyNumberFormat="1">
      <alignment horizontal="center" readingOrder="0" shrinkToFit="0" vertical="center" wrapText="0"/>
    </xf>
    <xf borderId="16" fillId="23" fontId="202" numFmtId="0" xfId="0" applyAlignment="1" applyBorder="1" applyFont="1">
      <alignment horizontal="center" readingOrder="0" shrinkToFit="0" vertical="center" wrapText="0"/>
    </xf>
    <xf borderId="16" fillId="23" fontId="203" numFmtId="0" xfId="0" applyAlignment="1" applyBorder="1" applyFont="1">
      <alignment readingOrder="0" shrinkToFit="0" vertical="center" wrapText="0"/>
    </xf>
    <xf borderId="16" fillId="23" fontId="203" numFmtId="0" xfId="0" applyAlignment="1" applyBorder="1" applyFont="1">
      <alignment readingOrder="0" shrinkToFit="0" vertical="center" wrapText="0"/>
    </xf>
    <xf borderId="16" fillId="23" fontId="202" numFmtId="0" xfId="0" applyAlignment="1" applyBorder="1" applyFont="1">
      <alignment readingOrder="0" shrinkToFit="0" vertical="center" wrapText="1"/>
    </xf>
    <xf borderId="16" fillId="23" fontId="202" numFmtId="0" xfId="0" applyAlignment="1" applyBorder="1" applyFont="1">
      <alignment horizontal="center" shrinkToFit="0" vertical="center" wrapText="0"/>
    </xf>
    <xf borderId="16" fillId="23" fontId="202" numFmtId="164" xfId="0" applyAlignment="1" applyBorder="1" applyFont="1" applyNumberFormat="1">
      <alignment readingOrder="0" shrinkToFit="0" vertical="center" wrapText="0"/>
    </xf>
    <xf borderId="16" fillId="23" fontId="202" numFmtId="0" xfId="0" applyAlignment="1" applyBorder="1" applyFont="1">
      <alignment shrinkToFit="0" vertical="center" wrapText="0"/>
    </xf>
    <xf borderId="16" fillId="23" fontId="8" numFmtId="0" xfId="0" applyAlignment="1" applyBorder="1" applyFont="1">
      <alignment horizontal="center" shrinkToFit="0" vertical="center" wrapText="0"/>
    </xf>
    <xf borderId="16" fillId="23" fontId="8" numFmtId="0" xfId="0" applyAlignment="1" applyBorder="1" applyFont="1">
      <alignment horizontal="center" readingOrder="0" shrinkToFit="0" vertical="center" wrapText="0"/>
    </xf>
    <xf borderId="16" fillId="23" fontId="204" numFmtId="0" xfId="0" applyAlignment="1" applyBorder="1" applyFont="1">
      <alignment readingOrder="0" shrinkToFit="0" vertical="center" wrapText="0"/>
    </xf>
    <xf borderId="16" fillId="23" fontId="205" numFmtId="0" xfId="0" applyAlignment="1" applyBorder="1" applyFont="1">
      <alignment horizontal="center" readingOrder="0" shrinkToFit="0" vertical="center" wrapText="0"/>
    </xf>
    <xf borderId="16" fillId="23" fontId="206" numFmtId="0" xfId="0" applyAlignment="1" applyBorder="1" applyFont="1">
      <alignment readingOrder="0" shrinkToFit="0" vertical="center" wrapText="0"/>
    </xf>
    <xf borderId="16" fillId="23" fontId="207" numFmtId="0" xfId="0" applyAlignment="1" applyBorder="1" applyFont="1">
      <alignment readingOrder="0" shrinkToFit="0" vertical="center" wrapText="0"/>
    </xf>
    <xf borderId="16" fillId="23" fontId="208" numFmtId="0" xfId="0" applyAlignment="1" applyBorder="1" applyFont="1">
      <alignment readingOrder="0" shrinkToFit="0" vertical="center" wrapText="1"/>
    </xf>
    <xf borderId="16" fillId="23" fontId="209" numFmtId="0" xfId="0" applyAlignment="1" applyBorder="1" applyFont="1">
      <alignment horizontal="center" shrinkToFit="0" vertical="center" wrapText="0"/>
    </xf>
    <xf borderId="16" fillId="23" fontId="210" numFmtId="164" xfId="0" applyAlignment="1" applyBorder="1" applyFont="1" applyNumberFormat="1">
      <alignment readingOrder="0" shrinkToFit="0" vertical="center" wrapText="0"/>
    </xf>
    <xf borderId="16" fillId="23" fontId="211" numFmtId="0" xfId="0" applyAlignment="1" applyBorder="1" applyFont="1">
      <alignment shrinkToFit="0" vertical="center" wrapText="0"/>
    </xf>
    <xf borderId="16" fillId="23" fontId="212" numFmtId="0" xfId="0" applyAlignment="1" applyBorder="1" applyFont="1">
      <alignment horizontal="center" shrinkToFit="0" vertical="center" wrapText="0"/>
    </xf>
    <xf borderId="16" fillId="23" fontId="213" numFmtId="0" xfId="0" applyAlignment="1" applyBorder="1" applyFont="1">
      <alignment horizontal="center" readingOrder="0" shrinkToFit="0" vertical="center" wrapText="0"/>
    </xf>
    <xf borderId="0" fillId="23" fontId="202" numFmtId="0" xfId="0" applyAlignment="1" applyFont="1">
      <alignment horizontal="left" readingOrder="0" shrinkToFit="0" vertical="center" wrapText="1"/>
    </xf>
    <xf borderId="0" fillId="23" fontId="202" numFmtId="0" xfId="0" applyAlignment="1" applyFont="1">
      <alignment horizontal="center" readingOrder="0" shrinkToFit="0" vertical="center" wrapText="0"/>
    </xf>
    <xf borderId="16" fillId="23" fontId="203" numFmtId="0" xfId="0" applyAlignment="1" applyBorder="1" applyFont="1">
      <alignment shrinkToFit="0" vertical="center" wrapText="0"/>
    </xf>
    <xf borderId="16" fillId="23" fontId="203" numFmtId="0" xfId="0" applyAlignment="1" applyBorder="1" applyFont="1">
      <alignment horizontal="center" shrinkToFit="0" vertical="center" wrapText="0"/>
    </xf>
    <xf borderId="16" fillId="0" fontId="8" numFmtId="0" xfId="0" applyAlignment="1" applyBorder="1" applyFont="1">
      <alignment horizontal="center" shrinkToFit="0" vertical="center" wrapText="0"/>
    </xf>
    <xf borderId="16" fillId="7" fontId="8" numFmtId="0" xfId="0" applyAlignment="1" applyBorder="1" applyFont="1">
      <alignment horizontal="center" shrinkToFit="0" vertical="center" wrapText="0"/>
    </xf>
    <xf borderId="16" fillId="8" fontId="8" numFmtId="0" xfId="0" applyAlignment="1" applyBorder="1" applyFont="1">
      <alignment horizontal="center" shrinkToFit="0" vertical="center" wrapText="0"/>
    </xf>
    <xf borderId="16" fillId="9" fontId="8" numFmtId="0" xfId="0" applyAlignment="1" applyBorder="1" applyFont="1">
      <alignment horizontal="center" shrinkToFit="0" vertical="center" wrapText="0"/>
    </xf>
    <xf borderId="0" fillId="24" fontId="214" numFmtId="0" xfId="0" applyAlignment="1" applyFill="1" applyFont="1">
      <alignment horizontal="center" readingOrder="0" shrinkToFit="0" vertical="center" wrapText="0"/>
    </xf>
    <xf borderId="0" fillId="24" fontId="214" numFmtId="0" xfId="0" applyAlignment="1" applyFont="1">
      <alignment horizontal="left" readingOrder="0" shrinkToFit="0" vertical="center" wrapText="0"/>
    </xf>
    <xf borderId="0" fillId="24" fontId="214" numFmtId="0" xfId="0" applyAlignment="1" applyFont="1">
      <alignment horizontal="left" readingOrder="0" shrinkToFit="0" vertical="center" wrapText="1"/>
    </xf>
    <xf borderId="0" fillId="24" fontId="214" numFmtId="164" xfId="0" applyAlignment="1" applyFont="1" applyNumberFormat="1">
      <alignment horizontal="left" readingOrder="0" shrinkToFit="0" vertical="center" wrapText="0"/>
    </xf>
    <xf borderId="0" fillId="24" fontId="214" numFmtId="0" xfId="0" applyAlignment="1" applyFont="1">
      <alignment horizontal="left" readingOrder="0" shrinkToFit="0" vertical="center" wrapText="0"/>
    </xf>
    <xf borderId="0" fillId="24" fontId="214" numFmtId="49" xfId="0" applyAlignment="1" applyFont="1" applyNumberFormat="1">
      <alignment horizontal="center" readingOrder="0" shrinkToFit="0" vertical="center" wrapText="0"/>
    </xf>
    <xf borderId="17" fillId="24" fontId="214" numFmtId="0" xfId="0" applyAlignment="1" applyBorder="1" applyFont="1">
      <alignment horizontal="center" readingOrder="0" shrinkToFit="0" vertical="center" wrapText="0"/>
    </xf>
    <xf borderId="17" fillId="24" fontId="215" numFmtId="0" xfId="0" applyAlignment="1" applyBorder="1" applyFont="1">
      <alignment readingOrder="0" shrinkToFit="0" vertical="center" wrapText="0"/>
    </xf>
    <xf borderId="17" fillId="24" fontId="215" numFmtId="0" xfId="0" applyAlignment="1" applyBorder="1" applyFont="1">
      <alignment readingOrder="0" shrinkToFit="0" vertical="center" wrapText="0"/>
    </xf>
    <xf borderId="17" fillId="24" fontId="214" numFmtId="0" xfId="0" applyAlignment="1" applyBorder="1" applyFont="1">
      <alignment readingOrder="0" shrinkToFit="0" vertical="center" wrapText="1"/>
    </xf>
    <xf borderId="17" fillId="24" fontId="214" numFmtId="0" xfId="0" applyAlignment="1" applyBorder="1" applyFont="1">
      <alignment horizontal="center" shrinkToFit="0" vertical="center" wrapText="0"/>
    </xf>
    <xf borderId="17" fillId="24" fontId="214" numFmtId="164" xfId="0" applyAlignment="1" applyBorder="1" applyFont="1" applyNumberFormat="1">
      <alignment readingOrder="0" shrinkToFit="0" vertical="center" wrapText="0"/>
    </xf>
    <xf borderId="17" fillId="24" fontId="214" numFmtId="0" xfId="0" applyAlignment="1" applyBorder="1" applyFont="1">
      <alignment shrinkToFit="0" vertical="center" wrapText="0"/>
    </xf>
    <xf borderId="17" fillId="24" fontId="8" numFmtId="0" xfId="0" applyAlignment="1" applyBorder="1" applyFont="1">
      <alignment horizontal="center" readingOrder="0" shrinkToFit="0" vertical="center" wrapText="0"/>
    </xf>
    <xf borderId="17" fillId="24" fontId="8" numFmtId="0" xfId="0" applyAlignment="1" applyBorder="1" applyFont="1">
      <alignment horizontal="center" shrinkToFit="0" vertical="center" wrapText="0"/>
    </xf>
    <xf borderId="17" fillId="24" fontId="216" numFmtId="0" xfId="0" applyAlignment="1" applyBorder="1" applyFont="1">
      <alignment horizontal="center" readingOrder="0" shrinkToFit="0" vertical="center" wrapText="0"/>
    </xf>
    <xf borderId="17" fillId="24" fontId="217" numFmtId="0" xfId="0" applyAlignment="1" applyBorder="1" applyFont="1">
      <alignment readingOrder="0" shrinkToFit="0" vertical="center" wrapText="0"/>
    </xf>
    <xf borderId="17" fillId="24" fontId="218" numFmtId="0" xfId="0" applyAlignment="1" applyBorder="1" applyFont="1">
      <alignment readingOrder="0" shrinkToFit="0" vertical="center" wrapText="0"/>
    </xf>
    <xf borderId="17" fillId="24" fontId="219" numFmtId="0" xfId="0" applyAlignment="1" applyBorder="1" applyFont="1">
      <alignment readingOrder="0" shrinkToFit="0" vertical="center" wrapText="1"/>
    </xf>
    <xf borderId="17" fillId="24" fontId="220" numFmtId="0" xfId="0" applyAlignment="1" applyBorder="1" applyFont="1">
      <alignment horizontal="center" shrinkToFit="0" vertical="center" wrapText="0"/>
    </xf>
    <xf borderId="17" fillId="24" fontId="221" numFmtId="164" xfId="0" applyAlignment="1" applyBorder="1" applyFont="1" applyNumberFormat="1">
      <alignment readingOrder="0" shrinkToFit="0" vertical="center" wrapText="0"/>
    </xf>
    <xf borderId="17" fillId="24" fontId="222" numFmtId="0" xfId="0" applyAlignment="1" applyBorder="1" applyFont="1">
      <alignment shrinkToFit="0" vertical="center" wrapText="0"/>
    </xf>
    <xf borderId="17" fillId="24" fontId="223" numFmtId="0" xfId="0" applyAlignment="1" applyBorder="1" applyFont="1">
      <alignment horizontal="center" shrinkToFit="0" vertical="center" wrapText="0"/>
    </xf>
    <xf borderId="17" fillId="24" fontId="224" numFmtId="0" xfId="0" applyAlignment="1" applyBorder="1" applyFont="1">
      <alignment readingOrder="0" shrinkToFit="0" vertical="center" wrapText="0"/>
    </xf>
    <xf borderId="17" fillId="24" fontId="214" numFmtId="0" xfId="0" applyAlignment="1" applyBorder="1" applyFont="1">
      <alignment horizontal="center" readingOrder="0" shrinkToFit="0" vertical="center" wrapText="0"/>
    </xf>
    <xf borderId="17" fillId="24" fontId="215" numFmtId="0" xfId="0" applyAlignment="1" applyBorder="1" applyFont="1">
      <alignment readingOrder="0" shrinkToFit="0" vertical="center" wrapText="0"/>
    </xf>
    <xf borderId="17" fillId="24" fontId="215" numFmtId="0" xfId="0" applyAlignment="1" applyBorder="1" applyFont="1">
      <alignment readingOrder="0" shrinkToFit="0" vertical="center" wrapText="0"/>
    </xf>
    <xf borderId="17" fillId="24" fontId="214" numFmtId="0" xfId="0" applyAlignment="1" applyBorder="1" applyFont="1">
      <alignment readingOrder="0" shrinkToFit="0" vertical="center" wrapText="1"/>
    </xf>
    <xf borderId="17" fillId="24" fontId="214" numFmtId="0" xfId="0" applyAlignment="1" applyBorder="1" applyFont="1">
      <alignment horizontal="center" shrinkToFit="0" vertical="center" wrapText="0"/>
    </xf>
    <xf borderId="17" fillId="24" fontId="214" numFmtId="164" xfId="0" applyAlignment="1" applyBorder="1" applyFont="1" applyNumberFormat="1">
      <alignment readingOrder="0" shrinkToFit="0" vertical="center" wrapText="0"/>
    </xf>
    <xf borderId="17" fillId="24" fontId="214" numFmtId="0" xfId="0" applyAlignment="1" applyBorder="1" applyFont="1">
      <alignment shrinkToFit="0" vertical="center" wrapText="0"/>
    </xf>
    <xf borderId="17" fillId="24" fontId="8" numFmtId="0" xfId="0" applyAlignment="1" applyBorder="1" applyFont="1">
      <alignment horizontal="center" readingOrder="0" shrinkToFit="0" vertical="center" wrapText="0"/>
    </xf>
    <xf borderId="17" fillId="24" fontId="8" numFmtId="0" xfId="0" applyAlignment="1" applyBorder="1" applyFont="1">
      <alignment horizontal="center" shrinkToFit="0" vertical="center" wrapText="0"/>
    </xf>
    <xf borderId="0" fillId="0" fontId="7" numFmtId="0" xfId="0" applyFont="1"/>
    <xf borderId="17" fillId="24" fontId="225" numFmtId="0" xfId="0" applyAlignment="1" applyBorder="1" applyFont="1">
      <alignment horizontal="center" readingOrder="0" shrinkToFit="0" vertical="center" wrapText="0"/>
    </xf>
    <xf borderId="0" fillId="24" fontId="214" numFmtId="0" xfId="0" applyAlignment="1" applyFont="1">
      <alignment horizontal="left" readingOrder="0" shrinkToFit="0" vertical="center" wrapText="1"/>
    </xf>
    <xf borderId="0" fillId="24" fontId="214" numFmtId="0" xfId="0" applyAlignment="1" applyFont="1">
      <alignment horizontal="center" readingOrder="0" shrinkToFit="0" vertical="center" wrapText="0"/>
    </xf>
    <xf borderId="17" fillId="24" fontId="215" numFmtId="0" xfId="0" applyAlignment="1" applyBorder="1" applyFont="1">
      <alignment shrinkToFit="0" vertical="center" wrapText="0"/>
    </xf>
    <xf borderId="17" fillId="24" fontId="215" numFmtId="0" xfId="0" applyAlignment="1" applyBorder="1" applyFont="1">
      <alignment horizontal="center" shrinkToFit="0" vertical="center" wrapText="0"/>
    </xf>
    <xf borderId="17" fillId="0" fontId="8" numFmtId="0" xfId="0" applyAlignment="1" applyBorder="1" applyFont="1">
      <alignment horizontal="center" shrinkToFit="0" vertical="center" wrapText="0"/>
    </xf>
    <xf borderId="17" fillId="7" fontId="8" numFmtId="0" xfId="0" applyAlignment="1" applyBorder="1" applyFont="1">
      <alignment horizontal="center" shrinkToFit="0" vertical="center" wrapText="0"/>
    </xf>
    <xf borderId="17" fillId="8" fontId="8" numFmtId="0" xfId="0" applyAlignment="1" applyBorder="1" applyFont="1">
      <alignment horizontal="center" shrinkToFit="0" vertical="center" wrapText="0"/>
    </xf>
    <xf borderId="17" fillId="9" fontId="8" numFmtId="0" xfId="0" applyAlignment="1" applyBorder="1" applyFont="1">
      <alignment horizontal="center" shrinkToFit="0" vertical="center" wrapText="0"/>
    </xf>
    <xf borderId="17" fillId="8" fontId="8" numFmtId="0" xfId="0" applyAlignment="1" applyBorder="1" applyFont="1">
      <alignment horizontal="center" readingOrder="0" shrinkToFit="0" vertical="center" wrapText="0"/>
    </xf>
    <xf borderId="0" fillId="25" fontId="226" numFmtId="0" xfId="0" applyAlignment="1" applyFill="1" applyFont="1">
      <alignment horizontal="center" readingOrder="0" shrinkToFit="0" vertical="center" wrapText="0"/>
    </xf>
    <xf borderId="0" fillId="25" fontId="226" numFmtId="0" xfId="0" applyAlignment="1" applyFont="1">
      <alignment horizontal="left" readingOrder="0" shrinkToFit="0" vertical="center" wrapText="0"/>
    </xf>
    <xf borderId="0" fillId="25" fontId="226" numFmtId="0" xfId="0" applyAlignment="1" applyFont="1">
      <alignment horizontal="left" readingOrder="0" shrinkToFit="0" vertical="center" wrapText="1"/>
    </xf>
    <xf borderId="0" fillId="25" fontId="226" numFmtId="164" xfId="0" applyAlignment="1" applyFont="1" applyNumberFormat="1">
      <alignment horizontal="left" readingOrder="0" shrinkToFit="0" vertical="center" wrapText="0"/>
    </xf>
    <xf borderId="0" fillId="25" fontId="226" numFmtId="0" xfId="0" applyAlignment="1" applyFont="1">
      <alignment horizontal="left" readingOrder="0" shrinkToFit="0" vertical="center" wrapText="0"/>
    </xf>
    <xf borderId="0" fillId="25" fontId="226" numFmtId="49" xfId="0" applyAlignment="1" applyFont="1" applyNumberFormat="1">
      <alignment horizontal="center" readingOrder="0" shrinkToFit="0" vertical="center" wrapText="0"/>
    </xf>
    <xf borderId="18" fillId="25" fontId="226" numFmtId="0" xfId="0" applyAlignment="1" applyBorder="1" applyFont="1">
      <alignment horizontal="center" readingOrder="0" shrinkToFit="0" vertical="center" wrapText="0"/>
    </xf>
    <xf borderId="18" fillId="25" fontId="227" numFmtId="0" xfId="0" applyAlignment="1" applyBorder="1" applyFont="1">
      <alignment readingOrder="0" shrinkToFit="0" vertical="center" wrapText="0"/>
    </xf>
    <xf borderId="18" fillId="25" fontId="227" numFmtId="0" xfId="0" applyAlignment="1" applyBorder="1" applyFont="1">
      <alignment readingOrder="0" shrinkToFit="0" vertical="center" wrapText="0"/>
    </xf>
    <xf borderId="18" fillId="25" fontId="226" numFmtId="0" xfId="0" applyAlignment="1" applyBorder="1" applyFont="1">
      <alignment readingOrder="0" shrinkToFit="0" vertical="center" wrapText="1"/>
    </xf>
    <xf borderId="18" fillId="25" fontId="226" numFmtId="0" xfId="0" applyAlignment="1" applyBorder="1" applyFont="1">
      <alignment horizontal="center" shrinkToFit="0" vertical="center" wrapText="0"/>
    </xf>
    <xf borderId="18" fillId="25" fontId="226" numFmtId="164" xfId="0" applyAlignment="1" applyBorder="1" applyFont="1" applyNumberFormat="1">
      <alignment readingOrder="0" shrinkToFit="0" vertical="center" wrapText="0"/>
    </xf>
    <xf borderId="18" fillId="25" fontId="226" numFmtId="0" xfId="0" applyAlignment="1" applyBorder="1" applyFont="1">
      <alignment shrinkToFit="0" vertical="center" wrapText="0"/>
    </xf>
    <xf borderId="18" fillId="25" fontId="8" numFmtId="0" xfId="0" applyAlignment="1" applyBorder="1" applyFont="1">
      <alignment horizontal="center" shrinkToFit="0" vertical="center" wrapText="0"/>
    </xf>
    <xf borderId="18" fillId="25" fontId="8" numFmtId="0" xfId="0" applyAlignment="1" applyBorder="1" applyFont="1">
      <alignment horizontal="center" readingOrder="0" shrinkToFit="0" vertical="center" wrapText="0"/>
    </xf>
    <xf borderId="18" fillId="25" fontId="228" numFmtId="0" xfId="0" applyAlignment="1" applyBorder="1" applyFont="1">
      <alignment readingOrder="0" shrinkToFit="0" vertical="center" wrapText="0"/>
    </xf>
    <xf borderId="18" fillId="25" fontId="229" numFmtId="0" xfId="0" applyAlignment="1" applyBorder="1" applyFont="1">
      <alignment horizontal="center" readingOrder="0" shrinkToFit="0" vertical="center" wrapText="0"/>
    </xf>
    <xf borderId="18" fillId="25" fontId="230" numFmtId="0" xfId="0" applyAlignment="1" applyBorder="1" applyFont="1">
      <alignment readingOrder="0" shrinkToFit="0" vertical="center" wrapText="0"/>
    </xf>
    <xf borderId="18" fillId="25" fontId="231" numFmtId="0" xfId="0" applyAlignment="1" applyBorder="1" applyFont="1">
      <alignment readingOrder="0" shrinkToFit="0" vertical="center" wrapText="0"/>
    </xf>
    <xf borderId="18" fillId="25" fontId="232" numFmtId="0" xfId="0" applyAlignment="1" applyBorder="1" applyFont="1">
      <alignment readingOrder="0" shrinkToFit="0" vertical="center" wrapText="1"/>
    </xf>
    <xf borderId="18" fillId="25" fontId="233" numFmtId="0" xfId="0" applyAlignment="1" applyBorder="1" applyFont="1">
      <alignment horizontal="center" shrinkToFit="0" vertical="center" wrapText="0"/>
    </xf>
    <xf borderId="18" fillId="25" fontId="234" numFmtId="164" xfId="0" applyAlignment="1" applyBorder="1" applyFont="1" applyNumberFormat="1">
      <alignment readingOrder="0" shrinkToFit="0" vertical="center" wrapText="0"/>
    </xf>
    <xf borderId="18" fillId="25" fontId="235" numFmtId="0" xfId="0" applyAlignment="1" applyBorder="1" applyFont="1">
      <alignment shrinkToFit="0" vertical="center" wrapText="0"/>
    </xf>
    <xf borderId="18" fillId="25" fontId="236" numFmtId="0" xfId="0" applyAlignment="1" applyBorder="1" applyFont="1">
      <alignment horizontal="center" readingOrder="0" shrinkToFit="0" vertical="center" wrapText="0"/>
    </xf>
    <xf borderId="18" fillId="25" fontId="237" numFmtId="0" xfId="0" applyAlignment="1" applyBorder="1" applyFont="1">
      <alignment horizontal="center" shrinkToFit="0" vertical="center" wrapText="0"/>
    </xf>
    <xf borderId="0" fillId="25" fontId="226" numFmtId="0" xfId="0" applyAlignment="1" applyFont="1">
      <alignment horizontal="left" readingOrder="0" shrinkToFit="0" vertical="center" wrapText="1"/>
    </xf>
    <xf borderId="0" fillId="25" fontId="226" numFmtId="0" xfId="0" applyAlignment="1" applyFont="1">
      <alignment horizontal="center" readingOrder="0" shrinkToFit="0" vertical="center" wrapText="0"/>
    </xf>
    <xf borderId="18" fillId="25" fontId="227" numFmtId="0" xfId="0" applyAlignment="1" applyBorder="1" applyFont="1">
      <alignment shrinkToFit="0" vertical="center" wrapText="0"/>
    </xf>
    <xf borderId="18" fillId="25" fontId="227" numFmtId="0" xfId="0" applyAlignment="1" applyBorder="1" applyFont="1">
      <alignment horizontal="center" shrinkToFit="0" vertical="center" wrapText="0"/>
    </xf>
    <xf borderId="18" fillId="0" fontId="8" numFmtId="0" xfId="0" applyAlignment="1" applyBorder="1" applyFont="1">
      <alignment horizontal="center" shrinkToFit="0" vertical="center" wrapText="0"/>
    </xf>
    <xf borderId="18" fillId="7" fontId="8" numFmtId="0" xfId="0" applyAlignment="1" applyBorder="1" applyFont="1">
      <alignment horizontal="center" shrinkToFit="0" vertical="center" wrapText="0"/>
    </xf>
    <xf borderId="18" fillId="8" fontId="8" numFmtId="0" xfId="0" applyAlignment="1" applyBorder="1" applyFont="1">
      <alignment horizontal="center" shrinkToFit="0" vertical="center" wrapText="0"/>
    </xf>
    <xf borderId="18" fillId="9" fontId="8" numFmtId="0" xfId="0" applyAlignment="1" applyBorder="1" applyFont="1">
      <alignment horizontal="center" shrinkToFit="0" vertical="center" wrapText="0"/>
    </xf>
    <xf borderId="0" fillId="26" fontId="2" numFmtId="0" xfId="0" applyAlignment="1" applyFill="1" applyFont="1">
      <alignment horizontal="center" readingOrder="0" shrinkToFit="0" vertical="center" wrapText="0"/>
    </xf>
    <xf borderId="0" fillId="26" fontId="2" numFmtId="0" xfId="0" applyAlignment="1" applyFont="1">
      <alignment horizontal="left" readingOrder="0" shrinkToFit="0" vertical="center" wrapText="0"/>
    </xf>
    <xf borderId="0" fillId="26" fontId="2" numFmtId="0" xfId="0" applyAlignment="1" applyFont="1">
      <alignment horizontal="left" readingOrder="0" shrinkToFit="0" vertical="center" wrapText="1"/>
    </xf>
    <xf borderId="0" fillId="26" fontId="2" numFmtId="164" xfId="0" applyAlignment="1" applyFont="1" applyNumberFormat="1">
      <alignment horizontal="left" readingOrder="0" shrinkToFit="0" vertical="center" wrapText="0"/>
    </xf>
    <xf borderId="0" fillId="26" fontId="2" numFmtId="0" xfId="0" applyAlignment="1" applyFont="1">
      <alignment horizontal="left" readingOrder="0" shrinkToFit="0" vertical="center" wrapText="0"/>
    </xf>
    <xf borderId="0" fillId="26" fontId="2" numFmtId="49" xfId="0" applyAlignment="1" applyFont="1" applyNumberFormat="1">
      <alignment horizontal="center" readingOrder="0" shrinkToFit="0" vertical="center" wrapText="0"/>
    </xf>
    <xf borderId="2" fillId="26" fontId="2" numFmtId="0" xfId="0" applyAlignment="1" applyBorder="1" applyFont="1">
      <alignment horizontal="center" readingOrder="0" shrinkToFit="0" vertical="center" wrapText="0"/>
    </xf>
    <xf borderId="2" fillId="26" fontId="132" numFmtId="0" xfId="0" applyAlignment="1" applyBorder="1" applyFont="1">
      <alignment readingOrder="0" shrinkToFit="0" vertical="center" wrapText="0"/>
    </xf>
    <xf borderId="2" fillId="26" fontId="132" numFmtId="0" xfId="0" applyAlignment="1" applyBorder="1" applyFont="1">
      <alignment readingOrder="0" shrinkToFit="0" vertical="center" wrapText="0"/>
    </xf>
    <xf borderId="2" fillId="26" fontId="2" numFmtId="0" xfId="0" applyAlignment="1" applyBorder="1" applyFont="1">
      <alignment readingOrder="0" shrinkToFit="0" vertical="center" wrapText="1"/>
    </xf>
    <xf borderId="2" fillId="26" fontId="2" numFmtId="0" xfId="0" applyAlignment="1" applyBorder="1" applyFont="1">
      <alignment horizontal="center" shrinkToFit="0" vertical="center" wrapText="0"/>
    </xf>
    <xf borderId="2" fillId="26" fontId="2" numFmtId="164" xfId="0" applyAlignment="1" applyBorder="1" applyFont="1" applyNumberFormat="1">
      <alignment readingOrder="0" shrinkToFit="0" vertical="center" wrapText="0"/>
    </xf>
    <xf borderId="2" fillId="26" fontId="2" numFmtId="0" xfId="0" applyAlignment="1" applyBorder="1" applyFont="1">
      <alignment shrinkToFit="0" vertical="center" wrapText="0"/>
    </xf>
    <xf borderId="2" fillId="26" fontId="8" numFmtId="0" xfId="0" applyAlignment="1" applyBorder="1" applyFont="1">
      <alignment horizontal="center" shrinkToFit="0" vertical="center" wrapText="0"/>
    </xf>
    <xf borderId="2" fillId="26" fontId="8" numFmtId="0" xfId="0" applyAlignment="1" applyBorder="1" applyFont="1">
      <alignment horizontal="center" readingOrder="0" shrinkToFit="0" vertical="center" wrapText="0"/>
    </xf>
    <xf borderId="2" fillId="26" fontId="133" numFmtId="0" xfId="0" applyAlignment="1" applyBorder="1" applyFont="1">
      <alignment readingOrder="0" shrinkToFit="0" vertical="center" wrapText="0"/>
    </xf>
    <xf borderId="2" fillId="26" fontId="238" numFmtId="0" xfId="0" applyAlignment="1" applyBorder="1" applyFont="1">
      <alignment horizontal="center" readingOrder="0" shrinkToFit="0" vertical="center" wrapText="0"/>
    </xf>
    <xf borderId="2" fillId="26" fontId="239" numFmtId="0" xfId="0" applyAlignment="1" applyBorder="1" applyFont="1">
      <alignment readingOrder="0" shrinkToFit="0" vertical="center" wrapText="0"/>
    </xf>
    <xf borderId="2" fillId="26" fontId="240" numFmtId="0" xfId="0" applyAlignment="1" applyBorder="1" applyFont="1">
      <alignment readingOrder="0" shrinkToFit="0" vertical="center" wrapText="0"/>
    </xf>
    <xf borderId="2" fillId="26" fontId="241" numFmtId="0" xfId="0" applyAlignment="1" applyBorder="1" applyFont="1">
      <alignment readingOrder="0" shrinkToFit="0" vertical="center" wrapText="1"/>
    </xf>
    <xf borderId="2" fillId="26" fontId="242" numFmtId="0" xfId="0" applyAlignment="1" applyBorder="1" applyFont="1">
      <alignment horizontal="center" shrinkToFit="0" vertical="center" wrapText="0"/>
    </xf>
    <xf borderId="2" fillId="26" fontId="243" numFmtId="164" xfId="0" applyAlignment="1" applyBorder="1" applyFont="1" applyNumberFormat="1">
      <alignment readingOrder="0" shrinkToFit="0" vertical="center" wrapText="0"/>
    </xf>
    <xf borderId="2" fillId="26" fontId="244" numFmtId="0" xfId="0" applyAlignment="1" applyBorder="1" applyFont="1">
      <alignment shrinkToFit="0" vertical="center" wrapText="0"/>
    </xf>
    <xf borderId="2" fillId="26" fontId="245" numFmtId="0" xfId="0" applyAlignment="1" applyBorder="1" applyFont="1">
      <alignment horizontal="center" readingOrder="0" shrinkToFit="0" vertical="center" wrapText="0"/>
    </xf>
    <xf borderId="2" fillId="26" fontId="246" numFmtId="0" xfId="0" applyAlignment="1" applyBorder="1" applyFont="1">
      <alignment horizontal="center" shrinkToFit="0" vertical="center" wrapText="0"/>
    </xf>
    <xf borderId="0" fillId="26" fontId="2" numFmtId="0" xfId="0" applyAlignment="1" applyFont="1">
      <alignment horizontal="left" readingOrder="0" shrinkToFit="0" vertical="center" wrapText="1"/>
    </xf>
    <xf borderId="0" fillId="26" fontId="2" numFmtId="0" xfId="0" applyAlignment="1" applyFont="1">
      <alignment horizontal="center" readingOrder="0" shrinkToFit="0" vertical="center" wrapText="0"/>
    </xf>
    <xf borderId="2" fillId="26" fontId="132" numFmtId="0" xfId="0" applyAlignment="1" applyBorder="1" applyFont="1">
      <alignment shrinkToFit="0" vertical="center" wrapText="0"/>
    </xf>
    <xf borderId="2" fillId="26" fontId="132" numFmtId="0" xfId="0" applyAlignment="1" applyBorder="1" applyFont="1">
      <alignment horizontal="center" shrinkToFit="0" vertical="center" wrapText="0"/>
    </xf>
    <xf borderId="0" fillId="27" fontId="247" numFmtId="0" xfId="0" applyAlignment="1" applyFill="1" applyFont="1">
      <alignment horizontal="center" readingOrder="0" shrinkToFit="0" vertical="center" wrapText="0"/>
    </xf>
    <xf borderId="0" fillId="27" fontId="247" numFmtId="0" xfId="0" applyAlignment="1" applyFont="1">
      <alignment horizontal="left" readingOrder="0" shrinkToFit="0" vertical="center" wrapText="0"/>
    </xf>
    <xf borderId="0" fillId="27" fontId="247" numFmtId="0" xfId="0" applyAlignment="1" applyFont="1">
      <alignment horizontal="left" readingOrder="0" shrinkToFit="0" vertical="center" wrapText="1"/>
    </xf>
    <xf borderId="0" fillId="27" fontId="247" numFmtId="164" xfId="0" applyAlignment="1" applyFont="1" applyNumberFormat="1">
      <alignment horizontal="left" readingOrder="0" shrinkToFit="0" vertical="center" wrapText="0"/>
    </xf>
    <xf borderId="0" fillId="27" fontId="247" numFmtId="0" xfId="0" applyAlignment="1" applyFont="1">
      <alignment horizontal="left" readingOrder="0" shrinkToFit="0" vertical="center" wrapText="0"/>
    </xf>
    <xf borderId="0" fillId="27" fontId="247" numFmtId="49" xfId="0" applyAlignment="1" applyFont="1" applyNumberFormat="1">
      <alignment horizontal="center" readingOrder="0" shrinkToFit="0" vertical="center" wrapText="0"/>
    </xf>
    <xf borderId="19" fillId="27" fontId="247" numFmtId="0" xfId="0" applyAlignment="1" applyBorder="1" applyFont="1">
      <alignment horizontal="center" readingOrder="0" shrinkToFit="0" vertical="center" wrapText="0"/>
    </xf>
    <xf borderId="19" fillId="27" fontId="248" numFmtId="0" xfId="0" applyAlignment="1" applyBorder="1" applyFont="1">
      <alignment readingOrder="0" shrinkToFit="0" vertical="center" wrapText="0"/>
    </xf>
    <xf borderId="19" fillId="27" fontId="248" numFmtId="0" xfId="0" applyAlignment="1" applyBorder="1" applyFont="1">
      <alignment readingOrder="0" shrinkToFit="0" vertical="center" wrapText="0"/>
    </xf>
    <xf borderId="19" fillId="27" fontId="247" numFmtId="0" xfId="0" applyAlignment="1" applyBorder="1" applyFont="1">
      <alignment readingOrder="0" shrinkToFit="0" vertical="center" wrapText="1"/>
    </xf>
    <xf borderId="19" fillId="27" fontId="247" numFmtId="0" xfId="0" applyAlignment="1" applyBorder="1" applyFont="1">
      <alignment horizontal="center" shrinkToFit="0" vertical="center" wrapText="0"/>
    </xf>
    <xf borderId="19" fillId="27" fontId="247" numFmtId="164" xfId="0" applyAlignment="1" applyBorder="1" applyFont="1" applyNumberFormat="1">
      <alignment readingOrder="0" shrinkToFit="0" vertical="center" wrapText="0"/>
    </xf>
    <xf borderId="19" fillId="27" fontId="247" numFmtId="0" xfId="0" applyAlignment="1" applyBorder="1" applyFont="1">
      <alignment shrinkToFit="0" vertical="center" wrapText="0"/>
    </xf>
    <xf borderId="19" fillId="27" fontId="8" numFmtId="0" xfId="0" applyAlignment="1" applyBorder="1" applyFont="1">
      <alignment horizontal="center" readingOrder="0" shrinkToFit="0" vertical="center" wrapText="0"/>
    </xf>
    <xf borderId="19" fillId="27" fontId="8" numFmtId="0" xfId="0" applyAlignment="1" applyBorder="1" applyFont="1">
      <alignment horizontal="center" shrinkToFit="0" vertical="center" wrapText="0"/>
    </xf>
    <xf borderId="19" fillId="27" fontId="249" numFmtId="0" xfId="0" applyAlignment="1" applyBorder="1" applyFont="1">
      <alignment readingOrder="0" shrinkToFit="0" vertical="center" wrapText="0"/>
    </xf>
    <xf borderId="19" fillId="27" fontId="247" numFmtId="164" xfId="0" applyAlignment="1" applyBorder="1" applyFont="1" applyNumberFormat="1">
      <alignment horizontal="right" readingOrder="0" shrinkToFit="0" vertical="center" wrapText="0"/>
    </xf>
    <xf borderId="19" fillId="27" fontId="250" numFmtId="0" xfId="0" applyAlignment="1" applyBorder="1" applyFont="1">
      <alignment horizontal="center" readingOrder="0" shrinkToFit="0" vertical="center" wrapText="0"/>
    </xf>
    <xf borderId="19" fillId="27" fontId="251" numFmtId="0" xfId="0" applyAlignment="1" applyBorder="1" applyFont="1">
      <alignment readingOrder="0" shrinkToFit="0" vertical="center" wrapText="0"/>
    </xf>
    <xf borderId="19" fillId="27" fontId="252" numFmtId="0" xfId="0" applyAlignment="1" applyBorder="1" applyFont="1">
      <alignment readingOrder="0" shrinkToFit="0" vertical="center" wrapText="0"/>
    </xf>
    <xf borderId="19" fillId="27" fontId="253" numFmtId="0" xfId="0" applyAlignment="1" applyBorder="1" applyFont="1">
      <alignment readingOrder="0" shrinkToFit="0" vertical="center" wrapText="1"/>
    </xf>
    <xf borderId="19" fillId="27" fontId="254" numFmtId="0" xfId="0" applyAlignment="1" applyBorder="1" applyFont="1">
      <alignment horizontal="center" shrinkToFit="0" vertical="center" wrapText="0"/>
    </xf>
    <xf borderId="19" fillId="27" fontId="255" numFmtId="164" xfId="0" applyAlignment="1" applyBorder="1" applyFont="1" applyNumberFormat="1">
      <alignment readingOrder="0" shrinkToFit="0" vertical="center" wrapText="0"/>
    </xf>
    <xf borderId="19" fillId="27" fontId="256" numFmtId="0" xfId="0" applyAlignment="1" applyBorder="1" applyFont="1">
      <alignment shrinkToFit="0" vertical="center" wrapText="0"/>
    </xf>
    <xf borderId="19" fillId="27" fontId="257" numFmtId="0" xfId="0" applyAlignment="1" applyBorder="1" applyFont="1">
      <alignment horizontal="center" shrinkToFit="0" vertical="center" wrapText="0"/>
    </xf>
    <xf borderId="19" fillId="27" fontId="258" numFmtId="0" xfId="0" applyAlignment="1" applyBorder="1" applyFont="1">
      <alignment horizontal="center" readingOrder="0" shrinkToFit="0" vertical="center" wrapText="0"/>
    </xf>
    <xf borderId="0" fillId="27" fontId="247" numFmtId="0" xfId="0" applyAlignment="1" applyFont="1">
      <alignment horizontal="left" readingOrder="0" shrinkToFit="0" vertical="center" wrapText="1"/>
    </xf>
    <xf borderId="0" fillId="27" fontId="247" numFmtId="0" xfId="0" applyAlignment="1" applyFont="1">
      <alignment horizontal="center" readingOrder="0" shrinkToFit="0" vertical="center" wrapText="0"/>
    </xf>
    <xf borderId="19" fillId="27" fontId="248" numFmtId="0" xfId="0" applyAlignment="1" applyBorder="1" applyFont="1">
      <alignment horizontal="center" shrinkToFit="0" vertical="center" wrapText="0"/>
    </xf>
    <xf borderId="19" fillId="27" fontId="247" numFmtId="164" xfId="0" applyAlignment="1" applyBorder="1" applyFont="1" applyNumberFormat="1">
      <alignment readingOrder="0" shrinkToFit="0" vertical="center" wrapText="0"/>
    </xf>
    <xf borderId="19" fillId="0" fontId="8" numFmtId="0" xfId="0" applyAlignment="1" applyBorder="1" applyFont="1">
      <alignment horizontal="center" shrinkToFit="0" vertical="center" wrapText="0"/>
    </xf>
    <xf borderId="19" fillId="7" fontId="8" numFmtId="0" xfId="0" applyAlignment="1" applyBorder="1" applyFont="1">
      <alignment horizontal="center" shrinkToFit="0" vertical="center" wrapText="0"/>
    </xf>
    <xf borderId="19" fillId="8" fontId="8" numFmtId="0" xfId="0" applyAlignment="1" applyBorder="1" applyFont="1">
      <alignment horizontal="center" shrinkToFit="0" vertical="center" wrapText="0"/>
    </xf>
    <xf borderId="19" fillId="9" fontId="8" numFmtId="0" xfId="0" applyAlignment="1" applyBorder="1" applyFont="1">
      <alignment horizontal="center" shrinkToFit="0" vertical="center" wrapText="0"/>
    </xf>
    <xf borderId="0" fillId="9" fontId="5" numFmtId="0" xfId="0" applyAlignment="1" applyFont="1">
      <alignment horizontal="center" readingOrder="0" shrinkToFit="0" vertical="center" wrapText="0"/>
    </xf>
    <xf borderId="0" fillId="28" fontId="8" numFmtId="0" xfId="0" applyAlignment="1" applyFill="1" applyFont="1">
      <alignment horizontal="center" readingOrder="0" shrinkToFit="0" vertical="center" wrapText="0"/>
    </xf>
    <xf borderId="0" fillId="28" fontId="8" numFmtId="0" xfId="0" applyAlignment="1" applyFont="1">
      <alignment horizontal="left" readingOrder="0" shrinkToFit="0" vertical="center" wrapText="0"/>
    </xf>
    <xf borderId="0" fillId="28" fontId="8" numFmtId="0" xfId="0" applyAlignment="1" applyFont="1">
      <alignment horizontal="left" readingOrder="0" shrinkToFit="0" vertical="center" wrapText="1"/>
    </xf>
    <xf borderId="0" fillId="28" fontId="8" numFmtId="164" xfId="0" applyAlignment="1" applyFont="1" applyNumberFormat="1">
      <alignment horizontal="left" readingOrder="0" shrinkToFit="0" vertical="center" wrapText="0"/>
    </xf>
    <xf borderId="0" fillId="28" fontId="8" numFmtId="0" xfId="0" applyAlignment="1" applyFont="1">
      <alignment horizontal="left" readingOrder="0" shrinkToFit="0" vertical="center" wrapText="0"/>
    </xf>
    <xf borderId="0" fillId="28" fontId="8" numFmtId="49" xfId="0" applyAlignment="1" applyFont="1" applyNumberFormat="1">
      <alignment horizontal="center" readingOrder="0" shrinkToFit="0" vertical="center" wrapText="0"/>
    </xf>
    <xf borderId="20" fillId="28" fontId="8" numFmtId="0" xfId="0" applyAlignment="1" applyBorder="1" applyFont="1">
      <alignment horizontal="center" readingOrder="0" shrinkToFit="0" vertical="center" wrapText="0"/>
    </xf>
    <xf borderId="20" fillId="28" fontId="34" numFmtId="0" xfId="0" applyAlignment="1" applyBorder="1" applyFont="1">
      <alignment readingOrder="0" shrinkToFit="0" vertical="center" wrapText="0"/>
    </xf>
    <xf borderId="20" fillId="28" fontId="34" numFmtId="0" xfId="0" applyAlignment="1" applyBorder="1" applyFont="1">
      <alignment readingOrder="0" shrinkToFit="0" vertical="center" wrapText="0"/>
    </xf>
    <xf borderId="20" fillId="28" fontId="8" numFmtId="0" xfId="0" applyAlignment="1" applyBorder="1" applyFont="1">
      <alignment readingOrder="0" shrinkToFit="0" vertical="center" wrapText="1"/>
    </xf>
    <xf borderId="20" fillId="28" fontId="8" numFmtId="0" xfId="0" applyAlignment="1" applyBorder="1" applyFont="1">
      <alignment horizontal="center" shrinkToFit="0" vertical="center" wrapText="0"/>
    </xf>
    <xf borderId="20" fillId="28" fontId="8" numFmtId="164" xfId="0" applyAlignment="1" applyBorder="1" applyFont="1" applyNumberFormat="1">
      <alignment readingOrder="0" shrinkToFit="0" vertical="center" wrapText="0"/>
    </xf>
    <xf borderId="20" fillId="28" fontId="8" numFmtId="0" xfId="0" applyAlignment="1" applyBorder="1" applyFont="1">
      <alignment shrinkToFit="0" vertical="center" wrapText="0"/>
    </xf>
    <xf borderId="20" fillId="28" fontId="259" numFmtId="0" xfId="0" applyAlignment="1" applyBorder="1" applyFont="1">
      <alignment readingOrder="0" shrinkToFit="0" vertical="center" wrapText="0"/>
    </xf>
    <xf borderId="20" fillId="28" fontId="260" numFmtId="0" xfId="0" applyAlignment="1" applyBorder="1" applyFont="1">
      <alignment horizontal="center" readingOrder="0" shrinkToFit="0" vertical="center" wrapText="0"/>
    </xf>
    <xf borderId="20" fillId="28" fontId="261" numFmtId="0" xfId="0" applyAlignment="1" applyBorder="1" applyFont="1">
      <alignment readingOrder="0" shrinkToFit="0" vertical="center" wrapText="0"/>
    </xf>
    <xf borderId="20" fillId="28" fontId="262" numFmtId="0" xfId="0" applyAlignment="1" applyBorder="1" applyFont="1">
      <alignment readingOrder="0" shrinkToFit="0" vertical="center" wrapText="0"/>
    </xf>
    <xf borderId="20" fillId="28" fontId="263" numFmtId="0" xfId="0" applyAlignment="1" applyBorder="1" applyFont="1">
      <alignment readingOrder="0" shrinkToFit="0" vertical="center" wrapText="1"/>
    </xf>
    <xf borderId="20" fillId="28" fontId="264" numFmtId="0" xfId="0" applyAlignment="1" applyBorder="1" applyFont="1">
      <alignment horizontal="center" shrinkToFit="0" vertical="center" wrapText="0"/>
    </xf>
    <xf borderId="20" fillId="28" fontId="265" numFmtId="164" xfId="0" applyAlignment="1" applyBorder="1" applyFont="1" applyNumberFormat="1">
      <alignment readingOrder="0" shrinkToFit="0" vertical="center" wrapText="0"/>
    </xf>
    <xf borderId="20" fillId="28" fontId="266" numFmtId="0" xfId="0" applyAlignment="1" applyBorder="1" applyFont="1">
      <alignment shrinkToFit="0" vertical="center" wrapText="0"/>
    </xf>
    <xf borderId="0" fillId="28" fontId="8" numFmtId="0" xfId="0" applyAlignment="1" applyFont="1">
      <alignment horizontal="left" readingOrder="0" shrinkToFit="0" vertical="center" wrapText="1"/>
    </xf>
    <xf borderId="20" fillId="28" fontId="34" numFmtId="0" xfId="0" applyAlignment="1" applyBorder="1" applyFont="1">
      <alignment shrinkToFit="0" vertical="center" wrapText="0"/>
    </xf>
    <xf borderId="20" fillId="28" fontId="34" numFmtId="0" xfId="0" applyAlignment="1" applyBorder="1" applyFont="1">
      <alignment horizontal="center" shrinkToFit="0" vertical="center" wrapText="0"/>
    </xf>
    <xf borderId="20" fillId="0" fontId="8" numFmtId="0" xfId="0" applyAlignment="1" applyBorder="1" applyFont="1">
      <alignment horizontal="center" shrinkToFit="0" vertical="center" wrapText="0"/>
    </xf>
    <xf borderId="20" fillId="7" fontId="8" numFmtId="0" xfId="0" applyAlignment="1" applyBorder="1" applyFont="1">
      <alignment horizontal="center" shrinkToFit="0" vertical="center" wrapText="0"/>
    </xf>
    <xf borderId="20" fillId="8" fontId="8" numFmtId="0" xfId="0" applyAlignment="1" applyBorder="1" applyFont="1">
      <alignment horizontal="center" shrinkToFit="0" vertical="center" wrapText="0"/>
    </xf>
    <xf borderId="20" fillId="9" fontId="8" numFmtId="0" xfId="0" applyAlignment="1" applyBorder="1" applyFont="1">
      <alignment horizontal="center" shrinkToFit="0" vertical="center" wrapText="0"/>
    </xf>
    <xf borderId="20" fillId="9" fontId="8" numFmtId="0" xfId="0" applyAlignment="1" applyBorder="1" applyFont="1">
      <alignment horizontal="center" readingOrder="0" shrinkToFit="0" vertical="center" wrapText="0"/>
    </xf>
    <xf borderId="0" fillId="8" fontId="5" numFmtId="0" xfId="0" applyAlignment="1" applyFont="1">
      <alignment horizontal="center" readingOrder="0" shrinkToFit="0" vertical="center" wrapText="0"/>
    </xf>
    <xf borderId="0" fillId="29" fontId="267" numFmtId="0" xfId="0" applyAlignment="1" applyFill="1" applyFont="1">
      <alignment horizontal="center" readingOrder="0" shrinkToFit="0" vertical="center" wrapText="0"/>
    </xf>
    <xf borderId="0" fillId="29" fontId="267" numFmtId="0" xfId="0" applyAlignment="1" applyFont="1">
      <alignment horizontal="left" readingOrder="0" shrinkToFit="0" vertical="center" wrapText="0"/>
    </xf>
    <xf borderId="0" fillId="29" fontId="267" numFmtId="0" xfId="0" applyAlignment="1" applyFont="1">
      <alignment horizontal="left" readingOrder="0" shrinkToFit="0" vertical="center" wrapText="1"/>
    </xf>
    <xf borderId="0" fillId="29" fontId="267" numFmtId="164" xfId="0" applyAlignment="1" applyFont="1" applyNumberFormat="1">
      <alignment horizontal="left" readingOrder="0" shrinkToFit="0" vertical="center" wrapText="0"/>
    </xf>
    <xf borderId="0" fillId="29" fontId="267" numFmtId="0" xfId="0" applyAlignment="1" applyFont="1">
      <alignment horizontal="left" readingOrder="0" shrinkToFit="0" vertical="center" wrapText="0"/>
    </xf>
    <xf borderId="0" fillId="29" fontId="267" numFmtId="49" xfId="0" applyAlignment="1" applyFont="1" applyNumberFormat="1">
      <alignment horizontal="center" readingOrder="0" shrinkToFit="0" vertical="center" wrapText="0"/>
    </xf>
    <xf borderId="21" fillId="29" fontId="267" numFmtId="0" xfId="0" applyAlignment="1" applyBorder="1" applyFont="1">
      <alignment horizontal="center" readingOrder="0" shrinkToFit="0" vertical="center" wrapText="0"/>
    </xf>
    <xf borderId="21" fillId="29" fontId="268" numFmtId="0" xfId="0" applyAlignment="1" applyBorder="1" applyFont="1">
      <alignment readingOrder="0" shrinkToFit="0" vertical="center" wrapText="0"/>
    </xf>
    <xf borderId="21" fillId="29" fontId="268" numFmtId="0" xfId="0" applyAlignment="1" applyBorder="1" applyFont="1">
      <alignment readingOrder="0" shrinkToFit="0" vertical="center" wrapText="0"/>
    </xf>
    <xf borderId="21" fillId="29" fontId="267" numFmtId="0" xfId="0" applyAlignment="1" applyBorder="1" applyFont="1">
      <alignment readingOrder="0" shrinkToFit="0" vertical="center" wrapText="1"/>
    </xf>
    <xf borderId="21" fillId="29" fontId="267" numFmtId="0" xfId="0" applyAlignment="1" applyBorder="1" applyFont="1">
      <alignment horizontal="center" shrinkToFit="0" vertical="center" wrapText="0"/>
    </xf>
    <xf borderId="21" fillId="29" fontId="267" numFmtId="164" xfId="0" applyAlignment="1" applyBorder="1" applyFont="1" applyNumberFormat="1">
      <alignment readingOrder="0" shrinkToFit="0" vertical="center" wrapText="0"/>
    </xf>
    <xf borderId="21" fillId="29" fontId="267" numFmtId="0" xfId="0" applyAlignment="1" applyBorder="1" applyFont="1">
      <alignment shrinkToFit="0" vertical="center" wrapText="0"/>
    </xf>
    <xf borderId="21" fillId="29" fontId="8" numFmtId="0" xfId="0" applyAlignment="1" applyBorder="1" applyFont="1">
      <alignment horizontal="center" shrinkToFit="0" vertical="center" wrapText="0"/>
    </xf>
    <xf borderId="21" fillId="29" fontId="269" numFmtId="0" xfId="0" applyAlignment="1" applyBorder="1" applyFont="1">
      <alignment readingOrder="0" shrinkToFit="0" vertical="center" wrapText="0"/>
    </xf>
    <xf borderId="21" fillId="29" fontId="8" numFmtId="0" xfId="0" applyAlignment="1" applyBorder="1" applyFont="1">
      <alignment horizontal="center" readingOrder="0" shrinkToFit="0" vertical="center" wrapText="0"/>
    </xf>
    <xf borderId="21" fillId="29" fontId="270" numFmtId="0" xfId="0" applyAlignment="1" applyBorder="1" applyFont="1">
      <alignment horizontal="center" readingOrder="0" shrinkToFit="0" vertical="center" wrapText="0"/>
    </xf>
    <xf borderId="21" fillId="29" fontId="271" numFmtId="0" xfId="0" applyAlignment="1" applyBorder="1" applyFont="1">
      <alignment readingOrder="0" shrinkToFit="0" vertical="center" wrapText="0"/>
    </xf>
    <xf borderId="21" fillId="29" fontId="272" numFmtId="0" xfId="0" applyAlignment="1" applyBorder="1" applyFont="1">
      <alignment readingOrder="0" shrinkToFit="0" vertical="center" wrapText="0"/>
    </xf>
    <xf borderId="21" fillId="29" fontId="273" numFmtId="0" xfId="0" applyAlignment="1" applyBorder="1" applyFont="1">
      <alignment readingOrder="0" shrinkToFit="0" vertical="center" wrapText="1"/>
    </xf>
    <xf borderId="21" fillId="29" fontId="274" numFmtId="0" xfId="0" applyAlignment="1" applyBorder="1" applyFont="1">
      <alignment horizontal="center" shrinkToFit="0" vertical="center" wrapText="0"/>
    </xf>
    <xf borderId="21" fillId="29" fontId="275" numFmtId="164" xfId="0" applyAlignment="1" applyBorder="1" applyFont="1" applyNumberFormat="1">
      <alignment readingOrder="0" shrinkToFit="0" vertical="center" wrapText="0"/>
    </xf>
    <xf borderId="21" fillId="29" fontId="276" numFmtId="0" xfId="0" applyAlignment="1" applyBorder="1" applyFont="1">
      <alignment shrinkToFit="0" vertical="center" wrapText="0"/>
    </xf>
    <xf borderId="21" fillId="29" fontId="277" numFmtId="0" xfId="0" applyAlignment="1" applyBorder="1" applyFont="1">
      <alignment horizontal="center" shrinkToFit="0" vertical="center" wrapText="0"/>
    </xf>
    <xf borderId="21" fillId="29" fontId="278" numFmtId="0" xfId="0" applyAlignment="1" applyBorder="1" applyFont="1">
      <alignment horizontal="center" readingOrder="0" shrinkToFit="0" vertical="center" wrapText="0"/>
    </xf>
    <xf borderId="21" fillId="29" fontId="267" numFmtId="0" xfId="0" applyAlignment="1" applyBorder="1" applyFont="1">
      <alignment horizontal="center" readingOrder="0" shrinkToFit="0" vertical="center" wrapText="0"/>
    </xf>
    <xf borderId="21" fillId="29" fontId="268" numFmtId="0" xfId="0" applyAlignment="1" applyBorder="1" applyFont="1">
      <alignment readingOrder="0" shrinkToFit="0" vertical="center" wrapText="0"/>
    </xf>
    <xf borderId="21" fillId="29" fontId="268" numFmtId="0" xfId="0" applyAlignment="1" applyBorder="1" applyFont="1">
      <alignment readingOrder="0" shrinkToFit="0" vertical="center" wrapText="0"/>
    </xf>
    <xf borderId="21" fillId="29" fontId="267" numFmtId="0" xfId="0" applyAlignment="1" applyBorder="1" applyFont="1">
      <alignment readingOrder="0" shrinkToFit="0" vertical="center" wrapText="1"/>
    </xf>
    <xf borderId="21" fillId="29" fontId="267" numFmtId="0" xfId="0" applyAlignment="1" applyBorder="1" applyFont="1">
      <alignment horizontal="center" shrinkToFit="0" vertical="center" wrapText="0"/>
    </xf>
    <xf borderId="21" fillId="29" fontId="267" numFmtId="164" xfId="0" applyAlignment="1" applyBorder="1" applyFont="1" applyNumberFormat="1">
      <alignment readingOrder="0" shrinkToFit="0" vertical="center" wrapText="0"/>
    </xf>
    <xf borderId="21" fillId="29" fontId="267" numFmtId="0" xfId="0" applyAlignment="1" applyBorder="1" applyFont="1">
      <alignment shrinkToFit="0" vertical="center" wrapText="0"/>
    </xf>
    <xf borderId="21" fillId="29" fontId="8" numFmtId="0" xfId="0" applyAlignment="1" applyBorder="1" applyFont="1">
      <alignment horizontal="center" readingOrder="0" shrinkToFit="0" vertical="center" wrapText="0"/>
    </xf>
    <xf borderId="21" fillId="29" fontId="8" numFmtId="0" xfId="0" applyAlignment="1" applyBorder="1" applyFont="1">
      <alignment horizontal="center" shrinkToFit="0" vertical="center" wrapText="0"/>
    </xf>
    <xf borderId="0" fillId="29" fontId="267" numFmtId="0" xfId="0" applyAlignment="1" applyFont="1">
      <alignment horizontal="left" readingOrder="0" shrinkToFit="0" vertical="center" wrapText="1"/>
    </xf>
    <xf borderId="0" fillId="29" fontId="267" numFmtId="0" xfId="0" applyAlignment="1" applyFont="1">
      <alignment horizontal="center" readingOrder="0" shrinkToFit="0" vertical="center" wrapText="0"/>
    </xf>
    <xf borderId="21" fillId="29" fontId="268" numFmtId="0" xfId="0" applyAlignment="1" applyBorder="1" applyFont="1">
      <alignment horizontal="center" shrinkToFit="0" vertical="center" wrapText="0"/>
    </xf>
    <xf borderId="21" fillId="0" fontId="8" numFmtId="0" xfId="0" applyAlignment="1" applyBorder="1" applyFont="1">
      <alignment horizontal="center" shrinkToFit="0" vertical="center" wrapText="0"/>
    </xf>
    <xf borderId="21" fillId="7" fontId="8" numFmtId="0" xfId="0" applyAlignment="1" applyBorder="1" applyFont="1">
      <alignment horizontal="center" shrinkToFit="0" vertical="center" wrapText="0"/>
    </xf>
    <xf borderId="21" fillId="8" fontId="8" numFmtId="0" xfId="0" applyAlignment="1" applyBorder="1" applyFont="1">
      <alignment horizontal="center" shrinkToFit="0" vertical="center" wrapText="0"/>
    </xf>
    <xf borderId="21" fillId="9" fontId="8" numFmtId="0" xfId="0" applyAlignment="1" applyBorder="1" applyFont="1">
      <alignment horizontal="center" shrinkToFit="0" vertical="center" wrapText="0"/>
    </xf>
    <xf borderId="0" fillId="30" fontId="2" numFmtId="0" xfId="0" applyAlignment="1" applyFill="1" applyFont="1">
      <alignment horizontal="center" readingOrder="0" shrinkToFit="0" vertical="center" wrapText="0"/>
    </xf>
    <xf borderId="0" fillId="30" fontId="2" numFmtId="0" xfId="0" applyAlignment="1" applyFont="1">
      <alignment horizontal="left" readingOrder="0" shrinkToFit="0" vertical="center" wrapText="0"/>
    </xf>
    <xf borderId="0" fillId="30" fontId="2" numFmtId="0" xfId="0" applyAlignment="1" applyFont="1">
      <alignment horizontal="left" readingOrder="0" shrinkToFit="0" vertical="center" wrapText="1"/>
    </xf>
    <xf borderId="0" fillId="30" fontId="2" numFmtId="164" xfId="0" applyAlignment="1" applyFont="1" applyNumberFormat="1">
      <alignment horizontal="left" readingOrder="0" shrinkToFit="0" vertical="center" wrapText="0"/>
    </xf>
    <xf borderId="0" fillId="30" fontId="2" numFmtId="0" xfId="0" applyAlignment="1" applyFont="1">
      <alignment horizontal="left" readingOrder="0" shrinkToFit="0" vertical="center" wrapText="0"/>
    </xf>
    <xf borderId="0" fillId="30" fontId="2" numFmtId="49" xfId="0" applyAlignment="1" applyFont="1" applyNumberFormat="1">
      <alignment horizontal="center" readingOrder="0" shrinkToFit="0" vertical="center" wrapText="0"/>
    </xf>
    <xf borderId="2" fillId="30" fontId="279" numFmtId="0" xfId="0" applyAlignment="1" applyBorder="1" applyFont="1">
      <alignment horizontal="center" shrinkToFit="0" vertical="center" wrapText="0"/>
    </xf>
    <xf borderId="2" fillId="30" fontId="280" numFmtId="0" xfId="0" applyAlignment="1" applyBorder="1" applyFont="1">
      <alignment shrinkToFit="0" vertical="center" wrapText="0"/>
    </xf>
    <xf borderId="2" fillId="30" fontId="281" numFmtId="0" xfId="0" applyAlignment="1" applyBorder="1" applyFont="1">
      <alignment shrinkToFit="0" vertical="center" wrapText="0"/>
    </xf>
    <xf borderId="2" fillId="30" fontId="279" numFmtId="0" xfId="0" applyAlignment="1" applyBorder="1" applyFont="1">
      <alignment shrinkToFit="0" vertical="center" wrapText="1"/>
    </xf>
    <xf borderId="2" fillId="30" fontId="282" numFmtId="0" xfId="0" applyAlignment="1" applyBorder="1" applyFont="1">
      <alignment horizontal="center" shrinkToFit="0" vertical="center" wrapText="0"/>
    </xf>
    <xf borderId="2" fillId="30" fontId="279" numFmtId="164" xfId="0" applyAlignment="1" applyBorder="1" applyFont="1" applyNumberFormat="1">
      <alignment horizontal="right" shrinkToFit="0" vertical="center" wrapText="0"/>
    </xf>
    <xf borderId="2" fillId="30" fontId="279" numFmtId="0" xfId="0" applyAlignment="1" applyBorder="1" applyFont="1">
      <alignment horizontal="right" shrinkToFit="0" vertical="center" wrapText="0"/>
    </xf>
    <xf borderId="2" fillId="30" fontId="8" numFmtId="0" xfId="0" applyAlignment="1" applyBorder="1" applyFont="1">
      <alignment horizontal="center" shrinkToFit="0" vertical="center" wrapText="0"/>
    </xf>
    <xf borderId="2" fillId="30" fontId="281" numFmtId="0" xfId="0" applyAlignment="1" applyBorder="1" applyFont="1">
      <alignment shrinkToFit="0" vertical="center" wrapText="0"/>
    </xf>
    <xf borderId="2" fillId="30" fontId="8" numFmtId="0" xfId="0" applyAlignment="1" applyBorder="1" applyFont="1">
      <alignment horizontal="center" readingOrder="0" shrinkToFit="0" vertical="center" wrapText="0"/>
    </xf>
    <xf borderId="2" fillId="30" fontId="279" numFmtId="0" xfId="0" applyAlignment="1" applyBorder="1" applyFont="1">
      <alignment horizontal="center" readingOrder="0" shrinkToFit="0" vertical="center" wrapText="0"/>
    </xf>
    <xf borderId="2" fillId="30" fontId="281" numFmtId="0" xfId="0" applyAlignment="1" applyBorder="1" applyFont="1">
      <alignment readingOrder="0" shrinkToFit="0" vertical="center" wrapText="0"/>
    </xf>
    <xf borderId="2" fillId="30" fontId="281" numFmtId="0" xfId="0" applyAlignment="1" applyBorder="1" applyFont="1">
      <alignment readingOrder="0" shrinkToFit="0" vertical="center" wrapText="0"/>
    </xf>
    <xf borderId="2" fillId="30" fontId="279" numFmtId="0" xfId="0" applyAlignment="1" applyBorder="1" applyFont="1">
      <alignment readingOrder="0" shrinkToFit="0" vertical="center" wrapText="1"/>
    </xf>
    <xf borderId="2" fillId="30" fontId="279" numFmtId="164" xfId="0" applyAlignment="1" applyBorder="1" applyFont="1" applyNumberFormat="1">
      <alignment horizontal="right" readingOrder="0" shrinkToFit="0" vertical="center" wrapText="0"/>
    </xf>
    <xf borderId="2" fillId="30" fontId="283" numFmtId="0" xfId="0" applyAlignment="1" applyBorder="1" applyFont="1">
      <alignment horizontal="center" readingOrder="0" shrinkToFit="0" vertical="center" wrapText="0"/>
    </xf>
    <xf borderId="2" fillId="30" fontId="284" numFmtId="0" xfId="0" applyAlignment="1" applyBorder="1" applyFont="1">
      <alignment readingOrder="0" shrinkToFit="0" vertical="center" wrapText="0"/>
    </xf>
    <xf borderId="2" fillId="30" fontId="285" numFmtId="0" xfId="0" applyAlignment="1" applyBorder="1" applyFont="1">
      <alignment readingOrder="0" shrinkToFit="0" vertical="center" wrapText="0"/>
    </xf>
    <xf borderId="2" fillId="30" fontId="286" numFmtId="0" xfId="0" applyAlignment="1" applyBorder="1" applyFont="1">
      <alignment readingOrder="0" shrinkToFit="0" vertical="center" wrapText="1"/>
    </xf>
    <xf borderId="2" fillId="30" fontId="287" numFmtId="0" xfId="0" applyAlignment="1" applyBorder="1" applyFont="1">
      <alignment horizontal="center" shrinkToFit="0" vertical="center" wrapText="0"/>
    </xf>
    <xf borderId="2" fillId="30" fontId="288" numFmtId="164" xfId="0" applyAlignment="1" applyBorder="1" applyFont="1" applyNumberFormat="1">
      <alignment horizontal="right" readingOrder="0" shrinkToFit="0" vertical="center" wrapText="0"/>
    </xf>
    <xf borderId="2" fillId="30" fontId="289" numFmtId="0" xfId="0" applyAlignment="1" applyBorder="1" applyFont="1">
      <alignment horizontal="right" shrinkToFit="0" vertical="center" wrapText="0"/>
    </xf>
    <xf borderId="2" fillId="30" fontId="290" numFmtId="0" xfId="0" applyAlignment="1" applyBorder="1" applyFont="1">
      <alignment horizontal="center" readingOrder="0" shrinkToFit="0" vertical="center" wrapText="0"/>
    </xf>
    <xf borderId="2" fillId="30" fontId="291" numFmtId="0" xfId="0" applyAlignment="1" applyBorder="1" applyFont="1">
      <alignment horizontal="center" shrinkToFit="0" vertical="center" wrapText="0"/>
    </xf>
    <xf borderId="0" fillId="30" fontId="2" numFmtId="0" xfId="0" applyAlignment="1" applyFont="1">
      <alignment horizontal="left" readingOrder="0" shrinkToFit="0" vertical="center" wrapText="1"/>
    </xf>
    <xf borderId="0" fillId="30" fontId="2" numFmtId="0" xfId="0" applyAlignment="1" applyFont="1">
      <alignment horizontal="center" readingOrder="0" shrinkToFit="0" vertical="center" wrapText="0"/>
    </xf>
    <xf borderId="2" fillId="30" fontId="132" numFmtId="0" xfId="0" applyAlignment="1" applyBorder="1" applyFont="1">
      <alignment shrinkToFit="0" vertical="center" wrapText="0"/>
    </xf>
    <xf borderId="2" fillId="30" fontId="2" numFmtId="0" xfId="0" applyAlignment="1" applyBorder="1" applyFont="1">
      <alignment readingOrder="0" shrinkToFit="0" vertical="center" wrapText="0"/>
    </xf>
    <xf borderId="2" fillId="30" fontId="2" numFmtId="0" xfId="0" applyAlignment="1" applyBorder="1" applyFont="1">
      <alignment shrinkToFit="0" vertical="center" wrapText="1"/>
    </xf>
    <xf borderId="2" fillId="30" fontId="2" numFmtId="164" xfId="0" applyAlignment="1" applyBorder="1" applyFont="1" applyNumberFormat="1">
      <alignment shrinkToFit="0" vertical="center" wrapText="0"/>
    </xf>
    <xf borderId="2" fillId="30" fontId="2" numFmtId="0" xfId="0" applyAlignment="1" applyBorder="1" applyFont="1">
      <alignment shrinkToFit="0" vertical="center" wrapText="0"/>
    </xf>
    <xf borderId="0" fillId="31" fontId="2" numFmtId="0" xfId="0" applyAlignment="1" applyFill="1" applyFont="1">
      <alignment horizontal="center" readingOrder="0" shrinkToFit="0" vertical="center" wrapText="0"/>
    </xf>
    <xf borderId="0" fillId="31" fontId="2" numFmtId="0" xfId="0" applyAlignment="1" applyFont="1">
      <alignment horizontal="left" readingOrder="0" shrinkToFit="0" vertical="center" wrapText="0"/>
    </xf>
    <xf borderId="0" fillId="31" fontId="2" numFmtId="0" xfId="0" applyAlignment="1" applyFont="1">
      <alignment horizontal="left" readingOrder="0" shrinkToFit="0" vertical="center" wrapText="1"/>
    </xf>
    <xf borderId="0" fillId="31" fontId="2" numFmtId="164" xfId="0" applyAlignment="1" applyFont="1" applyNumberFormat="1">
      <alignment horizontal="left" readingOrder="0" shrinkToFit="0" vertical="center" wrapText="0"/>
    </xf>
    <xf borderId="0" fillId="31" fontId="2" numFmtId="0" xfId="0" applyAlignment="1" applyFont="1">
      <alignment horizontal="left" readingOrder="0" shrinkToFit="0" vertical="center" wrapText="0"/>
    </xf>
    <xf borderId="0" fillId="31" fontId="2" numFmtId="49" xfId="0" applyAlignment="1" applyFont="1" applyNumberFormat="1">
      <alignment horizontal="center" readingOrder="0" shrinkToFit="0" vertical="center" wrapText="0"/>
    </xf>
    <xf borderId="2" fillId="31" fontId="279" numFmtId="0" xfId="0" applyAlignment="1" applyBorder="1" applyFont="1">
      <alignment horizontal="center" shrinkToFit="0" vertical="center" wrapText="0"/>
    </xf>
    <xf borderId="2" fillId="31" fontId="281" numFmtId="0" xfId="0" applyAlignment="1" applyBorder="1" applyFont="1">
      <alignment shrinkToFit="0" vertical="center" wrapText="0"/>
    </xf>
    <xf borderId="2" fillId="31" fontId="281" numFmtId="0" xfId="0" applyAlignment="1" applyBorder="1" applyFont="1">
      <alignment shrinkToFit="0" vertical="center" wrapText="0"/>
    </xf>
    <xf borderId="2" fillId="31" fontId="279" numFmtId="0" xfId="0" applyAlignment="1" applyBorder="1" applyFont="1">
      <alignment shrinkToFit="0" vertical="center" wrapText="1"/>
    </xf>
    <xf borderId="2" fillId="31" fontId="282" numFmtId="0" xfId="0" applyAlignment="1" applyBorder="1" applyFont="1">
      <alignment horizontal="center" shrinkToFit="0" vertical="center" wrapText="0"/>
    </xf>
    <xf borderId="2" fillId="31" fontId="279" numFmtId="164" xfId="0" applyAlignment="1" applyBorder="1" applyFont="1" applyNumberFormat="1">
      <alignment horizontal="right" shrinkToFit="0" vertical="center" wrapText="0"/>
    </xf>
    <xf borderId="2" fillId="31" fontId="279" numFmtId="0" xfId="0" applyAlignment="1" applyBorder="1" applyFont="1">
      <alignment horizontal="right" shrinkToFit="0" vertical="center" wrapText="0"/>
    </xf>
    <xf borderId="2" fillId="31" fontId="8" numFmtId="0" xfId="0" applyAlignment="1" applyBorder="1" applyFont="1">
      <alignment horizontal="center" readingOrder="0" shrinkToFit="0" vertical="center" wrapText="0"/>
    </xf>
    <xf borderId="2" fillId="31" fontId="8" numFmtId="0" xfId="0" applyAlignment="1" applyBorder="1" applyFont="1">
      <alignment horizontal="center" shrinkToFit="0" vertical="center" wrapText="0"/>
    </xf>
    <xf borderId="2" fillId="31" fontId="280" numFmtId="0" xfId="0" applyAlignment="1" applyBorder="1" applyFont="1">
      <alignment shrinkToFit="0" vertical="center" wrapText="0"/>
    </xf>
    <xf borderId="2" fillId="31" fontId="280" numFmtId="0" xfId="0" applyAlignment="1" applyBorder="1" applyFont="1">
      <alignment readingOrder="0" shrinkToFit="0" vertical="center" wrapText="0"/>
    </xf>
    <xf borderId="2" fillId="31" fontId="292" numFmtId="0" xfId="0" applyAlignment="1" applyBorder="1" applyFont="1">
      <alignment horizontal="center" shrinkToFit="0" vertical="center" wrapText="0"/>
    </xf>
    <xf borderId="2" fillId="31" fontId="293" numFmtId="0" xfId="0" applyAlignment="1" applyBorder="1" applyFont="1">
      <alignment shrinkToFit="0" vertical="center" wrapText="0"/>
    </xf>
    <xf borderId="2" fillId="31" fontId="294" numFmtId="0" xfId="0" applyAlignment="1" applyBorder="1" applyFont="1">
      <alignment shrinkToFit="0" vertical="center" wrapText="0"/>
    </xf>
    <xf borderId="2" fillId="31" fontId="295" numFmtId="0" xfId="0" applyAlignment="1" applyBorder="1" applyFont="1">
      <alignment shrinkToFit="0" vertical="center" wrapText="1"/>
    </xf>
    <xf borderId="2" fillId="31" fontId="296" numFmtId="0" xfId="0" applyAlignment="1" applyBorder="1" applyFont="1">
      <alignment horizontal="center" shrinkToFit="0" vertical="center" wrapText="0"/>
    </xf>
    <xf borderId="2" fillId="31" fontId="297" numFmtId="164" xfId="0" applyAlignment="1" applyBorder="1" applyFont="1" applyNumberFormat="1">
      <alignment horizontal="right" shrinkToFit="0" vertical="center" wrapText="0"/>
    </xf>
    <xf borderId="2" fillId="31" fontId="298" numFmtId="0" xfId="0" applyAlignment="1" applyBorder="1" applyFont="1">
      <alignment horizontal="right" shrinkToFit="0" vertical="center" wrapText="0"/>
    </xf>
    <xf borderId="2" fillId="31" fontId="299" numFmtId="0" xfId="0" applyAlignment="1" applyBorder="1" applyFont="1">
      <alignment horizontal="center" shrinkToFit="0" vertical="center" wrapText="0"/>
    </xf>
    <xf borderId="2" fillId="31" fontId="300" numFmtId="0" xfId="0" applyAlignment="1" applyBorder="1" applyFont="1">
      <alignment horizontal="center" readingOrder="0" shrinkToFit="0" vertical="center" wrapText="0"/>
    </xf>
    <xf borderId="2" fillId="31" fontId="301" numFmtId="0" xfId="0" applyAlignment="1" applyBorder="1" applyFont="1">
      <alignment readingOrder="0" shrinkToFit="0" vertical="center" wrapText="0"/>
    </xf>
    <xf borderId="2" fillId="31" fontId="302" numFmtId="0" xfId="0" applyAlignment="1" applyBorder="1" applyFont="1">
      <alignment readingOrder="0" shrinkToFit="0" vertical="center" wrapText="0"/>
    </xf>
    <xf borderId="2" fillId="31" fontId="303" numFmtId="0" xfId="0" applyAlignment="1" applyBorder="1" applyFont="1">
      <alignment readingOrder="0" shrinkToFit="0" vertical="center" wrapText="1"/>
    </xf>
    <xf borderId="2" fillId="31" fontId="304" numFmtId="0" xfId="0" applyAlignment="1" applyBorder="1" applyFont="1">
      <alignment horizontal="center" shrinkToFit="0" vertical="center" wrapText="0"/>
    </xf>
    <xf borderId="2" fillId="31" fontId="305" numFmtId="164" xfId="0" applyAlignment="1" applyBorder="1" applyFont="1" applyNumberFormat="1">
      <alignment horizontal="right" readingOrder="0" shrinkToFit="0" vertical="center" wrapText="0"/>
    </xf>
    <xf borderId="2" fillId="31" fontId="306" numFmtId="0" xfId="0" applyAlignment="1" applyBorder="1" applyFont="1">
      <alignment horizontal="center" readingOrder="0" shrinkToFit="0" vertical="center" wrapText="0"/>
    </xf>
    <xf borderId="2" fillId="31" fontId="40" numFmtId="0" xfId="0" applyAlignment="1" applyBorder="1" applyFont="1">
      <alignment horizontal="center" shrinkToFit="0" vertical="center" wrapText="0"/>
    </xf>
    <xf borderId="0" fillId="31" fontId="2" numFmtId="0" xfId="0" applyAlignment="1" applyFont="1">
      <alignment horizontal="left" readingOrder="0" shrinkToFit="0" vertical="center" wrapText="1"/>
    </xf>
    <xf borderId="0" fillId="31" fontId="2" numFmtId="0" xfId="0" applyAlignment="1" applyFont="1">
      <alignment horizontal="center" readingOrder="0" shrinkToFit="0" vertical="center" wrapText="0"/>
    </xf>
    <xf borderId="2" fillId="31" fontId="132" numFmtId="0" xfId="0" applyAlignment="1" applyBorder="1" applyFont="1">
      <alignment shrinkToFit="0" vertical="center" wrapText="0"/>
    </xf>
    <xf borderId="2" fillId="31" fontId="132" numFmtId="0" xfId="0" applyAlignment="1" applyBorder="1" applyFont="1">
      <alignment readingOrder="0" shrinkToFit="0" vertical="center" wrapText="0"/>
    </xf>
    <xf borderId="2" fillId="31" fontId="2" numFmtId="0" xfId="0" applyAlignment="1" applyBorder="1" applyFont="1">
      <alignment shrinkToFit="0" vertical="center" wrapText="1"/>
    </xf>
    <xf borderId="2" fillId="31" fontId="132" numFmtId="0" xfId="0" applyAlignment="1" applyBorder="1" applyFont="1">
      <alignment horizontal="center" shrinkToFit="0" vertical="center" wrapText="0"/>
    </xf>
    <xf borderId="2" fillId="31" fontId="2" numFmtId="164" xfId="0" applyAlignment="1" applyBorder="1" applyFont="1" applyNumberFormat="1">
      <alignment shrinkToFit="0" vertical="center" wrapText="0"/>
    </xf>
    <xf borderId="2" fillId="31" fontId="2" numFmtId="0" xfId="0" applyAlignment="1" applyBorder="1" applyFont="1">
      <alignment shrinkToFit="0" vertical="center" wrapText="0"/>
    </xf>
    <xf borderId="0" fillId="7" fontId="5" numFmtId="0" xfId="0" applyAlignment="1" applyFont="1">
      <alignment horizontal="center" readingOrder="0" shrinkToFit="0" vertical="center" wrapText="0"/>
    </xf>
    <xf borderId="0" fillId="32" fontId="307" numFmtId="0" xfId="0" applyAlignment="1" applyFill="1" applyFont="1">
      <alignment horizontal="center" readingOrder="0" shrinkToFit="0" vertical="center" wrapText="0"/>
    </xf>
    <xf borderId="0" fillId="32" fontId="307" numFmtId="0" xfId="0" applyAlignment="1" applyFont="1">
      <alignment horizontal="left" readingOrder="0" shrinkToFit="0" vertical="center" wrapText="0"/>
    </xf>
    <xf borderId="0" fillId="32" fontId="307" numFmtId="0" xfId="0" applyAlignment="1" applyFont="1">
      <alignment horizontal="left" readingOrder="0" shrinkToFit="0" vertical="center" wrapText="1"/>
    </xf>
    <xf borderId="0" fillId="32" fontId="307" numFmtId="164" xfId="0" applyAlignment="1" applyFont="1" applyNumberFormat="1">
      <alignment horizontal="left" readingOrder="0" shrinkToFit="0" vertical="center" wrapText="0"/>
    </xf>
    <xf borderId="0" fillId="32" fontId="307" numFmtId="0" xfId="0" applyAlignment="1" applyFont="1">
      <alignment horizontal="left" readingOrder="0" shrinkToFit="0" vertical="center" wrapText="0"/>
    </xf>
    <xf borderId="0" fillId="32" fontId="307" numFmtId="49" xfId="0" applyAlignment="1" applyFont="1" applyNumberFormat="1">
      <alignment horizontal="center" readingOrder="0" shrinkToFit="0" vertical="center" wrapText="0"/>
    </xf>
    <xf borderId="22" fillId="32" fontId="307" numFmtId="0" xfId="0" applyAlignment="1" applyBorder="1" applyFont="1">
      <alignment horizontal="center" readingOrder="0" shrinkToFit="0" vertical="center" wrapText="0"/>
    </xf>
    <xf borderId="22" fillId="32" fontId="308" numFmtId="0" xfId="0" applyAlignment="1" applyBorder="1" applyFont="1">
      <alignment readingOrder="0" shrinkToFit="0" vertical="center" wrapText="0"/>
    </xf>
    <xf borderId="22" fillId="32" fontId="308" numFmtId="0" xfId="0" applyAlignment="1" applyBorder="1" applyFont="1">
      <alignment readingOrder="0" shrinkToFit="0" vertical="center" wrapText="0"/>
    </xf>
    <xf borderId="22" fillId="32" fontId="307" numFmtId="0" xfId="0" applyAlignment="1" applyBorder="1" applyFont="1">
      <alignment readingOrder="0" shrinkToFit="0" vertical="center" wrapText="1"/>
    </xf>
    <xf borderId="22" fillId="32" fontId="307" numFmtId="0" xfId="0" applyAlignment="1" applyBorder="1" applyFont="1">
      <alignment horizontal="center" shrinkToFit="0" vertical="center" wrapText="0"/>
    </xf>
    <xf borderId="22" fillId="32" fontId="307" numFmtId="164" xfId="0" applyAlignment="1" applyBorder="1" applyFont="1" applyNumberFormat="1">
      <alignment readingOrder="0" shrinkToFit="0" vertical="center" wrapText="0"/>
    </xf>
    <xf borderId="22" fillId="32" fontId="307" numFmtId="0" xfId="0" applyAlignment="1" applyBorder="1" applyFont="1">
      <alignment shrinkToFit="0" vertical="center" wrapText="0"/>
    </xf>
    <xf borderId="22" fillId="32" fontId="8" numFmtId="0" xfId="0" applyAlignment="1" applyBorder="1" applyFont="1">
      <alignment horizontal="center" shrinkToFit="0" vertical="center" wrapText="0"/>
    </xf>
    <xf borderId="22" fillId="32" fontId="8" numFmtId="0" xfId="0" applyAlignment="1" applyBorder="1" applyFont="1">
      <alignment horizontal="center" readingOrder="0" shrinkToFit="0" vertical="center" wrapText="0"/>
    </xf>
    <xf borderId="22" fillId="32" fontId="309" numFmtId="0" xfId="0" applyAlignment="1" applyBorder="1" applyFont="1">
      <alignment readingOrder="0" shrinkToFit="0" vertical="center" wrapText="0"/>
    </xf>
    <xf borderId="22" fillId="32" fontId="310" numFmtId="0" xfId="0" applyAlignment="1" applyBorder="1" applyFont="1">
      <alignment horizontal="center" readingOrder="0" shrinkToFit="0" vertical="center" wrapText="0"/>
    </xf>
    <xf borderId="22" fillId="32" fontId="311" numFmtId="0" xfId="0" applyAlignment="1" applyBorder="1" applyFont="1">
      <alignment readingOrder="0" shrinkToFit="0" vertical="center" wrapText="0"/>
    </xf>
    <xf borderId="22" fillId="32" fontId="312" numFmtId="0" xfId="0" applyAlignment="1" applyBorder="1" applyFont="1">
      <alignment readingOrder="0" shrinkToFit="0" vertical="center" wrapText="0"/>
    </xf>
    <xf borderId="22" fillId="32" fontId="313" numFmtId="0" xfId="0" applyAlignment="1" applyBorder="1" applyFont="1">
      <alignment readingOrder="0" shrinkToFit="0" vertical="center" wrapText="1"/>
    </xf>
    <xf borderId="22" fillId="32" fontId="314" numFmtId="0" xfId="0" applyAlignment="1" applyBorder="1" applyFont="1">
      <alignment horizontal="center" shrinkToFit="0" vertical="center" wrapText="0"/>
    </xf>
    <xf borderId="22" fillId="32" fontId="315" numFmtId="164" xfId="0" applyAlignment="1" applyBorder="1" applyFont="1" applyNumberFormat="1">
      <alignment readingOrder="0" shrinkToFit="0" vertical="center" wrapText="0"/>
    </xf>
    <xf borderId="22" fillId="32" fontId="316" numFmtId="0" xfId="0" applyAlignment="1" applyBorder="1" applyFont="1">
      <alignment shrinkToFit="0" vertical="center" wrapText="0"/>
    </xf>
    <xf borderId="22" fillId="32" fontId="317" numFmtId="0" xfId="0" applyAlignment="1" applyBorder="1" applyFont="1">
      <alignment horizontal="center" shrinkToFit="0" vertical="center" wrapText="0"/>
    </xf>
    <xf borderId="22" fillId="32" fontId="318" numFmtId="0" xfId="0" applyAlignment="1" applyBorder="1" applyFont="1">
      <alignment horizontal="center" readingOrder="0" shrinkToFit="0" vertical="center" wrapText="0"/>
    </xf>
    <xf borderId="22" fillId="32" fontId="319" numFmtId="0" xfId="0" applyAlignment="1" applyBorder="1" applyFont="1">
      <alignment readingOrder="0" shrinkToFit="0" vertical="center" wrapText="0"/>
    </xf>
    <xf borderId="0" fillId="32" fontId="320" numFmtId="0" xfId="0" applyAlignment="1" applyFont="1">
      <alignment horizontal="center" readingOrder="0" shrinkToFit="0" vertical="center" wrapText="0"/>
    </xf>
    <xf borderId="0" fillId="32" fontId="320" numFmtId="0" xfId="0" applyAlignment="1" applyFont="1">
      <alignment horizontal="left" readingOrder="0" shrinkToFit="0" vertical="center" wrapText="0"/>
    </xf>
    <xf borderId="0" fillId="32" fontId="320" numFmtId="0" xfId="0" applyAlignment="1" applyFont="1">
      <alignment horizontal="left" readingOrder="0" shrinkToFit="0" vertical="center" wrapText="1"/>
    </xf>
    <xf borderId="22" fillId="32" fontId="321" numFmtId="0" xfId="0" applyAlignment="1" applyBorder="1" applyFont="1">
      <alignment shrinkToFit="0" vertical="center" wrapText="0"/>
    </xf>
    <xf borderId="22" fillId="32" fontId="321" numFmtId="0" xfId="0" applyAlignment="1" applyBorder="1" applyFont="1">
      <alignment readingOrder="0" shrinkToFit="0" vertical="center" wrapText="0"/>
    </xf>
    <xf borderId="22" fillId="32" fontId="320" numFmtId="0" xfId="0" applyAlignment="1" applyBorder="1" applyFont="1">
      <alignment readingOrder="0" shrinkToFit="0" vertical="center" wrapText="1"/>
    </xf>
    <xf borderId="22" fillId="32" fontId="321" numFmtId="0" xfId="0" applyAlignment="1" applyBorder="1" applyFont="1">
      <alignment horizontal="center" shrinkToFit="0" vertical="center" wrapText="0"/>
    </xf>
    <xf borderId="22" fillId="32" fontId="320" numFmtId="164" xfId="0" applyAlignment="1" applyBorder="1" applyFont="1" applyNumberFormat="1">
      <alignment readingOrder="0" shrinkToFit="0" vertical="center" wrapText="0"/>
    </xf>
    <xf borderId="22" fillId="32" fontId="320" numFmtId="0" xfId="0" applyAlignment="1" applyBorder="1" applyFont="1">
      <alignment shrinkToFit="0" vertical="center" wrapText="0"/>
    </xf>
    <xf borderId="22" fillId="0" fontId="8" numFmtId="0" xfId="0" applyAlignment="1" applyBorder="1" applyFont="1">
      <alignment horizontal="center" shrinkToFit="0" vertical="center" wrapText="0"/>
    </xf>
    <xf borderId="22" fillId="7" fontId="8" numFmtId="0" xfId="0" applyAlignment="1" applyBorder="1" applyFont="1">
      <alignment horizontal="center" shrinkToFit="0" vertical="center" wrapText="0"/>
    </xf>
    <xf borderId="22" fillId="8" fontId="8" numFmtId="0" xfId="0" applyAlignment="1" applyBorder="1" applyFont="1">
      <alignment horizontal="center" shrinkToFit="0" vertical="center" wrapText="0"/>
    </xf>
    <xf borderId="22" fillId="9" fontId="8" numFmtId="0" xfId="0" applyAlignment="1" applyBorder="1" applyFont="1">
      <alignment horizontal="center" shrinkToFit="0" vertical="center" wrapText="0"/>
    </xf>
    <xf borderId="0" fillId="32" fontId="320" numFmtId="0" xfId="0" applyAlignment="1" applyFont="1">
      <alignment horizontal="left" readingOrder="0" shrinkToFit="0" vertical="center" wrapText="0"/>
    </xf>
    <xf borderId="0" fillId="33" fontId="322" numFmtId="0" xfId="0" applyAlignment="1" applyFill="1" applyFont="1">
      <alignment horizontal="center" readingOrder="0" shrinkToFit="0" vertical="center" wrapText="0"/>
    </xf>
    <xf borderId="0" fillId="33" fontId="322" numFmtId="0" xfId="0" applyAlignment="1" applyFont="1">
      <alignment horizontal="left" readingOrder="0" shrinkToFit="0" vertical="center" wrapText="0"/>
    </xf>
    <xf borderId="0" fillId="33" fontId="322" numFmtId="0" xfId="0" applyAlignment="1" applyFont="1">
      <alignment horizontal="left" readingOrder="0" shrinkToFit="0" vertical="center" wrapText="0"/>
    </xf>
    <xf borderId="0" fillId="33" fontId="322" numFmtId="164" xfId="0" applyAlignment="1" applyFont="1" applyNumberFormat="1">
      <alignment horizontal="left" readingOrder="0" shrinkToFit="0" vertical="center" wrapText="0"/>
    </xf>
    <xf borderId="0" fillId="33" fontId="322" numFmtId="49" xfId="0" applyAlignment="1" applyFont="1" applyNumberFormat="1">
      <alignment horizontal="center" readingOrder="0" shrinkToFit="0" vertical="center" wrapText="0"/>
    </xf>
    <xf borderId="23" fillId="33" fontId="322" numFmtId="0" xfId="0" applyAlignment="1" applyBorder="1" applyFont="1">
      <alignment horizontal="center" readingOrder="0" shrinkToFit="0" vertical="center" wrapText="0"/>
    </xf>
    <xf borderId="23" fillId="33" fontId="323" numFmtId="0" xfId="0" applyAlignment="1" applyBorder="1" applyFont="1">
      <alignment readingOrder="0" shrinkToFit="0" vertical="center" wrapText="0"/>
    </xf>
    <xf borderId="23" fillId="33" fontId="323" numFmtId="0" xfId="0" applyAlignment="1" applyBorder="1" applyFont="1">
      <alignment readingOrder="0" shrinkToFit="0" vertical="center" wrapText="0"/>
    </xf>
    <xf borderId="23" fillId="33" fontId="322" numFmtId="0" xfId="0" applyAlignment="1" applyBorder="1" applyFont="1">
      <alignment readingOrder="0" shrinkToFit="0" vertical="center" wrapText="0"/>
    </xf>
    <xf borderId="23" fillId="33" fontId="322" numFmtId="0" xfId="0" applyAlignment="1" applyBorder="1" applyFont="1">
      <alignment horizontal="center" shrinkToFit="0" vertical="center" wrapText="0"/>
    </xf>
    <xf borderId="23" fillId="33" fontId="322" numFmtId="164" xfId="0" applyAlignment="1" applyBorder="1" applyFont="1" applyNumberFormat="1">
      <alignment readingOrder="0" shrinkToFit="0" vertical="center" wrapText="0"/>
    </xf>
    <xf borderId="23" fillId="33" fontId="322" numFmtId="0" xfId="0" applyAlignment="1" applyBorder="1" applyFont="1">
      <alignment shrinkToFit="0" vertical="center" wrapText="0"/>
    </xf>
    <xf borderId="23" fillId="33" fontId="8" numFmtId="0" xfId="0" applyAlignment="1" applyBorder="1" applyFont="1">
      <alignment horizontal="center" shrinkToFit="0" vertical="center" wrapText="0"/>
    </xf>
    <xf borderId="23" fillId="33" fontId="324" numFmtId="0" xfId="0" applyAlignment="1" applyBorder="1" applyFont="1">
      <alignment readingOrder="0" shrinkToFit="0" vertical="center" wrapText="0"/>
    </xf>
    <xf borderId="23" fillId="33" fontId="8" numFmtId="0" xfId="0" applyAlignment="1" applyBorder="1" applyFont="1">
      <alignment horizontal="center" readingOrder="0" shrinkToFit="0" vertical="center" wrapText="0"/>
    </xf>
    <xf borderId="23" fillId="33" fontId="325" numFmtId="0" xfId="0" applyAlignment="1" applyBorder="1" applyFont="1">
      <alignment horizontal="center" readingOrder="0" shrinkToFit="0" vertical="center" wrapText="0"/>
    </xf>
    <xf borderId="23" fillId="33" fontId="326" numFmtId="0" xfId="0" applyAlignment="1" applyBorder="1" applyFont="1">
      <alignment readingOrder="0" shrinkToFit="0" vertical="center" wrapText="0"/>
    </xf>
    <xf borderId="23" fillId="33" fontId="327" numFmtId="0" xfId="0" applyAlignment="1" applyBorder="1" applyFont="1">
      <alignment readingOrder="0" shrinkToFit="0" vertical="center" wrapText="0"/>
    </xf>
    <xf borderId="23" fillId="33" fontId="328" numFmtId="0" xfId="0" applyAlignment="1" applyBorder="1" applyFont="1">
      <alignment readingOrder="0" shrinkToFit="0" vertical="center" wrapText="0"/>
    </xf>
    <xf borderId="23" fillId="33" fontId="329" numFmtId="0" xfId="0" applyAlignment="1" applyBorder="1" applyFont="1">
      <alignment horizontal="center" shrinkToFit="0" vertical="center" wrapText="0"/>
    </xf>
    <xf borderId="23" fillId="33" fontId="330" numFmtId="164" xfId="0" applyAlignment="1" applyBorder="1" applyFont="1" applyNumberFormat="1">
      <alignment readingOrder="0" shrinkToFit="0" vertical="center" wrapText="0"/>
    </xf>
    <xf borderId="23" fillId="33" fontId="331" numFmtId="0" xfId="0" applyAlignment="1" applyBorder="1" applyFont="1">
      <alignment shrinkToFit="0" vertical="center" wrapText="0"/>
    </xf>
    <xf borderId="23" fillId="33" fontId="332" numFmtId="0" xfId="0" applyAlignment="1" applyBorder="1" applyFont="1">
      <alignment horizontal="center" readingOrder="0" shrinkToFit="0" vertical="center" wrapText="0"/>
    </xf>
    <xf borderId="23" fillId="33" fontId="333" numFmtId="0" xfId="0" applyAlignment="1" applyBorder="1" applyFont="1">
      <alignment horizontal="center" shrinkToFit="0" vertical="center" wrapText="0"/>
    </xf>
    <xf borderId="0" fillId="33" fontId="322" numFmtId="0" xfId="0" applyAlignment="1" applyFont="1">
      <alignment horizontal="left" readingOrder="0" shrinkToFit="0" vertical="center" wrapText="1"/>
    </xf>
    <xf borderId="0" fillId="33" fontId="322" numFmtId="0" xfId="0" applyAlignment="1" applyFont="1">
      <alignment horizontal="center" readingOrder="0" shrinkToFit="0" vertical="center" wrapText="0"/>
    </xf>
    <xf borderId="23" fillId="33" fontId="323" numFmtId="0" xfId="0" applyAlignment="1" applyBorder="1" applyFont="1">
      <alignment shrinkToFit="0" vertical="center" wrapText="0"/>
    </xf>
    <xf borderId="23" fillId="33" fontId="322" numFmtId="0" xfId="0" applyAlignment="1" applyBorder="1" applyFont="1">
      <alignment readingOrder="0" shrinkToFit="0" vertical="center" wrapText="1"/>
    </xf>
    <xf borderId="23" fillId="33" fontId="323" numFmtId="0" xfId="0" applyAlignment="1" applyBorder="1" applyFont="1">
      <alignment horizontal="center" shrinkToFit="0" vertical="center" wrapText="0"/>
    </xf>
    <xf borderId="23" fillId="0" fontId="8" numFmtId="0" xfId="0" applyAlignment="1" applyBorder="1" applyFont="1">
      <alignment horizontal="center" shrinkToFit="0" vertical="center" wrapText="0"/>
    </xf>
    <xf borderId="23" fillId="7" fontId="8" numFmtId="0" xfId="0" applyAlignment="1" applyBorder="1" applyFont="1">
      <alignment horizontal="center" shrinkToFit="0" vertical="center" wrapText="0"/>
    </xf>
    <xf borderId="23" fillId="8" fontId="8" numFmtId="0" xfId="0" applyAlignment="1" applyBorder="1" applyFont="1">
      <alignment horizontal="center" shrinkToFit="0" vertical="center" wrapText="0"/>
    </xf>
    <xf borderId="23" fillId="9" fontId="8" numFmtId="0" xfId="0" applyAlignment="1" applyBorder="1" applyFont="1">
      <alignment horizontal="center" shrinkToFit="0" vertical="center" wrapText="0"/>
    </xf>
    <xf borderId="0" fillId="9" fontId="34" numFmtId="0" xfId="0" applyAlignment="1" applyFont="1">
      <alignment readingOrder="0" shrinkToFit="0" vertical="center" wrapText="0"/>
    </xf>
    <xf borderId="0" fillId="8" fontId="34" numFmtId="0" xfId="0" applyAlignment="1" applyFont="1">
      <alignment readingOrder="0" shrinkToFit="0" vertical="center" wrapText="0"/>
    </xf>
    <xf borderId="0" fillId="8" fontId="34" numFmtId="0" xfId="0" applyAlignment="1" applyFont="1">
      <alignment shrinkToFit="0" vertical="center" wrapText="0"/>
    </xf>
    <xf borderId="0" fillId="7" fontId="3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34" numFmtId="0" xfId="0" applyAlignment="1" applyFont="1">
      <alignment shrinkToFit="0" vertical="center" wrapText="0"/>
    </xf>
    <xf borderId="0" fillId="34" fontId="2" numFmtId="0" xfId="0" applyAlignment="1" applyFill="1" applyFont="1">
      <alignment horizontal="center" readingOrder="0" shrinkToFit="0" vertical="center" wrapText="0"/>
    </xf>
    <xf borderId="0" fillId="34" fontId="2" numFmtId="0" xfId="0" applyAlignment="1" applyFont="1">
      <alignment horizontal="left" readingOrder="0" shrinkToFit="0" vertical="center" wrapText="0"/>
    </xf>
    <xf borderId="0" fillId="34" fontId="2" numFmtId="0" xfId="0" applyAlignment="1" applyFont="1">
      <alignment horizontal="left" readingOrder="0" shrinkToFit="0" vertical="center" wrapText="1"/>
    </xf>
    <xf borderId="0" fillId="34" fontId="2" numFmtId="164" xfId="0" applyAlignment="1" applyFont="1" applyNumberFormat="1">
      <alignment horizontal="left" readingOrder="0" shrinkToFit="0" vertical="center" wrapText="0"/>
    </xf>
    <xf borderId="0" fillId="34" fontId="2" numFmtId="0" xfId="0" applyAlignment="1" applyFont="1">
      <alignment horizontal="left" readingOrder="0" shrinkToFit="0" vertical="center" wrapText="0"/>
    </xf>
    <xf borderId="0" fillId="34" fontId="2" numFmtId="49" xfId="0" applyAlignment="1" applyFont="1" applyNumberFormat="1">
      <alignment horizontal="center" readingOrder="0" shrinkToFit="0" vertical="center" wrapText="0"/>
    </xf>
    <xf borderId="2" fillId="34" fontId="2" numFmtId="0" xfId="0" applyAlignment="1" applyBorder="1" applyFont="1">
      <alignment horizontal="center" readingOrder="0" shrinkToFit="0" vertical="center" wrapText="0"/>
    </xf>
    <xf borderId="2" fillId="34" fontId="132" numFmtId="0" xfId="0" applyAlignment="1" applyBorder="1" applyFont="1">
      <alignment readingOrder="0" shrinkToFit="0" vertical="center" wrapText="0"/>
    </xf>
    <xf borderId="2" fillId="34" fontId="132" numFmtId="0" xfId="0" applyAlignment="1" applyBorder="1" applyFont="1">
      <alignment readingOrder="0" shrinkToFit="0" vertical="center" wrapText="0"/>
    </xf>
    <xf borderId="2" fillId="34" fontId="2" numFmtId="0" xfId="0" applyAlignment="1" applyBorder="1" applyFont="1">
      <alignment readingOrder="0" shrinkToFit="0" vertical="center" wrapText="1"/>
    </xf>
    <xf borderId="2" fillId="34" fontId="2" numFmtId="0" xfId="0" applyAlignment="1" applyBorder="1" applyFont="1">
      <alignment horizontal="center" shrinkToFit="0" vertical="center" wrapText="0"/>
    </xf>
    <xf borderId="2" fillId="34" fontId="2" numFmtId="164" xfId="0" applyAlignment="1" applyBorder="1" applyFont="1" applyNumberFormat="1">
      <alignment readingOrder="0" shrinkToFit="0" vertical="center" wrapText="0"/>
    </xf>
    <xf borderId="2" fillId="34" fontId="2" numFmtId="0" xfId="0" applyAlignment="1" applyBorder="1" applyFont="1">
      <alignment shrinkToFit="0" vertical="center" wrapText="0"/>
    </xf>
    <xf borderId="2" fillId="34" fontId="8" numFmtId="0" xfId="0" applyAlignment="1" applyBorder="1" applyFont="1">
      <alignment horizontal="center" readingOrder="0" shrinkToFit="0" vertical="center" wrapText="0"/>
    </xf>
    <xf borderId="2" fillId="34" fontId="8" numFmtId="0" xfId="0" applyAlignment="1" applyBorder="1" applyFont="1">
      <alignment horizontal="center" shrinkToFit="0" vertical="center" wrapText="0"/>
    </xf>
    <xf borderId="2" fillId="34" fontId="133" numFmtId="0" xfId="0" applyAlignment="1" applyBorder="1" applyFont="1">
      <alignment readingOrder="0" shrinkToFit="0" vertical="center" wrapText="0"/>
    </xf>
    <xf borderId="2" fillId="34" fontId="334" numFmtId="0" xfId="0" applyAlignment="1" applyBorder="1" applyFont="1">
      <alignment horizontal="center" readingOrder="0" shrinkToFit="0" vertical="center" wrapText="0"/>
    </xf>
    <xf borderId="2" fillId="34" fontId="335" numFmtId="0" xfId="0" applyAlignment="1" applyBorder="1" applyFont="1">
      <alignment readingOrder="0" shrinkToFit="0" vertical="center" wrapText="0"/>
    </xf>
    <xf borderId="2" fillId="34" fontId="336" numFmtId="0" xfId="0" applyAlignment="1" applyBorder="1" applyFont="1">
      <alignment readingOrder="0" shrinkToFit="0" vertical="center" wrapText="0"/>
    </xf>
    <xf borderId="2" fillId="34" fontId="337" numFmtId="0" xfId="0" applyAlignment="1" applyBorder="1" applyFont="1">
      <alignment readingOrder="0" shrinkToFit="0" vertical="center" wrapText="1"/>
    </xf>
    <xf borderId="2" fillId="34" fontId="338" numFmtId="0" xfId="0" applyAlignment="1" applyBorder="1" applyFont="1">
      <alignment horizontal="center" shrinkToFit="0" vertical="center" wrapText="0"/>
    </xf>
    <xf borderId="2" fillId="34" fontId="339" numFmtId="164" xfId="0" applyAlignment="1" applyBorder="1" applyFont="1" applyNumberFormat="1">
      <alignment readingOrder="0" shrinkToFit="0" vertical="center" wrapText="0"/>
    </xf>
    <xf borderId="2" fillId="34" fontId="340" numFmtId="0" xfId="0" applyAlignment="1" applyBorder="1" applyFont="1">
      <alignment shrinkToFit="0" vertical="center" wrapText="0"/>
    </xf>
    <xf borderId="2" fillId="34" fontId="341" numFmtId="0" xfId="0" applyAlignment="1" applyBorder="1" applyFont="1">
      <alignment horizontal="center" readingOrder="0" shrinkToFit="0" vertical="center" wrapText="0"/>
    </xf>
    <xf borderId="2" fillId="34" fontId="342" numFmtId="0" xfId="0" applyAlignment="1" applyBorder="1" applyFont="1">
      <alignment horizontal="center" shrinkToFit="0" vertical="center" wrapText="0"/>
    </xf>
    <xf borderId="0" fillId="34" fontId="2" numFmtId="0" xfId="0" applyAlignment="1" applyFont="1">
      <alignment horizontal="left" readingOrder="0" shrinkToFit="0" vertical="center" wrapText="1"/>
    </xf>
    <xf borderId="0" fillId="34" fontId="2" numFmtId="0" xfId="0" applyAlignment="1" applyFont="1">
      <alignment horizontal="center" readingOrder="0" shrinkToFit="0" vertical="center" wrapText="0"/>
    </xf>
    <xf borderId="2" fillId="34" fontId="132" numFmtId="0" xfId="0" applyAlignment="1" applyBorder="1" applyFont="1">
      <alignment shrinkToFit="0" vertical="center" wrapText="0"/>
    </xf>
    <xf borderId="2" fillId="34" fontId="132" numFmtId="0" xfId="0" applyAlignment="1" applyBorder="1" applyFont="1">
      <alignment horizontal="center" shrinkToFit="0" vertical="center" wrapText="0"/>
    </xf>
    <xf borderId="2" fillId="34" fontId="2" numFmtId="164" xfId="0" applyAlignment="1" applyBorder="1" applyFont="1" applyNumberFormat="1">
      <alignment readingOrder="0" shrinkToFit="0" vertical="center" wrapText="0"/>
    </xf>
    <xf borderId="0" fillId="35" fontId="343" numFmtId="0" xfId="0" applyAlignment="1" applyFill="1" applyFont="1">
      <alignment horizontal="center" readingOrder="0" shrinkToFit="0" vertical="center" wrapText="0"/>
    </xf>
    <xf borderId="0" fillId="35" fontId="343" numFmtId="0" xfId="0" applyAlignment="1" applyFont="1">
      <alignment horizontal="left" readingOrder="0" shrinkToFit="0" vertical="center" wrapText="0"/>
    </xf>
    <xf borderId="0" fillId="35" fontId="343" numFmtId="0" xfId="0" applyAlignment="1" applyFont="1">
      <alignment horizontal="left" readingOrder="0" shrinkToFit="0" vertical="center" wrapText="1"/>
    </xf>
    <xf borderId="0" fillId="35" fontId="343" numFmtId="164" xfId="0" applyAlignment="1" applyFont="1" applyNumberFormat="1">
      <alignment horizontal="left" readingOrder="0" shrinkToFit="0" vertical="center" wrapText="0"/>
    </xf>
    <xf borderId="0" fillId="35" fontId="343" numFmtId="0" xfId="0" applyAlignment="1" applyFont="1">
      <alignment horizontal="left" readingOrder="0" shrinkToFit="0" vertical="center" wrapText="0"/>
    </xf>
    <xf borderId="0" fillId="35" fontId="343" numFmtId="49" xfId="0" applyAlignment="1" applyFont="1" applyNumberFormat="1">
      <alignment horizontal="center" readingOrder="0" shrinkToFit="0" vertical="center" wrapText="0"/>
    </xf>
    <xf borderId="24" fillId="35" fontId="344" numFmtId="0" xfId="0" applyAlignment="1" applyBorder="1" applyFont="1">
      <alignment horizontal="center" shrinkToFit="0" vertical="center" wrapText="0"/>
    </xf>
    <xf borderId="24" fillId="35" fontId="345" numFmtId="0" xfId="0" applyAlignment="1" applyBorder="1" applyFont="1">
      <alignment shrinkToFit="0" vertical="center" wrapText="0"/>
    </xf>
    <xf borderId="24" fillId="35" fontId="345" numFmtId="0" xfId="0" applyAlignment="1" applyBorder="1" applyFont="1">
      <alignment shrinkToFit="0" vertical="center" wrapText="0"/>
    </xf>
    <xf borderId="24" fillId="35" fontId="344" numFmtId="0" xfId="0" applyAlignment="1" applyBorder="1" applyFont="1">
      <alignment shrinkToFit="0" vertical="center" wrapText="1"/>
    </xf>
    <xf borderId="24" fillId="35" fontId="346" numFmtId="0" xfId="0" applyAlignment="1" applyBorder="1" applyFont="1">
      <alignment horizontal="center" shrinkToFit="0" vertical="center" wrapText="0"/>
    </xf>
    <xf borderId="24" fillId="35" fontId="344" numFmtId="164" xfId="0" applyAlignment="1" applyBorder="1" applyFont="1" applyNumberFormat="1">
      <alignment horizontal="right" shrinkToFit="0" vertical="center" wrapText="0"/>
    </xf>
    <xf borderId="24" fillId="35" fontId="344" numFmtId="0" xfId="0" applyAlignment="1" applyBorder="1" applyFont="1">
      <alignment horizontal="right" shrinkToFit="0" vertical="center" wrapText="0"/>
    </xf>
    <xf borderId="24" fillId="35" fontId="8" numFmtId="0" xfId="0" applyAlignment="1" applyBorder="1" applyFont="1">
      <alignment horizontal="center" shrinkToFit="0" vertical="center" wrapText="0"/>
    </xf>
    <xf borderId="24" fillId="35" fontId="347" numFmtId="0" xfId="0" applyAlignment="1" applyBorder="1" applyFont="1">
      <alignment horizontal="center" readingOrder="0" shrinkToFit="0" vertical="center" wrapText="0"/>
    </xf>
    <xf borderId="24" fillId="35" fontId="348" numFmtId="0" xfId="0" applyAlignment="1" applyBorder="1" applyFont="1">
      <alignment shrinkToFit="0" vertical="center" wrapText="0"/>
    </xf>
    <xf borderId="24" fillId="35" fontId="349" numFmtId="0" xfId="0" applyAlignment="1" applyBorder="1" applyFont="1">
      <alignment shrinkToFit="0" vertical="center" wrapText="0"/>
    </xf>
    <xf borderId="24" fillId="35" fontId="350" numFmtId="0" xfId="0" applyAlignment="1" applyBorder="1" applyFont="1">
      <alignment shrinkToFit="0" vertical="center" wrapText="1"/>
    </xf>
    <xf borderId="24" fillId="35" fontId="351" numFmtId="0" xfId="0" applyAlignment="1" applyBorder="1" applyFont="1">
      <alignment horizontal="center" shrinkToFit="0" vertical="center" wrapText="0"/>
    </xf>
    <xf borderId="24" fillId="35" fontId="352" numFmtId="164" xfId="0" applyAlignment="1" applyBorder="1" applyFont="1" applyNumberFormat="1">
      <alignment horizontal="right" shrinkToFit="0" vertical="center" wrapText="0"/>
    </xf>
    <xf borderId="24" fillId="35" fontId="353" numFmtId="0" xfId="0" applyAlignment="1" applyBorder="1" applyFont="1">
      <alignment horizontal="right" shrinkToFit="0" vertical="center" wrapText="0"/>
    </xf>
    <xf borderId="24" fillId="35" fontId="354" numFmtId="0" xfId="0" applyAlignment="1" applyBorder="1" applyFont="1">
      <alignment horizontal="center" readingOrder="0" shrinkToFit="0" vertical="center" wrapText="0"/>
    </xf>
    <xf borderId="24" fillId="35" fontId="355" numFmtId="0" xfId="0" applyAlignment="1" applyBorder="1" applyFont="1">
      <alignment horizontal="center" shrinkToFit="0" vertical="center" wrapText="0"/>
    </xf>
    <xf borderId="24" fillId="35" fontId="344" numFmtId="0" xfId="0" applyAlignment="1" applyBorder="1" applyFont="1">
      <alignment horizontal="center" readingOrder="0" shrinkToFit="0" vertical="center" wrapText="0"/>
    </xf>
    <xf borderId="24" fillId="35" fontId="356" numFmtId="0" xfId="0" applyAlignment="1" applyBorder="1" applyFont="1">
      <alignment shrinkToFit="0" vertical="center" wrapText="0"/>
    </xf>
    <xf borderId="24" fillId="35" fontId="40" numFmtId="0" xfId="0" applyAlignment="1" applyBorder="1" applyFont="1">
      <alignment horizontal="center" shrinkToFit="0" vertical="center" wrapText="0"/>
    </xf>
    <xf borderId="24" fillId="35" fontId="8" numFmtId="0" xfId="0" applyAlignment="1" applyBorder="1" applyFont="1">
      <alignment horizontal="center" readingOrder="0" shrinkToFit="0" vertical="center" wrapText="0"/>
    </xf>
    <xf borderId="24" fillId="35" fontId="357" numFmtId="0" xfId="0" applyAlignment="1" applyBorder="1" applyFont="1">
      <alignment readingOrder="0" shrinkToFit="0" vertical="center" wrapText="0"/>
    </xf>
    <xf borderId="24" fillId="35" fontId="358" numFmtId="0" xfId="0" applyAlignment="1" applyBorder="1" applyFont="1">
      <alignment readingOrder="0" shrinkToFit="0" vertical="center" wrapText="0"/>
    </xf>
    <xf borderId="24" fillId="35" fontId="359" numFmtId="0" xfId="0" applyAlignment="1" applyBorder="1" applyFont="1">
      <alignment readingOrder="0" shrinkToFit="0" vertical="center" wrapText="1"/>
    </xf>
    <xf borderId="24" fillId="35" fontId="360" numFmtId="164" xfId="0" applyAlignment="1" applyBorder="1" applyFont="1" applyNumberFormat="1">
      <alignment horizontal="right" readingOrder="0" shrinkToFit="0" vertical="center" wrapText="0"/>
    </xf>
    <xf borderId="24" fillId="35" fontId="361" numFmtId="0" xfId="0" applyAlignment="1" applyBorder="1" applyFont="1">
      <alignment horizontal="center" shrinkToFit="0" vertical="center" wrapText="0"/>
    </xf>
    <xf borderId="24" fillId="35" fontId="362" numFmtId="0" xfId="0" applyAlignment="1" applyBorder="1" applyFont="1">
      <alignment shrinkToFit="0" vertical="center" wrapText="0"/>
    </xf>
    <xf borderId="24" fillId="35" fontId="363" numFmtId="0" xfId="0" applyAlignment="1" applyBorder="1" applyFont="1">
      <alignment shrinkToFit="0" vertical="center" wrapText="1"/>
    </xf>
    <xf borderId="0" fillId="35" fontId="343" numFmtId="0" xfId="0" applyAlignment="1" applyFont="1">
      <alignment horizontal="left" readingOrder="0" shrinkToFit="0" vertical="center" wrapText="1"/>
    </xf>
    <xf borderId="0" fillId="35" fontId="343" numFmtId="0" xfId="0" applyAlignment="1" applyFont="1">
      <alignment horizontal="center" readingOrder="0" shrinkToFit="0" vertical="center" wrapText="0"/>
    </xf>
    <xf borderId="24" fillId="35" fontId="364" numFmtId="0" xfId="0" applyAlignment="1" applyBorder="1" applyFont="1">
      <alignment shrinkToFit="0" vertical="center" wrapText="0"/>
    </xf>
    <xf borderId="24" fillId="35" fontId="364" numFmtId="0" xfId="0" applyAlignment="1" applyBorder="1" applyFont="1">
      <alignment readingOrder="0" shrinkToFit="0" vertical="center" wrapText="0"/>
    </xf>
    <xf borderId="24" fillId="35" fontId="343" numFmtId="0" xfId="0" applyAlignment="1" applyBorder="1" applyFont="1">
      <alignment shrinkToFit="0" vertical="center" wrapText="1"/>
    </xf>
    <xf borderId="24" fillId="35" fontId="364" numFmtId="0" xfId="0" applyAlignment="1" applyBorder="1" applyFont="1">
      <alignment horizontal="center" shrinkToFit="0" vertical="center" wrapText="0"/>
    </xf>
    <xf borderId="24" fillId="35" fontId="343" numFmtId="164" xfId="0" applyAlignment="1" applyBorder="1" applyFont="1" applyNumberFormat="1">
      <alignment shrinkToFit="0" vertical="center" wrapText="0"/>
    </xf>
    <xf borderId="24" fillId="35" fontId="343" numFmtId="0" xfId="0" applyAlignment="1" applyBorder="1" applyFont="1">
      <alignment shrinkToFit="0" vertical="center" wrapText="0"/>
    </xf>
    <xf borderId="24" fillId="0" fontId="8" numFmtId="0" xfId="0" applyAlignment="1" applyBorder="1" applyFont="1">
      <alignment horizontal="center" shrinkToFit="0" vertical="center" wrapText="0"/>
    </xf>
    <xf borderId="24" fillId="7" fontId="8" numFmtId="0" xfId="0" applyAlignment="1" applyBorder="1" applyFont="1">
      <alignment horizontal="center" shrinkToFit="0" vertical="center" wrapText="0"/>
    </xf>
    <xf borderId="24" fillId="8" fontId="8" numFmtId="0" xfId="0" applyAlignment="1" applyBorder="1" applyFont="1">
      <alignment horizontal="center" shrinkToFit="0" vertical="center" wrapText="0"/>
    </xf>
    <xf borderId="24" fillId="9" fontId="8" numFmtId="0" xfId="0" applyAlignment="1" applyBorder="1" applyFont="1">
      <alignment horizontal="center" shrinkToFit="0" vertical="center" wrapText="0"/>
    </xf>
    <xf borderId="0" fillId="36" fontId="2" numFmtId="0" xfId="0" applyAlignment="1" applyFill="1" applyFont="1">
      <alignment horizontal="center" readingOrder="0" shrinkToFit="0" vertical="center" wrapText="0"/>
    </xf>
    <xf borderId="0" fillId="36" fontId="2" numFmtId="0" xfId="0" applyAlignment="1" applyFont="1">
      <alignment horizontal="left" readingOrder="0" shrinkToFit="0" vertical="center" wrapText="0"/>
    </xf>
    <xf borderId="0" fillId="36" fontId="2" numFmtId="0" xfId="0" applyAlignment="1" applyFont="1">
      <alignment horizontal="left" readingOrder="0" shrinkToFit="0" vertical="center" wrapText="1"/>
    </xf>
    <xf borderId="0" fillId="36" fontId="2" numFmtId="164" xfId="0" applyAlignment="1" applyFont="1" applyNumberFormat="1">
      <alignment horizontal="left" readingOrder="0" shrinkToFit="0" vertical="center" wrapText="0"/>
    </xf>
    <xf borderId="0" fillId="36" fontId="2" numFmtId="0" xfId="0" applyAlignment="1" applyFont="1">
      <alignment horizontal="left" readingOrder="0" shrinkToFit="0" vertical="center" wrapText="0"/>
    </xf>
    <xf borderId="0" fillId="36" fontId="2" numFmtId="49" xfId="0" applyAlignment="1" applyFont="1" applyNumberFormat="1">
      <alignment horizontal="center" readingOrder="0" shrinkToFit="0" vertical="center" wrapText="0"/>
    </xf>
    <xf borderId="2" fillId="36" fontId="2" numFmtId="0" xfId="0" applyAlignment="1" applyBorder="1" applyFont="1">
      <alignment horizontal="center" readingOrder="0" shrinkToFit="0" vertical="center" wrapText="0"/>
    </xf>
    <xf borderId="2" fillId="36" fontId="132" numFmtId="0" xfId="0" applyAlignment="1" applyBorder="1" applyFont="1">
      <alignment readingOrder="0" shrinkToFit="0" vertical="center" wrapText="0"/>
    </xf>
    <xf borderId="2" fillId="36" fontId="132" numFmtId="0" xfId="0" applyAlignment="1" applyBorder="1" applyFont="1">
      <alignment readingOrder="0" shrinkToFit="0" vertical="center" wrapText="0"/>
    </xf>
    <xf borderId="2" fillId="36" fontId="2" numFmtId="0" xfId="0" applyAlignment="1" applyBorder="1" applyFont="1">
      <alignment readingOrder="0" shrinkToFit="0" vertical="center" wrapText="1"/>
    </xf>
    <xf borderId="2" fillId="36" fontId="2" numFmtId="0" xfId="0" applyAlignment="1" applyBorder="1" applyFont="1">
      <alignment horizontal="center" shrinkToFit="0" vertical="center" wrapText="0"/>
    </xf>
    <xf borderId="2" fillId="36" fontId="2" numFmtId="164" xfId="0" applyAlignment="1" applyBorder="1" applyFont="1" applyNumberFormat="1">
      <alignment readingOrder="0" shrinkToFit="0" vertical="center" wrapText="0"/>
    </xf>
    <xf borderId="2" fillId="36" fontId="2" numFmtId="0" xfId="0" applyAlignment="1" applyBorder="1" applyFont="1">
      <alignment shrinkToFit="0" vertical="center" wrapText="0"/>
    </xf>
    <xf borderId="2" fillId="36" fontId="8" numFmtId="0" xfId="0" applyAlignment="1" applyBorder="1" applyFont="1">
      <alignment horizontal="center" shrinkToFit="0" vertical="center" wrapText="0"/>
    </xf>
    <xf borderId="2" fillId="36" fontId="8" numFmtId="0" xfId="0" applyAlignment="1" applyBorder="1" applyFont="1">
      <alignment horizontal="center" readingOrder="0" shrinkToFit="0" vertical="center" wrapText="0"/>
    </xf>
    <xf borderId="2" fillId="36" fontId="133" numFmtId="0" xfId="0" applyAlignment="1" applyBorder="1" applyFont="1">
      <alignment readingOrder="0" shrinkToFit="0" vertical="center" wrapText="0"/>
    </xf>
    <xf borderId="2" fillId="36" fontId="365" numFmtId="0" xfId="0" applyAlignment="1" applyBorder="1" applyFont="1">
      <alignment horizontal="center" readingOrder="0" shrinkToFit="0" vertical="center" wrapText="0"/>
    </xf>
    <xf borderId="2" fillId="36" fontId="366" numFmtId="0" xfId="0" applyAlignment="1" applyBorder="1" applyFont="1">
      <alignment readingOrder="0" shrinkToFit="0" vertical="center" wrapText="0"/>
    </xf>
    <xf borderId="2" fillId="36" fontId="367" numFmtId="0" xfId="0" applyAlignment="1" applyBorder="1" applyFont="1">
      <alignment readingOrder="0" shrinkToFit="0" vertical="center" wrapText="0"/>
    </xf>
    <xf borderId="2" fillId="36" fontId="368" numFmtId="0" xfId="0" applyAlignment="1" applyBorder="1" applyFont="1">
      <alignment readingOrder="0" shrinkToFit="0" vertical="center" wrapText="1"/>
    </xf>
    <xf borderId="2" fillId="36" fontId="369" numFmtId="0" xfId="0" applyAlignment="1" applyBorder="1" applyFont="1">
      <alignment horizontal="center" shrinkToFit="0" vertical="center" wrapText="0"/>
    </xf>
    <xf borderId="2" fillId="36" fontId="370" numFmtId="164" xfId="0" applyAlignment="1" applyBorder="1" applyFont="1" applyNumberFormat="1">
      <alignment readingOrder="0" shrinkToFit="0" vertical="center" wrapText="0"/>
    </xf>
    <xf borderId="2" fillId="36" fontId="371" numFmtId="0" xfId="0" applyAlignment="1" applyBorder="1" applyFont="1">
      <alignment shrinkToFit="0" vertical="center" wrapText="0"/>
    </xf>
    <xf borderId="2" fillId="36" fontId="372" numFmtId="0" xfId="0" applyAlignment="1" applyBorder="1" applyFont="1">
      <alignment horizontal="center" readingOrder="0" shrinkToFit="0" vertical="center" wrapText="0"/>
    </xf>
    <xf borderId="2" fillId="36" fontId="373" numFmtId="0" xfId="0" applyAlignment="1" applyBorder="1" applyFont="1">
      <alignment horizontal="center" shrinkToFit="0" vertical="center" wrapText="0"/>
    </xf>
    <xf borderId="2" fillId="36" fontId="2" numFmtId="0" xfId="0" applyAlignment="1" applyBorder="1" applyFont="1">
      <alignment horizontal="center" readingOrder="0" shrinkToFit="0" vertical="center" wrapText="0"/>
    </xf>
    <xf borderId="2" fillId="36" fontId="132" numFmtId="0" xfId="0" applyAlignment="1" applyBorder="1" applyFont="1">
      <alignment readingOrder="0" shrinkToFit="0" vertical="center" wrapText="0"/>
    </xf>
    <xf borderId="2" fillId="36" fontId="132" numFmtId="0" xfId="0" applyAlignment="1" applyBorder="1" applyFont="1">
      <alignment readingOrder="0" shrinkToFit="0" vertical="center" wrapText="0"/>
    </xf>
    <xf borderId="2" fillId="36" fontId="2" numFmtId="0" xfId="0" applyAlignment="1" applyBorder="1" applyFont="1">
      <alignment readingOrder="0" shrinkToFit="0" vertical="center" wrapText="1"/>
    </xf>
    <xf borderId="2" fillId="36" fontId="2" numFmtId="0" xfId="0" applyAlignment="1" applyBorder="1" applyFont="1">
      <alignment horizontal="center" shrinkToFit="0" vertical="center" wrapText="0"/>
    </xf>
    <xf borderId="2" fillId="36" fontId="2" numFmtId="164" xfId="0" applyAlignment="1" applyBorder="1" applyFont="1" applyNumberFormat="1">
      <alignment readingOrder="0" shrinkToFit="0" vertical="center" wrapText="0"/>
    </xf>
    <xf borderId="2" fillId="36" fontId="2" numFmtId="0" xfId="0" applyAlignment="1" applyBorder="1" applyFont="1">
      <alignment shrinkToFit="0" vertical="center" wrapText="0"/>
    </xf>
    <xf borderId="2" fillId="36" fontId="8" numFmtId="0" xfId="0" applyAlignment="1" applyBorder="1" applyFont="1">
      <alignment horizontal="center" shrinkToFit="0" vertical="center" wrapText="0"/>
    </xf>
    <xf borderId="0" fillId="36" fontId="2" numFmtId="0" xfId="0" applyAlignment="1" applyFont="1">
      <alignment horizontal="left" readingOrder="0" shrinkToFit="0" vertical="center" wrapText="1"/>
    </xf>
    <xf borderId="0" fillId="36" fontId="2" numFmtId="0" xfId="0" applyAlignment="1" applyFont="1">
      <alignment horizontal="center" readingOrder="0" shrinkToFit="0" vertical="center" wrapText="0"/>
    </xf>
    <xf borderId="2" fillId="36" fontId="132" numFmtId="0" xfId="0" applyAlignment="1" applyBorder="1" applyFont="1">
      <alignment shrinkToFit="0" vertical="center" wrapText="0"/>
    </xf>
    <xf borderId="2" fillId="36" fontId="132" numFmtId="0" xfId="0" applyAlignment="1" applyBorder="1" applyFont="1">
      <alignment horizontal="center" shrinkToFit="0" vertical="center" wrapText="0"/>
    </xf>
    <xf borderId="2" fillId="7" fontId="8" numFmtId="0" xfId="0" applyAlignment="1" applyBorder="1" applyFont="1">
      <alignment horizontal="center" readingOrder="0" shrinkToFit="0" vertical="center" wrapText="0"/>
    </xf>
    <xf borderId="0" fillId="37" fontId="374" numFmtId="0" xfId="0" applyAlignment="1" applyFill="1" applyFont="1">
      <alignment horizontal="center" readingOrder="0" shrinkToFit="0" vertical="center" wrapText="0"/>
    </xf>
    <xf borderId="0" fillId="37" fontId="374" numFmtId="0" xfId="0" applyAlignment="1" applyFont="1">
      <alignment horizontal="left" readingOrder="0" shrinkToFit="0" vertical="center" wrapText="0"/>
    </xf>
    <xf borderId="0" fillId="37" fontId="374" numFmtId="0" xfId="0" applyAlignment="1" applyFont="1">
      <alignment horizontal="left" readingOrder="0" shrinkToFit="0" vertical="center" wrapText="0"/>
    </xf>
    <xf borderId="0" fillId="37" fontId="374" numFmtId="164" xfId="0" applyAlignment="1" applyFont="1" applyNumberFormat="1">
      <alignment horizontal="left" readingOrder="0" shrinkToFit="0" vertical="center" wrapText="0"/>
    </xf>
    <xf borderId="0" fillId="37" fontId="374" numFmtId="49" xfId="0" applyAlignment="1" applyFont="1" applyNumberFormat="1">
      <alignment horizontal="center" readingOrder="0" shrinkToFit="0" vertical="center" wrapText="0"/>
    </xf>
    <xf borderId="25" fillId="37" fontId="374" numFmtId="0" xfId="0" applyAlignment="1" applyBorder="1" applyFont="1">
      <alignment horizontal="center" readingOrder="0" shrinkToFit="0" vertical="center" wrapText="0"/>
    </xf>
    <xf borderId="25" fillId="37" fontId="375" numFmtId="0" xfId="0" applyAlignment="1" applyBorder="1" applyFont="1">
      <alignment readingOrder="0" shrinkToFit="0" vertical="center" wrapText="0"/>
    </xf>
    <xf borderId="25" fillId="37" fontId="375" numFmtId="0" xfId="0" applyAlignment="1" applyBorder="1" applyFont="1">
      <alignment readingOrder="0" shrinkToFit="0" vertical="center" wrapText="0"/>
    </xf>
    <xf borderId="25" fillId="37" fontId="374" numFmtId="0" xfId="0" applyAlignment="1" applyBorder="1" applyFont="1">
      <alignment readingOrder="0" shrinkToFit="0" vertical="center" wrapText="0"/>
    </xf>
    <xf borderId="25" fillId="37" fontId="374" numFmtId="0" xfId="0" applyAlignment="1" applyBorder="1" applyFont="1">
      <alignment horizontal="center" shrinkToFit="0" vertical="center" wrapText="0"/>
    </xf>
    <xf borderId="25" fillId="37" fontId="374" numFmtId="164" xfId="0" applyAlignment="1" applyBorder="1" applyFont="1" applyNumberFormat="1">
      <alignment readingOrder="0" shrinkToFit="0" vertical="center" wrapText="0"/>
    </xf>
    <xf borderId="25" fillId="37" fontId="374" numFmtId="0" xfId="0" applyAlignment="1" applyBorder="1" applyFont="1">
      <alignment shrinkToFit="0" vertical="center" wrapText="0"/>
    </xf>
    <xf borderId="25" fillId="37" fontId="8" numFmtId="0" xfId="0" applyAlignment="1" applyBorder="1" applyFont="1">
      <alignment horizontal="center" readingOrder="0" shrinkToFit="0" vertical="center" wrapText="0"/>
    </xf>
    <xf borderId="25" fillId="37" fontId="8" numFmtId="0" xfId="0" applyAlignment="1" applyBorder="1" applyFont="1">
      <alignment horizontal="center" shrinkToFit="0" vertical="center" wrapText="0"/>
    </xf>
    <xf borderId="25" fillId="37" fontId="376" numFmtId="0" xfId="0" applyAlignment="1" applyBorder="1" applyFont="1">
      <alignment readingOrder="0" shrinkToFit="0" vertical="center" wrapText="0"/>
    </xf>
    <xf borderId="25" fillId="37" fontId="377" numFmtId="0" xfId="0" applyAlignment="1" applyBorder="1" applyFont="1">
      <alignment horizontal="center" readingOrder="0" shrinkToFit="0" vertical="center" wrapText="0"/>
    </xf>
    <xf borderId="25" fillId="37" fontId="378" numFmtId="0" xfId="0" applyAlignment="1" applyBorder="1" applyFont="1">
      <alignment readingOrder="0" shrinkToFit="0" vertical="center" wrapText="0"/>
    </xf>
    <xf borderId="25" fillId="37" fontId="379" numFmtId="0" xfId="0" applyAlignment="1" applyBorder="1" applyFont="1">
      <alignment readingOrder="0" shrinkToFit="0" vertical="center" wrapText="0"/>
    </xf>
    <xf borderId="25" fillId="37" fontId="380" numFmtId="0" xfId="0" applyAlignment="1" applyBorder="1" applyFont="1">
      <alignment readingOrder="0" shrinkToFit="0" vertical="center" wrapText="0"/>
    </xf>
    <xf borderId="25" fillId="37" fontId="381" numFmtId="0" xfId="0" applyAlignment="1" applyBorder="1" applyFont="1">
      <alignment horizontal="center" shrinkToFit="0" vertical="center" wrapText="0"/>
    </xf>
    <xf borderId="25" fillId="37" fontId="382" numFmtId="164" xfId="0" applyAlignment="1" applyBorder="1" applyFont="1" applyNumberFormat="1">
      <alignment readingOrder="0" shrinkToFit="0" vertical="center" wrapText="0"/>
    </xf>
    <xf borderId="25" fillId="37" fontId="383" numFmtId="0" xfId="0" applyAlignment="1" applyBorder="1" applyFont="1">
      <alignment shrinkToFit="0" vertical="center" wrapText="0"/>
    </xf>
    <xf borderId="25" fillId="37" fontId="384" numFmtId="0" xfId="0" applyAlignment="1" applyBorder="1" applyFont="1">
      <alignment horizontal="center" shrinkToFit="0" vertical="center" wrapText="0"/>
    </xf>
    <xf borderId="25" fillId="37" fontId="385" numFmtId="0" xfId="0" applyAlignment="1" applyBorder="1" applyFont="1">
      <alignment horizontal="center" readingOrder="0" shrinkToFit="0" vertical="center" wrapText="0"/>
    </xf>
    <xf borderId="25" fillId="37" fontId="386" numFmtId="0" xfId="0" applyAlignment="1" applyBorder="1" applyFont="1">
      <alignment readingOrder="0" shrinkToFit="0" vertical="center" wrapText="0"/>
    </xf>
    <xf borderId="0" fillId="37" fontId="374" numFmtId="0" xfId="0" applyAlignment="1" applyFont="1">
      <alignment horizontal="left" readingOrder="0" shrinkToFit="0" vertical="center" wrapText="1"/>
    </xf>
    <xf borderId="0" fillId="37" fontId="374" numFmtId="0" xfId="0" applyAlignment="1" applyFont="1">
      <alignment horizontal="center" readingOrder="0" shrinkToFit="0" vertical="center" wrapText="0"/>
    </xf>
    <xf borderId="25" fillId="37" fontId="375" numFmtId="0" xfId="0" applyAlignment="1" applyBorder="1" applyFont="1">
      <alignment shrinkToFit="0" vertical="center" wrapText="0"/>
    </xf>
    <xf borderId="25" fillId="37" fontId="374" numFmtId="0" xfId="0" applyAlignment="1" applyBorder="1" applyFont="1">
      <alignment readingOrder="0" shrinkToFit="0" vertical="center" wrapText="1"/>
    </xf>
    <xf borderId="25" fillId="37" fontId="375" numFmtId="0" xfId="0" applyAlignment="1" applyBorder="1" applyFont="1">
      <alignment horizontal="center" shrinkToFit="0" vertical="center" wrapText="0"/>
    </xf>
    <xf borderId="25" fillId="0" fontId="8" numFmtId="0" xfId="0" applyAlignment="1" applyBorder="1" applyFont="1">
      <alignment horizontal="center" shrinkToFit="0" vertical="center" wrapText="0"/>
    </xf>
    <xf borderId="25" fillId="0" fontId="8" numFmtId="0" xfId="0" applyAlignment="1" applyBorder="1" applyFont="1">
      <alignment horizontal="center" readingOrder="0" shrinkToFit="0" vertical="center" wrapText="0"/>
    </xf>
    <xf borderId="25" fillId="7" fontId="8" numFmtId="0" xfId="0" applyAlignment="1" applyBorder="1" applyFont="1">
      <alignment horizontal="center" readingOrder="0" shrinkToFit="0" vertical="center" wrapText="0"/>
    </xf>
    <xf borderId="25" fillId="8" fontId="8" numFmtId="0" xfId="0" applyAlignment="1" applyBorder="1" applyFont="1">
      <alignment horizontal="center" readingOrder="0" shrinkToFit="0" vertical="center" wrapText="0"/>
    </xf>
    <xf borderId="25" fillId="9" fontId="8" numFmtId="0" xfId="0" applyAlignment="1" applyBorder="1" applyFont="1">
      <alignment horizontal="center" readingOrder="0" shrinkToFit="0" vertical="center" wrapText="0"/>
    </xf>
    <xf borderId="0" fillId="9" fontId="34" numFmtId="0" xfId="0" applyAlignment="1" applyFont="1">
      <alignment shrinkToFit="0" vertical="center" wrapText="0"/>
    </xf>
    <xf borderId="0" fillId="38" fontId="387" numFmtId="0" xfId="0" applyAlignment="1" applyFill="1" applyFont="1">
      <alignment horizontal="center" readingOrder="0" shrinkToFit="0" vertical="center" wrapText="0"/>
    </xf>
    <xf borderId="0" fillId="38" fontId="387" numFmtId="0" xfId="0" applyAlignment="1" applyFont="1">
      <alignment horizontal="left" readingOrder="0" shrinkToFit="0" vertical="center" wrapText="0"/>
    </xf>
    <xf borderId="0" fillId="38" fontId="387" numFmtId="0" xfId="0" applyAlignment="1" applyFont="1">
      <alignment horizontal="left" readingOrder="0" shrinkToFit="0" vertical="center" wrapText="1"/>
    </xf>
    <xf borderId="0" fillId="38" fontId="387" numFmtId="164" xfId="0" applyAlignment="1" applyFont="1" applyNumberFormat="1">
      <alignment horizontal="left" readingOrder="0" shrinkToFit="0" vertical="center" wrapText="0"/>
    </xf>
    <xf borderId="0" fillId="38" fontId="387" numFmtId="0" xfId="0" applyAlignment="1" applyFont="1">
      <alignment horizontal="left" readingOrder="0" shrinkToFit="0" vertical="center" wrapText="0"/>
    </xf>
    <xf borderId="0" fillId="38" fontId="387" numFmtId="49" xfId="0" applyAlignment="1" applyFont="1" applyNumberFormat="1">
      <alignment horizontal="center" readingOrder="0" shrinkToFit="0" vertical="center" wrapText="0"/>
    </xf>
    <xf borderId="0" fillId="0" fontId="388" numFmtId="0" xfId="0" applyFont="1"/>
    <xf borderId="26" fillId="38" fontId="387" numFmtId="0" xfId="0" applyAlignment="1" applyBorder="1" applyFont="1">
      <alignment horizontal="center" readingOrder="0" shrinkToFit="0" vertical="center" wrapText="0"/>
    </xf>
    <xf borderId="26" fillId="38" fontId="388" numFmtId="0" xfId="0" applyAlignment="1" applyBorder="1" applyFont="1">
      <alignment readingOrder="0" shrinkToFit="0" vertical="center" wrapText="0"/>
    </xf>
    <xf borderId="26" fillId="38" fontId="388" numFmtId="0" xfId="0" applyAlignment="1" applyBorder="1" applyFont="1">
      <alignment readingOrder="0" shrinkToFit="0" vertical="center" wrapText="0"/>
    </xf>
    <xf borderId="26" fillId="38" fontId="387" numFmtId="0" xfId="0" applyAlignment="1" applyBorder="1" applyFont="1">
      <alignment readingOrder="0" shrinkToFit="0" vertical="center" wrapText="1"/>
    </xf>
    <xf borderId="26" fillId="38" fontId="387" numFmtId="0" xfId="0" applyAlignment="1" applyBorder="1" applyFont="1">
      <alignment horizontal="center" shrinkToFit="0" vertical="center" wrapText="0"/>
    </xf>
    <xf borderId="26" fillId="38" fontId="387" numFmtId="164" xfId="0" applyAlignment="1" applyBorder="1" applyFont="1" applyNumberFormat="1">
      <alignment readingOrder="0" shrinkToFit="0" vertical="center" wrapText="0"/>
    </xf>
    <xf borderId="26" fillId="38" fontId="387" numFmtId="0" xfId="0" applyAlignment="1" applyBorder="1" applyFont="1">
      <alignment shrinkToFit="0" vertical="center" wrapText="0"/>
    </xf>
    <xf borderId="26" fillId="38" fontId="8" numFmtId="0" xfId="0" applyAlignment="1" applyBorder="1" applyFont="1">
      <alignment horizontal="center" shrinkToFit="0" vertical="center" wrapText="0"/>
    </xf>
    <xf borderId="26" fillId="38" fontId="389" numFmtId="0" xfId="0" applyAlignment="1" applyBorder="1" applyFont="1">
      <alignment readingOrder="0" shrinkToFit="0" vertical="center" wrapText="0"/>
    </xf>
    <xf borderId="26" fillId="38" fontId="8" numFmtId="0" xfId="0" applyAlignment="1" applyBorder="1" applyFont="1">
      <alignment horizontal="center" readingOrder="0" shrinkToFit="0" vertical="center" wrapText="0"/>
    </xf>
    <xf borderId="26" fillId="38" fontId="390" numFmtId="0" xfId="0" applyAlignment="1" applyBorder="1" applyFont="1">
      <alignment horizontal="center" readingOrder="0" shrinkToFit="0" vertical="center" wrapText="0"/>
    </xf>
    <xf borderId="26" fillId="38" fontId="391" numFmtId="0" xfId="0" applyAlignment="1" applyBorder="1" applyFont="1">
      <alignment readingOrder="0" shrinkToFit="0" vertical="center" wrapText="0"/>
    </xf>
    <xf borderId="26" fillId="38" fontId="392" numFmtId="0" xfId="0" applyAlignment="1" applyBorder="1" applyFont="1">
      <alignment readingOrder="0" shrinkToFit="0" vertical="center" wrapText="0"/>
    </xf>
    <xf borderId="26" fillId="38" fontId="393" numFmtId="0" xfId="0" applyAlignment="1" applyBorder="1" applyFont="1">
      <alignment readingOrder="0" shrinkToFit="0" vertical="center" wrapText="1"/>
    </xf>
    <xf borderId="26" fillId="38" fontId="394" numFmtId="0" xfId="0" applyAlignment="1" applyBorder="1" applyFont="1">
      <alignment horizontal="center" shrinkToFit="0" vertical="center" wrapText="0"/>
    </xf>
    <xf borderId="26" fillId="38" fontId="395" numFmtId="164" xfId="0" applyAlignment="1" applyBorder="1" applyFont="1" applyNumberFormat="1">
      <alignment readingOrder="0" shrinkToFit="0" vertical="center" wrapText="0"/>
    </xf>
    <xf borderId="26" fillId="38" fontId="396" numFmtId="0" xfId="0" applyAlignment="1" applyBorder="1" applyFont="1">
      <alignment shrinkToFit="0" vertical="center" wrapText="0"/>
    </xf>
    <xf borderId="26" fillId="38" fontId="397" numFmtId="0" xfId="0" applyAlignment="1" applyBorder="1" applyFont="1">
      <alignment horizontal="center" readingOrder="0" shrinkToFit="0" vertical="center" wrapText="0"/>
    </xf>
    <xf borderId="26" fillId="38" fontId="398" numFmtId="0" xfId="0" applyAlignment="1" applyBorder="1" applyFont="1">
      <alignment horizontal="center" shrinkToFit="0" vertical="center" wrapText="0"/>
    </xf>
    <xf borderId="0" fillId="38" fontId="387" numFmtId="0" xfId="0" applyAlignment="1" applyFont="1">
      <alignment horizontal="left" readingOrder="0" shrinkToFit="0" vertical="center" wrapText="1"/>
    </xf>
    <xf borderId="0" fillId="38" fontId="387" numFmtId="0" xfId="0" applyAlignment="1" applyFont="1">
      <alignment horizontal="center" readingOrder="0" shrinkToFit="0" vertical="center" wrapText="0"/>
    </xf>
    <xf borderId="0" fillId="0" fontId="387" numFmtId="0" xfId="0" applyAlignment="1" applyFont="1">
      <alignment horizontal="center"/>
    </xf>
    <xf borderId="26" fillId="38" fontId="388" numFmtId="0" xfId="0" applyAlignment="1" applyBorder="1" applyFont="1">
      <alignment shrinkToFit="0" vertical="center" wrapText="0"/>
    </xf>
    <xf borderId="26" fillId="38" fontId="388" numFmtId="0" xfId="0" applyAlignment="1" applyBorder="1" applyFont="1">
      <alignment horizontal="center" shrinkToFit="0" vertical="center" wrapText="0"/>
    </xf>
    <xf borderId="26" fillId="38" fontId="387" numFmtId="164" xfId="0" applyAlignment="1" applyBorder="1" applyFont="1" applyNumberFormat="1">
      <alignment readingOrder="0" shrinkToFit="0" vertical="center" wrapText="0"/>
    </xf>
    <xf borderId="26" fillId="0" fontId="8" numFmtId="0" xfId="0" applyAlignment="1" applyBorder="1" applyFont="1">
      <alignment horizontal="center" shrinkToFit="0" vertical="center" wrapText="0"/>
    </xf>
    <xf borderId="26" fillId="7" fontId="8" numFmtId="0" xfId="0" applyAlignment="1" applyBorder="1" applyFont="1">
      <alignment horizontal="center" shrinkToFit="0" vertical="center" wrapText="0"/>
    </xf>
    <xf borderId="26" fillId="8" fontId="8" numFmtId="0" xfId="0" applyAlignment="1" applyBorder="1" applyFont="1">
      <alignment horizontal="center" shrinkToFit="0" vertical="center" wrapText="0"/>
    </xf>
    <xf borderId="26" fillId="9" fontId="8" numFmtId="0" xfId="0" applyAlignment="1" applyBorder="1" applyFont="1">
      <alignment horizontal="center" shrinkToFit="0" vertical="center" wrapText="0"/>
    </xf>
    <xf borderId="0" fillId="39" fontId="2" numFmtId="0" xfId="0" applyAlignment="1" applyFill="1" applyFont="1">
      <alignment horizontal="center" readingOrder="0" shrinkToFit="0" vertical="center" wrapText="0"/>
    </xf>
    <xf borderId="0" fillId="39" fontId="2" numFmtId="0" xfId="0" applyAlignment="1" applyFont="1">
      <alignment horizontal="left" readingOrder="0" shrinkToFit="0" vertical="center" wrapText="0"/>
    </xf>
    <xf borderId="0" fillId="39" fontId="2" numFmtId="0" xfId="0" applyAlignment="1" applyFont="1">
      <alignment horizontal="left" readingOrder="0" shrinkToFit="0" vertical="center" wrapText="1"/>
    </xf>
    <xf borderId="0" fillId="39" fontId="2" numFmtId="164" xfId="0" applyAlignment="1" applyFont="1" applyNumberFormat="1">
      <alignment horizontal="left" readingOrder="0" shrinkToFit="0" vertical="center" wrapText="0"/>
    </xf>
    <xf borderId="0" fillId="39" fontId="2" numFmtId="0" xfId="0" applyAlignment="1" applyFont="1">
      <alignment horizontal="left" readingOrder="0" shrinkToFit="0" vertical="center" wrapText="0"/>
    </xf>
    <xf borderId="0" fillId="39" fontId="2" numFmtId="49" xfId="0" applyAlignment="1" applyFont="1" applyNumberFormat="1">
      <alignment horizontal="center" readingOrder="0" shrinkToFit="0" vertical="center" wrapText="0"/>
    </xf>
    <xf borderId="2" fillId="39" fontId="2" numFmtId="0" xfId="0" applyAlignment="1" applyBorder="1" applyFont="1">
      <alignment horizontal="center" readingOrder="0" shrinkToFit="0" vertical="center" wrapText="0"/>
    </xf>
    <xf borderId="2" fillId="39" fontId="132" numFmtId="0" xfId="0" applyAlignment="1" applyBorder="1" applyFont="1">
      <alignment readingOrder="0" shrinkToFit="0" vertical="center" wrapText="0"/>
    </xf>
    <xf borderId="2" fillId="39" fontId="132" numFmtId="0" xfId="0" applyAlignment="1" applyBorder="1" applyFont="1">
      <alignment readingOrder="0" shrinkToFit="0" vertical="center" wrapText="0"/>
    </xf>
    <xf borderId="2" fillId="39" fontId="2" numFmtId="0" xfId="0" applyAlignment="1" applyBorder="1" applyFont="1">
      <alignment readingOrder="0" shrinkToFit="0" vertical="center" wrapText="1"/>
    </xf>
    <xf borderId="2" fillId="39" fontId="2" numFmtId="164" xfId="0" applyAlignment="1" applyBorder="1" applyFont="1" applyNumberFormat="1">
      <alignment readingOrder="0" shrinkToFit="0" vertical="center" wrapText="0"/>
    </xf>
    <xf borderId="2" fillId="39" fontId="2" numFmtId="0" xfId="0" applyAlignment="1" applyBorder="1" applyFont="1">
      <alignment shrinkToFit="0" vertical="center" wrapText="0"/>
    </xf>
    <xf borderId="2" fillId="39" fontId="8" numFmtId="0" xfId="0" applyAlignment="1" applyBorder="1" applyFont="1">
      <alignment horizontal="center" shrinkToFit="0" vertical="center" wrapText="0"/>
    </xf>
    <xf borderId="2" fillId="39" fontId="133" numFmtId="0" xfId="0" applyAlignment="1" applyBorder="1" applyFont="1">
      <alignment readingOrder="0" shrinkToFit="0" vertical="center" wrapText="0"/>
    </xf>
    <xf borderId="2" fillId="39" fontId="399" numFmtId="0" xfId="0" applyAlignment="1" applyBorder="1" applyFont="1">
      <alignment horizontal="center" readingOrder="0" shrinkToFit="0" vertical="center" wrapText="0"/>
    </xf>
    <xf borderId="2" fillId="39" fontId="400" numFmtId="0" xfId="0" applyAlignment="1" applyBorder="1" applyFont="1">
      <alignment readingOrder="0" shrinkToFit="0" vertical="center" wrapText="0"/>
    </xf>
    <xf borderId="2" fillId="39" fontId="401" numFmtId="0" xfId="0" applyAlignment="1" applyBorder="1" applyFont="1">
      <alignment readingOrder="0" shrinkToFit="0" vertical="center" wrapText="0"/>
    </xf>
    <xf borderId="2" fillId="39" fontId="402" numFmtId="0" xfId="0" applyAlignment="1" applyBorder="1" applyFont="1">
      <alignment readingOrder="0" shrinkToFit="0" vertical="center" wrapText="1"/>
    </xf>
    <xf borderId="2" fillId="39" fontId="403" numFmtId="164" xfId="0" applyAlignment="1" applyBorder="1" applyFont="1" applyNumberFormat="1">
      <alignment readingOrder="0" shrinkToFit="0" vertical="center" wrapText="0"/>
    </xf>
    <xf borderId="2" fillId="39" fontId="404" numFmtId="0" xfId="0" applyAlignment="1" applyBorder="1" applyFont="1">
      <alignment shrinkToFit="0" vertical="center" wrapText="0"/>
    </xf>
    <xf borderId="2" fillId="39" fontId="405" numFmtId="0" xfId="0" applyAlignment="1" applyBorder="1" applyFont="1">
      <alignment horizontal="center" shrinkToFit="0" vertical="center" wrapText="0"/>
    </xf>
    <xf borderId="2" fillId="39" fontId="8" numFmtId="0" xfId="0" applyAlignment="1" applyBorder="1" applyFont="1">
      <alignment horizontal="center" readingOrder="0" shrinkToFit="0" vertical="center" wrapText="0"/>
    </xf>
    <xf borderId="2" fillId="39" fontId="406" numFmtId="0" xfId="0" applyAlignment="1" applyBorder="1" applyFont="1">
      <alignment horizontal="center" readingOrder="0" shrinkToFit="0" vertical="center" wrapText="0"/>
    </xf>
    <xf borderId="0" fillId="39" fontId="407" numFmtId="0" xfId="0" applyAlignment="1" applyFont="1">
      <alignment horizontal="center" readingOrder="0" shrinkToFit="0" vertical="center" wrapText="0"/>
    </xf>
    <xf borderId="0" fillId="39" fontId="408" numFmtId="0" xfId="0" applyAlignment="1" applyFont="1">
      <alignment readingOrder="0" shrinkToFit="0" vertical="center" wrapText="0"/>
    </xf>
    <xf borderId="0" fillId="39" fontId="409" numFmtId="0" xfId="0" applyAlignment="1" applyFont="1">
      <alignment readingOrder="0" shrinkToFit="0" vertical="center" wrapText="0"/>
    </xf>
    <xf borderId="0" fillId="39" fontId="410" numFmtId="0" xfId="0" applyAlignment="1" applyFont="1">
      <alignment readingOrder="0" shrinkToFit="0" vertical="center" wrapText="1"/>
    </xf>
    <xf borderId="0" fillId="39" fontId="411" numFmtId="164" xfId="0" applyAlignment="1" applyFont="1" applyNumberFormat="1">
      <alignment readingOrder="0" shrinkToFit="0" vertical="center" wrapText="0"/>
    </xf>
    <xf borderId="0" fillId="39" fontId="412" numFmtId="0" xfId="0" applyAlignment="1" applyFont="1">
      <alignment shrinkToFit="0" vertical="center" wrapText="0"/>
    </xf>
    <xf borderId="0" fillId="39" fontId="413" numFmtId="0" xfId="0" applyAlignment="1" applyFont="1">
      <alignment horizontal="center" shrinkToFit="0" vertical="center" wrapText="0"/>
    </xf>
    <xf borderId="0" fillId="39" fontId="2" numFmtId="0" xfId="0" applyAlignment="1" applyFont="1">
      <alignment horizontal="left" readingOrder="0" shrinkToFit="0" vertical="center" wrapText="1"/>
    </xf>
    <xf borderId="0" fillId="39" fontId="2" numFmtId="0" xfId="0" applyAlignment="1" applyFont="1">
      <alignment horizontal="center" readingOrder="0" shrinkToFit="0" vertical="center" wrapText="0"/>
    </xf>
    <xf borderId="2" fillId="39" fontId="132" numFmtId="0" xfId="0" applyAlignment="1" applyBorder="1" applyFont="1">
      <alignment shrinkToFit="0" vertical="center" wrapText="0"/>
    </xf>
    <xf borderId="2" fillId="39" fontId="132" numFmtId="0" xfId="0" applyAlignment="1" applyBorder="1" applyFont="1">
      <alignment horizontal="center" shrinkToFit="0" vertical="center" wrapText="0"/>
    </xf>
    <xf borderId="0" fillId="4" fontId="414" numFmtId="0" xfId="0" applyAlignment="1" applyFont="1">
      <alignment horizontal="center" readingOrder="0" shrinkToFit="0" vertical="center" wrapText="0"/>
    </xf>
    <xf borderId="0" fillId="4" fontId="414" numFmtId="0" xfId="0" applyAlignment="1" applyFont="1">
      <alignment horizontal="left" readingOrder="0" shrinkToFit="0" vertical="center" wrapText="0"/>
    </xf>
    <xf borderId="0" fillId="4" fontId="414" numFmtId="0" xfId="0" applyAlignment="1" applyFont="1">
      <alignment horizontal="left" readingOrder="0" shrinkToFit="0" vertical="center" wrapText="1"/>
    </xf>
    <xf borderId="0" fillId="4" fontId="414" numFmtId="164" xfId="0" applyAlignment="1" applyFont="1" applyNumberFormat="1">
      <alignment horizontal="left" readingOrder="0" shrinkToFit="0" vertical="center" wrapText="0"/>
    </xf>
    <xf borderId="0" fillId="4" fontId="414" numFmtId="0" xfId="0" applyAlignment="1" applyFont="1">
      <alignment horizontal="left" readingOrder="0" shrinkToFit="0" vertical="center" wrapText="0"/>
    </xf>
    <xf borderId="0" fillId="4" fontId="414" numFmtId="49" xfId="0" applyAlignment="1" applyFont="1" applyNumberFormat="1">
      <alignment horizontal="center" readingOrder="0" shrinkToFit="0" vertical="center" wrapText="0"/>
    </xf>
    <xf borderId="27" fillId="4" fontId="414" numFmtId="0" xfId="0" applyAlignment="1" applyBorder="1" applyFont="1">
      <alignment horizontal="center" readingOrder="0" shrinkToFit="0" vertical="center" wrapText="0"/>
    </xf>
    <xf borderId="27" fillId="4" fontId="415" numFmtId="0" xfId="0" applyAlignment="1" applyBorder="1" applyFont="1">
      <alignment readingOrder="0" shrinkToFit="0" vertical="center" wrapText="0"/>
    </xf>
    <xf borderId="27" fillId="4" fontId="415" numFmtId="0" xfId="0" applyAlignment="1" applyBorder="1" applyFont="1">
      <alignment readingOrder="0" shrinkToFit="0" vertical="center" wrapText="0"/>
    </xf>
    <xf borderId="27" fillId="4" fontId="414" numFmtId="0" xfId="0" applyAlignment="1" applyBorder="1" applyFont="1">
      <alignment readingOrder="0" shrinkToFit="0" vertical="center" wrapText="1"/>
    </xf>
    <xf borderId="27" fillId="4" fontId="414" numFmtId="0" xfId="0" applyAlignment="1" applyBorder="1" applyFont="1">
      <alignment horizontal="center" shrinkToFit="0" vertical="center" wrapText="0"/>
    </xf>
    <xf borderId="27" fillId="4" fontId="414" numFmtId="164" xfId="0" applyAlignment="1" applyBorder="1" applyFont="1" applyNumberFormat="1">
      <alignment readingOrder="0" shrinkToFit="0" vertical="center" wrapText="0"/>
    </xf>
    <xf borderId="27" fillId="4" fontId="414" numFmtId="0" xfId="0" applyAlignment="1" applyBorder="1" applyFont="1">
      <alignment shrinkToFit="0" vertical="center" wrapText="0"/>
    </xf>
    <xf borderId="27" fillId="4" fontId="8" numFmtId="0" xfId="0" applyAlignment="1" applyBorder="1" applyFont="1">
      <alignment horizontal="center" shrinkToFit="0" vertical="center" wrapText="0"/>
    </xf>
    <xf borderId="27" fillId="4" fontId="416" numFmtId="0" xfId="0" applyAlignment="1" applyBorder="1" applyFont="1">
      <alignment readingOrder="0" shrinkToFit="0" vertical="center" wrapText="0"/>
    </xf>
    <xf borderId="27" fillId="4" fontId="8" numFmtId="0" xfId="0" applyAlignment="1" applyBorder="1" applyFont="1">
      <alignment horizontal="center" readingOrder="0" shrinkToFit="0" vertical="center" wrapText="0"/>
    </xf>
    <xf borderId="27" fillId="4" fontId="417" numFmtId="0" xfId="0" applyAlignment="1" applyBorder="1" applyFont="1">
      <alignment horizontal="center" readingOrder="0" shrinkToFit="0" vertical="center" wrapText="0"/>
    </xf>
    <xf borderId="27" fillId="4" fontId="418" numFmtId="0" xfId="0" applyAlignment="1" applyBorder="1" applyFont="1">
      <alignment readingOrder="0" shrinkToFit="0" vertical="center" wrapText="0"/>
    </xf>
    <xf borderId="27" fillId="4" fontId="419" numFmtId="0" xfId="0" applyAlignment="1" applyBorder="1" applyFont="1">
      <alignment readingOrder="0" shrinkToFit="0" vertical="center" wrapText="0"/>
    </xf>
    <xf borderId="27" fillId="4" fontId="420" numFmtId="0" xfId="0" applyAlignment="1" applyBorder="1" applyFont="1">
      <alignment readingOrder="0" shrinkToFit="0" vertical="center" wrapText="1"/>
    </xf>
    <xf borderId="27" fillId="4" fontId="421" numFmtId="0" xfId="0" applyAlignment="1" applyBorder="1" applyFont="1">
      <alignment horizontal="center" shrinkToFit="0" vertical="center" wrapText="0"/>
    </xf>
    <xf borderId="27" fillId="4" fontId="422" numFmtId="164" xfId="0" applyAlignment="1" applyBorder="1" applyFont="1" applyNumberFormat="1">
      <alignment readingOrder="0" shrinkToFit="0" vertical="center" wrapText="0"/>
    </xf>
    <xf borderId="27" fillId="4" fontId="423" numFmtId="0" xfId="0" applyAlignment="1" applyBorder="1" applyFont="1">
      <alignment shrinkToFit="0" vertical="center" wrapText="0"/>
    </xf>
    <xf borderId="27" fillId="4" fontId="424" numFmtId="0" xfId="0" applyAlignment="1" applyBorder="1" applyFont="1">
      <alignment horizontal="center" readingOrder="0" shrinkToFit="0" vertical="center" wrapText="0"/>
    </xf>
    <xf borderId="27" fillId="4" fontId="425" numFmtId="0" xfId="0" applyAlignment="1" applyBorder="1" applyFont="1">
      <alignment horizontal="center" shrinkToFit="0" vertical="center" wrapText="0"/>
    </xf>
    <xf borderId="0" fillId="4" fontId="414" numFmtId="0" xfId="0" applyAlignment="1" applyFont="1">
      <alignment horizontal="left" readingOrder="0" shrinkToFit="0" vertical="center" wrapText="1"/>
    </xf>
    <xf borderId="0" fillId="4" fontId="414" numFmtId="0" xfId="0" applyAlignment="1" applyFont="1">
      <alignment horizontal="center" readingOrder="0" shrinkToFit="0" vertical="center" wrapText="0"/>
    </xf>
    <xf borderId="27" fillId="4" fontId="415" numFmtId="0" xfId="0" applyAlignment="1" applyBorder="1" applyFont="1">
      <alignment shrinkToFit="0" vertical="center" wrapText="0"/>
    </xf>
    <xf borderId="27" fillId="4" fontId="415" numFmtId="0" xfId="0" applyAlignment="1" applyBorder="1" applyFont="1">
      <alignment horizontal="center" shrinkToFit="0" vertical="center" wrapText="0"/>
    </xf>
    <xf borderId="27" fillId="4" fontId="414" numFmtId="164" xfId="0" applyAlignment="1" applyBorder="1" applyFont="1" applyNumberFormat="1">
      <alignment readingOrder="0" shrinkToFit="0" vertical="center" wrapText="0"/>
    </xf>
    <xf borderId="27" fillId="7" fontId="8" numFmtId="0" xfId="0" applyAlignment="1" applyBorder="1" applyFont="1">
      <alignment horizontal="center" shrinkToFit="0" vertical="center" wrapText="0"/>
    </xf>
    <xf borderId="27" fillId="8" fontId="8" numFmtId="0" xfId="0" applyAlignment="1" applyBorder="1" applyFont="1">
      <alignment horizontal="center" shrinkToFit="0" vertical="center" wrapText="0"/>
    </xf>
    <xf borderId="27" fillId="9" fontId="8" numFmtId="0" xfId="0" applyAlignment="1" applyBorder="1" applyFont="1">
      <alignment horizontal="center" shrinkToFit="0" vertical="center" wrapText="0"/>
    </xf>
    <xf borderId="27" fillId="9" fontId="8" numFmtId="0" xfId="0" applyAlignment="1" applyBorder="1" applyFont="1">
      <alignment horizontal="center" readingOrder="0" shrinkToFit="0" vertical="center" wrapText="0"/>
    </xf>
    <xf borderId="0" fillId="40" fontId="426" numFmtId="0" xfId="0" applyAlignment="1" applyFill="1" applyFont="1">
      <alignment horizontal="center" readingOrder="0" shrinkToFit="0" vertical="center" wrapText="0"/>
    </xf>
    <xf borderId="0" fillId="40" fontId="426" numFmtId="0" xfId="0" applyAlignment="1" applyFont="1">
      <alignment horizontal="left" readingOrder="0" shrinkToFit="0" vertical="center" wrapText="0"/>
    </xf>
    <xf borderId="0" fillId="40" fontId="426" numFmtId="0" xfId="0" applyAlignment="1" applyFont="1">
      <alignment horizontal="left" readingOrder="0" shrinkToFit="0" vertical="center" wrapText="1"/>
    </xf>
    <xf borderId="0" fillId="40" fontId="426" numFmtId="164" xfId="0" applyAlignment="1" applyFont="1" applyNumberFormat="1">
      <alignment horizontal="left" readingOrder="0" shrinkToFit="0" vertical="center" wrapText="0"/>
    </xf>
    <xf borderId="0" fillId="40" fontId="426" numFmtId="0" xfId="0" applyAlignment="1" applyFont="1">
      <alignment horizontal="left" readingOrder="0" shrinkToFit="0" vertical="center" wrapText="0"/>
    </xf>
    <xf borderId="0" fillId="40" fontId="426" numFmtId="49" xfId="0" applyAlignment="1" applyFont="1" applyNumberFormat="1">
      <alignment horizontal="center" readingOrder="0" shrinkToFit="0" vertical="center" wrapText="0"/>
    </xf>
    <xf borderId="28" fillId="40" fontId="426" numFmtId="0" xfId="0" applyAlignment="1" applyBorder="1" applyFont="1">
      <alignment horizontal="center" readingOrder="0" shrinkToFit="0" vertical="center" wrapText="0"/>
    </xf>
    <xf borderId="28" fillId="40" fontId="427" numFmtId="0" xfId="0" applyAlignment="1" applyBorder="1" applyFont="1">
      <alignment readingOrder="0" shrinkToFit="0" vertical="center" wrapText="0"/>
    </xf>
    <xf borderId="28" fillId="40" fontId="427" numFmtId="0" xfId="0" applyAlignment="1" applyBorder="1" applyFont="1">
      <alignment readingOrder="0" shrinkToFit="0" vertical="center" wrapText="0"/>
    </xf>
    <xf borderId="28" fillId="40" fontId="426" numFmtId="0" xfId="0" applyAlignment="1" applyBorder="1" applyFont="1">
      <alignment readingOrder="0" shrinkToFit="0" vertical="center" wrapText="1"/>
    </xf>
    <xf borderId="28" fillId="40" fontId="426" numFmtId="0" xfId="0" applyAlignment="1" applyBorder="1" applyFont="1">
      <alignment horizontal="center" shrinkToFit="0" vertical="center" wrapText="0"/>
    </xf>
    <xf borderId="28" fillId="40" fontId="426" numFmtId="164" xfId="0" applyAlignment="1" applyBorder="1" applyFont="1" applyNumberFormat="1">
      <alignment readingOrder="0" shrinkToFit="0" vertical="center" wrapText="0"/>
    </xf>
    <xf borderId="28" fillId="40" fontId="426" numFmtId="0" xfId="0" applyAlignment="1" applyBorder="1" applyFont="1">
      <alignment shrinkToFit="0" vertical="center" wrapText="0"/>
    </xf>
    <xf borderId="28" fillId="40" fontId="8" numFmtId="0" xfId="0" applyAlignment="1" applyBorder="1" applyFont="1">
      <alignment horizontal="center" shrinkToFit="0" vertical="center" wrapText="0"/>
    </xf>
    <xf borderId="28" fillId="40" fontId="8" numFmtId="0" xfId="0" applyAlignment="1" applyBorder="1" applyFont="1">
      <alignment horizontal="center" readingOrder="0" shrinkToFit="0" vertical="center" wrapText="0"/>
    </xf>
    <xf borderId="28" fillId="40" fontId="428" numFmtId="0" xfId="0" applyAlignment="1" applyBorder="1" applyFont="1">
      <alignment readingOrder="0" shrinkToFit="0" vertical="center" wrapText="0"/>
    </xf>
    <xf borderId="28" fillId="40" fontId="429" numFmtId="0" xfId="0" applyAlignment="1" applyBorder="1" applyFont="1">
      <alignment horizontal="center" readingOrder="0" shrinkToFit="0" vertical="center" wrapText="0"/>
    </xf>
    <xf borderId="28" fillId="40" fontId="430" numFmtId="0" xfId="0" applyAlignment="1" applyBorder="1" applyFont="1">
      <alignment readingOrder="0" shrinkToFit="0" vertical="center" wrapText="0"/>
    </xf>
    <xf borderId="28" fillId="40" fontId="431" numFmtId="0" xfId="0" applyAlignment="1" applyBorder="1" applyFont="1">
      <alignment readingOrder="0" shrinkToFit="0" vertical="center" wrapText="0"/>
    </xf>
    <xf borderId="28" fillId="40" fontId="432" numFmtId="0" xfId="0" applyAlignment="1" applyBorder="1" applyFont="1">
      <alignment readingOrder="0" shrinkToFit="0" vertical="center" wrapText="1"/>
    </xf>
    <xf borderId="28" fillId="40" fontId="433" numFmtId="0" xfId="0" applyAlignment="1" applyBorder="1" applyFont="1">
      <alignment horizontal="center" shrinkToFit="0" vertical="center" wrapText="0"/>
    </xf>
    <xf borderId="28" fillId="40" fontId="434" numFmtId="164" xfId="0" applyAlignment="1" applyBorder="1" applyFont="1" applyNumberFormat="1">
      <alignment readingOrder="0" shrinkToFit="0" vertical="center" wrapText="0"/>
    </xf>
    <xf borderId="28" fillId="40" fontId="435" numFmtId="0" xfId="0" applyAlignment="1" applyBorder="1" applyFont="1">
      <alignment shrinkToFit="0" vertical="center" wrapText="0"/>
    </xf>
    <xf borderId="28" fillId="40" fontId="436" numFmtId="0" xfId="0" applyAlignment="1" applyBorder="1" applyFont="1">
      <alignment horizontal="center" readingOrder="0" shrinkToFit="0" vertical="center" wrapText="0"/>
    </xf>
    <xf borderId="28" fillId="40" fontId="437" numFmtId="0" xfId="0" applyAlignment="1" applyBorder="1" applyFont="1">
      <alignment horizontal="center" shrinkToFit="0" vertical="center" wrapText="0"/>
    </xf>
    <xf borderId="0" fillId="40" fontId="426" numFmtId="0" xfId="0" applyAlignment="1" applyFont="1">
      <alignment horizontal="left" readingOrder="0" shrinkToFit="0" vertical="center" wrapText="1"/>
    </xf>
    <xf borderId="0" fillId="40" fontId="426" numFmtId="0" xfId="0" applyAlignment="1" applyFont="1">
      <alignment horizontal="center" readingOrder="0" shrinkToFit="0" vertical="center" wrapText="0"/>
    </xf>
    <xf borderId="28" fillId="40" fontId="427" numFmtId="0" xfId="0" applyAlignment="1" applyBorder="1" applyFont="1">
      <alignment shrinkToFit="0" vertical="center" wrapText="0"/>
    </xf>
    <xf borderId="28" fillId="40" fontId="427" numFmtId="0" xfId="0" applyAlignment="1" applyBorder="1" applyFont="1">
      <alignment horizontal="center" shrinkToFit="0" vertical="center" wrapText="0"/>
    </xf>
    <xf borderId="28" fillId="0" fontId="8" numFmtId="0" xfId="0" applyAlignment="1" applyBorder="1" applyFont="1">
      <alignment horizontal="center" shrinkToFit="0" vertical="center" wrapText="0"/>
    </xf>
    <xf borderId="28" fillId="7" fontId="8" numFmtId="0" xfId="0" applyAlignment="1" applyBorder="1" applyFont="1">
      <alignment horizontal="center" readingOrder="0" shrinkToFit="0" vertical="center" wrapText="0"/>
    </xf>
    <xf borderId="28" fillId="8" fontId="8" numFmtId="0" xfId="0" applyAlignment="1" applyBorder="1" applyFont="1">
      <alignment horizontal="center" shrinkToFit="0" vertical="center" wrapText="0"/>
    </xf>
    <xf borderId="28" fillId="9" fontId="8" numFmtId="0" xfId="0" applyAlignment="1" applyBorder="1" applyFont="1">
      <alignment horizontal="center" shrinkToFit="0" vertical="center" wrapText="0"/>
    </xf>
    <xf borderId="0" fillId="41" fontId="2" numFmtId="0" xfId="0" applyAlignment="1" applyFill="1" applyFont="1">
      <alignment horizontal="center" readingOrder="0" shrinkToFit="0" vertical="center" wrapText="0"/>
    </xf>
    <xf borderId="0" fillId="41" fontId="2" numFmtId="0" xfId="0" applyAlignment="1" applyFont="1">
      <alignment horizontal="left" readingOrder="0" shrinkToFit="0" vertical="center" wrapText="0"/>
    </xf>
    <xf borderId="0" fillId="41" fontId="2" numFmtId="0" xfId="0" applyAlignment="1" applyFont="1">
      <alignment horizontal="left" readingOrder="0" shrinkToFit="0" vertical="center" wrapText="1"/>
    </xf>
    <xf borderId="0" fillId="41" fontId="2" numFmtId="164" xfId="0" applyAlignment="1" applyFont="1" applyNumberFormat="1">
      <alignment horizontal="left" readingOrder="0" shrinkToFit="0" vertical="center" wrapText="0"/>
    </xf>
    <xf borderId="0" fillId="41" fontId="2" numFmtId="0" xfId="0" applyAlignment="1" applyFont="1">
      <alignment horizontal="left" readingOrder="0" shrinkToFit="0" vertical="center" wrapText="0"/>
    </xf>
    <xf borderId="0" fillId="41" fontId="2" numFmtId="49" xfId="0" applyAlignment="1" applyFont="1" applyNumberFormat="1">
      <alignment horizontal="center" readingOrder="0" shrinkToFit="0" vertical="center" wrapText="0"/>
    </xf>
    <xf borderId="2" fillId="41" fontId="2" numFmtId="0" xfId="0" applyAlignment="1" applyBorder="1" applyFont="1">
      <alignment horizontal="center" readingOrder="0" shrinkToFit="0" vertical="center" wrapText="0"/>
    </xf>
    <xf borderId="2" fillId="41" fontId="133" numFmtId="0" xfId="0" applyAlignment="1" applyBorder="1" applyFont="1">
      <alignment readingOrder="0" shrinkToFit="0" vertical="center" wrapText="0"/>
    </xf>
    <xf borderId="2" fillId="41" fontId="132" numFmtId="0" xfId="0" applyAlignment="1" applyBorder="1" applyFont="1">
      <alignment readingOrder="0" shrinkToFit="0" vertical="center" wrapText="0"/>
    </xf>
    <xf borderId="2" fillId="41" fontId="2" numFmtId="0" xfId="0" applyAlignment="1" applyBorder="1" applyFont="1">
      <alignment readingOrder="0" shrinkToFit="0" vertical="center" wrapText="1"/>
    </xf>
    <xf borderId="2" fillId="41" fontId="2" numFmtId="0" xfId="0" applyAlignment="1" applyBorder="1" applyFont="1">
      <alignment horizontal="center" shrinkToFit="0" vertical="center" wrapText="0"/>
    </xf>
    <xf borderId="2" fillId="41" fontId="2" numFmtId="164" xfId="0" applyAlignment="1" applyBorder="1" applyFont="1" applyNumberFormat="1">
      <alignment readingOrder="0" shrinkToFit="0" vertical="center" wrapText="0"/>
    </xf>
    <xf borderId="2" fillId="41" fontId="2" numFmtId="0" xfId="0" applyAlignment="1" applyBorder="1" applyFont="1">
      <alignment shrinkToFit="0" vertical="center" wrapText="0"/>
    </xf>
    <xf borderId="2" fillId="41" fontId="8" numFmtId="0" xfId="0" applyAlignment="1" applyBorder="1" applyFont="1">
      <alignment horizontal="center" shrinkToFit="0" vertical="center" wrapText="0"/>
    </xf>
    <xf borderId="2" fillId="41" fontId="132" numFmtId="0" xfId="0" applyAlignment="1" applyBorder="1" applyFont="1">
      <alignment readingOrder="0" shrinkToFit="0" vertical="center" wrapText="0"/>
    </xf>
    <xf borderId="2" fillId="41" fontId="438" numFmtId="0" xfId="0" applyAlignment="1" applyBorder="1" applyFont="1">
      <alignment horizontal="center" readingOrder="0" shrinkToFit="0" vertical="center" wrapText="0"/>
    </xf>
    <xf borderId="2" fillId="41" fontId="439" numFmtId="0" xfId="0" applyAlignment="1" applyBorder="1" applyFont="1">
      <alignment readingOrder="0" shrinkToFit="0" vertical="center" wrapText="0"/>
    </xf>
    <xf borderId="2" fillId="41" fontId="440" numFmtId="0" xfId="0" applyAlignment="1" applyBorder="1" applyFont="1">
      <alignment readingOrder="0" shrinkToFit="0" vertical="center" wrapText="0"/>
    </xf>
    <xf borderId="2" fillId="41" fontId="441" numFmtId="0" xfId="0" applyAlignment="1" applyBorder="1" applyFont="1">
      <alignment readingOrder="0" shrinkToFit="0" vertical="center" wrapText="1"/>
    </xf>
    <xf borderId="2" fillId="41" fontId="442" numFmtId="0" xfId="0" applyAlignment="1" applyBorder="1" applyFont="1">
      <alignment horizontal="center" shrinkToFit="0" vertical="center" wrapText="0"/>
    </xf>
    <xf borderId="2" fillId="41" fontId="443" numFmtId="164" xfId="0" applyAlignment="1" applyBorder="1" applyFont="1" applyNumberFormat="1">
      <alignment readingOrder="0" shrinkToFit="0" vertical="center" wrapText="0"/>
    </xf>
    <xf borderId="2" fillId="41" fontId="444" numFmtId="0" xfId="0" applyAlignment="1" applyBorder="1" applyFont="1">
      <alignment shrinkToFit="0" vertical="center" wrapText="0"/>
    </xf>
    <xf borderId="2" fillId="41" fontId="445" numFmtId="0" xfId="0" applyAlignment="1" applyBorder="1" applyFont="1">
      <alignment horizontal="center" shrinkToFit="0" vertical="center" wrapText="0"/>
    </xf>
    <xf borderId="2" fillId="41" fontId="8" numFmtId="0" xfId="0" applyAlignment="1" applyBorder="1" applyFont="1">
      <alignment horizontal="center" readingOrder="0" shrinkToFit="0" vertical="center" wrapText="0"/>
    </xf>
    <xf borderId="2" fillId="41" fontId="446" numFmtId="0" xfId="0" applyAlignment="1" applyBorder="1" applyFont="1">
      <alignment horizontal="center" readingOrder="0" shrinkToFit="0" vertical="center" wrapText="0"/>
    </xf>
    <xf borderId="0" fillId="41" fontId="2" numFmtId="0" xfId="0" applyAlignment="1" applyFont="1">
      <alignment horizontal="left" readingOrder="0" shrinkToFit="0" vertical="center" wrapText="1"/>
    </xf>
    <xf borderId="0" fillId="41" fontId="2" numFmtId="0" xfId="0" applyAlignment="1" applyFont="1">
      <alignment horizontal="center" readingOrder="0" shrinkToFit="0" vertical="center" wrapText="0"/>
    </xf>
    <xf borderId="2" fillId="41" fontId="132" numFmtId="0" xfId="0" applyAlignment="1" applyBorder="1" applyFont="1">
      <alignment shrinkToFit="0" vertical="center" wrapText="0"/>
    </xf>
    <xf borderId="2" fillId="41" fontId="132" numFmtId="0" xfId="0" applyAlignment="1" applyBorder="1" applyFont="1">
      <alignment horizontal="center" shrinkToFit="0" vertical="center" wrapText="0"/>
    </xf>
    <xf borderId="0" fillId="42" fontId="447" numFmtId="0" xfId="0" applyAlignment="1" applyFill="1" applyFont="1">
      <alignment horizontal="center" readingOrder="0" shrinkToFit="0" vertical="center" wrapText="0"/>
    </xf>
    <xf borderId="0" fillId="42" fontId="447" numFmtId="0" xfId="0" applyAlignment="1" applyFont="1">
      <alignment horizontal="left" readingOrder="0" shrinkToFit="0" vertical="center" wrapText="0"/>
    </xf>
    <xf borderId="0" fillId="42" fontId="447" numFmtId="0" xfId="0" applyAlignment="1" applyFont="1">
      <alignment horizontal="left" readingOrder="0" shrinkToFit="0" vertical="center" wrapText="1"/>
    </xf>
    <xf borderId="0" fillId="42" fontId="447" numFmtId="164" xfId="0" applyAlignment="1" applyFont="1" applyNumberFormat="1">
      <alignment horizontal="left" readingOrder="0" shrinkToFit="0" vertical="center" wrapText="0"/>
    </xf>
    <xf borderId="0" fillId="42" fontId="447" numFmtId="0" xfId="0" applyAlignment="1" applyFont="1">
      <alignment horizontal="left" readingOrder="0" shrinkToFit="0" vertical="center" wrapText="0"/>
    </xf>
    <xf borderId="0" fillId="42" fontId="447" numFmtId="49" xfId="0" applyAlignment="1" applyFont="1" applyNumberFormat="1">
      <alignment horizontal="center" readingOrder="0" shrinkToFit="0" vertical="center" wrapText="0"/>
    </xf>
    <xf borderId="29" fillId="42" fontId="447" numFmtId="0" xfId="0" applyAlignment="1" applyBorder="1" applyFont="1">
      <alignment horizontal="center" readingOrder="0" shrinkToFit="0" vertical="center" wrapText="0"/>
    </xf>
    <xf borderId="29" fillId="42" fontId="448" numFmtId="0" xfId="0" applyAlignment="1" applyBorder="1" applyFont="1">
      <alignment readingOrder="0" shrinkToFit="0" vertical="center" wrapText="0"/>
    </xf>
    <xf borderId="29" fillId="42" fontId="448" numFmtId="0" xfId="0" applyAlignment="1" applyBorder="1" applyFont="1">
      <alignment readingOrder="0" shrinkToFit="0" vertical="center" wrapText="0"/>
    </xf>
    <xf borderId="29" fillId="42" fontId="447" numFmtId="0" xfId="0" applyAlignment="1" applyBorder="1" applyFont="1">
      <alignment readingOrder="0" shrinkToFit="0" vertical="center" wrapText="1"/>
    </xf>
    <xf borderId="29" fillId="42" fontId="447" numFmtId="0" xfId="0" applyAlignment="1" applyBorder="1" applyFont="1">
      <alignment horizontal="center" shrinkToFit="0" vertical="center" wrapText="0"/>
    </xf>
    <xf borderId="29" fillId="42" fontId="447" numFmtId="164" xfId="0" applyAlignment="1" applyBorder="1" applyFont="1" applyNumberFormat="1">
      <alignment readingOrder="0" shrinkToFit="0" vertical="center" wrapText="0"/>
    </xf>
    <xf borderId="29" fillId="42" fontId="447" numFmtId="0" xfId="0" applyAlignment="1" applyBorder="1" applyFont="1">
      <alignment shrinkToFit="0" vertical="center" wrapText="0"/>
    </xf>
    <xf borderId="29" fillId="42" fontId="8" numFmtId="0" xfId="0" applyAlignment="1" applyBorder="1" applyFont="1">
      <alignment horizontal="center" shrinkToFit="0" vertical="center" wrapText="0"/>
    </xf>
    <xf borderId="29" fillId="42" fontId="449" numFmtId="0" xfId="0" applyAlignment="1" applyBorder="1" applyFont="1">
      <alignment readingOrder="0" shrinkToFit="0" vertical="center" wrapText="0"/>
    </xf>
    <xf borderId="29" fillId="42" fontId="450" numFmtId="0" xfId="0" applyAlignment="1" applyBorder="1" applyFont="1">
      <alignment horizontal="center" readingOrder="0" shrinkToFit="0" vertical="center" wrapText="0"/>
    </xf>
    <xf borderId="29" fillId="42" fontId="451" numFmtId="0" xfId="0" applyAlignment="1" applyBorder="1" applyFont="1">
      <alignment readingOrder="0" shrinkToFit="0" vertical="center" wrapText="0"/>
    </xf>
    <xf borderId="29" fillId="42" fontId="452" numFmtId="0" xfId="0" applyAlignment="1" applyBorder="1" applyFont="1">
      <alignment readingOrder="0" shrinkToFit="0" vertical="center" wrapText="0"/>
    </xf>
    <xf borderId="29" fillId="42" fontId="453" numFmtId="0" xfId="0" applyAlignment="1" applyBorder="1" applyFont="1">
      <alignment readingOrder="0" shrinkToFit="0" vertical="center" wrapText="1"/>
    </xf>
    <xf borderId="29" fillId="42" fontId="454" numFmtId="0" xfId="0" applyAlignment="1" applyBorder="1" applyFont="1">
      <alignment horizontal="center" shrinkToFit="0" vertical="center" wrapText="0"/>
    </xf>
    <xf borderId="29" fillId="42" fontId="455" numFmtId="164" xfId="0" applyAlignment="1" applyBorder="1" applyFont="1" applyNumberFormat="1">
      <alignment readingOrder="0" shrinkToFit="0" vertical="center" wrapText="0"/>
    </xf>
    <xf borderId="29" fillId="42" fontId="456" numFmtId="0" xfId="0" applyAlignment="1" applyBorder="1" applyFont="1">
      <alignment shrinkToFit="0" vertical="center" wrapText="0"/>
    </xf>
    <xf borderId="29" fillId="42" fontId="457" numFmtId="0" xfId="0" applyAlignment="1" applyBorder="1" applyFont="1">
      <alignment horizontal="center" shrinkToFit="0" vertical="center" wrapText="0"/>
    </xf>
    <xf borderId="29" fillId="42" fontId="8" numFmtId="0" xfId="0" applyAlignment="1" applyBorder="1" applyFont="1">
      <alignment horizontal="center" readingOrder="0" shrinkToFit="0" vertical="center" wrapText="0"/>
    </xf>
    <xf borderId="29" fillId="42" fontId="458" numFmtId="0" xfId="0" applyAlignment="1" applyBorder="1" applyFont="1">
      <alignment horizontal="center" readingOrder="0" shrinkToFit="0" vertical="center" wrapText="0"/>
    </xf>
    <xf borderId="0" fillId="42" fontId="447" numFmtId="0" xfId="0" applyAlignment="1" applyFont="1">
      <alignment horizontal="left" readingOrder="0" shrinkToFit="0" vertical="center" wrapText="1"/>
    </xf>
    <xf borderId="0" fillId="42" fontId="447" numFmtId="0" xfId="0" applyAlignment="1" applyFont="1">
      <alignment horizontal="center" readingOrder="0" shrinkToFit="0" vertical="center" wrapText="0"/>
    </xf>
    <xf borderId="29" fillId="42" fontId="448" numFmtId="0" xfId="0" applyAlignment="1" applyBorder="1" applyFont="1">
      <alignment shrinkToFit="0" vertical="center" wrapText="0"/>
    </xf>
    <xf borderId="29" fillId="42" fontId="448" numFmtId="0" xfId="0" applyAlignment="1" applyBorder="1" applyFont="1">
      <alignment horizontal="center" shrinkToFit="0" vertical="center" wrapText="0"/>
    </xf>
    <xf borderId="29" fillId="0" fontId="8" numFmtId="0" xfId="0" applyAlignment="1" applyBorder="1" applyFont="1">
      <alignment horizontal="center" shrinkToFit="0" vertical="center" wrapText="0"/>
    </xf>
    <xf borderId="29" fillId="7" fontId="8" numFmtId="0" xfId="0" applyAlignment="1" applyBorder="1" applyFont="1">
      <alignment horizontal="center" shrinkToFit="0" vertical="center" wrapText="0"/>
    </xf>
    <xf borderId="29" fillId="8" fontId="8" numFmtId="0" xfId="0" applyAlignment="1" applyBorder="1" applyFont="1">
      <alignment horizontal="center" shrinkToFit="0" vertical="center" wrapText="0"/>
    </xf>
    <xf borderId="29" fillId="9" fontId="8" numFmtId="0" xfId="0" applyAlignment="1" applyBorder="1" applyFont="1">
      <alignment horizontal="center" shrinkToFit="0" vertical="center" wrapText="0"/>
    </xf>
    <xf borderId="0" fillId="4" fontId="459" numFmtId="0" xfId="0" applyAlignment="1" applyFont="1">
      <alignment horizontal="center" readingOrder="0" shrinkToFit="0" vertical="center" wrapText="0"/>
    </xf>
    <xf borderId="0" fillId="4" fontId="459" numFmtId="0" xfId="0" applyAlignment="1" applyFont="1">
      <alignment horizontal="left" readingOrder="0" shrinkToFit="0" vertical="center" wrapText="0"/>
    </xf>
    <xf borderId="0" fillId="4" fontId="459" numFmtId="0" xfId="0" applyAlignment="1" applyFont="1">
      <alignment horizontal="left" readingOrder="0" shrinkToFit="0" vertical="center" wrapText="1"/>
    </xf>
    <xf borderId="0" fillId="4" fontId="459" numFmtId="164" xfId="0" applyAlignment="1" applyFont="1" applyNumberFormat="1">
      <alignment horizontal="left" readingOrder="0" shrinkToFit="0" vertical="center" wrapText="0"/>
    </xf>
    <xf borderId="0" fillId="4" fontId="459" numFmtId="0" xfId="0" applyAlignment="1" applyFont="1">
      <alignment horizontal="left" readingOrder="0" shrinkToFit="0" vertical="center" wrapText="0"/>
    </xf>
    <xf borderId="0" fillId="4" fontId="459" numFmtId="49" xfId="0" applyAlignment="1" applyFont="1" applyNumberFormat="1">
      <alignment horizontal="center" readingOrder="0" shrinkToFit="0" vertical="center" wrapText="0"/>
    </xf>
    <xf borderId="30" fillId="4" fontId="460" numFmtId="0" xfId="0" applyAlignment="1" applyBorder="1" applyFont="1">
      <alignment horizontal="center" shrinkToFit="0" vertical="center" wrapText="0"/>
    </xf>
    <xf borderId="30" fillId="4" fontId="461" numFmtId="0" xfId="0" applyAlignment="1" applyBorder="1" applyFont="1">
      <alignment shrinkToFit="0" vertical="center" wrapText="0"/>
    </xf>
    <xf borderId="30" fillId="4" fontId="461" numFmtId="0" xfId="0" applyAlignment="1" applyBorder="1" applyFont="1">
      <alignment shrinkToFit="0" vertical="center" wrapText="0"/>
    </xf>
    <xf borderId="30" fillId="4" fontId="460" numFmtId="0" xfId="0" applyAlignment="1" applyBorder="1" applyFont="1">
      <alignment shrinkToFit="0" vertical="center" wrapText="1"/>
    </xf>
    <xf borderId="30" fillId="4" fontId="462" numFmtId="0" xfId="0" applyAlignment="1" applyBorder="1" applyFont="1">
      <alignment horizontal="center" shrinkToFit="0" vertical="center" wrapText="0"/>
    </xf>
    <xf borderId="30" fillId="4" fontId="460" numFmtId="164" xfId="0" applyAlignment="1" applyBorder="1" applyFont="1" applyNumberFormat="1">
      <alignment horizontal="right" shrinkToFit="0" vertical="center" wrapText="0"/>
    </xf>
    <xf borderId="30" fillId="4" fontId="460" numFmtId="0" xfId="0" applyAlignment="1" applyBorder="1" applyFont="1">
      <alignment horizontal="right" shrinkToFit="0" vertical="center" wrapText="0"/>
    </xf>
    <xf borderId="30" fillId="4" fontId="8" numFmtId="0" xfId="0" applyAlignment="1" applyBorder="1" applyFont="1">
      <alignment horizontal="center" shrinkToFit="0" vertical="center" wrapText="0"/>
    </xf>
    <xf borderId="30" fillId="4" fontId="463" numFmtId="0" xfId="0" applyAlignment="1" applyBorder="1" applyFont="1">
      <alignment shrinkToFit="0" vertical="center" wrapText="0"/>
    </xf>
    <xf borderId="30" fillId="4" fontId="464" numFmtId="0" xfId="0" applyAlignment="1" applyBorder="1" applyFont="1">
      <alignment horizontal="center" shrinkToFit="0" vertical="center" wrapText="0"/>
    </xf>
    <xf borderId="30" fillId="4" fontId="465" numFmtId="0" xfId="0" applyAlignment="1" applyBorder="1" applyFont="1">
      <alignment shrinkToFit="0" vertical="center" wrapText="0"/>
    </xf>
    <xf borderId="30" fillId="4" fontId="466" numFmtId="0" xfId="0" applyAlignment="1" applyBorder="1" applyFont="1">
      <alignment shrinkToFit="0" vertical="center" wrapText="0"/>
    </xf>
    <xf borderId="30" fillId="4" fontId="467" numFmtId="0" xfId="0" applyAlignment="1" applyBorder="1" applyFont="1">
      <alignment shrinkToFit="0" vertical="center" wrapText="1"/>
    </xf>
    <xf borderId="30" fillId="4" fontId="468" numFmtId="0" xfId="0" applyAlignment="1" applyBorder="1" applyFont="1">
      <alignment horizontal="center" shrinkToFit="0" vertical="center" wrapText="0"/>
    </xf>
    <xf borderId="30" fillId="4" fontId="469" numFmtId="164" xfId="0" applyAlignment="1" applyBorder="1" applyFont="1" applyNumberFormat="1">
      <alignment horizontal="right" shrinkToFit="0" vertical="center" wrapText="0"/>
    </xf>
    <xf borderId="30" fillId="4" fontId="470" numFmtId="0" xfId="0" applyAlignment="1" applyBorder="1" applyFont="1">
      <alignment horizontal="right" shrinkToFit="0" vertical="center" wrapText="0"/>
    </xf>
    <xf borderId="30" fillId="4" fontId="471" numFmtId="0" xfId="0" applyAlignment="1" applyBorder="1" applyFont="1">
      <alignment horizontal="center" shrinkToFit="0" vertical="center" wrapText="0"/>
    </xf>
    <xf borderId="30" fillId="4" fontId="8" numFmtId="0" xfId="0" applyAlignment="1" applyBorder="1" applyFont="1">
      <alignment horizontal="center" readingOrder="0" shrinkToFit="0" vertical="center" wrapText="0"/>
    </xf>
    <xf borderId="30" fillId="4" fontId="472" numFmtId="0" xfId="0" applyAlignment="1" applyBorder="1" applyFont="1">
      <alignment horizontal="center" readingOrder="0" shrinkToFit="0" vertical="center" wrapText="0"/>
    </xf>
    <xf borderId="30" fillId="4" fontId="473" numFmtId="0" xfId="0" applyAlignment="1" applyBorder="1" applyFont="1">
      <alignment readingOrder="0" shrinkToFit="0" vertical="center" wrapText="0"/>
    </xf>
    <xf borderId="30" fillId="4" fontId="474" numFmtId="0" xfId="0" applyAlignment="1" applyBorder="1" applyFont="1">
      <alignment readingOrder="0" shrinkToFit="0" vertical="center" wrapText="0"/>
    </xf>
    <xf borderId="30" fillId="4" fontId="475" numFmtId="0" xfId="0" applyAlignment="1" applyBorder="1" applyFont="1">
      <alignment readingOrder="0" shrinkToFit="0" vertical="center" wrapText="1"/>
    </xf>
    <xf borderId="30" fillId="4" fontId="476" numFmtId="0" xfId="0" applyAlignment="1" applyBorder="1" applyFont="1">
      <alignment horizontal="center" shrinkToFit="0" vertical="center" wrapText="0"/>
    </xf>
    <xf borderId="30" fillId="4" fontId="477" numFmtId="164" xfId="0" applyAlignment="1" applyBorder="1" applyFont="1" applyNumberFormat="1">
      <alignment horizontal="right" readingOrder="0" shrinkToFit="0" vertical="center" wrapText="0"/>
    </xf>
    <xf borderId="30" fillId="4" fontId="478" numFmtId="0" xfId="0" applyAlignment="1" applyBorder="1" applyFont="1">
      <alignment horizontal="center" readingOrder="0" shrinkToFit="0" vertical="center" wrapText="0"/>
    </xf>
    <xf borderId="0" fillId="4" fontId="459" numFmtId="0" xfId="0" applyAlignment="1" applyFont="1">
      <alignment horizontal="left" readingOrder="0" shrinkToFit="0" vertical="center" wrapText="1"/>
    </xf>
    <xf borderId="0" fillId="4" fontId="459" numFmtId="0" xfId="0" applyAlignment="1" applyFont="1">
      <alignment horizontal="center" readingOrder="0" shrinkToFit="0" vertical="center" wrapText="0"/>
    </xf>
    <xf borderId="30" fillId="4" fontId="479" numFmtId="0" xfId="0" applyAlignment="1" applyBorder="1" applyFont="1">
      <alignment shrinkToFit="0" vertical="center" wrapText="0"/>
    </xf>
    <xf borderId="30" fillId="4" fontId="459" numFmtId="0" xfId="0" applyAlignment="1" applyBorder="1" applyFont="1">
      <alignment readingOrder="0" shrinkToFit="0" vertical="center" wrapText="0"/>
    </xf>
    <xf borderId="30" fillId="4" fontId="459" numFmtId="0" xfId="0" applyAlignment="1" applyBorder="1" applyFont="1">
      <alignment shrinkToFit="0" vertical="center" wrapText="1"/>
    </xf>
    <xf borderId="30" fillId="4" fontId="479" numFmtId="0" xfId="0" applyAlignment="1" applyBorder="1" applyFont="1">
      <alignment horizontal="center" shrinkToFit="0" vertical="center" wrapText="0"/>
    </xf>
    <xf borderId="30" fillId="4" fontId="459" numFmtId="164" xfId="0" applyAlignment="1" applyBorder="1" applyFont="1" applyNumberFormat="1">
      <alignment shrinkToFit="0" vertical="center" wrapText="0"/>
    </xf>
    <xf borderId="30" fillId="4" fontId="459" numFmtId="0" xfId="0" applyAlignment="1" applyBorder="1" applyFont="1">
      <alignment shrinkToFit="0" vertical="center" wrapText="0"/>
    </xf>
    <xf borderId="30" fillId="0" fontId="8" numFmtId="0" xfId="0" applyAlignment="1" applyBorder="1" applyFont="1">
      <alignment horizontal="center" shrinkToFit="0" vertical="center" wrapText="0"/>
    </xf>
    <xf borderId="30" fillId="7" fontId="8" numFmtId="0" xfId="0" applyAlignment="1" applyBorder="1" applyFont="1">
      <alignment horizontal="center" shrinkToFit="0" vertical="center" wrapText="0"/>
    </xf>
    <xf borderId="30" fillId="8" fontId="8" numFmtId="0" xfId="0" applyAlignment="1" applyBorder="1" applyFont="1">
      <alignment horizontal="center" shrinkToFit="0" vertical="center" wrapText="0"/>
    </xf>
    <xf borderId="30" fillId="9" fontId="8" numFmtId="0" xfId="0" applyAlignment="1" applyBorder="1" applyFont="1">
      <alignment horizontal="center" shrinkToFit="0" vertical="center" wrapText="0"/>
    </xf>
    <xf borderId="0" fillId="0" fontId="34" numFmtId="0" xfId="0" applyAlignment="1" applyFont="1">
      <alignment readingOrder="0" shrinkToFit="0" vertical="center" wrapText="1"/>
    </xf>
    <xf borderId="0" fillId="0" fontId="34" numFmtId="0" xfId="0" applyAlignment="1" applyFont="1">
      <alignment horizontal="center" readingOrder="0" shrinkToFit="0" vertical="center" wrapText="0"/>
    </xf>
    <xf borderId="0" fillId="43" fontId="480" numFmtId="0" xfId="0" applyAlignment="1" applyFill="1" applyFont="1">
      <alignment horizontal="center" readingOrder="0" shrinkToFit="0" vertical="center" wrapText="0"/>
    </xf>
    <xf borderId="0" fillId="43" fontId="480" numFmtId="0" xfId="0" applyAlignment="1" applyFont="1">
      <alignment horizontal="left" readingOrder="0" shrinkToFit="0" vertical="center" wrapText="0"/>
    </xf>
    <xf borderId="0" fillId="43" fontId="480" numFmtId="0" xfId="0" applyAlignment="1" applyFont="1">
      <alignment horizontal="left" readingOrder="0" shrinkToFit="0" vertical="center" wrapText="1"/>
    </xf>
    <xf borderId="0" fillId="43" fontId="480" numFmtId="164" xfId="0" applyAlignment="1" applyFont="1" applyNumberFormat="1">
      <alignment horizontal="left" readingOrder="0" shrinkToFit="0" vertical="center" wrapText="0"/>
    </xf>
    <xf borderId="0" fillId="43" fontId="480" numFmtId="0" xfId="0" applyAlignment="1" applyFont="1">
      <alignment horizontal="left" readingOrder="0" shrinkToFit="0" vertical="center" wrapText="0"/>
    </xf>
    <xf borderId="0" fillId="43" fontId="480" numFmtId="49" xfId="0" applyAlignment="1" applyFont="1" applyNumberFormat="1">
      <alignment horizontal="center" readingOrder="0" shrinkToFit="0" vertical="center" wrapText="0"/>
    </xf>
    <xf borderId="31" fillId="43" fontId="480" numFmtId="0" xfId="0" applyAlignment="1" applyBorder="1" applyFont="1">
      <alignment horizontal="center" readingOrder="0" shrinkToFit="0" vertical="center" wrapText="0"/>
    </xf>
    <xf borderId="31" fillId="43" fontId="481" numFmtId="0" xfId="0" applyAlignment="1" applyBorder="1" applyFont="1">
      <alignment readingOrder="0" shrinkToFit="0" vertical="center" wrapText="0"/>
    </xf>
    <xf borderId="31" fillId="43" fontId="481" numFmtId="0" xfId="0" applyAlignment="1" applyBorder="1" applyFont="1">
      <alignment readingOrder="0" shrinkToFit="0" vertical="center" wrapText="0"/>
    </xf>
    <xf borderId="31" fillId="43" fontId="480" numFmtId="0" xfId="0" applyAlignment="1" applyBorder="1" applyFont="1">
      <alignment readingOrder="0" shrinkToFit="0" vertical="center" wrapText="1"/>
    </xf>
    <xf borderId="31" fillId="43" fontId="480" numFmtId="0" xfId="0" applyAlignment="1" applyBorder="1" applyFont="1">
      <alignment horizontal="center" shrinkToFit="0" vertical="center" wrapText="0"/>
    </xf>
    <xf borderId="31" fillId="43" fontId="480" numFmtId="164" xfId="0" applyAlignment="1" applyBorder="1" applyFont="1" applyNumberFormat="1">
      <alignment readingOrder="0" shrinkToFit="0" vertical="center" wrapText="0"/>
    </xf>
    <xf borderId="31" fillId="43" fontId="480" numFmtId="0" xfId="0" applyAlignment="1" applyBorder="1" applyFont="1">
      <alignment shrinkToFit="0" vertical="center" wrapText="0"/>
    </xf>
    <xf borderId="31" fillId="43" fontId="8" numFmtId="0" xfId="0" applyAlignment="1" applyBorder="1" applyFont="1">
      <alignment horizontal="center" shrinkToFit="0" vertical="center" wrapText="0"/>
    </xf>
    <xf borderId="31" fillId="43" fontId="482" numFmtId="0" xfId="0" applyAlignment="1" applyBorder="1" applyFont="1">
      <alignment readingOrder="0" shrinkToFit="0" vertical="center" wrapText="0"/>
    </xf>
    <xf borderId="31" fillId="43" fontId="483" numFmtId="0" xfId="0" applyAlignment="1" applyBorder="1" applyFont="1">
      <alignment horizontal="center" readingOrder="0" shrinkToFit="0" vertical="center" wrapText="0"/>
    </xf>
    <xf borderId="31" fillId="43" fontId="484" numFmtId="0" xfId="0" applyAlignment="1" applyBorder="1" applyFont="1">
      <alignment readingOrder="0" shrinkToFit="0" vertical="center" wrapText="0"/>
    </xf>
    <xf borderId="31" fillId="43" fontId="485" numFmtId="0" xfId="0" applyAlignment="1" applyBorder="1" applyFont="1">
      <alignment readingOrder="0" shrinkToFit="0" vertical="center" wrapText="0"/>
    </xf>
    <xf borderId="31" fillId="43" fontId="486" numFmtId="0" xfId="0" applyAlignment="1" applyBorder="1" applyFont="1">
      <alignment readingOrder="0" shrinkToFit="0" vertical="center" wrapText="1"/>
    </xf>
    <xf borderId="31" fillId="43" fontId="487" numFmtId="0" xfId="0" applyAlignment="1" applyBorder="1" applyFont="1">
      <alignment horizontal="center" shrinkToFit="0" vertical="center" wrapText="0"/>
    </xf>
    <xf borderId="31" fillId="43" fontId="488" numFmtId="164" xfId="0" applyAlignment="1" applyBorder="1" applyFont="1" applyNumberFormat="1">
      <alignment readingOrder="0" shrinkToFit="0" vertical="center" wrapText="0"/>
    </xf>
    <xf borderId="31" fillId="43" fontId="489" numFmtId="0" xfId="0" applyAlignment="1" applyBorder="1" applyFont="1">
      <alignment shrinkToFit="0" vertical="center" wrapText="0"/>
    </xf>
    <xf borderId="31" fillId="43" fontId="490" numFmtId="0" xfId="0" applyAlignment="1" applyBorder="1" applyFont="1">
      <alignment horizontal="center" shrinkToFit="0" vertical="center" wrapText="0"/>
    </xf>
    <xf borderId="0" fillId="43" fontId="480" numFmtId="0" xfId="0" applyAlignment="1" applyFont="1">
      <alignment horizontal="left" readingOrder="0" shrinkToFit="0" vertical="center" wrapText="1"/>
    </xf>
    <xf borderId="31" fillId="43" fontId="481" numFmtId="0" xfId="0" applyAlignment="1" applyBorder="1" applyFont="1">
      <alignment shrinkToFit="0" vertical="center" wrapText="0"/>
    </xf>
    <xf borderId="31" fillId="43" fontId="480" numFmtId="0" xfId="0" applyAlignment="1" applyBorder="1" applyFont="1">
      <alignment readingOrder="0" shrinkToFit="0" vertical="center" wrapText="0"/>
    </xf>
    <xf borderId="31" fillId="43" fontId="481" numFmtId="0" xfId="0" applyAlignment="1" applyBorder="1" applyFont="1">
      <alignment horizontal="center" shrinkToFit="0" vertical="center" wrapText="0"/>
    </xf>
    <xf borderId="31" fillId="0" fontId="8" numFmtId="0" xfId="0" applyAlignment="1" applyBorder="1" applyFont="1">
      <alignment horizontal="center" shrinkToFit="0" vertical="center" wrapText="0"/>
    </xf>
    <xf borderId="31" fillId="7" fontId="8" numFmtId="0" xfId="0" applyAlignment="1" applyBorder="1" applyFont="1">
      <alignment horizontal="center" shrinkToFit="0" vertical="center" wrapText="0"/>
    </xf>
    <xf borderId="31" fillId="8" fontId="8" numFmtId="0" xfId="0" applyAlignment="1" applyBorder="1" applyFont="1">
      <alignment horizontal="center" shrinkToFit="0" vertical="center" wrapText="0"/>
    </xf>
    <xf borderId="31" fillId="9" fontId="8" numFmtId="0" xfId="0" applyAlignment="1" applyBorder="1" applyFont="1">
      <alignment horizontal="center" shrinkToFit="0" vertical="center" wrapText="0"/>
    </xf>
    <xf borderId="0" fillId="44" fontId="491" numFmtId="0" xfId="0" applyAlignment="1" applyFill="1" applyFont="1">
      <alignment horizontal="center" readingOrder="0" shrinkToFit="0" vertical="center" wrapText="0"/>
    </xf>
    <xf borderId="0" fillId="44" fontId="491" numFmtId="0" xfId="0" applyAlignment="1" applyFont="1">
      <alignment horizontal="left" readingOrder="0" shrinkToFit="0" vertical="center" wrapText="0"/>
    </xf>
    <xf borderId="0" fillId="44" fontId="491" numFmtId="0" xfId="0" applyAlignment="1" applyFont="1">
      <alignment horizontal="left" readingOrder="0" shrinkToFit="0" vertical="center" wrapText="1"/>
    </xf>
    <xf borderId="0" fillId="44" fontId="491" numFmtId="164" xfId="0" applyAlignment="1" applyFont="1" applyNumberFormat="1">
      <alignment horizontal="left" readingOrder="0" shrinkToFit="0" vertical="center" wrapText="0"/>
    </xf>
    <xf borderId="0" fillId="44" fontId="491" numFmtId="0" xfId="0" applyAlignment="1" applyFont="1">
      <alignment horizontal="left" readingOrder="0" shrinkToFit="0" vertical="center" wrapText="0"/>
    </xf>
    <xf borderId="0" fillId="44" fontId="491" numFmtId="49" xfId="0" applyAlignment="1" applyFont="1" applyNumberFormat="1">
      <alignment horizontal="center" readingOrder="0" shrinkToFit="0" vertical="center" wrapText="0"/>
    </xf>
    <xf borderId="32" fillId="44" fontId="491" numFmtId="0" xfId="0" applyAlignment="1" applyBorder="1" applyFont="1">
      <alignment horizontal="center" readingOrder="0" shrinkToFit="0" vertical="center" wrapText="0"/>
    </xf>
    <xf borderId="32" fillId="44" fontId="492" numFmtId="0" xfId="0" applyAlignment="1" applyBorder="1" applyFont="1">
      <alignment readingOrder="0" shrinkToFit="0" vertical="center" wrapText="0"/>
    </xf>
    <xf borderId="32" fillId="44" fontId="493" numFmtId="0" xfId="0" applyAlignment="1" applyBorder="1" applyFont="1">
      <alignment readingOrder="0" shrinkToFit="0" vertical="center" wrapText="0"/>
    </xf>
    <xf borderId="32" fillId="44" fontId="491" numFmtId="0" xfId="0" applyAlignment="1" applyBorder="1" applyFont="1">
      <alignment readingOrder="0" shrinkToFit="0" vertical="center" wrapText="1"/>
    </xf>
    <xf borderId="32" fillId="44" fontId="491" numFmtId="0" xfId="0" applyAlignment="1" applyBorder="1" applyFont="1">
      <alignment horizontal="center" shrinkToFit="0" vertical="center" wrapText="0"/>
    </xf>
    <xf borderId="32" fillId="44" fontId="491" numFmtId="164" xfId="0" applyAlignment="1" applyBorder="1" applyFont="1" applyNumberFormat="1">
      <alignment readingOrder="0" shrinkToFit="0" vertical="center" wrapText="0"/>
    </xf>
    <xf borderId="32" fillId="44" fontId="491" numFmtId="0" xfId="0" applyAlignment="1" applyBorder="1" applyFont="1">
      <alignment shrinkToFit="0" vertical="center" wrapText="0"/>
    </xf>
    <xf borderId="32" fillId="44" fontId="8" numFmtId="0" xfId="0" applyAlignment="1" applyBorder="1" applyFont="1">
      <alignment horizontal="center" shrinkToFit="0" vertical="center" wrapText="0"/>
    </xf>
    <xf borderId="32" fillId="44" fontId="493" numFmtId="0" xfId="0" applyAlignment="1" applyBorder="1" applyFont="1">
      <alignment readingOrder="0" shrinkToFit="0" vertical="center" wrapText="0"/>
    </xf>
    <xf borderId="32" fillId="44" fontId="8" numFmtId="0" xfId="0" applyAlignment="1" applyBorder="1" applyFont="1">
      <alignment horizontal="center" readingOrder="0" shrinkToFit="0" vertical="center" wrapText="0"/>
    </xf>
    <xf borderId="32" fillId="44" fontId="494" numFmtId="0" xfId="0" applyAlignment="1" applyBorder="1" applyFont="1">
      <alignment horizontal="center" readingOrder="0" shrinkToFit="0" vertical="center" wrapText="0"/>
    </xf>
    <xf borderId="32" fillId="44" fontId="495" numFmtId="0" xfId="0" applyAlignment="1" applyBorder="1" applyFont="1">
      <alignment readingOrder="0" shrinkToFit="0" vertical="center" wrapText="0"/>
    </xf>
    <xf borderId="32" fillId="44" fontId="496" numFmtId="0" xfId="0" applyAlignment="1" applyBorder="1" applyFont="1">
      <alignment readingOrder="0" shrinkToFit="0" vertical="center" wrapText="0"/>
    </xf>
    <xf borderId="32" fillId="44" fontId="497" numFmtId="0" xfId="0" applyAlignment="1" applyBorder="1" applyFont="1">
      <alignment readingOrder="0" shrinkToFit="0" vertical="center" wrapText="1"/>
    </xf>
    <xf borderId="32" fillId="44" fontId="498" numFmtId="0" xfId="0" applyAlignment="1" applyBorder="1" applyFont="1">
      <alignment horizontal="center" shrinkToFit="0" vertical="center" wrapText="0"/>
    </xf>
    <xf borderId="32" fillId="44" fontId="499" numFmtId="164" xfId="0" applyAlignment="1" applyBorder="1" applyFont="1" applyNumberFormat="1">
      <alignment readingOrder="0" shrinkToFit="0" vertical="center" wrapText="0"/>
    </xf>
    <xf borderId="32" fillId="44" fontId="500" numFmtId="0" xfId="0" applyAlignment="1" applyBorder="1" applyFont="1">
      <alignment shrinkToFit="0" vertical="center" wrapText="0"/>
    </xf>
    <xf borderId="32" fillId="44" fontId="501" numFmtId="0" xfId="0" applyAlignment="1" applyBorder="1" applyFont="1">
      <alignment horizontal="center" shrinkToFit="0" vertical="center" wrapText="0"/>
    </xf>
    <xf borderId="32" fillId="44" fontId="502" numFmtId="0" xfId="0" applyAlignment="1" applyBorder="1" applyFont="1">
      <alignment horizontal="center" readingOrder="0" shrinkToFit="0" vertical="center" wrapText="0"/>
    </xf>
    <xf borderId="0" fillId="44" fontId="491" numFmtId="0" xfId="0" applyAlignment="1" applyFont="1">
      <alignment horizontal="left" readingOrder="0" shrinkToFit="0" vertical="center" wrapText="1"/>
    </xf>
    <xf borderId="32" fillId="44" fontId="493" numFmtId="0" xfId="0" applyAlignment="1" applyBorder="1" applyFont="1">
      <alignment shrinkToFit="0" vertical="center" wrapText="0"/>
    </xf>
    <xf borderId="32" fillId="44" fontId="491" numFmtId="0" xfId="0" applyAlignment="1" applyBorder="1" applyFont="1">
      <alignment readingOrder="0" shrinkToFit="0" vertical="center" wrapText="0"/>
    </xf>
    <xf borderId="32" fillId="44" fontId="493" numFmtId="0" xfId="0" applyAlignment="1" applyBorder="1" applyFont="1">
      <alignment horizontal="center" shrinkToFit="0" vertical="center" wrapText="0"/>
    </xf>
    <xf borderId="32" fillId="0" fontId="8" numFmtId="0" xfId="0" applyAlignment="1" applyBorder="1" applyFont="1">
      <alignment horizontal="center" shrinkToFit="0" vertical="center" wrapText="0"/>
    </xf>
    <xf borderId="32" fillId="7" fontId="8" numFmtId="0" xfId="0" applyAlignment="1" applyBorder="1" applyFont="1">
      <alignment horizontal="center" shrinkToFit="0" vertical="center" wrapText="0"/>
    </xf>
    <xf borderId="32" fillId="8" fontId="8" numFmtId="0" xfId="0" applyAlignment="1" applyBorder="1" applyFont="1">
      <alignment horizontal="center" shrinkToFit="0" vertical="center" wrapText="0"/>
    </xf>
    <xf borderId="32" fillId="9" fontId="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004682"/>
          <bgColor rgb="FF004682"/>
        </patternFill>
      </fill>
      <border/>
    </dxf>
    <dxf>
      <font>
        <color rgb="FFFFFFFF"/>
      </font>
      <fill>
        <patternFill patternType="solid">
          <fgColor rgb="FF1EA8EC"/>
          <bgColor rgb="FF1EA8EC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>
        <color rgb="FFFDFDFD"/>
      </font>
      <fill>
        <patternFill patternType="none"/>
      </fill>
      <border/>
    </dxf>
    <dxf>
      <font>
        <color rgb="FFDC0615"/>
      </font>
      <fill>
        <patternFill patternType="none"/>
      </fill>
      <border/>
    </dxf>
    <dxf>
      <font>
        <color rgb="FF0167B2"/>
      </font>
      <fill>
        <patternFill patternType="none"/>
      </fill>
      <border/>
    </dxf>
    <dxf>
      <font>
        <color rgb="FFD5D5D5"/>
      </font>
      <fill>
        <patternFill patternType="none"/>
      </fill>
      <border/>
    </dxf>
    <dxf>
      <font>
        <color rgb="FFF09997"/>
      </font>
      <fill>
        <patternFill patternType="none"/>
      </fill>
      <border/>
    </dxf>
    <dxf>
      <font>
        <color rgb="FFFDE100"/>
      </font>
      <fill>
        <patternFill patternType="none"/>
      </fill>
      <border/>
    </dxf>
    <dxf>
      <font>
        <color rgb="FF014D98"/>
      </font>
      <fill>
        <patternFill patternType="none"/>
      </fill>
      <border/>
    </dxf>
    <dxf>
      <font>
        <color rgb="FFEC0038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E71C23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color rgb="FF001489"/>
      </font>
      <fill>
        <patternFill patternType="none"/>
      </fill>
      <border/>
    </dxf>
    <dxf>
      <font>
        <color rgb="FF007DC3"/>
      </font>
      <fill>
        <patternFill patternType="none"/>
      </fill>
      <border/>
    </dxf>
    <dxf>
      <font>
        <color rgb="FFFEFEFE"/>
      </font>
      <fill>
        <patternFill patternType="none"/>
      </fill>
      <border/>
    </dxf>
    <dxf>
      <font>
        <color rgb="FFDC0007"/>
      </font>
      <fill>
        <patternFill patternType="none"/>
      </fill>
      <border/>
    </dxf>
    <dxf>
      <font>
        <color rgb="FFAF2A47"/>
      </font>
      <fill>
        <patternFill patternType="none"/>
      </fill>
      <border/>
    </dxf>
    <dxf>
      <font>
        <color rgb="FF011E9D"/>
      </font>
      <fill>
        <patternFill patternType="none"/>
      </fill>
      <border/>
    </dxf>
    <dxf>
      <font>
        <color rgb="FFFFDF49"/>
      </font>
      <fill>
        <patternFill patternType="none"/>
      </fill>
      <border/>
    </dxf>
    <dxf>
      <font>
        <color rgb="FF9B9B9C"/>
      </font>
      <fill>
        <patternFill patternType="none"/>
      </fill>
      <border/>
    </dxf>
    <dxf>
      <font>
        <color rgb="FFE11A22"/>
      </font>
      <fill>
        <patternFill patternType="none"/>
      </fill>
      <border/>
    </dxf>
    <dxf>
      <font>
        <color rgb="FFC80014"/>
      </font>
      <fill>
        <patternFill patternType="none"/>
      </fill>
      <border/>
    </dxf>
    <dxf>
      <font>
        <color rgb="FF7AB2E1"/>
      </font>
      <fill>
        <patternFill patternType="none"/>
      </fill>
      <border/>
    </dxf>
    <dxf>
      <font>
        <color rgb="FFF1F3F8"/>
      </font>
      <fill>
        <patternFill patternType="none"/>
      </fill>
      <border/>
    </dxf>
    <dxf>
      <font>
        <color rgb="FFF8DFDF"/>
      </font>
      <fill>
        <patternFill patternType="none"/>
      </fill>
      <border/>
    </dxf>
    <dxf>
      <font>
        <color rgb="FF00A7E1"/>
      </font>
      <fill>
        <patternFill patternType="none"/>
      </fill>
      <border/>
    </dxf>
    <dxf>
      <font>
        <color rgb="FF393536"/>
      </font>
      <fill>
        <patternFill patternType="none"/>
      </fill>
      <border/>
    </dxf>
    <dxf>
      <font>
        <color rgb="FFE02F36"/>
      </font>
      <fill>
        <patternFill patternType="none"/>
      </fill>
      <border/>
    </dxf>
    <dxf>
      <font>
        <color rgb="FF0396CA"/>
      </font>
      <fill>
        <patternFill patternType="none"/>
      </fill>
      <border/>
    </dxf>
    <dxf>
      <font>
        <color rgb="FF004172"/>
      </font>
      <fill>
        <patternFill patternType="none"/>
      </fill>
      <border/>
    </dxf>
    <dxf>
      <font>
        <color rgb="FFF47A7F"/>
      </font>
      <fill>
        <patternFill patternType="none"/>
      </fill>
      <border/>
    </dxf>
    <dxf>
      <font>
        <color rgb="FFFFFFFF"/>
      </font>
      <fill>
        <patternFill patternType="none"/>
      </fill>
      <border/>
    </dxf>
    <dxf>
      <font>
        <color rgb="FFED1B2F"/>
      </font>
      <fill>
        <patternFill patternType="none"/>
      </fill>
      <border/>
    </dxf>
    <dxf>
      <font>
        <color rgb="FF018056"/>
      </font>
      <fill>
        <patternFill patternType="none"/>
      </fill>
      <border/>
    </dxf>
    <dxf>
      <font>
        <color rgb="FF332554"/>
      </font>
      <fill>
        <patternFill patternType="none"/>
      </fill>
      <border/>
    </dxf>
    <dxf>
      <font>
        <color rgb="FFF8E07A"/>
      </font>
      <fill>
        <patternFill patternType="none"/>
      </fill>
      <border/>
    </dxf>
    <dxf>
      <font>
        <color rgb="FFFFE76F"/>
      </font>
      <fill>
        <patternFill patternType="none"/>
      </fill>
      <border/>
    </dxf>
  </dxfs>
  <tableStyles count="109">
    <tableStyle count="4" pivot="0" name="Tabe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ja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jax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jax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se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sena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senal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alan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alant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alant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hlet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hletic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hletic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let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letic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letic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rus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russi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russi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celo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celon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celon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ye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yer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yer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f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fic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fic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d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d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lse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lse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lse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ug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ugg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ugg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penhag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penhag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penhag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ankfu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ankfur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ankfur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latasar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latasara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latasaray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ir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ira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ira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vent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ventu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ventu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verkus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verkuse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verkuse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rpoo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rpoo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rpool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t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ty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syl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syli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syli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a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ac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ac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po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poli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poli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cast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castl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castl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lympiac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lympiac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lympiaco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f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f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fo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V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V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l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lav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lavi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lavi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or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ortin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ortin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raba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rabach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rabach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ttenh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ttenham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ttenham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llarre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llarrea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llarreal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L37" displayName="TabelaLigowa" name="TabelaLigowa" id="1">
  <tableColumns count="11">
    <tableColumn name="klub" id="1"/>
    <tableColumn name="logo" id="2"/>
    <tableColumn name="liga" id="3"/>
    <tableColumn name="mecze" id="4"/>
    <tableColumn name="punkty" id="5"/>
    <tableColumn name="strzelone" id="6"/>
    <tableColumn name="stracone" id="7"/>
    <tableColumn name="wygrane" id="8"/>
    <tableColumn name="remisy" id="9"/>
    <tableColumn name="porażki" id="10"/>
    <tableColumn name="bilans" id="11"/>
  </tableColumns>
  <tableStyleInfo name="Tabela-style" showColumnStripes="0" showFirstColumn="1" showLastColumn="1" showRowStripes="1"/>
</table>
</file>

<file path=xl/tables/table2.xml><?xml version="1.0" encoding="utf-8"?>
<table xmlns="http://schemas.openxmlformats.org/spreadsheetml/2006/main" ref="A1:P48" displayName="Ajax" name="Ajax" id="2">
  <autoFilter ref="$A$1:$P$48"/>
  <tableColumns count="16">
    <tableColumn name="t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Ajax-style" showColumnStripes="0" showFirstColumn="1" showLastColumn="1" showRowStripes="1"/>
</table>
</file>

<file path=xl/tables/table3.xml><?xml version="1.0" encoding="utf-8"?>
<table xmlns="http://schemas.openxmlformats.org/spreadsheetml/2006/main" ref="A50:N52" displayName="trenerAjax" name="trenerAjax" id="3">
  <tableColumns count="14">
    <tableColumn name="lp" id="1"/>
    <tableColumn name="imię i nazwisko" id="2"/>
    <tableColumn name="funkcj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Ajax-style 2" showColumnStripes="0" showFirstColumn="1" showLastColumn="1" showRowStripes="1"/>
</table>
</file>

<file path=xl/tables/table4.xml><?xml version="1.0" encoding="utf-8"?>
<table xmlns="http://schemas.openxmlformats.org/spreadsheetml/2006/main" ref="A54:F62" displayName="MeczeAjax" name="MeczeAjax" id="4">
  <tableColumns count="6">
    <tableColumn name="kolejka" id="1"/>
    <tableColumn name="gospodarze" id="2"/>
    <tableColumn name="goście" id="3"/>
    <tableColumn name="gole dla Ajaxu" id="4"/>
    <tableColumn name="wynik" id="5"/>
    <tableColumn name="stadion" id="6"/>
  </tableColumns>
  <tableStyleInfo name="Ajax-style 3" showColumnStripes="0" showFirstColumn="1" showLastColumn="1" showRowStripes="1"/>
</table>
</file>

<file path=xl/tables/table5.xml><?xml version="1.0" encoding="utf-8"?>
<table xmlns="http://schemas.openxmlformats.org/spreadsheetml/2006/main" ref="A1:P59" displayName="Arsenal" name="Arsenal" id="5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Arsenal-style" showColumnStripes="0" showFirstColumn="1" showLastColumn="1" showRowStripes="1"/>
</table>
</file>

<file path=xl/tables/table6.xml><?xml version="1.0" encoding="utf-8"?>
<table xmlns="http://schemas.openxmlformats.org/spreadsheetml/2006/main" ref="A61:N62" displayName="trenerArsenal" name="trenerArsenal" id="6">
  <tableColumns count="14">
    <tableColumn name="numer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Arsenal-style 2" showColumnStripes="0" showFirstColumn="1" showLastColumn="1" showRowStripes="1"/>
</table>
</file>

<file path=xl/tables/table7.xml><?xml version="1.0" encoding="utf-8"?>
<table xmlns="http://schemas.openxmlformats.org/spreadsheetml/2006/main" ref="A64:F72" displayName="meczeArsenal" name="meczeArsenal" id="7">
  <tableColumns count="6">
    <tableColumn name="kolejka" id="1"/>
    <tableColumn name="gospodarze" id="2"/>
    <tableColumn name="goście" id="3"/>
    <tableColumn name="gole dla Arsenalu" id="4"/>
    <tableColumn name="wynik" id="5"/>
    <tableColumn name="stadion" id="6"/>
  </tableColumns>
  <tableStyleInfo name="Arsenal-style 3" showColumnStripes="0" showFirstColumn="1" showLastColumn="1" showRowStripes="1"/>
</table>
</file>

<file path=xl/tables/table8.xml><?xml version="1.0" encoding="utf-8"?>
<table xmlns="http://schemas.openxmlformats.org/spreadsheetml/2006/main" ref="A1:P29" displayName="Atalanta" name="Atalanta" id="8">
  <autoFilter ref="$A$1:$P$29"/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dyjka" id="15"/>
    <tableColumn name="obronione karne" id="16"/>
  </tableColumns>
  <tableStyleInfo name="Atalanta-style" showColumnStripes="0" showFirstColumn="1" showLastColumn="1" showRowStripes="1"/>
</table>
</file>

<file path=xl/tables/table9.xml><?xml version="1.0" encoding="utf-8"?>
<table xmlns="http://schemas.openxmlformats.org/spreadsheetml/2006/main" ref="A31:N33" displayName="trenerAtalanta" name="trenerAtalanta" id="9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Atalanta-style 2" showColumnStripes="0" showFirstColumn="1" showLastColumn="1" showRowStripes="1"/>
</table>
</file>

<file path=xl/tables/table10.xml><?xml version="1.0" encoding="utf-8"?>
<table xmlns="http://schemas.openxmlformats.org/spreadsheetml/2006/main" ref="A35:F43" displayName="meczeAtalanta" name="meczeAtalanta" id="10">
  <tableColumns count="6">
    <tableColumn name="kolejka" id="1"/>
    <tableColumn name="gospodarze" id="2"/>
    <tableColumn name="goście" id="3"/>
    <tableColumn name="gole dla Atalanty" id="4"/>
    <tableColumn name="wynik" id="5"/>
    <tableColumn name="stadion" id="6"/>
  </tableColumns>
  <tableStyleInfo name="Atalanta-style 3" showColumnStripes="0" showFirstColumn="1" showLastColumn="1" showRowStripes="1"/>
</table>
</file>

<file path=xl/tables/table11.xml><?xml version="1.0" encoding="utf-8"?>
<table xmlns="http://schemas.openxmlformats.org/spreadsheetml/2006/main" ref="A1:P34" displayName="Athletic" name="Athletic" id="11">
  <autoFilter ref="$A$1:$P$34"/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Athletic-style" showColumnStripes="0" showFirstColumn="1" showLastColumn="1" showRowStripes="1"/>
</table>
</file>

<file path=xl/tables/table12.xml><?xml version="1.0" encoding="utf-8"?>
<table xmlns="http://schemas.openxmlformats.org/spreadsheetml/2006/main" ref="A36:N37" displayName="trenerAthletic" name="trenerAthletic" id="1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Athletic-style 2" showColumnStripes="0" showFirstColumn="1" showLastColumn="1" showRowStripes="1"/>
</table>
</file>

<file path=xl/tables/table13.xml><?xml version="1.0" encoding="utf-8"?>
<table xmlns="http://schemas.openxmlformats.org/spreadsheetml/2006/main" ref="A39:F47" displayName="meczeAthletic" name="meczeAthletic" id="13">
  <tableColumns count="6">
    <tableColumn name="kolejka" id="1"/>
    <tableColumn name="gospodarze" id="2"/>
    <tableColumn name="goście" id="3"/>
    <tableColumn name="gole dla Bilbao" id="4"/>
    <tableColumn name="wynik" id="5"/>
    <tableColumn name="stadion" id="6"/>
  </tableColumns>
  <tableStyleInfo name="Athletic-style 3" showColumnStripes="0" showFirstColumn="1" showLastColumn="1" showRowStripes="1"/>
</table>
</file>

<file path=xl/tables/table14.xml><?xml version="1.0" encoding="utf-8"?>
<table xmlns="http://schemas.openxmlformats.org/spreadsheetml/2006/main" ref="A1:Q39" displayName="Atletico" name="Atletico" id="14">
  <autoFilter ref="$A$1:$Q$39"/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Atletico-style" showColumnStripes="0" showFirstColumn="1" showLastColumn="1" showRowStripes="1"/>
</table>
</file>

<file path=xl/tables/table15.xml><?xml version="1.0" encoding="utf-8"?>
<table xmlns="http://schemas.openxmlformats.org/spreadsheetml/2006/main" ref="A41:N43" displayName="trenerAtletico" name="trenerAtletico" id="15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Atletico-style 2" showColumnStripes="0" showFirstColumn="1" showLastColumn="1" showRowStripes="1"/>
</table>
</file>

<file path=xl/tables/table16.xml><?xml version="1.0" encoding="utf-8"?>
<table xmlns="http://schemas.openxmlformats.org/spreadsheetml/2006/main" ref="A45:F53" displayName="meczeAtletico" name="meczeAtletico" id="16">
  <tableColumns count="6">
    <tableColumn name="kolejka" id="1"/>
    <tableColumn name="gospodarze" id="2"/>
    <tableColumn name="goście" id="3"/>
    <tableColumn name="gole dla Atletico" id="4"/>
    <tableColumn name="wynik" id="5"/>
    <tableColumn name="stadion" id="6"/>
  </tableColumns>
  <tableStyleInfo name="Atletico-style 3" showColumnStripes="0" showFirstColumn="1" showLastColumn="1" showRowStripes="1"/>
</table>
</file>

<file path=xl/tables/table17.xml><?xml version="1.0" encoding="utf-8"?>
<table xmlns="http://schemas.openxmlformats.org/spreadsheetml/2006/main" ref="A1:Q28" displayName="Borussia" name="Borussia" id="17">
  <autoFilter ref="$A$1:$Q$28"/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Borussia-style" showColumnStripes="0" showFirstColumn="1" showLastColumn="1" showRowStripes="1"/>
</table>
</file>

<file path=xl/tables/table18.xml><?xml version="1.0" encoding="utf-8"?>
<table xmlns="http://schemas.openxmlformats.org/spreadsheetml/2006/main" ref="A30:N31" displayName="trenerBorussia" name="trenerBorussia" id="18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orussia-style 2" showColumnStripes="0" showFirstColumn="1" showLastColumn="1" showRowStripes="1"/>
</table>
</file>

<file path=xl/tables/table19.xml><?xml version="1.0" encoding="utf-8"?>
<table xmlns="http://schemas.openxmlformats.org/spreadsheetml/2006/main" ref="A33:F41" displayName="meczeBorussia" name="meczeBorussia" id="19">
  <tableColumns count="6">
    <tableColumn name="kolejka" id="1"/>
    <tableColumn name="gospodarze" id="2"/>
    <tableColumn name="goście" id="3"/>
    <tableColumn name="gole dla Borussi" id="4"/>
    <tableColumn name="wynik" id="5"/>
    <tableColumn name="stadion" id="6"/>
  </tableColumns>
  <tableStyleInfo name="Borussia-style 3" showColumnStripes="0" showFirstColumn="1" showLastColumn="1" showRowStripes="1"/>
</table>
</file>

<file path=xl/tables/table20.xml><?xml version="1.0" encoding="utf-8"?>
<table xmlns="http://schemas.openxmlformats.org/spreadsheetml/2006/main" ref="A1:Q33" displayName="Barcelona" name="Barcelona" id="20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Column 17" id="15"/>
    <tableColumn name="kanadyjka" id="16"/>
    <tableColumn name="obronione karne" id="17"/>
  </tableColumns>
  <tableStyleInfo name="Barcelona-style" showColumnStripes="0" showFirstColumn="1" showLastColumn="1" showRowStripes="1"/>
</table>
</file>

<file path=xl/tables/table21.xml><?xml version="1.0" encoding="utf-8"?>
<table xmlns="http://schemas.openxmlformats.org/spreadsheetml/2006/main" ref="A35:N36" displayName="trenerBarcelona" name="trenerBarcelona" id="21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arcelona-style 2" showColumnStripes="0" showFirstColumn="1" showLastColumn="1" showRowStripes="1"/>
</table>
</file>

<file path=xl/tables/table22.xml><?xml version="1.0" encoding="utf-8"?>
<table xmlns="http://schemas.openxmlformats.org/spreadsheetml/2006/main" ref="A38:F46" displayName="meczeBarcelona" name="meczeBarcelona" id="22">
  <tableColumns count="6">
    <tableColumn name="kolejka" id="1"/>
    <tableColumn name="gospodarze" id="2"/>
    <tableColumn name="goście" id="3"/>
    <tableColumn name="gole dla Barcelony" id="4"/>
    <tableColumn name="wynik" id="5"/>
    <tableColumn name="stadion" id="6"/>
  </tableColumns>
  <tableStyleInfo name="Barcelona-style 3" showColumnStripes="0" showFirstColumn="1" showLastColumn="1" showRowStripes="1"/>
</table>
</file>

<file path=xl/tables/table23.xml><?xml version="1.0" encoding="utf-8"?>
<table xmlns="http://schemas.openxmlformats.org/spreadsheetml/2006/main" ref="A1:Q32" displayName="Bayern" name="Bayern" id="23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Bayern-style" showColumnStripes="0" showFirstColumn="1" showLastColumn="1" showRowStripes="1"/>
</table>
</file>

<file path=xl/tables/table24.xml><?xml version="1.0" encoding="utf-8"?>
<table xmlns="http://schemas.openxmlformats.org/spreadsheetml/2006/main" ref="A34:N35" displayName="trenerBayern" name="trenerBayern" id="24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ayern-style 2" showColumnStripes="0" showFirstColumn="1" showLastColumn="1" showRowStripes="1"/>
</table>
</file>

<file path=xl/tables/table25.xml><?xml version="1.0" encoding="utf-8"?>
<table xmlns="http://schemas.openxmlformats.org/spreadsheetml/2006/main" ref="A37:F45" displayName="meczeBayern" name="meczeBayern" id="25">
  <tableColumns count="6">
    <tableColumn name="kolejka" id="1"/>
    <tableColumn name="gospodarze" id="2"/>
    <tableColumn name="goście" id="3"/>
    <tableColumn name="gole dla Bayernu" id="4"/>
    <tableColumn name="wynik" id="5"/>
    <tableColumn name="stadion" id="6"/>
  </tableColumns>
  <tableStyleInfo name="Bayern-style 3" showColumnStripes="0" showFirstColumn="1" showLastColumn="1" showRowStripes="1"/>
</table>
</file>

<file path=xl/tables/table26.xml><?xml version="1.0" encoding="utf-8"?>
<table xmlns="http://schemas.openxmlformats.org/spreadsheetml/2006/main" ref="A1:Q36" displayName="Benfica" name="Benfica" id="26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Benfica-style" showColumnStripes="0" showFirstColumn="1" showLastColumn="1" showRowStripes="1"/>
</table>
</file>

<file path=xl/tables/table27.xml><?xml version="1.0" encoding="utf-8"?>
<table xmlns="http://schemas.openxmlformats.org/spreadsheetml/2006/main" ref="A38:N40" displayName="trenerBenfica" name="trenerBenfica" id="27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enfica-style 2" showColumnStripes="0" showFirstColumn="1" showLastColumn="1" showRowStripes="1"/>
</table>
</file>

<file path=xl/tables/table28.xml><?xml version="1.0" encoding="utf-8"?>
<table xmlns="http://schemas.openxmlformats.org/spreadsheetml/2006/main" ref="A42:F50" displayName="meczeBenfica" name="meczeBenfica" id="28">
  <tableColumns count="6">
    <tableColumn name="kolejka" id="1"/>
    <tableColumn name="gospodarze" id="2"/>
    <tableColumn name="goście" id="3"/>
    <tableColumn name="gole dla Benfici" id="4"/>
    <tableColumn name="wynik" id="5"/>
    <tableColumn name="stadion" id="6"/>
  </tableColumns>
  <tableStyleInfo name="Benfica-style 3" showColumnStripes="0" showFirstColumn="1" showLastColumn="1" showRowStripes="1"/>
</table>
</file>

<file path=xl/tables/table29.xml><?xml version="1.0" encoding="utf-8"?>
<table xmlns="http://schemas.openxmlformats.org/spreadsheetml/2006/main" ref="A1:Q33" displayName="Bodo" name="Bodo" id="29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Bodo-style" showColumnStripes="0" showFirstColumn="1" showLastColumn="1" showRowStripes="1"/>
</table>
</file>

<file path=xl/tables/table30.xml><?xml version="1.0" encoding="utf-8"?>
<table xmlns="http://schemas.openxmlformats.org/spreadsheetml/2006/main" ref="A35:N36" displayName="trenerBodo" name="trenerBodo" id="30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odo-style 2" showColumnStripes="0" showFirstColumn="1" showLastColumn="1" showRowStripes="1"/>
</table>
</file>

<file path=xl/tables/table31.xml><?xml version="1.0" encoding="utf-8"?>
<table xmlns="http://schemas.openxmlformats.org/spreadsheetml/2006/main" ref="A38:F46" displayName="meczeBodo" name="meczeBodo" id="31">
  <tableColumns count="6">
    <tableColumn name="kolejka" id="1"/>
    <tableColumn name="gospodarze" id="2"/>
    <tableColumn name="goście" id="3"/>
    <tableColumn name="gole dla Bodo" id="4"/>
    <tableColumn name="wynik" id="5"/>
    <tableColumn name="stadion" id="6"/>
  </tableColumns>
  <tableStyleInfo name="Bodo-style 3" showColumnStripes="0" showFirstColumn="1" showLastColumn="1" showRowStripes="1"/>
</table>
</file>

<file path=xl/tables/table32.xml><?xml version="1.0" encoding="utf-8"?>
<table xmlns="http://schemas.openxmlformats.org/spreadsheetml/2006/main" ref="A1:Q33" displayName="Chelsea" name="Chelsea" id="32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Chelsea-style" showColumnStripes="0" showFirstColumn="1" showLastColumn="1" showRowStripes="1"/>
</table>
</file>

<file path=xl/tables/table33.xml><?xml version="1.0" encoding="utf-8"?>
<table xmlns="http://schemas.openxmlformats.org/spreadsheetml/2006/main" ref="A35:N37" displayName="trenerChelsea" name="trenerChelsea" id="33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Chelsea-style 2" showColumnStripes="0" showFirstColumn="1" showLastColumn="1" showRowStripes="1"/>
</table>
</file>

<file path=xl/tables/table34.xml><?xml version="1.0" encoding="utf-8"?>
<table xmlns="http://schemas.openxmlformats.org/spreadsheetml/2006/main" ref="A39:F47" displayName="meczeChelsea" name="meczeChelsea" id="34">
  <tableColumns count="6">
    <tableColumn name="kolejka" id="1"/>
    <tableColumn name="gospodarze" id="2"/>
    <tableColumn name="goście" id="3"/>
    <tableColumn name="gole dla Chelsea" id="4"/>
    <tableColumn name="wynik" id="5"/>
    <tableColumn name="stadion" id="6"/>
  </tableColumns>
  <tableStyleInfo name="Chelsea-style 3" showColumnStripes="0" showFirstColumn="1" showLastColumn="1" showRowStripes="1"/>
</table>
</file>

<file path=xl/tables/table35.xml><?xml version="1.0" encoding="utf-8"?>
<table xmlns="http://schemas.openxmlformats.org/spreadsheetml/2006/main" ref="A1:Q36" displayName="Brugge" name="Brugge" id="35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Brugge-style" showColumnStripes="0" showFirstColumn="1" showLastColumn="1" showRowStripes="1"/>
</table>
</file>

<file path=xl/tables/table36.xml><?xml version="1.0" encoding="utf-8"?>
<table xmlns="http://schemas.openxmlformats.org/spreadsheetml/2006/main" ref="A38:N40" displayName="trenerBrugge" name="trenerBrugge" id="36">
  <tableColumns count="14">
    <tableColumn name="numer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rugge-style 2" showColumnStripes="0" showFirstColumn="1" showLastColumn="1" showRowStripes="1"/>
</table>
</file>

<file path=xl/tables/table37.xml><?xml version="1.0" encoding="utf-8"?>
<table xmlns="http://schemas.openxmlformats.org/spreadsheetml/2006/main" ref="A42:F50" displayName="meczeBrugge" name="meczeBrugge" id="37">
  <tableColumns count="6">
    <tableColumn name="kolejka" id="1"/>
    <tableColumn name="gospodarze" id="2"/>
    <tableColumn name="goście" id="3"/>
    <tableColumn name="gole dla Brugi" id="4"/>
    <tableColumn name="wynik" id="5"/>
    <tableColumn name="stadion" id="6"/>
  </tableColumns>
  <tableStyleInfo name="Brugge-style 3" showColumnStripes="0" showFirstColumn="1" showLastColumn="1" showRowStripes="1"/>
</table>
</file>

<file path=xl/tables/table38.xml><?xml version="1.0" encoding="utf-8"?>
<table xmlns="http://schemas.openxmlformats.org/spreadsheetml/2006/main" ref="A1:Q30" displayName="Kopenhaga" name="Kopenhaga" id="38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Kopenhaga-style" showColumnStripes="0" showFirstColumn="1" showLastColumn="1" showRowStripes="1"/>
</table>
</file>

<file path=xl/tables/table39.xml><?xml version="1.0" encoding="utf-8"?>
<table xmlns="http://schemas.openxmlformats.org/spreadsheetml/2006/main" ref="A32:N33" displayName="trenerKopenhaga" name="trenerKopenhaga" id="39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Kopenhaga-style 2" showColumnStripes="0" showFirstColumn="1" showLastColumn="1" showRowStripes="1"/>
</table>
</file>

<file path=xl/tables/table40.xml><?xml version="1.0" encoding="utf-8"?>
<table xmlns="http://schemas.openxmlformats.org/spreadsheetml/2006/main" ref="A35:F43" displayName="meczeKopenhaga" name="meczeKopenhaga" id="40">
  <tableColumns count="6">
    <tableColumn name="kolejka" id="1"/>
    <tableColumn name="gospodarze" id="2"/>
    <tableColumn name="goście" id="3"/>
    <tableColumn name="gole dla Kopenhagi" id="4"/>
    <tableColumn name="wynik" id="5"/>
    <tableColumn name="stadion" id="6"/>
  </tableColumns>
  <tableStyleInfo name="Kopenhaga-style 3" showColumnStripes="0" showFirstColumn="1" showLastColumn="1" showRowStripes="1"/>
</table>
</file>

<file path=xl/tables/table41.xml><?xml version="1.0" encoding="utf-8"?>
<table xmlns="http://schemas.openxmlformats.org/spreadsheetml/2006/main" ref="A1:P34" displayName="Eintracht" name="Eintracht" id="41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Frankfurt-style" showColumnStripes="0" showFirstColumn="1" showLastColumn="1" showRowStripes="1"/>
</table>
</file>

<file path=xl/tables/table42.xml><?xml version="1.0" encoding="utf-8"?>
<table xmlns="http://schemas.openxmlformats.org/spreadsheetml/2006/main" ref="A36:N38" displayName="trenerEintracht" name="trenerEintracht" id="4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Frankfurt-style 2" showColumnStripes="0" showFirstColumn="1" showLastColumn="1" showRowStripes="1"/>
</table>
</file>

<file path=xl/tables/table43.xml><?xml version="1.0" encoding="utf-8"?>
<table xmlns="http://schemas.openxmlformats.org/spreadsheetml/2006/main" ref="A40:F48" displayName="meczeEintracht" name="meczeEintracht" id="43">
  <tableColumns count="6">
    <tableColumn name="kolejka" id="1"/>
    <tableColumn name="gospodarze" id="2"/>
    <tableColumn name="goście" id="3"/>
    <tableColumn name="gole dla Eintrachtu" id="4"/>
    <tableColumn name="wynik" id="5"/>
    <tableColumn name="stadion" id="6"/>
  </tableColumns>
  <tableStyleInfo name="Frankfurt-style 3" showColumnStripes="0" showFirstColumn="1" showLastColumn="1" showRowStripes="1"/>
</table>
</file>

<file path=xl/tables/table44.xml><?xml version="1.0" encoding="utf-8"?>
<table xmlns="http://schemas.openxmlformats.org/spreadsheetml/2006/main" ref="A1:Q30" displayName="Galatasaray" name="Galatasaray" id="44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Galatasaray-style" showColumnStripes="0" showFirstColumn="1" showLastColumn="1" showRowStripes="1"/>
</table>
</file>

<file path=xl/tables/table45.xml><?xml version="1.0" encoding="utf-8"?>
<table xmlns="http://schemas.openxmlformats.org/spreadsheetml/2006/main" ref="A32:N33" displayName="trenerGalata" name="trenerGalata" id="45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Galatasaray-style 2" showColumnStripes="0" showFirstColumn="1" showLastColumn="1" showRowStripes="1"/>
</table>
</file>

<file path=xl/tables/table46.xml><?xml version="1.0" encoding="utf-8"?>
<table xmlns="http://schemas.openxmlformats.org/spreadsheetml/2006/main" ref="A35:F43" displayName="meczeGalata" name="meczeGalata" id="46">
  <tableColumns count="6">
    <tableColumn name="kolejka" id="1"/>
    <tableColumn name="gospodarze" id="2"/>
    <tableColumn name="goście" id="3"/>
    <tableColumn name="gole dla Galatasaray" id="4"/>
    <tableColumn name="wynik" id="5"/>
    <tableColumn name="stadion" id="6"/>
  </tableColumns>
  <tableStyleInfo name="Galatasaray-style 3" showColumnStripes="0" showFirstColumn="1" showLastColumn="1" showRowStripes="1"/>
</table>
</file>

<file path=xl/tables/table47.xml><?xml version="1.0" encoding="utf-8"?>
<table xmlns="http://schemas.openxmlformats.org/spreadsheetml/2006/main" ref="A1:P29" displayName="Inter" name="Inter" id="47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Inter-style" showColumnStripes="0" showFirstColumn="1" showLastColumn="1" showRowStripes="1"/>
</table>
</file>

<file path=xl/tables/table48.xml><?xml version="1.0" encoding="utf-8"?>
<table xmlns="http://schemas.openxmlformats.org/spreadsheetml/2006/main" ref="A31:N32" displayName="trenerInter" name="trenerInter" id="48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Inter-style 2" showColumnStripes="0" showFirstColumn="1" showLastColumn="1" showRowStripes="1"/>
</table>
</file>

<file path=xl/tables/table49.xml><?xml version="1.0" encoding="utf-8"?>
<table xmlns="http://schemas.openxmlformats.org/spreadsheetml/2006/main" ref="A34:F42" displayName="meczeInter" name="meczeInter" id="49">
  <tableColumns count="6">
    <tableColumn name="kolejka" id="1"/>
    <tableColumn name="gospodarze" id="2"/>
    <tableColumn name="goście" id="3"/>
    <tableColumn name="gole dla Interu" id="4"/>
    <tableColumn name="wynik" id="5"/>
    <tableColumn name="stadion" id="6"/>
  </tableColumns>
  <tableStyleInfo name="Inter-style 3" showColumnStripes="0" showFirstColumn="1" showLastColumn="1" showRowStripes="1"/>
</table>
</file>

<file path=xl/tables/table50.xml><?xml version="1.0" encoding="utf-8"?>
<table xmlns="http://schemas.openxmlformats.org/spreadsheetml/2006/main" ref="A1:P38" displayName="Kairat" name="Kairat" id="50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Kairat-style" showColumnStripes="0" showFirstColumn="1" showLastColumn="1" showRowStripes="1"/>
</table>
</file>

<file path=xl/tables/table51.xml><?xml version="1.0" encoding="utf-8"?>
<table xmlns="http://schemas.openxmlformats.org/spreadsheetml/2006/main" ref="A40:N41" displayName="trenerKairat" name="trenerKairat" id="51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Kairat-style 2" showColumnStripes="0" showFirstColumn="1" showLastColumn="1" showRowStripes="1"/>
</table>
</file>

<file path=xl/tables/table52.xml><?xml version="1.0" encoding="utf-8"?>
<table xmlns="http://schemas.openxmlformats.org/spreadsheetml/2006/main" ref="A43:F51" displayName="meczeKairat" name="meczeKairat" id="52">
  <tableColumns count="6">
    <tableColumn name="kolejka" id="1"/>
    <tableColumn name="gospodarze" id="2"/>
    <tableColumn name="goście" id="3"/>
    <tableColumn name="gole dla Kairatu" id="4"/>
    <tableColumn name="wynik" id="5"/>
    <tableColumn name="stadion" id="6"/>
  </tableColumns>
  <tableStyleInfo name="Kairat-style 3" showColumnStripes="0" showFirstColumn="1" showLastColumn="1" showRowStripes="1"/>
</table>
</file>

<file path=xl/tables/table53.xml><?xml version="1.0" encoding="utf-8"?>
<table xmlns="http://schemas.openxmlformats.org/spreadsheetml/2006/main" ref="A1:P30" displayName="Juventus" name="Juventus" id="53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Juventus-style" showColumnStripes="0" showFirstColumn="1" showLastColumn="1" showRowStripes="1"/>
</table>
</file>

<file path=xl/tables/table54.xml><?xml version="1.0" encoding="utf-8"?>
<table xmlns="http://schemas.openxmlformats.org/spreadsheetml/2006/main" ref="A32:N34" displayName="trenerJuventus" name="trenerJuventus" id="54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Juventus-style 2" showColumnStripes="0" showFirstColumn="1" showLastColumn="1" showRowStripes="1"/>
</table>
</file>

<file path=xl/tables/table55.xml><?xml version="1.0" encoding="utf-8"?>
<table xmlns="http://schemas.openxmlformats.org/spreadsheetml/2006/main" ref="A36:F44" displayName="mecze_Juventus" name="mecze_Juventus" id="55">
  <tableColumns count="6">
    <tableColumn name="kolejka" id="1"/>
    <tableColumn name="gospodarze" id="2"/>
    <tableColumn name="goście" id="3"/>
    <tableColumn name="gole dla Barcelony" id="4"/>
    <tableColumn name="wynik" id="5"/>
    <tableColumn name="stadion" id="6"/>
  </tableColumns>
  <tableStyleInfo name="Juventus-style 3" showColumnStripes="0" showFirstColumn="1" showLastColumn="1" showRowStripes="1"/>
</table>
</file>

<file path=xl/tables/table56.xml><?xml version="1.0" encoding="utf-8"?>
<table xmlns="http://schemas.openxmlformats.org/spreadsheetml/2006/main" ref="A1:P32" displayName="Leverkusen" name="Leverkusen" id="56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Leverkusen-style" showColumnStripes="0" showFirstColumn="1" showLastColumn="1" showRowStripes="1"/>
</table>
</file>

<file path=xl/tables/table57.xml><?xml version="1.0" encoding="utf-8"?>
<table xmlns="http://schemas.openxmlformats.org/spreadsheetml/2006/main" ref="A34:N36" displayName="trenerLeverkusen" name="trenerLeverkusen" id="57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Leverkusen-style 2" showColumnStripes="0" showFirstColumn="1" showLastColumn="1" showRowStripes="1"/>
</table>
</file>

<file path=xl/tables/table58.xml><?xml version="1.0" encoding="utf-8"?>
<table xmlns="http://schemas.openxmlformats.org/spreadsheetml/2006/main" ref="A38:F46" displayName="meczeLeverkusen" name="meczeLeverkusen" id="58">
  <tableColumns count="6">
    <tableColumn name="kolejka" id="1"/>
    <tableColumn name="gospodarze" id="2"/>
    <tableColumn name="goście" id="3"/>
    <tableColumn name="gole dla Leverkusen" id="4"/>
    <tableColumn name="wynik" id="5"/>
    <tableColumn name="stadion" id="6"/>
  </tableColumns>
  <tableStyleInfo name="Leverkusen-style 3" showColumnStripes="0" showFirstColumn="1" showLastColumn="1" showRowStripes="1"/>
</table>
</file>

<file path=xl/tables/table59.xml><?xml version="1.0" encoding="utf-8"?>
<table xmlns="http://schemas.openxmlformats.org/spreadsheetml/2006/main" ref="A1:P28" displayName="Liverpool" name="Liverpool" id="59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Liverpool-style" showColumnStripes="0" showFirstColumn="1" showLastColumn="1" showRowStripes="1"/>
</table>
</file>

<file path=xl/tables/table60.xml><?xml version="1.0" encoding="utf-8"?>
<table xmlns="http://schemas.openxmlformats.org/spreadsheetml/2006/main" ref="A30:N31" displayName="trenerLiverpool" name="trenerLiverpool" id="60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Liverpool-style 2" showColumnStripes="0" showFirstColumn="1" showLastColumn="1" showRowStripes="1"/>
</table>
</file>

<file path=xl/tables/table61.xml><?xml version="1.0" encoding="utf-8"?>
<table xmlns="http://schemas.openxmlformats.org/spreadsheetml/2006/main" ref="A33:F41" displayName="meczeLiverpool" name="meczeLiverpool" id="61">
  <tableColumns count="6">
    <tableColumn name="kolejka" id="1"/>
    <tableColumn name="gospodarze" id="2"/>
    <tableColumn name="goście" id="3"/>
    <tableColumn name="gole dla Liverpoolu" id="4"/>
    <tableColumn name="wynik" id="5"/>
    <tableColumn name="stadion" id="6"/>
  </tableColumns>
  <tableStyleInfo name="Liverpool-style 3" showColumnStripes="0" showFirstColumn="1" showLastColumn="1" showRowStripes="1"/>
</table>
</file>

<file path=xl/tables/table62.xml><?xml version="1.0" encoding="utf-8"?>
<table xmlns="http://schemas.openxmlformats.org/spreadsheetml/2006/main" ref="A1:P32" displayName="City" name="City" id="62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City-style" showColumnStripes="0" showFirstColumn="1" showLastColumn="1" showRowStripes="1"/>
</table>
</file>

<file path=xl/tables/table63.xml><?xml version="1.0" encoding="utf-8"?>
<table xmlns="http://schemas.openxmlformats.org/spreadsheetml/2006/main" ref="A34:N35" displayName="trenerCity" name="trenerCity" id="63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City-style 2" showColumnStripes="0" showFirstColumn="1" showLastColumn="1" showRowStripes="1"/>
</table>
</file>

<file path=xl/tables/table64.xml><?xml version="1.0" encoding="utf-8"?>
<table xmlns="http://schemas.openxmlformats.org/spreadsheetml/2006/main" ref="A37:F45" displayName="meczeCity" name="meczeCity" id="64">
  <tableColumns count="6">
    <tableColumn name="kolejka" id="1"/>
    <tableColumn name="gospodarze" id="2"/>
    <tableColumn name="goście" id="3"/>
    <tableColumn name="gole dla City" id="4"/>
    <tableColumn name="wynik" id="5"/>
    <tableColumn name="stadion" id="6"/>
  </tableColumns>
  <tableStyleInfo name="City-style 3" showColumnStripes="0" showFirstColumn="1" showLastColumn="1" showRowStripes="1"/>
</table>
</file>

<file path=xl/tables/table65.xml><?xml version="1.0" encoding="utf-8"?>
<table xmlns="http://schemas.openxmlformats.org/spreadsheetml/2006/main" ref="A1:Q42" displayName="Marsylia" name="Marsylia" id="65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Marsylia-style" showColumnStripes="0" showFirstColumn="1" showLastColumn="1" showRowStripes="1"/>
</table>
</file>

<file path=xl/tables/table66.xml><?xml version="1.0" encoding="utf-8"?>
<table xmlns="http://schemas.openxmlformats.org/spreadsheetml/2006/main" ref="A44:N46" displayName="trenerMarsylia" name="trenerMarsylia" id="66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Marsylia-style 2" showColumnStripes="0" showFirstColumn="1" showLastColumn="1" showRowStripes="1"/>
</table>
</file>

<file path=xl/tables/table67.xml><?xml version="1.0" encoding="utf-8"?>
<table xmlns="http://schemas.openxmlformats.org/spreadsheetml/2006/main" ref="A48:F56" displayName="meczeMarsylia" name="meczeMarsylia" id="67">
  <tableColumns count="6">
    <tableColumn name="kolejka" id="1"/>
    <tableColumn name="gospodarze" id="2"/>
    <tableColumn name="goście" id="3"/>
    <tableColumn name="gole dla Marsylii" id="4"/>
    <tableColumn name="wynik" id="5"/>
    <tableColumn name="stadion" id="6"/>
  </tableColumns>
  <tableStyleInfo name="Marsylia-style 3" showColumnStripes="0" showFirstColumn="1" showLastColumn="1" showRowStripes="1"/>
</table>
</file>

<file path=xl/tables/table68.xml><?xml version="1.0" encoding="utf-8"?>
<table xmlns="http://schemas.openxmlformats.org/spreadsheetml/2006/main" ref="A1:Q35" displayName="Monaco" name="Monaco" id="68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Monaco-style" showColumnStripes="0" showFirstColumn="1" showLastColumn="1" showRowStripes="1"/>
</table>
</file>

<file path=xl/tables/table69.xml><?xml version="1.0" encoding="utf-8"?>
<table xmlns="http://schemas.openxmlformats.org/spreadsheetml/2006/main" ref="A37:N39" displayName="trenerMonaco" name="trenerMonaco" id="69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Monaco-style 2" showColumnStripes="0" showFirstColumn="1" showLastColumn="1" showRowStripes="1"/>
</table>
</file>

<file path=xl/tables/table70.xml><?xml version="1.0" encoding="utf-8"?>
<table xmlns="http://schemas.openxmlformats.org/spreadsheetml/2006/main" ref="A41:F49" displayName="meczeMonaco" name="meczeMonaco" id="70">
  <tableColumns count="6">
    <tableColumn name="kolejka" id="1"/>
    <tableColumn name="gospodarze" id="2"/>
    <tableColumn name="goście" id="3"/>
    <tableColumn name="gole dla Barcelony" id="4"/>
    <tableColumn name="wynik" id="5"/>
    <tableColumn name="stadion" id="6"/>
  </tableColumns>
  <tableStyleInfo name="Monaco-style 3" showColumnStripes="0" showFirstColumn="1" showLastColumn="1" showRowStripes="1"/>
</table>
</file>

<file path=xl/tables/table71.xml><?xml version="1.0" encoding="utf-8"?>
<table xmlns="http://schemas.openxmlformats.org/spreadsheetml/2006/main" ref="A1:Q29" displayName="Napoli" name="Napoli" id="71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Napoli-style" showColumnStripes="0" showFirstColumn="1" showLastColumn="1" showRowStripes="1"/>
</table>
</file>

<file path=xl/tables/table72.xml><?xml version="1.0" encoding="utf-8"?>
<table xmlns="http://schemas.openxmlformats.org/spreadsheetml/2006/main" ref="A31:N32" displayName="trenerNapoli" name="trenerNapoli" id="7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Napoli-style 2" showColumnStripes="0" showFirstColumn="1" showLastColumn="1" showRowStripes="1"/>
</table>
</file>

<file path=xl/tables/table73.xml><?xml version="1.0" encoding="utf-8"?>
<table xmlns="http://schemas.openxmlformats.org/spreadsheetml/2006/main" ref="A34:F42" displayName="meczeNapoli" name="meczeNapoli" id="73">
  <tableColumns count="6">
    <tableColumn name="kolejka" id="1"/>
    <tableColumn name="gospodarze" id="2"/>
    <tableColumn name="goście" id="3"/>
    <tableColumn name="gole dla Napoli" id="4"/>
    <tableColumn name="wynik" id="5"/>
    <tableColumn name="stadion" id="6"/>
  </tableColumns>
  <tableStyleInfo name="Napoli-style 3" showColumnStripes="0" showFirstColumn="1" showLastColumn="1" showRowStripes="1"/>
</table>
</file>

<file path=xl/tables/table74.xml><?xml version="1.0" encoding="utf-8"?>
<table xmlns="http://schemas.openxmlformats.org/spreadsheetml/2006/main" ref="A1:Q30" displayName="Newcastle" name="Newcastle" id="74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Newcastle-style" showColumnStripes="0" showFirstColumn="1" showLastColumn="1" showRowStripes="1"/>
</table>
</file>

<file path=xl/tables/table75.xml><?xml version="1.0" encoding="utf-8"?>
<table xmlns="http://schemas.openxmlformats.org/spreadsheetml/2006/main" ref="A32:N33" displayName="trenerNewcastle" name="trenerNewcastle" id="75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Newcastle-style 2" showColumnStripes="0" showFirstColumn="1" showLastColumn="1" showRowStripes="1"/>
</table>
</file>

<file path=xl/tables/table76.xml><?xml version="1.0" encoding="utf-8"?>
<table xmlns="http://schemas.openxmlformats.org/spreadsheetml/2006/main" ref="A35:F43" displayName="meczeNewcastle" name="meczeNewcastle" id="76">
  <tableColumns count="6">
    <tableColumn name="kolejka" id="1"/>
    <tableColumn name="gospodarze" id="2"/>
    <tableColumn name="goście" id="3"/>
    <tableColumn name="gole dla Newcastle" id="4"/>
    <tableColumn name="wynik" id="5"/>
    <tableColumn name="stadion" id="6"/>
  </tableColumns>
  <tableStyleInfo name="Newcastle-style 3" showColumnStripes="0" showFirstColumn="1" showLastColumn="1" showRowStripes="1"/>
</table>
</file>

<file path=xl/tables/table77.xml><?xml version="1.0" encoding="utf-8"?>
<table xmlns="http://schemas.openxmlformats.org/spreadsheetml/2006/main" ref="A1:P28" displayName="Olympiacos" name="Olympiacos" id="77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Olympiacos-style" showColumnStripes="0" showFirstColumn="1" showLastColumn="1" showRowStripes="1"/>
</table>
</file>

<file path=xl/tables/table78.xml><?xml version="1.0" encoding="utf-8"?>
<table xmlns="http://schemas.openxmlformats.org/spreadsheetml/2006/main" ref="A30:N31" displayName="trenerOlympiacos" name="trenerOlympiacos" id="78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Olympiacos-style 2" showColumnStripes="0" showFirstColumn="1" showLastColumn="1" showRowStripes="1"/>
</table>
</file>

<file path=xl/tables/table79.xml><?xml version="1.0" encoding="utf-8"?>
<table xmlns="http://schemas.openxmlformats.org/spreadsheetml/2006/main" ref="A33:F41" displayName="meczeOlympiacos" name="meczeOlympiacos" id="79">
  <tableColumns count="6">
    <tableColumn name="kolejka" id="1"/>
    <tableColumn name="gospodarze" id="2"/>
    <tableColumn name="goście" id="3"/>
    <tableColumn name="gole dla Olympiakosu" id="4"/>
    <tableColumn name="wynik" id="5"/>
    <tableColumn name="stadion" id="6"/>
  </tableColumns>
  <tableStyleInfo name="Olympiacos-style 3" showColumnStripes="0" showFirstColumn="1" showLastColumn="1" showRowStripes="1"/>
</table>
</file>

<file path=xl/tables/table80.xml><?xml version="1.0" encoding="utf-8"?>
<table xmlns="http://schemas.openxmlformats.org/spreadsheetml/2006/main" ref="A1:P24" displayName="Pafos" name="Pafos" id="80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Pafos-style" showColumnStripes="0" showFirstColumn="1" showLastColumn="1" showRowStripes="1"/>
</table>
</file>

<file path=xl/tables/table81.xml><?xml version="1.0" encoding="utf-8"?>
<table xmlns="http://schemas.openxmlformats.org/spreadsheetml/2006/main" ref="A26:N28" displayName="trenerPafos" name="trenerPafos" id="81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Pafos-style 2" showColumnStripes="0" showFirstColumn="1" showLastColumn="1" showRowStripes="1"/>
</table>
</file>

<file path=xl/tables/table82.xml><?xml version="1.0" encoding="utf-8"?>
<table xmlns="http://schemas.openxmlformats.org/spreadsheetml/2006/main" ref="A30:F38" displayName="meczePafos" name="meczePafos" id="82">
  <tableColumns count="6">
    <tableColumn name="kolejka" id="1"/>
    <tableColumn name="gospodarze" id="2"/>
    <tableColumn name="goście" id="3"/>
    <tableColumn name="gole dla Pafos" id="4"/>
    <tableColumn name="wynik" id="5"/>
    <tableColumn name="stadion" id="6"/>
  </tableColumns>
  <tableStyleInfo name="Pafos-style 3" showColumnStripes="0" showFirstColumn="1" showLastColumn="1" showRowStripes="1"/>
</table>
</file>

<file path=xl/tables/table83.xml><?xml version="1.0" encoding="utf-8"?>
<table xmlns="http://schemas.openxmlformats.org/spreadsheetml/2006/main" ref="A1:P29" displayName="PSG" name="PSG" id="83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PSG-style" showColumnStripes="0" showFirstColumn="1" showLastColumn="1" showRowStripes="1"/>
</table>
</file>

<file path=xl/tables/table84.xml><?xml version="1.0" encoding="utf-8"?>
<table xmlns="http://schemas.openxmlformats.org/spreadsheetml/2006/main" ref="A31:N32" displayName="trenerPSG" name="trenerPSG" id="84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PSG-style 2" showColumnStripes="0" showFirstColumn="1" showLastColumn="1" showRowStripes="1"/>
</table>
</file>

<file path=xl/tables/table85.xml><?xml version="1.0" encoding="utf-8"?>
<table xmlns="http://schemas.openxmlformats.org/spreadsheetml/2006/main" ref="A34:F42" displayName="meczePSG" name="meczePSG" id="85">
  <tableColumns count="6">
    <tableColumn name="kolejka" id="1"/>
    <tableColumn name="gospodarze" id="2"/>
    <tableColumn name="goście" id="3"/>
    <tableColumn name="gole dla PSG" id="4"/>
    <tableColumn name="wynik" id="5"/>
    <tableColumn name="stadion" id="6"/>
  </tableColumns>
  <tableStyleInfo name="PSG-style 3" showColumnStripes="0" showFirstColumn="1" showLastColumn="1" showRowStripes="1"/>
</table>
</file>

<file path=xl/tables/table86.xml><?xml version="1.0" encoding="utf-8"?>
<table xmlns="http://schemas.openxmlformats.org/spreadsheetml/2006/main" ref="A1:P56" displayName="PSV" name="PSV" id="86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PSV-style" showColumnStripes="0" showFirstColumn="1" showLastColumn="1" showRowStripes="1"/>
</table>
</file>

<file path=xl/tables/table87.xml><?xml version="1.0" encoding="utf-8"?>
<table xmlns="http://schemas.openxmlformats.org/spreadsheetml/2006/main" ref="A58:N59" displayName="trenerPSV" name="trenerPSV" id="87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PSV-style 2" showColumnStripes="0" showFirstColumn="1" showLastColumn="1" showRowStripes="1"/>
</table>
</file>

<file path=xl/tables/table88.xml><?xml version="1.0" encoding="utf-8"?>
<table xmlns="http://schemas.openxmlformats.org/spreadsheetml/2006/main" ref="A61:F69" displayName="meczePSV" name="meczePSV" id="88">
  <tableColumns count="6">
    <tableColumn name="kolejka" id="1"/>
    <tableColumn name="gospodarze" id="2"/>
    <tableColumn name="goście" id="3"/>
    <tableColumn name="gole dla PSV" id="4"/>
    <tableColumn name="wynik" id="5"/>
    <tableColumn name="stadion" id="6"/>
  </tableColumns>
  <tableStyleInfo name="PSV-style 3" showColumnStripes="0" showFirstColumn="1" showLastColumn="1" showRowStripes="1"/>
</table>
</file>

<file path=xl/tables/table89.xml><?xml version="1.0" encoding="utf-8"?>
<table xmlns="http://schemas.openxmlformats.org/spreadsheetml/2006/main" ref="A1:P42" displayName="Real" name="Real" id="89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Real-style" showColumnStripes="0" showFirstColumn="1" showLastColumn="1" showRowStripes="1"/>
</table>
</file>

<file path=xl/tables/table90.xml><?xml version="1.0" encoding="utf-8"?>
<table xmlns="http://schemas.openxmlformats.org/spreadsheetml/2006/main" ref="A44:N46" displayName="trenerReal" name="trenerReal" id="90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Real-style 2" showColumnStripes="0" showFirstColumn="1" showLastColumn="1" showRowStripes="1"/>
</table>
</file>

<file path=xl/tables/table91.xml><?xml version="1.0" encoding="utf-8"?>
<table xmlns="http://schemas.openxmlformats.org/spreadsheetml/2006/main" ref="A48:F56" displayName="meczeReal" name="meczeReal" id="91">
  <tableColumns count="6">
    <tableColumn name="kolejka" id="1"/>
    <tableColumn name="gospodarze" id="2"/>
    <tableColumn name="goście" id="3"/>
    <tableColumn name="gole dla Realu" id="4"/>
    <tableColumn name="wynik" id="5"/>
    <tableColumn name="stadion" id="6"/>
  </tableColumns>
  <tableStyleInfo name="Real-style 3" showColumnStripes="0" showFirstColumn="1" showLastColumn="1" showRowStripes="1"/>
</table>
</file>

<file path=xl/tables/table92.xml><?xml version="1.0" encoding="utf-8"?>
<table xmlns="http://schemas.openxmlformats.org/spreadsheetml/2006/main" ref="A1:Q40" displayName="Slavia" name="Slavia" id="92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Slavia-style" showColumnStripes="0" showFirstColumn="1" showLastColumn="1" showRowStripes="1"/>
</table>
</file>

<file path=xl/tables/table93.xml><?xml version="1.0" encoding="utf-8"?>
<table xmlns="http://schemas.openxmlformats.org/spreadsheetml/2006/main" ref="A42:N43" displayName="trenerSlavia" name="trenerSlavia" id="93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Slavia-style 2" showColumnStripes="0" showFirstColumn="1" showLastColumn="1" showRowStripes="1"/>
</table>
</file>

<file path=xl/tables/table94.xml><?xml version="1.0" encoding="utf-8"?>
<table xmlns="http://schemas.openxmlformats.org/spreadsheetml/2006/main" ref="A45:F53" displayName="meczeSlavia" name="meczeSlavia" id="94">
  <tableColumns count="6">
    <tableColumn name="kolejka" id="1"/>
    <tableColumn name="gospodarze" id="2"/>
    <tableColumn name="goście" id="3"/>
    <tableColumn name="gole dla Slavii" id="4"/>
    <tableColumn name="wynik" id="5"/>
    <tableColumn name="stadion" id="6"/>
  </tableColumns>
  <tableStyleInfo name="Slavia-style 3" showColumnStripes="0" showFirstColumn="1" showLastColumn="1" showRowStripes="1"/>
</table>
</file>

<file path=xl/tables/table95.xml><?xml version="1.0" encoding="utf-8"?>
<table xmlns="http://schemas.openxmlformats.org/spreadsheetml/2006/main" ref="A1:P37" displayName="Sporting" name="Sporting" id="95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Sporting-style" showColumnStripes="0" showFirstColumn="1" showLastColumn="1" showRowStripes="1"/>
</table>
</file>

<file path=xl/tables/table96.xml><?xml version="1.0" encoding="utf-8"?>
<table xmlns="http://schemas.openxmlformats.org/spreadsheetml/2006/main" ref="A39:N40" displayName="trenerSporting" name="trenerSporting" id="96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Sporting-style 2" showColumnStripes="0" showFirstColumn="1" showLastColumn="1" showRowStripes="1"/>
</table>
</file>

<file path=xl/tables/table97.xml><?xml version="1.0" encoding="utf-8"?>
<table xmlns="http://schemas.openxmlformats.org/spreadsheetml/2006/main" ref="A42:F50" displayName="meczeSporting" name="meczeSporting" id="97">
  <tableColumns count="6">
    <tableColumn name="kolejka" id="1"/>
    <tableColumn name="gospodarze" id="2"/>
    <tableColumn name="goście" id="3"/>
    <tableColumn name="gole dla Sportingu" id="4"/>
    <tableColumn name="wynik" id="5"/>
    <tableColumn name="stadion" id="6"/>
  </tableColumns>
  <tableStyleInfo name="Sporting-style 3" showColumnStripes="0" showFirstColumn="1" showLastColumn="1" showRowStripes="1"/>
</table>
</file>

<file path=xl/tables/table98.xml><?xml version="1.0" encoding="utf-8"?>
<table xmlns="http://schemas.openxmlformats.org/spreadsheetml/2006/main" ref="A1:Q27" displayName="Karabach" name="Karabach" id="98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Karabach-style" showColumnStripes="0" showFirstColumn="1" showLastColumn="1" showRowStripes="1"/>
</table>
</file>

<file path=xl/tables/table99.xml><?xml version="1.0" encoding="utf-8"?>
<table xmlns="http://schemas.openxmlformats.org/spreadsheetml/2006/main" ref="A29:N30" displayName="trenerKarabach" name="trenerKarabach" id="99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Karabach-style 2" showColumnStripes="0" showFirstColumn="1" showLastColumn="1" showRowStripes="1"/>
</table>
</file>

<file path=xl/tables/table100.xml><?xml version="1.0" encoding="utf-8"?>
<table xmlns="http://schemas.openxmlformats.org/spreadsheetml/2006/main" ref="A32:F40" displayName="meczeKarabach" name="meczeKarabach" id="100">
  <tableColumns count="6">
    <tableColumn name="kolejka" id="1"/>
    <tableColumn name="gospodarze" id="2"/>
    <tableColumn name="goście" id="3"/>
    <tableColumn name="gole dla Karabach" id="4"/>
    <tableColumn name="wynik" id="5"/>
    <tableColumn name="stadion" id="6"/>
  </tableColumns>
  <tableStyleInfo name="Karabach-style 3" showColumnStripes="0" showFirstColumn="1" showLastColumn="1" showRowStripes="1"/>
</table>
</file>

<file path=xl/tables/table101.xml><?xml version="1.0" encoding="utf-8"?>
<table xmlns="http://schemas.openxmlformats.org/spreadsheetml/2006/main" ref="A1:P35" displayName="Tottenham" name="Tottenham" id="101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Tottenham-style" showColumnStripes="0" showFirstColumn="1" showLastColumn="1" showRowStripes="1"/>
</table>
</file>

<file path=xl/tables/table102.xml><?xml version="1.0" encoding="utf-8"?>
<table xmlns="http://schemas.openxmlformats.org/spreadsheetml/2006/main" ref="A37:N38" displayName="trenerTottenham" name="trenerTottenham" id="10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Tottenham-style 2" showColumnStripes="0" showFirstColumn="1" showLastColumn="1" showRowStripes="1"/>
</table>
</file>

<file path=xl/tables/table103.xml><?xml version="1.0" encoding="utf-8"?>
<table xmlns="http://schemas.openxmlformats.org/spreadsheetml/2006/main" ref="A40:F48" displayName="meczeTottenham" name="meczeTottenham" id="103">
  <tableColumns count="6">
    <tableColumn name="kolejka" id="1"/>
    <tableColumn name="gospodarze" id="2"/>
    <tableColumn name="goście" id="3"/>
    <tableColumn name="gole dla Tottenhamu" id="4"/>
    <tableColumn name="wynik" id="5"/>
    <tableColumn name="stadion" id="6"/>
  </tableColumns>
  <tableStyleInfo name="Tottenham-style 3" showColumnStripes="0" showFirstColumn="1" showLastColumn="1" showRowStripes="1"/>
</table>
</file>

<file path=xl/tables/table104.xml><?xml version="1.0" encoding="utf-8"?>
<table xmlns="http://schemas.openxmlformats.org/spreadsheetml/2006/main" ref="A1:P33" displayName="USG" name="USG" id="104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USG-style" showColumnStripes="0" showFirstColumn="1" showLastColumn="1" showRowStripes="1"/>
</table>
</file>

<file path=xl/tables/table105.xml><?xml version="1.0" encoding="utf-8"?>
<table xmlns="http://schemas.openxmlformats.org/spreadsheetml/2006/main" ref="A35:N37" displayName="trenerUSG" name="trenerUSG" id="105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USG-style 2" showColumnStripes="0" showFirstColumn="1" showLastColumn="1" showRowStripes="1"/>
</table>
</file>

<file path=xl/tables/table106.xml><?xml version="1.0" encoding="utf-8"?>
<table xmlns="http://schemas.openxmlformats.org/spreadsheetml/2006/main" ref="A39:F47" displayName="meczeUSG" name="meczeUSG" id="106">
  <tableColumns count="6">
    <tableColumn name="kolejka" id="1"/>
    <tableColumn name="gospodarze" id="2"/>
    <tableColumn name="goście" id="3"/>
    <tableColumn name="gole dla USG" id="4"/>
    <tableColumn name="wynik" id="5"/>
    <tableColumn name="stadion" id="6"/>
  </tableColumns>
  <tableStyleInfo name="USG-style 3" showColumnStripes="0" showFirstColumn="1" showLastColumn="1" showRowStripes="1"/>
</table>
</file>

<file path=xl/tables/table107.xml><?xml version="1.0" encoding="utf-8"?>
<table xmlns="http://schemas.openxmlformats.org/spreadsheetml/2006/main" ref="A1:Q30" displayName="Villarreal" name="Villarreal" id="107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Villarreal-style" showColumnStripes="0" showFirstColumn="1" showLastColumn="1" showRowStripes="1"/>
</table>
</file>

<file path=xl/tables/table108.xml><?xml version="1.0" encoding="utf-8"?>
<table xmlns="http://schemas.openxmlformats.org/spreadsheetml/2006/main" ref="A32:N33" displayName="trenerVillarreal" name="trenerVillarreal" id="108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Villarreal-style 2" showColumnStripes="0" showFirstColumn="1" showLastColumn="1" showRowStripes="1"/>
</table>
</file>

<file path=xl/tables/table109.xml><?xml version="1.0" encoding="utf-8"?>
<table xmlns="http://schemas.openxmlformats.org/spreadsheetml/2006/main" ref="A35:F43" displayName="meczeVillarreal" name="meczeVillarreal" id="109">
  <tableColumns count="6">
    <tableColumn name="kolejka" id="1"/>
    <tableColumn name="gospodarze" id="2"/>
    <tableColumn name="goście" id="3"/>
    <tableColumn name="gole dla Villarrealu" id="4"/>
    <tableColumn name="wynik" id="5"/>
    <tableColumn name="stadion" id="6"/>
  </tableColumns>
  <tableStyleInfo name="Villarreal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1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20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23.xml"/><Relationship Id="rId6" Type="http://schemas.openxmlformats.org/officeDocument/2006/relationships/table" Target="../tables/table24.xml"/><Relationship Id="rId7" Type="http://schemas.openxmlformats.org/officeDocument/2006/relationships/table" Target="../tables/table2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26.xml"/><Relationship Id="rId6" Type="http://schemas.openxmlformats.org/officeDocument/2006/relationships/table" Target="../tables/table27.xml"/><Relationship Id="rId7" Type="http://schemas.openxmlformats.org/officeDocument/2006/relationships/table" Target="../tables/table2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29.xml"/><Relationship Id="rId6" Type="http://schemas.openxmlformats.org/officeDocument/2006/relationships/table" Target="../tables/table30.xml"/><Relationship Id="rId7" Type="http://schemas.openxmlformats.org/officeDocument/2006/relationships/table" Target="../tables/table3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32.xml"/><Relationship Id="rId6" Type="http://schemas.openxmlformats.org/officeDocument/2006/relationships/table" Target="../tables/table33.xml"/><Relationship Id="rId7" Type="http://schemas.openxmlformats.org/officeDocument/2006/relationships/table" Target="../tables/table3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5" Type="http://schemas.openxmlformats.org/officeDocument/2006/relationships/table" Target="../tables/table35.xml"/><Relationship Id="rId6" Type="http://schemas.openxmlformats.org/officeDocument/2006/relationships/table" Target="../tables/table36.xml"/><Relationship Id="rId7" Type="http://schemas.openxmlformats.org/officeDocument/2006/relationships/table" Target="../tables/table3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5" Type="http://schemas.openxmlformats.org/officeDocument/2006/relationships/table" Target="../tables/table38.xml"/><Relationship Id="rId6" Type="http://schemas.openxmlformats.org/officeDocument/2006/relationships/table" Target="../tables/table39.xml"/><Relationship Id="rId7" Type="http://schemas.openxmlformats.org/officeDocument/2006/relationships/table" Target="../tables/table40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5" Type="http://schemas.openxmlformats.org/officeDocument/2006/relationships/table" Target="../tables/table41.xml"/><Relationship Id="rId6" Type="http://schemas.openxmlformats.org/officeDocument/2006/relationships/table" Target="../tables/table42.xml"/><Relationship Id="rId7" Type="http://schemas.openxmlformats.org/officeDocument/2006/relationships/table" Target="../tables/table4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5" Type="http://schemas.openxmlformats.org/officeDocument/2006/relationships/table" Target="../tables/table44.xml"/><Relationship Id="rId6" Type="http://schemas.openxmlformats.org/officeDocument/2006/relationships/table" Target="../tables/table45.xml"/><Relationship Id="rId7" Type="http://schemas.openxmlformats.org/officeDocument/2006/relationships/table" Target="../tables/table4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5" Type="http://schemas.openxmlformats.org/officeDocument/2006/relationships/table" Target="../tables/table47.xml"/><Relationship Id="rId6" Type="http://schemas.openxmlformats.org/officeDocument/2006/relationships/table" Target="../tables/table48.xml"/><Relationship Id="rId7" Type="http://schemas.openxmlformats.org/officeDocument/2006/relationships/table" Target="../tables/table4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5" Type="http://schemas.openxmlformats.org/officeDocument/2006/relationships/table" Target="../tables/table50.xml"/><Relationship Id="rId6" Type="http://schemas.openxmlformats.org/officeDocument/2006/relationships/table" Target="../tables/table51.xml"/><Relationship Id="rId7" Type="http://schemas.openxmlformats.org/officeDocument/2006/relationships/table" Target="../tables/table5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5" Type="http://schemas.openxmlformats.org/officeDocument/2006/relationships/table" Target="../tables/table53.xml"/><Relationship Id="rId6" Type="http://schemas.openxmlformats.org/officeDocument/2006/relationships/table" Target="../tables/table54.xml"/><Relationship Id="rId7" Type="http://schemas.openxmlformats.org/officeDocument/2006/relationships/table" Target="../tables/table5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5" Type="http://schemas.openxmlformats.org/officeDocument/2006/relationships/table" Target="../tables/table56.xml"/><Relationship Id="rId6" Type="http://schemas.openxmlformats.org/officeDocument/2006/relationships/table" Target="../tables/table57.xml"/><Relationship Id="rId7" Type="http://schemas.openxmlformats.org/officeDocument/2006/relationships/table" Target="../tables/table58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5" Type="http://schemas.openxmlformats.org/officeDocument/2006/relationships/table" Target="../tables/table59.xml"/><Relationship Id="rId6" Type="http://schemas.openxmlformats.org/officeDocument/2006/relationships/table" Target="../tables/table60.xml"/><Relationship Id="rId7" Type="http://schemas.openxmlformats.org/officeDocument/2006/relationships/table" Target="../tables/table6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5" Type="http://schemas.openxmlformats.org/officeDocument/2006/relationships/table" Target="../tables/table62.xml"/><Relationship Id="rId6" Type="http://schemas.openxmlformats.org/officeDocument/2006/relationships/table" Target="../tables/table63.xml"/><Relationship Id="rId7" Type="http://schemas.openxmlformats.org/officeDocument/2006/relationships/table" Target="../tables/table64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5" Type="http://schemas.openxmlformats.org/officeDocument/2006/relationships/table" Target="../tables/table65.xml"/><Relationship Id="rId6" Type="http://schemas.openxmlformats.org/officeDocument/2006/relationships/table" Target="../tables/table66.xml"/><Relationship Id="rId7" Type="http://schemas.openxmlformats.org/officeDocument/2006/relationships/table" Target="../tables/table67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5" Type="http://schemas.openxmlformats.org/officeDocument/2006/relationships/table" Target="../tables/table68.xml"/><Relationship Id="rId6" Type="http://schemas.openxmlformats.org/officeDocument/2006/relationships/table" Target="../tables/table69.xml"/><Relationship Id="rId7" Type="http://schemas.openxmlformats.org/officeDocument/2006/relationships/table" Target="../tables/table70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5" Type="http://schemas.openxmlformats.org/officeDocument/2006/relationships/table" Target="../tables/table71.xml"/><Relationship Id="rId6" Type="http://schemas.openxmlformats.org/officeDocument/2006/relationships/table" Target="../tables/table72.xml"/><Relationship Id="rId7" Type="http://schemas.openxmlformats.org/officeDocument/2006/relationships/table" Target="../tables/table73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5" Type="http://schemas.openxmlformats.org/officeDocument/2006/relationships/table" Target="../tables/table74.xml"/><Relationship Id="rId6" Type="http://schemas.openxmlformats.org/officeDocument/2006/relationships/table" Target="../tables/table75.xml"/><Relationship Id="rId7" Type="http://schemas.openxmlformats.org/officeDocument/2006/relationships/table" Target="../tables/table76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5" Type="http://schemas.openxmlformats.org/officeDocument/2006/relationships/table" Target="../tables/table77.xml"/><Relationship Id="rId6" Type="http://schemas.openxmlformats.org/officeDocument/2006/relationships/table" Target="../tables/table78.xml"/><Relationship Id="rId7" Type="http://schemas.openxmlformats.org/officeDocument/2006/relationships/table" Target="../tables/table79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5" Type="http://schemas.openxmlformats.org/officeDocument/2006/relationships/table" Target="../tables/table80.xml"/><Relationship Id="rId6" Type="http://schemas.openxmlformats.org/officeDocument/2006/relationships/table" Target="../tables/table81.xml"/><Relationship Id="rId7" Type="http://schemas.openxmlformats.org/officeDocument/2006/relationships/table" Target="../tables/table82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5" Type="http://schemas.openxmlformats.org/officeDocument/2006/relationships/table" Target="../tables/table83.xml"/><Relationship Id="rId6" Type="http://schemas.openxmlformats.org/officeDocument/2006/relationships/table" Target="../tables/table84.xml"/><Relationship Id="rId7" Type="http://schemas.openxmlformats.org/officeDocument/2006/relationships/table" Target="../tables/table85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5" Type="http://schemas.openxmlformats.org/officeDocument/2006/relationships/table" Target="../tables/table86.xml"/><Relationship Id="rId6" Type="http://schemas.openxmlformats.org/officeDocument/2006/relationships/table" Target="../tables/table87.xml"/><Relationship Id="rId7" Type="http://schemas.openxmlformats.org/officeDocument/2006/relationships/table" Target="../tables/table88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5" Type="http://schemas.openxmlformats.org/officeDocument/2006/relationships/table" Target="../tables/table89.xml"/><Relationship Id="rId6" Type="http://schemas.openxmlformats.org/officeDocument/2006/relationships/table" Target="../tables/table90.xml"/><Relationship Id="rId7" Type="http://schemas.openxmlformats.org/officeDocument/2006/relationships/table" Target="../tables/table91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5" Type="http://schemas.openxmlformats.org/officeDocument/2006/relationships/table" Target="../tables/table92.xml"/><Relationship Id="rId6" Type="http://schemas.openxmlformats.org/officeDocument/2006/relationships/table" Target="../tables/table93.xml"/><Relationship Id="rId7" Type="http://schemas.openxmlformats.org/officeDocument/2006/relationships/table" Target="../tables/table94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5" Type="http://schemas.openxmlformats.org/officeDocument/2006/relationships/table" Target="../tables/table95.xml"/><Relationship Id="rId6" Type="http://schemas.openxmlformats.org/officeDocument/2006/relationships/table" Target="../tables/table96.xml"/><Relationship Id="rId7" Type="http://schemas.openxmlformats.org/officeDocument/2006/relationships/table" Target="../tables/table97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5" Type="http://schemas.openxmlformats.org/officeDocument/2006/relationships/table" Target="../tables/table98.xml"/><Relationship Id="rId6" Type="http://schemas.openxmlformats.org/officeDocument/2006/relationships/table" Target="../tables/table99.xml"/><Relationship Id="rId7" Type="http://schemas.openxmlformats.org/officeDocument/2006/relationships/table" Target="../tables/table100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5" Type="http://schemas.openxmlformats.org/officeDocument/2006/relationships/table" Target="../tables/table101.xml"/><Relationship Id="rId6" Type="http://schemas.openxmlformats.org/officeDocument/2006/relationships/table" Target="../tables/table102.xml"/><Relationship Id="rId7" Type="http://schemas.openxmlformats.org/officeDocument/2006/relationships/table" Target="../tables/table103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5" Type="http://schemas.openxmlformats.org/officeDocument/2006/relationships/table" Target="../tables/table104.xml"/><Relationship Id="rId6" Type="http://schemas.openxmlformats.org/officeDocument/2006/relationships/table" Target="../tables/table105.xml"/><Relationship Id="rId7" Type="http://schemas.openxmlformats.org/officeDocument/2006/relationships/table" Target="../tables/table106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5" Type="http://schemas.openxmlformats.org/officeDocument/2006/relationships/table" Target="../tables/table107.xml"/><Relationship Id="rId6" Type="http://schemas.openxmlformats.org/officeDocument/2006/relationships/table" Target="../tables/table108.xml"/><Relationship Id="rId7" Type="http://schemas.openxmlformats.org/officeDocument/2006/relationships/table" Target="../tables/table10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25"/>
    <col customWidth="1" min="2" max="2" width="16.13"/>
    <col customWidth="1" min="3" max="4" width="8.25"/>
    <col customWidth="1" hidden="1" min="5" max="5" width="10.5"/>
    <col customWidth="1" min="6" max="6" width="10.63"/>
    <col customWidth="1" min="7" max="7" width="12.5"/>
    <col customWidth="1" min="8" max="8" width="12.0"/>
    <col customWidth="1" min="9" max="9" width="11.88"/>
    <col customWidth="1" min="10" max="10" width="10.63"/>
    <col customWidth="1" min="11" max="11" width="11.0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4">
        <v>1.0</v>
      </c>
      <c r="B2" s="5" t="s">
        <v>12</v>
      </c>
      <c r="C2" s="6" t="str">
        <f>IMAGE("https://upload.wikimedia.org/wikipedia/en/5/53/Arsenal_FC.svg")</f>
        <v/>
      </c>
      <c r="D2" s="7" t="str">
        <f>IMAGE("https://flagcdn.com/w320/gb-eng.png")</f>
        <v/>
      </c>
      <c r="E2" s="8">
        <f>Arsenal!H63</f>
        <v>7</v>
      </c>
      <c r="F2" s="8">
        <f>Arsenal!I63</f>
        <v>21</v>
      </c>
      <c r="G2" s="8">
        <f>Arsenal!J63</f>
        <v>20</v>
      </c>
      <c r="H2" s="8">
        <f>Arsenal!K63</f>
        <v>2</v>
      </c>
      <c r="I2" s="8">
        <f>Arsenal!L63</f>
        <v>7</v>
      </c>
      <c r="J2" s="8">
        <f>Arsenal!M63</f>
        <v>0</v>
      </c>
      <c r="K2" s="8">
        <f>Arsenal!N63</f>
        <v>0</v>
      </c>
      <c r="L2" s="8">
        <f t="shared" ref="L2:L37" si="1">G2-H2</f>
        <v>18</v>
      </c>
    </row>
    <row r="3" ht="22.5" customHeight="1">
      <c r="A3" s="4">
        <v>2.0</v>
      </c>
      <c r="B3" s="5" t="s">
        <v>13</v>
      </c>
      <c r="C3" s="6" t="str">
        <f>IMAGE("https://upload.wikimedia.org/wikipedia/commons/1/1b/FC_Bayern_M%C3%BCnchen_logo_%282017%29.svg") </f>
        <v/>
      </c>
      <c r="D3" s="7" t="str">
        <f>IMAGE("https://flagcdn.com/w320/de.png")</f>
        <v/>
      </c>
      <c r="E3" s="8">
        <f>Bayern!H36</f>
        <v>7</v>
      </c>
      <c r="F3" s="8">
        <f>Bayern!I36</f>
        <v>18</v>
      </c>
      <c r="G3" s="8">
        <f>Bayern!J36</f>
        <v>20</v>
      </c>
      <c r="H3" s="8">
        <f>Bayern!K36</f>
        <v>7</v>
      </c>
      <c r="I3" s="8">
        <f>Bayern!L36</f>
        <v>6</v>
      </c>
      <c r="J3" s="8">
        <f>Bayern!M36</f>
        <v>0</v>
      </c>
      <c r="K3" s="8">
        <f>Bayern!N36</f>
        <v>1</v>
      </c>
      <c r="L3" s="8">
        <f t="shared" si="1"/>
        <v>13</v>
      </c>
    </row>
    <row r="4" ht="22.5" customHeight="1">
      <c r="A4" s="4">
        <v>3.0</v>
      </c>
      <c r="B4" s="5" t="s">
        <v>14</v>
      </c>
      <c r="C4" s="6" t="str">
        <f>IMAGE("https://upload.wikimedia.org/wikipedia/commons/8/81/Logo_Atalanta_Bergamo.svg") </f>
        <v/>
      </c>
      <c r="D4" s="7" t="str">
        <f>IMAGE("https://flagcdn.com/w320/it.png")</f>
        <v/>
      </c>
      <c r="E4" s="8">
        <f>Atalanta!H34</f>
        <v>7</v>
      </c>
      <c r="F4" s="8">
        <f>Atalanta!I34</f>
        <v>13</v>
      </c>
      <c r="G4" s="8">
        <f>Atalanta!J34</f>
        <v>10</v>
      </c>
      <c r="H4" s="8">
        <f>Atalanta!K34</f>
        <v>9</v>
      </c>
      <c r="I4" s="8">
        <f>Atalanta!L34</f>
        <v>4</v>
      </c>
      <c r="J4" s="8">
        <f>Atalanta!M34</f>
        <v>1</v>
      </c>
      <c r="K4" s="8">
        <f>Atalanta!N34</f>
        <v>2</v>
      </c>
      <c r="L4" s="8">
        <f t="shared" si="1"/>
        <v>1</v>
      </c>
    </row>
    <row r="5" ht="22.5" customHeight="1">
      <c r="A5" s="4">
        <v>4.0</v>
      </c>
      <c r="B5" s="5" t="s">
        <v>15</v>
      </c>
      <c r="C5" s="6" t="str">
        <f>IMAGE("https://upload.wikimedia.org/wikipedia/en/a/a7/Paris_Saint-Germain_F.C..svg")     </f>
        <v/>
      </c>
      <c r="D5" s="7" t="str">
        <f>IMAGE("https://flagcdn.com/w320/fr.png")</f>
        <v/>
      </c>
      <c r="E5" s="8">
        <f>PSG!H33</f>
        <v>7</v>
      </c>
      <c r="F5" s="8">
        <f>PSG!I33</f>
        <v>13</v>
      </c>
      <c r="G5" s="8">
        <f>PSG!J33</f>
        <v>20</v>
      </c>
      <c r="H5" s="8">
        <f>PSG!K33</f>
        <v>10</v>
      </c>
      <c r="I5" s="8">
        <f>PSG!L33</f>
        <v>4</v>
      </c>
      <c r="J5" s="8">
        <f>PSG!M33</f>
        <v>1</v>
      </c>
      <c r="K5" s="8">
        <f>PSG!N33</f>
        <v>2</v>
      </c>
      <c r="L5" s="8">
        <f t="shared" si="1"/>
        <v>10</v>
      </c>
    </row>
    <row r="6" ht="22.5" customHeight="1">
      <c r="A6" s="4">
        <v>5.0</v>
      </c>
      <c r="B6" s="5" t="s">
        <v>16</v>
      </c>
      <c r="C6" s="6" t="str">
        <f>IMAGE("https://upload.wikimedia.org/wikipedia/commons/0/05/FC_Internazionale_Milano_2021.svg") </f>
        <v/>
      </c>
      <c r="D6" s="7" t="str">
        <f>IMAGE("https://flagcdn.com/w320/it.png")</f>
        <v/>
      </c>
      <c r="E6" s="8">
        <f>Inter!H33</f>
        <v>7</v>
      </c>
      <c r="F6" s="8">
        <f>Inter!I33</f>
        <v>12</v>
      </c>
      <c r="G6" s="8">
        <f>Inter!J33</f>
        <v>13</v>
      </c>
      <c r="H6" s="8">
        <f>Inter!K33</f>
        <v>7</v>
      </c>
      <c r="I6" s="8">
        <f>Inter!L33</f>
        <v>4</v>
      </c>
      <c r="J6" s="8">
        <f>Inter!M33</f>
        <v>0</v>
      </c>
      <c r="K6" s="8">
        <f>Inter!N33</f>
        <v>3</v>
      </c>
      <c r="L6" s="8">
        <f t="shared" si="1"/>
        <v>6</v>
      </c>
    </row>
    <row r="7" ht="22.5" customHeight="1">
      <c r="A7" s="4">
        <v>6.0</v>
      </c>
      <c r="B7" s="5" t="s">
        <v>17</v>
      </c>
      <c r="C7" s="6" t="str">
        <f>IMAGE("https://upload.wikimedia.org/wikipedia/en/5/56/Real_Madrid_CF.svg") </f>
        <v/>
      </c>
      <c r="D7" s="7" t="str">
        <f>IMAGE("https://flagcdn.com/w320/es.png")</f>
        <v/>
      </c>
      <c r="E7" s="8">
        <f>Real!H47</f>
        <v>7</v>
      </c>
      <c r="F7" s="8">
        <f>Real!I47</f>
        <v>15</v>
      </c>
      <c r="G7" s="8">
        <f>Real!J47</f>
        <v>19</v>
      </c>
      <c r="H7" s="8">
        <f>Real!K47</f>
        <v>8</v>
      </c>
      <c r="I7" s="8">
        <f>Real!L47</f>
        <v>5</v>
      </c>
      <c r="J7" s="8">
        <f>Real!M47</f>
        <v>0</v>
      </c>
      <c r="K7" s="8">
        <f>Real!N47</f>
        <v>2</v>
      </c>
      <c r="L7" s="8">
        <f t="shared" si="1"/>
        <v>11</v>
      </c>
    </row>
    <row r="8" ht="22.5" customHeight="1">
      <c r="A8" s="4">
        <v>7.0</v>
      </c>
      <c r="B8" s="5" t="s">
        <v>18</v>
      </c>
      <c r="C8" s="6" t="str">
        <f>IMAGE("https://upload.wikimedia.org/wikipedia/en/0/0c/Liverpool_FC.svg") </f>
        <v/>
      </c>
      <c r="D8" s="7" t="str">
        <f>IMAGE("https://flagcdn.com/w320/gb-eng.png")</f>
        <v/>
      </c>
      <c r="E8" s="8">
        <f>Liverpool!H32</f>
        <v>6</v>
      </c>
      <c r="F8" s="8">
        <f>Liverpool!I32</f>
        <v>12</v>
      </c>
      <c r="G8" s="8">
        <f>Liverpool!J32</f>
        <v>11</v>
      </c>
      <c r="H8" s="8">
        <f>Liverpool!K32</f>
        <v>8</v>
      </c>
      <c r="I8" s="8">
        <f>Liverpool!L32</f>
        <v>4</v>
      </c>
      <c r="J8" s="8">
        <f>Liverpool!M32</f>
        <v>0</v>
      </c>
      <c r="K8" s="8">
        <f>Liverpool!N32</f>
        <v>2</v>
      </c>
      <c r="L8" s="8">
        <f t="shared" si="1"/>
        <v>3</v>
      </c>
    </row>
    <row r="9" ht="22.5" customHeight="1">
      <c r="A9" s="4">
        <v>8.0</v>
      </c>
      <c r="B9" s="5" t="s">
        <v>19</v>
      </c>
      <c r="C9" s="6" t="str">
        <f>IMAGE("https://upload.wikimedia.org/wikinews/en/c/c1/Atletico_Madrid_logo.svg") </f>
        <v/>
      </c>
      <c r="D9" s="7" t="str">
        <f>IMAGE("https://flagcdn.com/w320/es.png")</f>
        <v/>
      </c>
      <c r="E9" s="8">
        <f>Atletico!H44</f>
        <v>7</v>
      </c>
      <c r="F9" s="8">
        <f>Atletico!I44</f>
        <v>13</v>
      </c>
      <c r="G9" s="8">
        <f>Atletico!J44</f>
        <v>16</v>
      </c>
      <c r="H9" s="8">
        <f>Atletico!K44</f>
        <v>12</v>
      </c>
      <c r="I9" s="8">
        <f>Atletico!L44</f>
        <v>4</v>
      </c>
      <c r="J9" s="8">
        <f>Atletico!M44</f>
        <v>1</v>
      </c>
      <c r="K9" s="8">
        <f>Atletico!N44</f>
        <v>2</v>
      </c>
      <c r="L9" s="8">
        <f t="shared" si="1"/>
        <v>4</v>
      </c>
    </row>
    <row r="10" ht="22.5" customHeight="1">
      <c r="A10" s="9">
        <v>9.0</v>
      </c>
      <c r="B10" s="5" t="s">
        <v>20</v>
      </c>
      <c r="C10" s="6" t="str">
        <f>IMAGE("https://upload.wikimedia.org/wikipedia/en/b/b4/Tottenham_Hotspur.svg")  </f>
        <v/>
      </c>
      <c r="D10" s="7" t="str">
        <f>IMAGE("https://flagcdn.com/w320/gb-eng.png")</f>
        <v/>
      </c>
      <c r="E10" s="8">
        <f>Tottenham!H39</f>
        <v>7</v>
      </c>
      <c r="F10" s="8">
        <f>Tottenham!I39</f>
        <v>14</v>
      </c>
      <c r="G10" s="8">
        <f>Tottenham!J39</f>
        <v>15</v>
      </c>
      <c r="H10" s="8">
        <f>Tottenham!K39</f>
        <v>7</v>
      </c>
      <c r="I10" s="8">
        <f>Tottenham!L39</f>
        <v>4</v>
      </c>
      <c r="J10" s="8">
        <f>Tottenham!M39</f>
        <v>2</v>
      </c>
      <c r="K10" s="8">
        <f>Tottenham!N39</f>
        <v>1</v>
      </c>
      <c r="L10" s="8">
        <f t="shared" si="1"/>
        <v>8</v>
      </c>
    </row>
    <row r="11" ht="22.5" customHeight="1">
      <c r="A11" s="9">
        <v>10.0</v>
      </c>
      <c r="B11" s="5" t="s">
        <v>21</v>
      </c>
      <c r="C11" s="6" t="str">
        <f>IMAGE("https://upload.wikimedia.org/wikipedia/commons/6/67/Borussia_Dortmund_logo.svg")</f>
        <v/>
      </c>
      <c r="D11" s="7" t="str">
        <f>IMAGE("https://flagcdn.com/w320/de.png")</f>
        <v/>
      </c>
      <c r="E11" s="8">
        <f>Borussia!H32</f>
        <v>7</v>
      </c>
      <c r="F11" s="8">
        <f>Borussia!I32</f>
        <v>11</v>
      </c>
      <c r="G11" s="8">
        <f>Borussia!J32</f>
        <v>19</v>
      </c>
      <c r="H11" s="8">
        <f>Borussia!K32</f>
        <v>15</v>
      </c>
      <c r="I11" s="8">
        <f>Borussia!L32</f>
        <v>3</v>
      </c>
      <c r="J11" s="8">
        <f>Borussia!M32</f>
        <v>2</v>
      </c>
      <c r="K11" s="8">
        <f>Borussia!N32</f>
        <v>2</v>
      </c>
      <c r="L11" s="8">
        <f t="shared" si="1"/>
        <v>4</v>
      </c>
    </row>
    <row r="12" ht="22.5" customHeight="1">
      <c r="A12" s="9">
        <v>11.0</v>
      </c>
      <c r="B12" s="5" t="s">
        <v>22</v>
      </c>
      <c r="C12" s="6" t="str">
        <f>IMAGE("https://upload.wikimedia.org/wikipedia/en/c/cc/Chelsea_FC.svg")  </f>
        <v/>
      </c>
      <c r="D12" s="7" t="str">
        <f t="shared" ref="D12:D13" si="2">IMAGE("https://flagcdn.com/w320/gb-eng.png")</f>
        <v/>
      </c>
      <c r="E12" s="8">
        <f>Chelsea!H38</f>
        <v>7</v>
      </c>
      <c r="F12" s="8">
        <f>Chelsea!I38</f>
        <v>13</v>
      </c>
      <c r="G12" s="8">
        <f>Chelsea!J38</f>
        <v>14</v>
      </c>
      <c r="H12" s="8">
        <f>Chelsea!K38</f>
        <v>8</v>
      </c>
      <c r="I12" s="8">
        <f>Chelsea!L38</f>
        <v>4</v>
      </c>
      <c r="J12" s="8">
        <f>Chelsea!M38</f>
        <v>1</v>
      </c>
      <c r="K12" s="8">
        <f>Chelsea!N38</f>
        <v>2</v>
      </c>
      <c r="L12" s="8">
        <f t="shared" si="1"/>
        <v>6</v>
      </c>
    </row>
    <row r="13" ht="22.5" customHeight="1">
      <c r="A13" s="9">
        <v>12.0</v>
      </c>
      <c r="B13" s="5" t="s">
        <v>23</v>
      </c>
      <c r="C13" s="6" t="str">
        <f>IMAGE("https://upload.wikimedia.org/wikipedia/en/e/eb/Manchester_City_FC_badge.svg")  </f>
        <v/>
      </c>
      <c r="D13" s="7" t="str">
        <f t="shared" si="2"/>
        <v/>
      </c>
      <c r="E13" s="8">
        <f>City!H36</f>
        <v>7</v>
      </c>
      <c r="F13" s="8">
        <f>City!I36</f>
        <v>13</v>
      </c>
      <c r="G13" s="8">
        <f>City!J36</f>
        <v>13</v>
      </c>
      <c r="H13" s="8">
        <f>City!K36</f>
        <v>9</v>
      </c>
      <c r="I13" s="8">
        <f>City!L36</f>
        <v>4</v>
      </c>
      <c r="J13" s="8">
        <f>City!M36</f>
        <v>1</v>
      </c>
      <c r="K13" s="8">
        <f>City!N36</f>
        <v>2</v>
      </c>
      <c r="L13" s="8">
        <f t="shared" si="1"/>
        <v>4</v>
      </c>
    </row>
    <row r="14" ht="22.5" customHeight="1">
      <c r="A14" s="9">
        <v>13.0</v>
      </c>
      <c r="B14" s="5" t="s">
        <v>24</v>
      </c>
      <c r="C14" s="6" t="str">
        <f>IMAGE("https://upload.wikimedia.org/wikipedia/sco/3/3e/Sporting_Clube_de_Portugal.png")</f>
        <v/>
      </c>
      <c r="D14" s="7" t="str">
        <f>IMAGE("https://flagcdn.com/w320/pt.png")</f>
        <v/>
      </c>
      <c r="E14" s="8">
        <f>Sporting!H41</f>
        <v>7</v>
      </c>
      <c r="F14" s="8">
        <f>Sporting!I41</f>
        <v>13</v>
      </c>
      <c r="G14" s="8">
        <f>Sporting!J41</f>
        <v>14</v>
      </c>
      <c r="H14" s="8">
        <f>Sporting!K41</f>
        <v>9</v>
      </c>
      <c r="I14" s="8">
        <f>Sporting!L41</f>
        <v>4</v>
      </c>
      <c r="J14" s="8">
        <f>Sporting!M41</f>
        <v>1</v>
      </c>
      <c r="K14" s="8">
        <f>Sporting!N41</f>
        <v>2</v>
      </c>
      <c r="L14" s="8">
        <f t="shared" si="1"/>
        <v>5</v>
      </c>
    </row>
    <row r="15" ht="22.5" customHeight="1">
      <c r="A15" s="9">
        <v>14.0</v>
      </c>
      <c r="B15" s="5" t="s">
        <v>25</v>
      </c>
      <c r="C15" s="6" t="str">
        <f>IMAGE("https://upload.wikimedia.org/wikipedia/en/4/47/FC_Barcelona_%28crest%29.svg") </f>
        <v/>
      </c>
      <c r="D15" s="7" t="str">
        <f>IMAGE("https://flagcdn.com/w320/es.png")</f>
        <v/>
      </c>
      <c r="E15" s="8">
        <f>Barcelona!H37</f>
        <v>7</v>
      </c>
      <c r="F15" s="8">
        <f>Barcelona!I37</f>
        <v>13</v>
      </c>
      <c r="G15" s="8">
        <f>Barcelona!J37</f>
        <v>18</v>
      </c>
      <c r="H15" s="8">
        <f>Barcelona!K37</f>
        <v>13</v>
      </c>
      <c r="I15" s="8">
        <f>Barcelona!L37</f>
        <v>4</v>
      </c>
      <c r="J15" s="8">
        <f>Barcelona!M37</f>
        <v>1</v>
      </c>
      <c r="K15" s="8">
        <f>Barcelona!N37</f>
        <v>2</v>
      </c>
      <c r="L15" s="8">
        <f t="shared" si="1"/>
        <v>5</v>
      </c>
    </row>
    <row r="16" ht="22.5" customHeight="1">
      <c r="A16" s="9">
        <v>15.0</v>
      </c>
      <c r="B16" s="5" t="s">
        <v>26</v>
      </c>
      <c r="C16" s="6" t="str">
        <f>IMAGE("https://upload.wikimedia.org/wikipedia/en/5/56/Newcastle_United_Logo.svg")   </f>
        <v/>
      </c>
      <c r="D16" s="7" t="str">
        <f>IMAGE("https://flagcdn.com/w320/gb-eng.png")</f>
        <v/>
      </c>
      <c r="E16" s="8">
        <f>Newcastle!H34</f>
        <v>7</v>
      </c>
      <c r="F16" s="8">
        <f>Newcastle!I34</f>
        <v>13</v>
      </c>
      <c r="G16" s="8">
        <f>Newcastle!J34</f>
        <v>16</v>
      </c>
      <c r="H16" s="8">
        <f>Newcastle!K34</f>
        <v>6</v>
      </c>
      <c r="I16" s="8">
        <f>Newcastle!L34</f>
        <v>4</v>
      </c>
      <c r="J16" s="8">
        <f>Newcastle!M34</f>
        <v>1</v>
      </c>
      <c r="K16" s="8">
        <f>Newcastle!N34</f>
        <v>2</v>
      </c>
      <c r="L16" s="8">
        <f t="shared" si="1"/>
        <v>10</v>
      </c>
    </row>
    <row r="17" ht="22.5" customHeight="1">
      <c r="A17" s="9">
        <v>16.0</v>
      </c>
      <c r="B17" s="5" t="s">
        <v>27</v>
      </c>
      <c r="C17" s="6" t="str">
        <f>IMAGE("https://upload.wikimedia.org/wikipedia/commons/2/20/Galatasaray_Sports_Club_Logo.svg") </f>
        <v/>
      </c>
      <c r="D17" s="7" t="str">
        <f>IMAGE("https://flagcdn.com/w320/tr.png")</f>
        <v/>
      </c>
      <c r="E17" s="8">
        <f>Galatasaray!H34</f>
        <v>7</v>
      </c>
      <c r="F17" s="8">
        <f>Galatasaray!I34</f>
        <v>10</v>
      </c>
      <c r="G17" s="8">
        <f>Galatasaray!J34</f>
        <v>9</v>
      </c>
      <c r="H17" s="8">
        <f>Galatasaray!K34</f>
        <v>9</v>
      </c>
      <c r="I17" s="8">
        <f>Galatasaray!L34</f>
        <v>3</v>
      </c>
      <c r="J17" s="8">
        <f>Galatasaray!M34</f>
        <v>1</v>
      </c>
      <c r="K17" s="8">
        <f>Galatasaray!N34</f>
        <v>3</v>
      </c>
      <c r="L17" s="8">
        <f t="shared" si="1"/>
        <v>0</v>
      </c>
    </row>
    <row r="18" ht="22.5" customHeight="1">
      <c r="A18" s="9">
        <v>17.0</v>
      </c>
      <c r="B18" s="5" t="s">
        <v>28</v>
      </c>
      <c r="C18" s="6" t="str">
        <f>IMAGE("https://upload.wikimedia.org/wikipedia/commons/d/d8/Olympique_Marseille_logo.svg")</f>
        <v/>
      </c>
      <c r="D18" s="7" t="str">
        <f t="shared" ref="D18:D19" si="3">IMAGE("https://flagcdn.com/w320/fr.png")</f>
        <v/>
      </c>
      <c r="E18" s="8">
        <f>Marsylia!H47</f>
        <v>7</v>
      </c>
      <c r="F18" s="8">
        <f>Marsylia!I47</f>
        <v>9</v>
      </c>
      <c r="G18" s="8">
        <f>Marsylia!J47</f>
        <v>11</v>
      </c>
      <c r="H18" s="8">
        <f>Marsylia!K47</f>
        <v>11</v>
      </c>
      <c r="I18" s="8">
        <f>Marsylia!L47</f>
        <v>3</v>
      </c>
      <c r="J18" s="8">
        <f>Marsylia!M47</f>
        <v>0</v>
      </c>
      <c r="K18" s="8">
        <f>Marsylia!N47</f>
        <v>4</v>
      </c>
      <c r="L18" s="8">
        <f t="shared" si="1"/>
        <v>0</v>
      </c>
    </row>
    <row r="19" ht="22.5" customHeight="1">
      <c r="A19" s="9">
        <v>18.0</v>
      </c>
      <c r="B19" s="5" t="s">
        <v>29</v>
      </c>
      <c r="C19" s="6" t="str">
        <f>IMAGE("https://upload.wikimedia.org/wikipedia/fr/5/58/Logo_AS_Monaco_FC_-_2021.svg")</f>
        <v/>
      </c>
      <c r="D19" s="7" t="str">
        <f t="shared" si="3"/>
        <v/>
      </c>
      <c r="E19" s="8">
        <f>Monaco!H40</f>
        <v>7</v>
      </c>
      <c r="F19" s="8">
        <f>Monaco!I40</f>
        <v>9</v>
      </c>
      <c r="G19" s="8">
        <f>Monaco!J40</f>
        <v>8</v>
      </c>
      <c r="H19" s="8">
        <f>Monaco!K40</f>
        <v>14</v>
      </c>
      <c r="I19" s="8">
        <f>Monaco!L40</f>
        <v>2</v>
      </c>
      <c r="J19" s="8">
        <f>Monaco!M40</f>
        <v>3</v>
      </c>
      <c r="K19" s="8">
        <f>Monaco!N40</f>
        <v>2</v>
      </c>
      <c r="L19" s="8">
        <f t="shared" si="1"/>
        <v>-6</v>
      </c>
    </row>
    <row r="20" ht="22.5" customHeight="1">
      <c r="A20" s="9">
        <v>19.0</v>
      </c>
      <c r="B20" s="5" t="s">
        <v>30</v>
      </c>
      <c r="C20" s="6" t="str">
        <f>IMAGE("https://upload.wikimedia.org/wikipedia/en/0/05/PSV_Eindhoven.svg")</f>
        <v/>
      </c>
      <c r="D20" s="7" t="str">
        <f>IMAGE("https://flagcdn.com/w320/nl.png")</f>
        <v/>
      </c>
      <c r="E20" s="8">
        <f>PSV!H60</f>
        <v>7</v>
      </c>
      <c r="F20" s="8">
        <f>PSV!I60</f>
        <v>8</v>
      </c>
      <c r="G20" s="8">
        <f>PSV!J60</f>
        <v>15</v>
      </c>
      <c r="H20" s="8">
        <f>PSV!K60</f>
        <v>14</v>
      </c>
      <c r="I20" s="8">
        <f>PSV!L60</f>
        <v>2</v>
      </c>
      <c r="J20" s="8">
        <f>PSV!M60</f>
        <v>2</v>
      </c>
      <c r="K20" s="8">
        <f>PSV!N60</f>
        <v>3</v>
      </c>
      <c r="L20" s="8">
        <f t="shared" si="1"/>
        <v>1</v>
      </c>
    </row>
    <row r="21" ht="22.5" customHeight="1">
      <c r="A21" s="9">
        <v>20.0</v>
      </c>
      <c r="B21" s="5" t="s">
        <v>31</v>
      </c>
      <c r="C21" s="6" t="str">
        <f>IMAGE("https://upload.wikimedia.org/wikipedia/en/5/59/Bayer_04_Leverkusen_logo.svg")</f>
        <v/>
      </c>
      <c r="D21" s="7" t="str">
        <f>IMAGE("https://flagcdn.com/w320/de.png")</f>
        <v/>
      </c>
      <c r="E21" s="8">
        <f>Leverkusen!H37</f>
        <v>7</v>
      </c>
      <c r="F21" s="8">
        <f>Leverkusen!I37</f>
        <v>9</v>
      </c>
      <c r="G21" s="8">
        <f>Leverkusen!J37</f>
        <v>10</v>
      </c>
      <c r="H21" s="8">
        <f>Leverkusen!K37</f>
        <v>14</v>
      </c>
      <c r="I21" s="8">
        <f>Leverkusen!L37</f>
        <v>2</v>
      </c>
      <c r="J21" s="8">
        <f>Leverkusen!M37</f>
        <v>3</v>
      </c>
      <c r="K21" s="8">
        <f>Leverkusen!N37</f>
        <v>2</v>
      </c>
      <c r="L21" s="8">
        <f t="shared" si="1"/>
        <v>-4</v>
      </c>
    </row>
    <row r="22" ht="22.5" customHeight="1">
      <c r="A22" s="9">
        <v>21.0</v>
      </c>
      <c r="B22" s="5" t="s">
        <v>32</v>
      </c>
      <c r="C22" s="6" t="str">
        <f>IMAGE("https://upload.wikimedia.org/wikipedia/az/1/13/Qaraba%C4%9F_FK_loqo.png") </f>
        <v/>
      </c>
      <c r="D22" s="7" t="str">
        <f>IMAGE("https://flagcdn.com/w320/az.png")</f>
        <v/>
      </c>
      <c r="E22" s="8">
        <f>Karabach!H31</f>
        <v>7</v>
      </c>
      <c r="F22" s="8">
        <f>Karabach!I31</f>
        <v>10</v>
      </c>
      <c r="G22" s="8">
        <f>Karabach!J31</f>
        <v>13</v>
      </c>
      <c r="H22" s="8">
        <f>Karabach!K31</f>
        <v>15</v>
      </c>
      <c r="I22" s="8">
        <f>Karabach!L31</f>
        <v>3</v>
      </c>
      <c r="J22" s="8">
        <f>Karabach!M31</f>
        <v>1</v>
      </c>
      <c r="K22" s="8">
        <f>Karabach!N31</f>
        <v>3</v>
      </c>
      <c r="L22" s="8">
        <f t="shared" si="1"/>
        <v>-2</v>
      </c>
    </row>
    <row r="23" ht="22.5" customHeight="1">
      <c r="A23" s="9">
        <v>22.0</v>
      </c>
      <c r="B23" s="5" t="s">
        <v>33</v>
      </c>
      <c r="C23" s="6" t="str">
        <f>IMAGE("https://upload.wikimedia.org/wikipedia/commons/4/4d/SSC_Napoli_2025_%28white_and_azure%29.svg")</f>
        <v/>
      </c>
      <c r="D23" s="7" t="str">
        <f>IMAGE("https://flagcdn.com/w320/it.png")</f>
        <v/>
      </c>
      <c r="E23" s="8">
        <f>Napoli!H33</f>
        <v>7</v>
      </c>
      <c r="F23" s="8">
        <f>Napoli!I33</f>
        <v>8</v>
      </c>
      <c r="G23" s="8">
        <f>Napoli!J33</f>
        <v>7</v>
      </c>
      <c r="H23" s="8">
        <f>Napoli!K33</f>
        <v>12</v>
      </c>
      <c r="I23" s="8">
        <f>Napoli!L33</f>
        <v>2</v>
      </c>
      <c r="J23" s="8">
        <f>Napoli!M33</f>
        <v>2</v>
      </c>
      <c r="K23" s="8">
        <f>Napoli!N33</f>
        <v>3</v>
      </c>
      <c r="L23" s="8">
        <f t="shared" si="1"/>
        <v>-5</v>
      </c>
    </row>
    <row r="24" ht="22.5" customHeight="1">
      <c r="A24" s="9">
        <v>23.0</v>
      </c>
      <c r="B24" s="5" t="s">
        <v>34</v>
      </c>
      <c r="C24" s="6" t="str">
        <f>IMAGE("https://upload.wikimedia.org/wikipedia/en/2/26/FC_Copenhagen_logo.svg")</f>
        <v/>
      </c>
      <c r="D24" s="7" t="str">
        <f>IMAGE("https://flagcdn.com/w320/dk.png")</f>
        <v/>
      </c>
      <c r="E24" s="8">
        <f>Kopenhaga!H34</f>
        <v>7</v>
      </c>
      <c r="F24" s="8">
        <f>Kopenhaga!I34</f>
        <v>8</v>
      </c>
      <c r="G24" s="8">
        <f>Kopenhaga!J34</f>
        <v>11</v>
      </c>
      <c r="H24" s="8">
        <f>Kopenhaga!K34</f>
        <v>17</v>
      </c>
      <c r="I24" s="8">
        <f>Kopenhaga!L34</f>
        <v>2</v>
      </c>
      <c r="J24" s="8">
        <f>Kopenhaga!M34</f>
        <v>2</v>
      </c>
      <c r="K24" s="8">
        <f>Kopenhaga!N34</f>
        <v>3</v>
      </c>
      <c r="L24" s="8">
        <f t="shared" si="1"/>
        <v>-6</v>
      </c>
    </row>
    <row r="25" ht="22.5" customHeight="1">
      <c r="A25" s="9">
        <v>24.0</v>
      </c>
      <c r="B25" s="5" t="s">
        <v>35</v>
      </c>
      <c r="C25" s="6" t="str">
        <f>IMAGE("https://upload.wikimedia.org/wikipedia/commons/e/ed/Juventus_FC_-_logo_black_%28Italy%2C_2020%29.svg")</f>
        <v/>
      </c>
      <c r="D25" s="7" t="str">
        <f>IMAGE("https://flagcdn.com/w320/it.png")</f>
        <v/>
      </c>
      <c r="E25" s="8">
        <f>Juventus!H35</f>
        <v>7</v>
      </c>
      <c r="F25" s="8">
        <f>Juventus!I35</f>
        <v>12</v>
      </c>
      <c r="G25" s="8">
        <f>Juventus!J35</f>
        <v>14</v>
      </c>
      <c r="H25" s="8">
        <f>Juventus!K35</f>
        <v>10</v>
      </c>
      <c r="I25" s="8">
        <f>Juventus!L35</f>
        <v>3</v>
      </c>
      <c r="J25" s="8">
        <f>Juventus!M35</f>
        <v>3</v>
      </c>
      <c r="K25" s="8">
        <f>Juventus!N35</f>
        <v>1</v>
      </c>
      <c r="L25" s="8">
        <f t="shared" si="1"/>
        <v>4</v>
      </c>
    </row>
    <row r="26" ht="22.5" customHeight="1">
      <c r="A26" s="10">
        <v>25.0</v>
      </c>
      <c r="B26" s="5" t="s">
        <v>36</v>
      </c>
      <c r="C26" s="6" t="str">
        <f>IMAGE("https://upload.wikimedia.org/wikipedia/en/9/9b/Pafos_FC_crest.svg")</f>
        <v/>
      </c>
      <c r="D26" s="7" t="str">
        <f>IMAGE("https://flagcdn.com/w320/cy.png")</f>
        <v/>
      </c>
      <c r="E26" s="8">
        <f>Pafos!H29</f>
        <v>7</v>
      </c>
      <c r="F26" s="8">
        <f>Pafos!I29</f>
        <v>6</v>
      </c>
      <c r="G26" s="8">
        <f>Pafos!J29</f>
        <v>4</v>
      </c>
      <c r="H26" s="8">
        <f>Pafos!K29</f>
        <v>10</v>
      </c>
      <c r="I26" s="8">
        <f>Pafos!L29</f>
        <v>1</v>
      </c>
      <c r="J26" s="8">
        <f>Pafos!M29</f>
        <v>3</v>
      </c>
      <c r="K26" s="8">
        <f>Pafos!N29</f>
        <v>3</v>
      </c>
      <c r="L26" s="8">
        <f t="shared" si="1"/>
        <v>-6</v>
      </c>
    </row>
    <row r="27" ht="22.5" customHeight="1">
      <c r="A27" s="10">
        <v>26.0</v>
      </c>
      <c r="B27" s="5" t="s">
        <v>37</v>
      </c>
      <c r="C27" s="6" t="str">
        <f>IMAGE("https://upload.wikimedia.org/wikipedia/en/0/02/Royale_Union_Saint-Gilloise_logo.png")</f>
        <v/>
      </c>
      <c r="D27" s="7" t="str">
        <f>IMAGE("https://flagcdn.com/w320/be.png")</f>
        <v/>
      </c>
      <c r="E27" s="8">
        <f>USG!H38</f>
        <v>7</v>
      </c>
      <c r="F27" s="8">
        <f>USG!I38</f>
        <v>6</v>
      </c>
      <c r="G27" s="8">
        <f>USG!J38</f>
        <v>7</v>
      </c>
      <c r="H27" s="8">
        <f>USG!K38</f>
        <v>17</v>
      </c>
      <c r="I27" s="8">
        <f>USG!L38</f>
        <v>2</v>
      </c>
      <c r="J27" s="8">
        <f>USG!M38</f>
        <v>0</v>
      </c>
      <c r="K27" s="8">
        <f>USG!N38</f>
        <v>5</v>
      </c>
      <c r="L27" s="8">
        <f t="shared" si="1"/>
        <v>-10</v>
      </c>
    </row>
    <row r="28" ht="22.5" customHeight="1">
      <c r="A28" s="10">
        <v>27.0</v>
      </c>
      <c r="B28" s="5" t="s">
        <v>38</v>
      </c>
      <c r="C28" s="6" t="str">
        <f>IMAGE("https://upload.wikimedia.org/wikipedia/en/a/a2/Olympiacos_FC_crest.svg")</f>
        <v/>
      </c>
      <c r="D28" s="7" t="str">
        <f>IMAGE("https://flagcdn.com/w320/gr.png")</f>
        <v/>
      </c>
      <c r="E28" s="8">
        <f>Olympiacos!H32</f>
        <v>7</v>
      </c>
      <c r="F28" s="8">
        <f>Olympiacos!I32</f>
        <v>8</v>
      </c>
      <c r="G28" s="8">
        <f>Olympiacos!J32</f>
        <v>8</v>
      </c>
      <c r="H28" s="8">
        <f>Olympiacos!K32</f>
        <v>13</v>
      </c>
      <c r="I28" s="8">
        <f>Olympiacos!L32</f>
        <v>2</v>
      </c>
      <c r="J28" s="8">
        <f>Olympiacos!M32</f>
        <v>2</v>
      </c>
      <c r="K28" s="8">
        <f>Olympiacos!N32</f>
        <v>3</v>
      </c>
      <c r="L28" s="8">
        <f t="shared" si="1"/>
        <v>-5</v>
      </c>
    </row>
    <row r="29" ht="22.5" customHeight="1">
      <c r="A29" s="10">
        <v>28.0</v>
      </c>
      <c r="B29" s="5" t="s">
        <v>39</v>
      </c>
      <c r="C29" s="6" t="str">
        <f>IMAGE("https://upload.wikimedia.org/wikipedia/en/d/d0/Club_Brugge_KV_logo.svg")</f>
        <v/>
      </c>
      <c r="D29" s="7" t="str">
        <f>IMAGE("https://flagcdn.com/w320/be.png")</f>
        <v/>
      </c>
      <c r="E29" s="8">
        <f>Brugge!H41</f>
        <v>7</v>
      </c>
      <c r="F29" s="8">
        <f>Brugge!I41</f>
        <v>7</v>
      </c>
      <c r="G29" s="8">
        <f>Brugge!J41</f>
        <v>12</v>
      </c>
      <c r="H29" s="8">
        <f>Brugge!K41</f>
        <v>17</v>
      </c>
      <c r="I29" s="8">
        <f>Brugge!L41</f>
        <v>2</v>
      </c>
      <c r="J29" s="8">
        <f>Brugge!M41</f>
        <v>1</v>
      </c>
      <c r="K29" s="8">
        <f>Brugge!N41</f>
        <v>4</v>
      </c>
      <c r="L29" s="8">
        <f t="shared" si="1"/>
        <v>-5</v>
      </c>
    </row>
    <row r="30" ht="22.5" customHeight="1">
      <c r="A30" s="10">
        <v>29.0</v>
      </c>
      <c r="B30" s="5" t="s">
        <v>40</v>
      </c>
      <c r="C30" s="6" t="str">
        <f>IMAGE("https://upload.wikimedia.org/wikipedia/en/9/98/Club_Athletic_Bilbao_logo.svg")</f>
        <v/>
      </c>
      <c r="D30" s="7" t="str">
        <f>IMAGE("https://flagcdn.com/w320/es.png")</f>
        <v/>
      </c>
      <c r="E30" s="8">
        <f>Athletic!H38</f>
        <v>7</v>
      </c>
      <c r="F30" s="8">
        <f>Athletic!I38</f>
        <v>8</v>
      </c>
      <c r="G30" s="8">
        <f>Athletic!J38</f>
        <v>7</v>
      </c>
      <c r="H30" s="8">
        <f>Athletic!K38</f>
        <v>11</v>
      </c>
      <c r="I30" s="8">
        <f>Athletic!L38</f>
        <v>2</v>
      </c>
      <c r="J30" s="8">
        <f>Athletic!M38</f>
        <v>2</v>
      </c>
      <c r="K30" s="8">
        <f>Athletic!N38</f>
        <v>3</v>
      </c>
      <c r="L30" s="8">
        <f t="shared" si="1"/>
        <v>-4</v>
      </c>
    </row>
    <row r="31" ht="22.5" customHeight="1">
      <c r="A31" s="10">
        <v>30.0</v>
      </c>
      <c r="B31" s="5" t="s">
        <v>41</v>
      </c>
      <c r="C31" s="6" t="str">
        <f>IMAGE("https://upload.wikimedia.org/wikipedia/en/7/7e/Eintracht_Frankfurt_crest.svg")</f>
        <v/>
      </c>
      <c r="D31" s="7" t="str">
        <f>IMAGE("https://flagcdn.com/w320/de.png")</f>
        <v/>
      </c>
      <c r="E31" s="8">
        <f>Frankfurt!H39</f>
        <v>7</v>
      </c>
      <c r="F31" s="8">
        <f>Frankfurt!I39</f>
        <v>4</v>
      </c>
      <c r="G31" s="8">
        <f>Frankfurt!J39</f>
        <v>10</v>
      </c>
      <c r="H31" s="8">
        <f>Frankfurt!K39</f>
        <v>19</v>
      </c>
      <c r="I31" s="8">
        <f>Frankfurt!L39</f>
        <v>1</v>
      </c>
      <c r="J31" s="8">
        <f>Frankfurt!M39</f>
        <v>1</v>
      </c>
      <c r="K31" s="8">
        <f>Frankfurt!N39</f>
        <v>5</v>
      </c>
      <c r="L31" s="8">
        <f t="shared" si="1"/>
        <v>-9</v>
      </c>
    </row>
    <row r="32" ht="22.5" customHeight="1">
      <c r="A32" s="10">
        <v>31.0</v>
      </c>
      <c r="B32" s="5" t="s">
        <v>42</v>
      </c>
      <c r="C32" s="6" t="str">
        <f>IMAGE("https://upload.wikimedia.org/wikipedia/en/a/a2/SL_Benfica_logo.svg")  </f>
        <v/>
      </c>
      <c r="D32" s="7" t="str">
        <f>IMAGE("https://flagcdn.com/w320/pt.png")</f>
        <v/>
      </c>
      <c r="E32" s="8">
        <f>Benfica!H41</f>
        <v>7</v>
      </c>
      <c r="F32" s="8">
        <f>Benfica!I41</f>
        <v>6</v>
      </c>
      <c r="G32" s="8">
        <f>Benfica!J41</f>
        <v>6</v>
      </c>
      <c r="H32" s="8">
        <f>Benfica!K41</f>
        <v>10</v>
      </c>
      <c r="I32" s="8">
        <f>Benfica!L41</f>
        <v>2</v>
      </c>
      <c r="J32" s="8">
        <f>Benfica!M41</f>
        <v>0</v>
      </c>
      <c r="K32" s="8">
        <f>Benfica!N41</f>
        <v>5</v>
      </c>
      <c r="L32" s="8">
        <f t="shared" si="1"/>
        <v>-4</v>
      </c>
    </row>
    <row r="33" ht="22.5" customHeight="1">
      <c r="A33" s="10">
        <v>32.0</v>
      </c>
      <c r="B33" s="5" t="s">
        <v>43</v>
      </c>
      <c r="C33" s="6" t="str">
        <f>IMAGE("https://upload.wikimedia.org/wikipedia/en/7/79/Ajax_Amsterdam.svg")</f>
        <v/>
      </c>
      <c r="D33" s="7" t="str">
        <f>IMAGE("https://flagcdn.com/w320/nl.png")</f>
        <v/>
      </c>
      <c r="E33" s="8">
        <f>Ajax!H53</f>
        <v>7</v>
      </c>
      <c r="F33" s="8">
        <f>Ajax!I53</f>
        <v>6</v>
      </c>
      <c r="G33" s="8">
        <f>Ajax!J53</f>
        <v>7</v>
      </c>
      <c r="H33" s="8">
        <f>Ajax!K53</f>
        <v>19</v>
      </c>
      <c r="I33" s="8">
        <f>Ajax!L53</f>
        <v>2</v>
      </c>
      <c r="J33" s="8">
        <f>Ajax!M53</f>
        <v>0</v>
      </c>
      <c r="K33" s="8">
        <f>Ajax!N53</f>
        <v>5</v>
      </c>
      <c r="L33" s="8">
        <f t="shared" si="1"/>
        <v>-12</v>
      </c>
    </row>
    <row r="34" ht="22.5" customHeight="1">
      <c r="A34" s="10">
        <v>33.0</v>
      </c>
      <c r="B34" s="5" t="s">
        <v>44</v>
      </c>
      <c r="C34" s="6" t="str">
        <f>IMAGE("https://upload.wikimedia.org/wikipedia/en/8/8d/FK_Bodo_Glimt_logo.svg")</f>
        <v/>
      </c>
      <c r="D34" s="7" t="str">
        <f>IMAGE("https://flagcdn.com/w320/no.png")</f>
        <v/>
      </c>
      <c r="E34" s="8">
        <f>Bodo!H37</f>
        <v>7</v>
      </c>
      <c r="F34" s="8">
        <f>Bodo!I37</f>
        <v>6</v>
      </c>
      <c r="G34" s="8">
        <f>Bodo!J37</f>
        <v>12</v>
      </c>
      <c r="H34" s="8">
        <f>Bodo!K37</f>
        <v>14</v>
      </c>
      <c r="I34" s="8">
        <f>Bodo!L37</f>
        <v>1</v>
      </c>
      <c r="J34" s="8">
        <f>Bodo!M37</f>
        <v>3</v>
      </c>
      <c r="K34" s="8">
        <f>Bodo!N37</f>
        <v>3</v>
      </c>
      <c r="L34" s="8">
        <f t="shared" si="1"/>
        <v>-2</v>
      </c>
    </row>
    <row r="35" ht="22.5" customHeight="1">
      <c r="A35" s="10">
        <v>34.0</v>
      </c>
      <c r="B35" s="5" t="s">
        <v>45</v>
      </c>
      <c r="C35" s="6" t="str">
        <f>IMAGE("https://upload.wikimedia.org/wikipedia/commons/2/2b/SK_Slavia_Praha_full_logo.svg")</f>
        <v/>
      </c>
      <c r="D35" s="7" t="str">
        <f>IMAGE("https://flagcdn.com/w320/cz.png")</f>
        <v/>
      </c>
      <c r="E35" s="8">
        <f>Slavia!H44</f>
        <v>7</v>
      </c>
      <c r="F35" s="8">
        <f>Slavia!I44</f>
        <v>3</v>
      </c>
      <c r="G35" s="8">
        <f>Slavia!J44</f>
        <v>4</v>
      </c>
      <c r="H35" s="8">
        <f>Slavia!K44</f>
        <v>15</v>
      </c>
      <c r="I35" s="8">
        <f>Slavia!L44</f>
        <v>0</v>
      </c>
      <c r="J35" s="8">
        <f>Slavia!M44</f>
        <v>3</v>
      </c>
      <c r="K35" s="8">
        <f>Slavia!N44</f>
        <v>4</v>
      </c>
      <c r="L35" s="8">
        <f t="shared" si="1"/>
        <v>-11</v>
      </c>
    </row>
    <row r="36" ht="22.5" customHeight="1">
      <c r="A36" s="10">
        <v>35.0</v>
      </c>
      <c r="B36" s="5" t="s">
        <v>46</v>
      </c>
      <c r="C36" s="6" t="str">
        <f>IMAGE("https://upload.wikimedia.org/wikipedia/en/b/b9/Villarreal_CF_logo-en.svg")</f>
        <v/>
      </c>
      <c r="D36" s="7" t="str">
        <f>IMAGE("https://flagcdn.com/w320/es.png")</f>
        <v/>
      </c>
      <c r="E36" s="8">
        <f>Villarreal!H34</f>
        <v>7</v>
      </c>
      <c r="F36" s="8">
        <f>Villarreal!I34</f>
        <v>1</v>
      </c>
      <c r="G36" s="8">
        <f>Villarreal!J34</f>
        <v>5</v>
      </c>
      <c r="H36" s="8">
        <f>Villarreal!K34</f>
        <v>15</v>
      </c>
      <c r="I36" s="8">
        <f>Villarreal!L34</f>
        <v>0</v>
      </c>
      <c r="J36" s="8">
        <f>Villarreal!M34</f>
        <v>1</v>
      </c>
      <c r="K36" s="8">
        <f>Villarreal!N34</f>
        <v>6</v>
      </c>
      <c r="L36" s="8">
        <f t="shared" si="1"/>
        <v>-10</v>
      </c>
    </row>
    <row r="37" ht="22.5" customHeight="1">
      <c r="A37" s="10">
        <v>36.0</v>
      </c>
      <c r="B37" s="5" t="s">
        <v>47</v>
      </c>
      <c r="C37" s="6" t="str">
        <f>IMAGE("https://upload.wikimedia.org/wikipedia/commons/1/1b/FCKairat_logo.png")</f>
        <v/>
      </c>
      <c r="D37" s="7" t="str">
        <f>IMAGE("https://flagcdn.com/w320/kz.png")</f>
        <v/>
      </c>
      <c r="E37" s="8">
        <f>Kairat!H42</f>
        <v>7</v>
      </c>
      <c r="F37" s="8">
        <f>Kairat!I42</f>
        <v>1</v>
      </c>
      <c r="G37" s="8">
        <f>Kairat!J42</f>
        <v>5</v>
      </c>
      <c r="H37" s="8">
        <f>Kairat!K42</f>
        <v>19</v>
      </c>
      <c r="I37" s="8">
        <f>Kairat!L42</f>
        <v>0</v>
      </c>
      <c r="J37" s="8">
        <f>Kairat!M42</f>
        <v>1</v>
      </c>
      <c r="K37" s="8">
        <f>Kairat!N42</f>
        <v>6</v>
      </c>
      <c r="L37" s="8">
        <f t="shared" si="1"/>
        <v>-14</v>
      </c>
    </row>
    <row r="38">
      <c r="A38" s="11"/>
      <c r="B38" s="12"/>
      <c r="C38" s="13"/>
      <c r="D38" s="14"/>
      <c r="E38" s="14"/>
      <c r="F38" s="14"/>
      <c r="G38" s="14"/>
      <c r="H38" s="14"/>
      <c r="I38" s="14"/>
      <c r="J38" s="14"/>
      <c r="K38" s="14"/>
      <c r="L38" s="15"/>
    </row>
    <row r="39">
      <c r="A39" s="11"/>
      <c r="B39" s="12"/>
      <c r="C39" s="13"/>
      <c r="D39" s="14"/>
      <c r="E39" s="14"/>
      <c r="F39" s="14"/>
      <c r="G39" s="14"/>
      <c r="H39" s="14"/>
      <c r="I39" s="14"/>
      <c r="J39" s="14"/>
      <c r="K39" s="14"/>
      <c r="L39" s="15"/>
    </row>
    <row r="40">
      <c r="A40" s="11"/>
      <c r="B40" s="12"/>
      <c r="C40" s="13"/>
      <c r="D40" s="14"/>
      <c r="E40" s="14"/>
      <c r="F40" s="14"/>
      <c r="G40" s="14"/>
      <c r="H40" s="14"/>
      <c r="I40" s="14"/>
      <c r="J40" s="14"/>
      <c r="K40" s="14"/>
      <c r="L40" s="15"/>
    </row>
    <row r="41">
      <c r="A41" s="11"/>
      <c r="B41" s="12"/>
      <c r="C41" s="13"/>
      <c r="D41" s="14"/>
      <c r="E41" s="14"/>
      <c r="F41" s="14"/>
      <c r="G41" s="14"/>
      <c r="H41" s="14"/>
      <c r="I41" s="14"/>
      <c r="J41" s="14"/>
      <c r="K41" s="14"/>
      <c r="L41" s="15"/>
    </row>
    <row r="42">
      <c r="A42" s="11"/>
      <c r="B42" s="12"/>
      <c r="C42" s="13"/>
      <c r="D42" s="14"/>
      <c r="E42" s="14"/>
      <c r="F42" s="14"/>
      <c r="G42" s="14"/>
      <c r="H42" s="14"/>
      <c r="I42" s="14"/>
      <c r="J42" s="14"/>
      <c r="K42" s="14"/>
      <c r="L42" s="15"/>
    </row>
    <row r="43">
      <c r="A43" s="11"/>
      <c r="B43" s="12"/>
      <c r="C43" s="13"/>
      <c r="D43" s="14"/>
      <c r="E43" s="14"/>
      <c r="F43" s="14"/>
      <c r="G43" s="14"/>
      <c r="H43" s="14"/>
      <c r="I43" s="14"/>
      <c r="J43" s="14"/>
      <c r="K43" s="14"/>
      <c r="L43" s="15"/>
    </row>
    <row r="44">
      <c r="A44" s="11"/>
      <c r="B44" s="12"/>
      <c r="C44" s="13"/>
      <c r="D44" s="14"/>
      <c r="E44" s="14"/>
      <c r="F44" s="14"/>
      <c r="G44" s="14"/>
      <c r="H44" s="14"/>
      <c r="I44" s="14"/>
      <c r="J44" s="14"/>
      <c r="K44" s="14"/>
      <c r="L44" s="15"/>
    </row>
    <row r="45">
      <c r="A45" s="11"/>
      <c r="B45" s="12"/>
      <c r="C45" s="13"/>
      <c r="D45" s="14"/>
      <c r="E45" s="14"/>
      <c r="F45" s="14"/>
      <c r="G45" s="14"/>
      <c r="H45" s="14"/>
      <c r="I45" s="14"/>
      <c r="J45" s="14"/>
      <c r="K45" s="14"/>
      <c r="L45" s="15"/>
    </row>
    <row r="46">
      <c r="A46" s="11"/>
      <c r="B46" s="12"/>
      <c r="C46" s="13"/>
      <c r="D46" s="14"/>
      <c r="E46" s="14"/>
      <c r="F46" s="14"/>
      <c r="G46" s="14"/>
      <c r="H46" s="14"/>
      <c r="I46" s="14"/>
      <c r="J46" s="14"/>
      <c r="K46" s="14"/>
      <c r="L46" s="15"/>
    </row>
    <row r="47">
      <c r="A47" s="11"/>
      <c r="B47" s="12"/>
      <c r="C47" s="13"/>
      <c r="D47" s="14"/>
      <c r="E47" s="14"/>
      <c r="F47" s="14"/>
      <c r="G47" s="14"/>
      <c r="H47" s="14"/>
      <c r="I47" s="14"/>
      <c r="J47" s="14"/>
      <c r="K47" s="14"/>
      <c r="L47" s="15"/>
    </row>
    <row r="48">
      <c r="A48" s="11"/>
      <c r="B48" s="12"/>
      <c r="C48" s="13"/>
      <c r="D48" s="14"/>
      <c r="E48" s="14"/>
      <c r="F48" s="14"/>
      <c r="G48" s="14"/>
      <c r="H48" s="14"/>
      <c r="I48" s="14"/>
      <c r="J48" s="14"/>
      <c r="K48" s="14"/>
      <c r="L48" s="15"/>
    </row>
    <row r="49">
      <c r="A49" s="11"/>
      <c r="B49" s="12"/>
      <c r="C49" s="13"/>
      <c r="D49" s="14"/>
      <c r="E49" s="14"/>
      <c r="F49" s="14"/>
      <c r="G49" s="14"/>
      <c r="H49" s="14"/>
      <c r="I49" s="14"/>
      <c r="J49" s="14"/>
      <c r="K49" s="14"/>
      <c r="L49" s="15"/>
    </row>
    <row r="50">
      <c r="A50" s="11"/>
      <c r="B50" s="12"/>
      <c r="C50" s="13"/>
      <c r="D50" s="14"/>
      <c r="E50" s="14"/>
      <c r="F50" s="14"/>
      <c r="G50" s="14"/>
      <c r="H50" s="14"/>
      <c r="I50" s="14"/>
      <c r="J50" s="14"/>
      <c r="K50" s="14"/>
      <c r="L50" s="15"/>
    </row>
    <row r="51">
      <c r="A51" s="11"/>
      <c r="B51" s="12"/>
      <c r="C51" s="13"/>
      <c r="D51" s="14"/>
      <c r="E51" s="14"/>
      <c r="F51" s="14"/>
      <c r="G51" s="14"/>
      <c r="H51" s="14"/>
      <c r="I51" s="14"/>
      <c r="J51" s="14"/>
      <c r="K51" s="14"/>
      <c r="L51" s="15"/>
    </row>
    <row r="52">
      <c r="A52" s="11"/>
      <c r="B52" s="12"/>
      <c r="C52" s="13"/>
      <c r="D52" s="14"/>
      <c r="E52" s="14"/>
      <c r="F52" s="14"/>
      <c r="G52" s="14"/>
      <c r="H52" s="14"/>
      <c r="I52" s="14"/>
      <c r="J52" s="14"/>
      <c r="K52" s="14"/>
      <c r="L52" s="15"/>
    </row>
    <row r="53">
      <c r="A53" s="11"/>
      <c r="B53" s="12"/>
      <c r="C53" s="13"/>
      <c r="D53" s="14"/>
      <c r="E53" s="14"/>
      <c r="F53" s="14"/>
      <c r="G53" s="14"/>
      <c r="H53" s="14"/>
      <c r="I53" s="14"/>
      <c r="J53" s="14"/>
      <c r="K53" s="14"/>
      <c r="L53" s="15"/>
    </row>
    <row r="54">
      <c r="A54" s="11"/>
      <c r="B54" s="12"/>
      <c r="C54" s="13"/>
      <c r="D54" s="14"/>
      <c r="E54" s="14"/>
      <c r="F54" s="14"/>
      <c r="G54" s="14"/>
      <c r="H54" s="14"/>
      <c r="I54" s="14"/>
      <c r="J54" s="14"/>
      <c r="K54" s="14"/>
      <c r="L54" s="15"/>
    </row>
    <row r="55">
      <c r="A55" s="11"/>
      <c r="B55" s="12"/>
      <c r="C55" s="13"/>
      <c r="D55" s="14"/>
      <c r="E55" s="14"/>
      <c r="F55" s="14"/>
      <c r="G55" s="14"/>
      <c r="H55" s="14"/>
      <c r="I55" s="14"/>
      <c r="J55" s="14"/>
      <c r="K55" s="14"/>
      <c r="L55" s="15"/>
    </row>
    <row r="56">
      <c r="A56" s="11"/>
      <c r="B56" s="12"/>
      <c r="C56" s="13"/>
      <c r="D56" s="14"/>
      <c r="E56" s="14"/>
      <c r="F56" s="14"/>
      <c r="G56" s="14"/>
      <c r="H56" s="14"/>
      <c r="I56" s="14"/>
      <c r="J56" s="14"/>
      <c r="K56" s="14"/>
      <c r="L56" s="15"/>
    </row>
    <row r="57">
      <c r="A57" s="11"/>
      <c r="B57" s="12"/>
      <c r="C57" s="13"/>
      <c r="D57" s="14"/>
      <c r="E57" s="14"/>
      <c r="F57" s="14"/>
      <c r="G57" s="14"/>
      <c r="H57" s="14"/>
      <c r="I57" s="14"/>
      <c r="J57" s="14"/>
      <c r="K57" s="14"/>
      <c r="L57" s="15"/>
    </row>
    <row r="58">
      <c r="A58" s="11"/>
      <c r="B58" s="12"/>
      <c r="C58" s="13"/>
      <c r="D58" s="14"/>
      <c r="E58" s="14"/>
      <c r="F58" s="14"/>
      <c r="G58" s="14"/>
      <c r="H58" s="14"/>
      <c r="I58" s="14"/>
      <c r="J58" s="14"/>
      <c r="K58" s="14"/>
      <c r="L58" s="15"/>
    </row>
    <row r="59">
      <c r="A59" s="11"/>
      <c r="B59" s="12"/>
      <c r="C59" s="13"/>
      <c r="D59" s="14"/>
      <c r="E59" s="14"/>
      <c r="F59" s="14"/>
      <c r="G59" s="14"/>
      <c r="H59" s="14"/>
      <c r="I59" s="14"/>
      <c r="J59" s="14"/>
      <c r="K59" s="14"/>
      <c r="L59" s="15"/>
    </row>
    <row r="60">
      <c r="A60" s="11"/>
      <c r="B60" s="12"/>
      <c r="C60" s="13"/>
      <c r="D60" s="14"/>
      <c r="E60" s="14"/>
      <c r="F60" s="14"/>
      <c r="G60" s="14"/>
      <c r="H60" s="14"/>
      <c r="I60" s="14"/>
      <c r="J60" s="14"/>
      <c r="K60" s="14"/>
      <c r="L60" s="15"/>
    </row>
    <row r="61">
      <c r="A61" s="11"/>
      <c r="B61" s="12"/>
      <c r="C61" s="13"/>
      <c r="D61" s="14"/>
      <c r="E61" s="14"/>
      <c r="F61" s="14"/>
      <c r="G61" s="14"/>
      <c r="H61" s="14"/>
      <c r="I61" s="14"/>
      <c r="J61" s="14"/>
      <c r="K61" s="14"/>
      <c r="L61" s="15"/>
    </row>
    <row r="62">
      <c r="A62" s="11"/>
      <c r="B62" s="12"/>
      <c r="C62" s="13"/>
      <c r="D62" s="14"/>
      <c r="E62" s="14"/>
      <c r="F62" s="14"/>
      <c r="G62" s="14"/>
      <c r="H62" s="14"/>
      <c r="I62" s="14"/>
      <c r="J62" s="14"/>
      <c r="K62" s="14"/>
      <c r="L62" s="15"/>
    </row>
    <row r="63">
      <c r="A63" s="11"/>
      <c r="B63" s="12"/>
      <c r="C63" s="13"/>
      <c r="D63" s="14"/>
      <c r="E63" s="14"/>
      <c r="F63" s="14"/>
      <c r="G63" s="14"/>
      <c r="H63" s="14"/>
      <c r="I63" s="14"/>
      <c r="J63" s="14"/>
      <c r="K63" s="14"/>
      <c r="L63" s="15"/>
    </row>
    <row r="64">
      <c r="A64" s="11"/>
      <c r="B64" s="12"/>
      <c r="C64" s="13"/>
      <c r="D64" s="14"/>
      <c r="E64" s="14"/>
      <c r="F64" s="14"/>
      <c r="G64" s="14"/>
      <c r="H64" s="14"/>
      <c r="I64" s="14"/>
      <c r="J64" s="14"/>
      <c r="K64" s="14"/>
      <c r="L64" s="15"/>
    </row>
    <row r="65">
      <c r="A65" s="11"/>
      <c r="B65" s="12"/>
      <c r="C65" s="13"/>
      <c r="D65" s="14"/>
      <c r="E65" s="14"/>
      <c r="F65" s="14"/>
      <c r="G65" s="14"/>
      <c r="H65" s="14"/>
      <c r="I65" s="14"/>
      <c r="J65" s="14"/>
      <c r="K65" s="14"/>
      <c r="L65" s="15"/>
    </row>
    <row r="66">
      <c r="A66" s="11"/>
      <c r="B66" s="12"/>
      <c r="C66" s="13"/>
      <c r="D66" s="14"/>
      <c r="E66" s="14"/>
      <c r="F66" s="14"/>
      <c r="G66" s="14"/>
      <c r="H66" s="14"/>
      <c r="I66" s="14"/>
      <c r="J66" s="14"/>
      <c r="K66" s="14"/>
      <c r="L66" s="15"/>
    </row>
    <row r="67">
      <c r="A67" s="11"/>
      <c r="B67" s="12"/>
      <c r="C67" s="13"/>
      <c r="D67" s="14"/>
      <c r="E67" s="14"/>
      <c r="F67" s="14"/>
      <c r="G67" s="14"/>
      <c r="H67" s="14"/>
      <c r="I67" s="14"/>
      <c r="J67" s="14"/>
      <c r="K67" s="14"/>
      <c r="L67" s="15"/>
    </row>
    <row r="68">
      <c r="A68" s="11"/>
      <c r="B68" s="12"/>
      <c r="C68" s="13"/>
      <c r="D68" s="14"/>
      <c r="E68" s="14"/>
      <c r="F68" s="14"/>
      <c r="G68" s="14"/>
      <c r="H68" s="14"/>
      <c r="I68" s="14"/>
      <c r="J68" s="14"/>
      <c r="K68" s="14"/>
      <c r="L68" s="15"/>
    </row>
    <row r="69">
      <c r="A69" s="11"/>
      <c r="B69" s="12"/>
      <c r="C69" s="13"/>
      <c r="D69" s="14"/>
      <c r="E69" s="14"/>
      <c r="F69" s="14"/>
      <c r="G69" s="14"/>
      <c r="H69" s="14"/>
      <c r="I69" s="14"/>
      <c r="J69" s="14"/>
      <c r="K69" s="14"/>
      <c r="L69" s="15"/>
    </row>
    <row r="70">
      <c r="A70" s="11"/>
      <c r="B70" s="12"/>
      <c r="C70" s="13"/>
      <c r="D70" s="14"/>
      <c r="E70" s="14"/>
      <c r="F70" s="14"/>
      <c r="G70" s="14"/>
      <c r="H70" s="14"/>
      <c r="I70" s="14"/>
      <c r="J70" s="14"/>
      <c r="K70" s="14"/>
      <c r="L70" s="15"/>
    </row>
    <row r="71">
      <c r="A71" s="11"/>
      <c r="B71" s="12"/>
      <c r="C71" s="13"/>
      <c r="D71" s="14"/>
      <c r="E71" s="14"/>
      <c r="F71" s="14"/>
      <c r="G71" s="14"/>
      <c r="H71" s="14"/>
      <c r="I71" s="14"/>
      <c r="J71" s="14"/>
      <c r="K71" s="14"/>
      <c r="L71" s="15"/>
    </row>
    <row r="72">
      <c r="A72" s="11"/>
      <c r="B72" s="12"/>
      <c r="C72" s="13"/>
      <c r="D72" s="14"/>
      <c r="E72" s="14"/>
      <c r="F72" s="14"/>
      <c r="G72" s="14"/>
      <c r="H72" s="14"/>
      <c r="I72" s="14"/>
      <c r="J72" s="14"/>
      <c r="K72" s="14"/>
      <c r="L72" s="15"/>
    </row>
    <row r="73">
      <c r="A73" s="11"/>
      <c r="B73" s="12"/>
      <c r="C73" s="13"/>
      <c r="D73" s="14"/>
      <c r="E73" s="14"/>
      <c r="F73" s="14"/>
      <c r="G73" s="14"/>
      <c r="H73" s="14"/>
      <c r="I73" s="14"/>
      <c r="J73" s="14"/>
      <c r="K73" s="14"/>
      <c r="L73" s="15"/>
    </row>
    <row r="74">
      <c r="A74" s="11"/>
      <c r="B74" s="12"/>
      <c r="C74" s="13"/>
      <c r="D74" s="14"/>
      <c r="E74" s="14"/>
      <c r="F74" s="14"/>
      <c r="G74" s="14"/>
      <c r="H74" s="14"/>
      <c r="I74" s="14"/>
      <c r="J74" s="14"/>
      <c r="K74" s="14"/>
      <c r="L74" s="15"/>
    </row>
    <row r="75">
      <c r="A75" s="11"/>
      <c r="B75" s="12"/>
      <c r="C75" s="13"/>
      <c r="D75" s="14"/>
      <c r="E75" s="14"/>
      <c r="F75" s="14"/>
      <c r="G75" s="14"/>
      <c r="H75" s="14"/>
      <c r="I75" s="14"/>
      <c r="J75" s="14"/>
      <c r="K75" s="14"/>
      <c r="L75" s="15"/>
    </row>
    <row r="76">
      <c r="A76" s="11"/>
      <c r="B76" s="12"/>
      <c r="C76" s="13"/>
      <c r="D76" s="14"/>
      <c r="E76" s="14"/>
      <c r="F76" s="14"/>
      <c r="G76" s="14"/>
      <c r="H76" s="14"/>
      <c r="I76" s="14"/>
      <c r="J76" s="14"/>
      <c r="K76" s="14"/>
      <c r="L76" s="15"/>
    </row>
    <row r="77">
      <c r="A77" s="11"/>
      <c r="B77" s="12"/>
      <c r="C77" s="13"/>
      <c r="D77" s="14"/>
      <c r="E77" s="14"/>
      <c r="F77" s="14"/>
      <c r="G77" s="14"/>
      <c r="H77" s="14"/>
      <c r="I77" s="14"/>
      <c r="J77" s="14"/>
      <c r="K77" s="14"/>
      <c r="L77" s="15"/>
    </row>
    <row r="78">
      <c r="A78" s="11"/>
      <c r="B78" s="12"/>
      <c r="C78" s="13"/>
      <c r="D78" s="14"/>
      <c r="E78" s="14"/>
      <c r="F78" s="14"/>
      <c r="G78" s="14"/>
      <c r="H78" s="14"/>
      <c r="I78" s="14"/>
      <c r="J78" s="14"/>
      <c r="K78" s="14"/>
      <c r="L78" s="15"/>
    </row>
    <row r="79">
      <c r="A79" s="11"/>
      <c r="B79" s="12"/>
      <c r="C79" s="13"/>
      <c r="D79" s="14"/>
      <c r="E79" s="14"/>
      <c r="F79" s="14"/>
      <c r="G79" s="14"/>
      <c r="H79" s="14"/>
      <c r="I79" s="14"/>
      <c r="J79" s="14"/>
      <c r="K79" s="14"/>
      <c r="L79" s="15"/>
    </row>
    <row r="80">
      <c r="A80" s="11"/>
      <c r="B80" s="12"/>
      <c r="C80" s="13"/>
      <c r="D80" s="14"/>
      <c r="E80" s="14"/>
      <c r="F80" s="14"/>
      <c r="G80" s="14"/>
      <c r="H80" s="14"/>
      <c r="I80" s="14"/>
      <c r="J80" s="14"/>
      <c r="K80" s="14"/>
      <c r="L80" s="15"/>
    </row>
    <row r="81">
      <c r="A81" s="11"/>
      <c r="B81" s="12"/>
      <c r="C81" s="13"/>
      <c r="D81" s="14"/>
      <c r="E81" s="14"/>
      <c r="F81" s="14"/>
      <c r="G81" s="14"/>
      <c r="H81" s="14"/>
      <c r="I81" s="14"/>
      <c r="J81" s="14"/>
      <c r="K81" s="14"/>
      <c r="L81" s="15"/>
    </row>
    <row r="82">
      <c r="A82" s="11"/>
      <c r="B82" s="12"/>
      <c r="C82" s="13"/>
      <c r="D82" s="14"/>
      <c r="E82" s="14"/>
      <c r="F82" s="14"/>
      <c r="G82" s="14"/>
      <c r="H82" s="14"/>
      <c r="I82" s="14"/>
      <c r="J82" s="14"/>
      <c r="K82" s="14"/>
      <c r="L82" s="15"/>
    </row>
    <row r="83">
      <c r="A83" s="11"/>
      <c r="B83" s="12"/>
      <c r="C83" s="13"/>
      <c r="D83" s="14"/>
      <c r="E83" s="14"/>
      <c r="F83" s="14"/>
      <c r="G83" s="14"/>
      <c r="H83" s="14"/>
      <c r="I83" s="14"/>
      <c r="J83" s="14"/>
      <c r="K83" s="14"/>
      <c r="L83" s="15"/>
    </row>
    <row r="84">
      <c r="A84" s="11"/>
      <c r="B84" s="12"/>
      <c r="C84" s="13"/>
      <c r="D84" s="14"/>
      <c r="E84" s="14"/>
      <c r="F84" s="14"/>
      <c r="G84" s="14"/>
      <c r="H84" s="14"/>
      <c r="I84" s="14"/>
      <c r="J84" s="14"/>
      <c r="K84" s="14"/>
      <c r="L84" s="15"/>
    </row>
    <row r="85">
      <c r="A85" s="11"/>
      <c r="B85" s="12"/>
      <c r="C85" s="13"/>
      <c r="D85" s="14"/>
      <c r="E85" s="14"/>
      <c r="F85" s="14"/>
      <c r="G85" s="14"/>
      <c r="H85" s="14"/>
      <c r="I85" s="14"/>
      <c r="J85" s="14"/>
      <c r="K85" s="14"/>
      <c r="L85" s="15"/>
    </row>
    <row r="86">
      <c r="A86" s="11"/>
      <c r="B86" s="12"/>
      <c r="C86" s="13"/>
      <c r="D86" s="14"/>
      <c r="E86" s="14"/>
      <c r="F86" s="14"/>
      <c r="G86" s="14"/>
      <c r="H86" s="14"/>
      <c r="I86" s="14"/>
      <c r="J86" s="14"/>
      <c r="K86" s="14"/>
      <c r="L86" s="15"/>
    </row>
    <row r="87">
      <c r="A87" s="11"/>
      <c r="B87" s="12"/>
      <c r="C87" s="13"/>
      <c r="D87" s="14"/>
      <c r="E87" s="14"/>
      <c r="F87" s="14"/>
      <c r="G87" s="14"/>
      <c r="H87" s="14"/>
      <c r="I87" s="14"/>
      <c r="J87" s="14"/>
      <c r="K87" s="14"/>
      <c r="L87" s="15"/>
    </row>
    <row r="88">
      <c r="A88" s="11"/>
      <c r="B88" s="12"/>
      <c r="C88" s="13"/>
      <c r="D88" s="14"/>
      <c r="E88" s="14"/>
      <c r="F88" s="14"/>
      <c r="G88" s="14"/>
      <c r="H88" s="14"/>
      <c r="I88" s="14"/>
      <c r="J88" s="14"/>
      <c r="K88" s="14"/>
      <c r="L88" s="15"/>
    </row>
    <row r="89">
      <c r="A89" s="11"/>
      <c r="B89" s="12"/>
      <c r="C89" s="13"/>
      <c r="D89" s="14"/>
      <c r="E89" s="14"/>
      <c r="F89" s="14"/>
      <c r="G89" s="14"/>
      <c r="H89" s="14"/>
      <c r="I89" s="14"/>
      <c r="J89" s="14"/>
      <c r="K89" s="14"/>
      <c r="L89" s="15"/>
    </row>
    <row r="90">
      <c r="A90" s="11"/>
      <c r="B90" s="12"/>
      <c r="C90" s="13"/>
      <c r="D90" s="14"/>
      <c r="E90" s="14"/>
      <c r="F90" s="14"/>
      <c r="G90" s="14"/>
      <c r="H90" s="14"/>
      <c r="I90" s="14"/>
      <c r="J90" s="14"/>
      <c r="K90" s="14"/>
      <c r="L90" s="15"/>
    </row>
    <row r="91">
      <c r="A91" s="11"/>
      <c r="B91" s="12"/>
      <c r="C91" s="13"/>
      <c r="D91" s="14"/>
      <c r="E91" s="14"/>
      <c r="F91" s="14"/>
      <c r="G91" s="14"/>
      <c r="H91" s="14"/>
      <c r="I91" s="14"/>
      <c r="J91" s="14"/>
      <c r="K91" s="14"/>
      <c r="L91" s="15"/>
    </row>
    <row r="92">
      <c r="A92" s="11"/>
      <c r="B92" s="12"/>
      <c r="C92" s="13"/>
      <c r="D92" s="14"/>
      <c r="E92" s="14"/>
      <c r="F92" s="14"/>
      <c r="G92" s="14"/>
      <c r="H92" s="14"/>
      <c r="I92" s="14"/>
      <c r="J92" s="14"/>
      <c r="K92" s="14"/>
      <c r="L92" s="15"/>
    </row>
    <row r="93">
      <c r="A93" s="11"/>
      <c r="B93" s="12"/>
      <c r="C93" s="13"/>
      <c r="D93" s="14"/>
      <c r="E93" s="14"/>
      <c r="F93" s="14"/>
      <c r="G93" s="14"/>
      <c r="H93" s="14"/>
      <c r="I93" s="14"/>
      <c r="J93" s="14"/>
      <c r="K93" s="14"/>
      <c r="L93" s="15"/>
    </row>
    <row r="94">
      <c r="A94" s="11"/>
      <c r="B94" s="12"/>
      <c r="C94" s="13"/>
      <c r="D94" s="14"/>
      <c r="E94" s="14"/>
      <c r="F94" s="14"/>
      <c r="G94" s="14"/>
      <c r="H94" s="14"/>
      <c r="I94" s="14"/>
      <c r="J94" s="14"/>
      <c r="K94" s="14"/>
      <c r="L94" s="15"/>
    </row>
    <row r="95">
      <c r="A95" s="11"/>
      <c r="B95" s="12"/>
      <c r="C95" s="13"/>
      <c r="D95" s="14"/>
      <c r="E95" s="14"/>
      <c r="F95" s="14"/>
      <c r="G95" s="14"/>
      <c r="H95" s="14"/>
      <c r="I95" s="14"/>
      <c r="J95" s="14"/>
      <c r="K95" s="14"/>
      <c r="L95" s="15"/>
    </row>
    <row r="96">
      <c r="A96" s="11"/>
      <c r="B96" s="12"/>
      <c r="C96" s="13"/>
      <c r="D96" s="14"/>
      <c r="E96" s="14"/>
      <c r="F96" s="14"/>
      <c r="G96" s="14"/>
      <c r="H96" s="14"/>
      <c r="I96" s="14"/>
      <c r="J96" s="14"/>
      <c r="K96" s="14"/>
      <c r="L96" s="15"/>
    </row>
    <row r="97">
      <c r="A97" s="11"/>
      <c r="B97" s="12"/>
      <c r="C97" s="13"/>
      <c r="D97" s="14"/>
      <c r="E97" s="14"/>
      <c r="F97" s="14"/>
      <c r="G97" s="14"/>
      <c r="H97" s="14"/>
      <c r="I97" s="14"/>
      <c r="J97" s="14"/>
      <c r="K97" s="14"/>
      <c r="L97" s="15"/>
    </row>
    <row r="98">
      <c r="A98" s="11"/>
      <c r="B98" s="12"/>
      <c r="C98" s="13"/>
      <c r="D98" s="14"/>
      <c r="E98" s="14"/>
      <c r="F98" s="14"/>
      <c r="G98" s="14"/>
      <c r="H98" s="14"/>
      <c r="I98" s="14"/>
      <c r="J98" s="14"/>
      <c r="K98" s="14"/>
      <c r="L98" s="15"/>
    </row>
    <row r="99">
      <c r="A99" s="11"/>
      <c r="B99" s="12"/>
      <c r="C99" s="13"/>
      <c r="D99" s="14"/>
      <c r="E99" s="14"/>
      <c r="F99" s="14"/>
      <c r="G99" s="14"/>
      <c r="H99" s="14"/>
      <c r="I99" s="14"/>
      <c r="J99" s="14"/>
      <c r="K99" s="14"/>
      <c r="L99" s="15"/>
    </row>
    <row r="100">
      <c r="A100" s="11"/>
      <c r="B100" s="12"/>
      <c r="C100" s="13"/>
      <c r="D100" s="14"/>
      <c r="E100" s="14"/>
      <c r="F100" s="14"/>
      <c r="G100" s="14"/>
      <c r="H100" s="14"/>
      <c r="I100" s="14"/>
      <c r="J100" s="14"/>
      <c r="K100" s="14"/>
      <c r="L100" s="15"/>
    </row>
    <row r="101">
      <c r="A101" s="11"/>
      <c r="B101" s="12"/>
      <c r="C101" s="13"/>
      <c r="D101" s="14"/>
      <c r="E101" s="14"/>
      <c r="F101" s="14"/>
      <c r="G101" s="14"/>
      <c r="H101" s="14"/>
      <c r="I101" s="14"/>
      <c r="J101" s="14"/>
      <c r="K101" s="14"/>
      <c r="L101" s="15"/>
    </row>
    <row r="102">
      <c r="A102" s="11"/>
      <c r="B102" s="12"/>
      <c r="C102" s="13"/>
      <c r="D102" s="14"/>
      <c r="E102" s="14"/>
      <c r="F102" s="14"/>
      <c r="G102" s="14"/>
      <c r="H102" s="14"/>
      <c r="I102" s="14"/>
      <c r="J102" s="14"/>
      <c r="K102" s="14"/>
      <c r="L102" s="15"/>
    </row>
    <row r="103">
      <c r="A103" s="11"/>
      <c r="B103" s="12"/>
      <c r="C103" s="13"/>
      <c r="D103" s="14"/>
      <c r="E103" s="14"/>
      <c r="F103" s="14"/>
      <c r="G103" s="14"/>
      <c r="H103" s="14"/>
      <c r="I103" s="14"/>
      <c r="J103" s="14"/>
      <c r="K103" s="14"/>
      <c r="L103" s="15"/>
    </row>
    <row r="104">
      <c r="A104" s="11"/>
      <c r="B104" s="12"/>
      <c r="C104" s="13"/>
      <c r="D104" s="14"/>
      <c r="E104" s="14"/>
      <c r="F104" s="14"/>
      <c r="G104" s="14"/>
      <c r="H104" s="14"/>
      <c r="I104" s="14"/>
      <c r="J104" s="14"/>
      <c r="K104" s="14"/>
      <c r="L104" s="15"/>
    </row>
    <row r="105">
      <c r="A105" s="11"/>
      <c r="B105" s="12"/>
      <c r="C105" s="13"/>
      <c r="D105" s="14"/>
      <c r="E105" s="14"/>
      <c r="F105" s="14"/>
      <c r="G105" s="14"/>
      <c r="H105" s="14"/>
      <c r="I105" s="14"/>
      <c r="J105" s="14"/>
      <c r="K105" s="14"/>
      <c r="L105" s="15"/>
    </row>
    <row r="106">
      <c r="A106" s="11"/>
      <c r="B106" s="12"/>
      <c r="C106" s="13"/>
      <c r="D106" s="14"/>
      <c r="E106" s="14"/>
      <c r="F106" s="14"/>
      <c r="G106" s="14"/>
      <c r="H106" s="14"/>
      <c r="I106" s="14"/>
      <c r="J106" s="14"/>
      <c r="K106" s="14"/>
      <c r="L106" s="15"/>
    </row>
    <row r="107">
      <c r="A107" s="11"/>
      <c r="B107" s="12"/>
      <c r="C107" s="13"/>
      <c r="D107" s="14"/>
      <c r="E107" s="14"/>
      <c r="F107" s="14"/>
      <c r="G107" s="14"/>
      <c r="H107" s="14"/>
      <c r="I107" s="14"/>
      <c r="J107" s="14"/>
      <c r="K107" s="14"/>
      <c r="L107" s="15"/>
    </row>
    <row r="108">
      <c r="A108" s="11"/>
      <c r="B108" s="12"/>
      <c r="C108" s="13"/>
      <c r="D108" s="14"/>
      <c r="E108" s="14"/>
      <c r="F108" s="14"/>
      <c r="G108" s="14"/>
      <c r="H108" s="14"/>
      <c r="I108" s="14"/>
      <c r="J108" s="14"/>
      <c r="K108" s="14"/>
      <c r="L108" s="15"/>
    </row>
    <row r="109">
      <c r="A109" s="11"/>
      <c r="B109" s="12"/>
      <c r="C109" s="13"/>
      <c r="D109" s="14"/>
      <c r="E109" s="14"/>
      <c r="F109" s="14"/>
      <c r="G109" s="14"/>
      <c r="H109" s="14"/>
      <c r="I109" s="14"/>
      <c r="J109" s="14"/>
      <c r="K109" s="14"/>
      <c r="L109" s="15"/>
    </row>
    <row r="110">
      <c r="A110" s="11"/>
      <c r="B110" s="12"/>
      <c r="C110" s="13"/>
      <c r="D110" s="14"/>
      <c r="E110" s="14"/>
      <c r="F110" s="14"/>
      <c r="G110" s="14"/>
      <c r="H110" s="14"/>
      <c r="I110" s="14"/>
      <c r="J110" s="14"/>
      <c r="K110" s="14"/>
      <c r="L110" s="15"/>
    </row>
    <row r="111">
      <c r="A111" s="11"/>
      <c r="B111" s="12"/>
      <c r="C111" s="13"/>
      <c r="D111" s="14"/>
      <c r="E111" s="14"/>
      <c r="F111" s="14"/>
      <c r="G111" s="14"/>
      <c r="H111" s="14"/>
      <c r="I111" s="14"/>
      <c r="J111" s="14"/>
      <c r="K111" s="14"/>
      <c r="L111" s="15"/>
    </row>
    <row r="112">
      <c r="A112" s="11"/>
      <c r="B112" s="12"/>
      <c r="C112" s="13"/>
      <c r="D112" s="14"/>
      <c r="E112" s="14"/>
      <c r="F112" s="14"/>
      <c r="G112" s="14"/>
      <c r="H112" s="14"/>
      <c r="I112" s="14"/>
      <c r="J112" s="14"/>
      <c r="K112" s="14"/>
      <c r="L112" s="15"/>
    </row>
    <row r="113">
      <c r="A113" s="11"/>
      <c r="B113" s="12"/>
      <c r="C113" s="13"/>
      <c r="D113" s="14"/>
      <c r="E113" s="14"/>
      <c r="F113" s="14"/>
      <c r="G113" s="14"/>
      <c r="H113" s="14"/>
      <c r="I113" s="14"/>
      <c r="J113" s="14"/>
      <c r="K113" s="14"/>
      <c r="L113" s="15"/>
    </row>
    <row r="114">
      <c r="A114" s="11"/>
      <c r="B114" s="12"/>
      <c r="C114" s="13"/>
      <c r="D114" s="14"/>
      <c r="E114" s="14"/>
      <c r="F114" s="14"/>
      <c r="G114" s="14"/>
      <c r="H114" s="14"/>
      <c r="I114" s="14"/>
      <c r="J114" s="14"/>
      <c r="K114" s="14"/>
      <c r="L114" s="15"/>
    </row>
    <row r="115">
      <c r="A115" s="11"/>
      <c r="B115" s="12"/>
      <c r="C115" s="13"/>
      <c r="D115" s="14"/>
      <c r="E115" s="14"/>
      <c r="F115" s="14"/>
      <c r="G115" s="14"/>
      <c r="H115" s="14"/>
      <c r="I115" s="14"/>
      <c r="J115" s="14"/>
      <c r="K115" s="14"/>
      <c r="L115" s="15"/>
    </row>
    <row r="116">
      <c r="A116" s="11"/>
      <c r="B116" s="12"/>
      <c r="C116" s="13"/>
      <c r="D116" s="14"/>
      <c r="E116" s="14"/>
      <c r="F116" s="14"/>
      <c r="G116" s="14"/>
      <c r="H116" s="14"/>
      <c r="I116" s="14"/>
      <c r="J116" s="14"/>
      <c r="K116" s="14"/>
      <c r="L116" s="15"/>
    </row>
    <row r="117">
      <c r="A117" s="11"/>
      <c r="B117" s="12"/>
      <c r="C117" s="13"/>
      <c r="D117" s="14"/>
      <c r="E117" s="14"/>
      <c r="F117" s="14"/>
      <c r="G117" s="14"/>
      <c r="H117" s="14"/>
      <c r="I117" s="14"/>
      <c r="J117" s="14"/>
      <c r="K117" s="14"/>
      <c r="L117" s="15"/>
    </row>
    <row r="118">
      <c r="A118" s="11"/>
      <c r="B118" s="12"/>
      <c r="C118" s="13"/>
      <c r="D118" s="14"/>
      <c r="E118" s="14"/>
      <c r="F118" s="14"/>
      <c r="G118" s="14"/>
      <c r="H118" s="14"/>
      <c r="I118" s="14"/>
      <c r="J118" s="14"/>
      <c r="K118" s="14"/>
      <c r="L118" s="15"/>
    </row>
    <row r="119">
      <c r="A119" s="11"/>
      <c r="B119" s="12"/>
      <c r="C119" s="13"/>
      <c r="D119" s="14"/>
      <c r="E119" s="14"/>
      <c r="F119" s="14"/>
      <c r="G119" s="14"/>
      <c r="H119" s="14"/>
      <c r="I119" s="14"/>
      <c r="J119" s="14"/>
      <c r="K119" s="14"/>
      <c r="L119" s="15"/>
    </row>
    <row r="120">
      <c r="A120" s="11"/>
      <c r="B120" s="12"/>
      <c r="C120" s="13"/>
      <c r="D120" s="14"/>
      <c r="E120" s="14"/>
      <c r="F120" s="14"/>
      <c r="G120" s="14"/>
      <c r="H120" s="14"/>
      <c r="I120" s="14"/>
      <c r="J120" s="14"/>
      <c r="K120" s="14"/>
      <c r="L120" s="15"/>
    </row>
    <row r="121">
      <c r="A121" s="11"/>
      <c r="B121" s="12"/>
      <c r="C121" s="13"/>
      <c r="D121" s="14"/>
      <c r="E121" s="14"/>
      <c r="F121" s="14"/>
      <c r="G121" s="14"/>
      <c r="H121" s="14"/>
      <c r="I121" s="14"/>
      <c r="J121" s="14"/>
      <c r="K121" s="14"/>
      <c r="L121" s="15"/>
    </row>
    <row r="122">
      <c r="A122" s="11"/>
      <c r="B122" s="12"/>
      <c r="C122" s="13"/>
      <c r="D122" s="14"/>
      <c r="E122" s="14"/>
      <c r="F122" s="14"/>
      <c r="G122" s="14"/>
      <c r="H122" s="14"/>
      <c r="I122" s="14"/>
      <c r="J122" s="14"/>
      <c r="K122" s="14"/>
      <c r="L122" s="15"/>
    </row>
    <row r="123">
      <c r="A123" s="11"/>
      <c r="B123" s="12"/>
      <c r="C123" s="13"/>
      <c r="D123" s="14"/>
      <c r="E123" s="14"/>
      <c r="F123" s="14"/>
      <c r="G123" s="14"/>
      <c r="H123" s="14"/>
      <c r="I123" s="14"/>
      <c r="J123" s="14"/>
      <c r="K123" s="14"/>
      <c r="L123" s="15"/>
    </row>
    <row r="124">
      <c r="A124" s="11"/>
      <c r="B124" s="12"/>
      <c r="C124" s="13"/>
      <c r="D124" s="14"/>
      <c r="E124" s="14"/>
      <c r="F124" s="14"/>
      <c r="G124" s="14"/>
      <c r="H124" s="14"/>
      <c r="I124" s="14"/>
      <c r="J124" s="14"/>
      <c r="K124" s="14"/>
      <c r="L124" s="15"/>
    </row>
    <row r="125">
      <c r="A125" s="11"/>
      <c r="B125" s="12"/>
      <c r="C125" s="13"/>
      <c r="D125" s="14"/>
      <c r="E125" s="14"/>
      <c r="F125" s="14"/>
      <c r="G125" s="14"/>
      <c r="H125" s="14"/>
      <c r="I125" s="14"/>
      <c r="J125" s="14"/>
      <c r="K125" s="14"/>
      <c r="L125" s="15"/>
    </row>
    <row r="126">
      <c r="A126" s="11"/>
      <c r="B126" s="12"/>
      <c r="C126" s="13"/>
      <c r="D126" s="14"/>
      <c r="E126" s="14"/>
      <c r="F126" s="14"/>
      <c r="G126" s="14"/>
      <c r="H126" s="14"/>
      <c r="I126" s="14"/>
      <c r="J126" s="14"/>
      <c r="K126" s="14"/>
      <c r="L126" s="15"/>
    </row>
    <row r="127">
      <c r="A127" s="11"/>
      <c r="B127" s="12"/>
      <c r="C127" s="13"/>
      <c r="D127" s="14"/>
      <c r="E127" s="14"/>
      <c r="F127" s="14"/>
      <c r="G127" s="14"/>
      <c r="H127" s="14"/>
      <c r="I127" s="14"/>
      <c r="J127" s="14"/>
      <c r="K127" s="14"/>
      <c r="L127" s="15"/>
    </row>
    <row r="128">
      <c r="A128" s="11"/>
      <c r="B128" s="12"/>
      <c r="C128" s="13"/>
      <c r="D128" s="14"/>
      <c r="E128" s="14"/>
      <c r="F128" s="14"/>
      <c r="G128" s="14"/>
      <c r="H128" s="14"/>
      <c r="I128" s="14"/>
      <c r="J128" s="14"/>
      <c r="K128" s="14"/>
      <c r="L128" s="15"/>
    </row>
    <row r="129">
      <c r="A129" s="11"/>
      <c r="B129" s="12"/>
      <c r="C129" s="13"/>
      <c r="D129" s="14"/>
      <c r="E129" s="14"/>
      <c r="F129" s="14"/>
      <c r="G129" s="14"/>
      <c r="H129" s="14"/>
      <c r="I129" s="14"/>
      <c r="J129" s="14"/>
      <c r="K129" s="14"/>
      <c r="L129" s="15"/>
    </row>
    <row r="130">
      <c r="A130" s="11"/>
      <c r="B130" s="12"/>
      <c r="C130" s="13"/>
      <c r="D130" s="14"/>
      <c r="E130" s="14"/>
      <c r="F130" s="14"/>
      <c r="G130" s="14"/>
      <c r="H130" s="14"/>
      <c r="I130" s="14"/>
      <c r="J130" s="14"/>
      <c r="K130" s="14"/>
      <c r="L130" s="15"/>
    </row>
    <row r="131">
      <c r="A131" s="11"/>
      <c r="B131" s="12"/>
      <c r="C131" s="13"/>
      <c r="D131" s="14"/>
      <c r="E131" s="14"/>
      <c r="F131" s="14"/>
      <c r="G131" s="14"/>
      <c r="H131" s="14"/>
      <c r="I131" s="14"/>
      <c r="J131" s="14"/>
      <c r="K131" s="14"/>
      <c r="L131" s="15"/>
    </row>
    <row r="132">
      <c r="A132" s="11"/>
      <c r="B132" s="12"/>
      <c r="C132" s="13"/>
      <c r="D132" s="14"/>
      <c r="E132" s="14"/>
      <c r="F132" s="14"/>
      <c r="G132" s="14"/>
      <c r="H132" s="14"/>
      <c r="I132" s="14"/>
      <c r="J132" s="14"/>
      <c r="K132" s="14"/>
      <c r="L132" s="15"/>
    </row>
    <row r="133">
      <c r="A133" s="11"/>
      <c r="B133" s="12"/>
      <c r="C133" s="13"/>
      <c r="D133" s="14"/>
      <c r="E133" s="14"/>
      <c r="F133" s="14"/>
      <c r="G133" s="14"/>
      <c r="H133" s="14"/>
      <c r="I133" s="14"/>
      <c r="J133" s="14"/>
      <c r="K133" s="14"/>
      <c r="L133" s="15"/>
    </row>
    <row r="134">
      <c r="A134" s="11"/>
      <c r="B134" s="12"/>
      <c r="C134" s="13"/>
      <c r="D134" s="14"/>
      <c r="E134" s="14"/>
      <c r="F134" s="14"/>
      <c r="G134" s="14"/>
      <c r="H134" s="14"/>
      <c r="I134" s="14"/>
      <c r="J134" s="14"/>
      <c r="K134" s="14"/>
      <c r="L134" s="15"/>
    </row>
    <row r="135">
      <c r="A135" s="11"/>
      <c r="B135" s="12"/>
      <c r="C135" s="13"/>
      <c r="D135" s="14"/>
      <c r="E135" s="14"/>
      <c r="F135" s="14"/>
      <c r="G135" s="14"/>
      <c r="H135" s="14"/>
      <c r="I135" s="14"/>
      <c r="J135" s="14"/>
      <c r="K135" s="14"/>
      <c r="L135" s="15"/>
    </row>
    <row r="136">
      <c r="A136" s="11"/>
      <c r="B136" s="12"/>
      <c r="C136" s="13"/>
      <c r="D136" s="14"/>
      <c r="E136" s="14"/>
      <c r="F136" s="14"/>
      <c r="G136" s="14"/>
      <c r="H136" s="14"/>
      <c r="I136" s="14"/>
      <c r="J136" s="14"/>
      <c r="K136" s="14"/>
      <c r="L136" s="15"/>
    </row>
    <row r="137">
      <c r="A137" s="11"/>
      <c r="B137" s="12"/>
      <c r="C137" s="13"/>
      <c r="D137" s="14"/>
      <c r="E137" s="14"/>
      <c r="F137" s="14"/>
      <c r="G137" s="14"/>
      <c r="H137" s="14"/>
      <c r="I137" s="14"/>
      <c r="J137" s="14"/>
      <c r="K137" s="14"/>
      <c r="L137" s="15"/>
    </row>
    <row r="138">
      <c r="A138" s="11"/>
      <c r="B138" s="12"/>
      <c r="C138" s="13"/>
      <c r="D138" s="14"/>
      <c r="E138" s="14"/>
      <c r="F138" s="14"/>
      <c r="G138" s="14"/>
      <c r="H138" s="14"/>
      <c r="I138" s="14"/>
      <c r="J138" s="14"/>
      <c r="K138" s="14"/>
      <c r="L138" s="15"/>
    </row>
    <row r="139">
      <c r="A139" s="11"/>
      <c r="B139" s="12"/>
      <c r="C139" s="13"/>
      <c r="D139" s="14"/>
      <c r="E139" s="14"/>
      <c r="F139" s="14"/>
      <c r="G139" s="14"/>
      <c r="H139" s="14"/>
      <c r="I139" s="14"/>
      <c r="J139" s="14"/>
      <c r="K139" s="14"/>
      <c r="L139" s="15"/>
    </row>
    <row r="140">
      <c r="A140" s="11"/>
      <c r="B140" s="12"/>
      <c r="C140" s="13"/>
      <c r="D140" s="14"/>
      <c r="E140" s="14"/>
      <c r="F140" s="14"/>
      <c r="G140" s="14"/>
      <c r="H140" s="14"/>
      <c r="I140" s="14"/>
      <c r="J140" s="14"/>
      <c r="K140" s="14"/>
      <c r="L140" s="15"/>
    </row>
    <row r="141">
      <c r="A141" s="11"/>
      <c r="B141" s="12"/>
      <c r="C141" s="13"/>
      <c r="D141" s="14"/>
      <c r="E141" s="14"/>
      <c r="F141" s="14"/>
      <c r="G141" s="14"/>
      <c r="H141" s="14"/>
      <c r="I141" s="14"/>
      <c r="J141" s="14"/>
      <c r="K141" s="14"/>
      <c r="L141" s="15"/>
    </row>
    <row r="142">
      <c r="A142" s="11"/>
      <c r="B142" s="12"/>
      <c r="C142" s="13"/>
      <c r="D142" s="14"/>
      <c r="E142" s="14"/>
      <c r="F142" s="14"/>
      <c r="G142" s="14"/>
      <c r="H142" s="14"/>
      <c r="I142" s="14"/>
      <c r="J142" s="14"/>
      <c r="K142" s="14"/>
      <c r="L142" s="15"/>
    </row>
    <row r="143">
      <c r="A143" s="11"/>
      <c r="B143" s="12"/>
      <c r="C143" s="13"/>
      <c r="D143" s="14"/>
      <c r="E143" s="14"/>
      <c r="F143" s="14"/>
      <c r="G143" s="14"/>
      <c r="H143" s="14"/>
      <c r="I143" s="14"/>
      <c r="J143" s="14"/>
      <c r="K143" s="14"/>
      <c r="L143" s="15"/>
    </row>
    <row r="144">
      <c r="A144" s="11"/>
      <c r="B144" s="12"/>
      <c r="C144" s="13"/>
      <c r="D144" s="14"/>
      <c r="E144" s="14"/>
      <c r="F144" s="14"/>
      <c r="G144" s="14"/>
      <c r="H144" s="14"/>
      <c r="I144" s="14"/>
      <c r="J144" s="14"/>
      <c r="K144" s="14"/>
      <c r="L144" s="15"/>
    </row>
    <row r="145">
      <c r="A145" s="11"/>
      <c r="B145" s="12"/>
      <c r="C145" s="13"/>
      <c r="D145" s="14"/>
      <c r="E145" s="14"/>
      <c r="F145" s="14"/>
      <c r="G145" s="14"/>
      <c r="H145" s="14"/>
      <c r="I145" s="14"/>
      <c r="J145" s="14"/>
      <c r="K145" s="14"/>
      <c r="L145" s="15"/>
    </row>
    <row r="146">
      <c r="A146" s="11"/>
      <c r="B146" s="12"/>
      <c r="C146" s="13"/>
      <c r="D146" s="14"/>
      <c r="E146" s="14"/>
      <c r="F146" s="14"/>
      <c r="G146" s="14"/>
      <c r="H146" s="14"/>
      <c r="I146" s="14"/>
      <c r="J146" s="14"/>
      <c r="K146" s="14"/>
      <c r="L146" s="15"/>
    </row>
    <row r="147">
      <c r="A147" s="11"/>
      <c r="B147" s="12"/>
      <c r="C147" s="13"/>
      <c r="D147" s="14"/>
      <c r="E147" s="14"/>
      <c r="F147" s="14"/>
      <c r="G147" s="14"/>
      <c r="H147" s="14"/>
      <c r="I147" s="14"/>
      <c r="J147" s="14"/>
      <c r="K147" s="14"/>
      <c r="L147" s="15"/>
    </row>
    <row r="148">
      <c r="A148" s="11"/>
      <c r="B148" s="12"/>
      <c r="C148" s="13"/>
      <c r="D148" s="14"/>
      <c r="E148" s="14"/>
      <c r="F148" s="14"/>
      <c r="G148" s="14"/>
      <c r="H148" s="14"/>
      <c r="I148" s="14"/>
      <c r="J148" s="14"/>
      <c r="K148" s="14"/>
      <c r="L148" s="15"/>
    </row>
    <row r="149">
      <c r="A149" s="11"/>
      <c r="B149" s="12"/>
      <c r="C149" s="13"/>
      <c r="D149" s="14"/>
      <c r="E149" s="14"/>
      <c r="F149" s="14"/>
      <c r="G149" s="14"/>
      <c r="H149" s="14"/>
      <c r="I149" s="14"/>
      <c r="J149" s="14"/>
      <c r="K149" s="14"/>
      <c r="L149" s="15"/>
    </row>
    <row r="150">
      <c r="A150" s="11"/>
      <c r="B150" s="12"/>
      <c r="C150" s="13"/>
      <c r="D150" s="14"/>
      <c r="E150" s="14"/>
      <c r="F150" s="14"/>
      <c r="G150" s="14"/>
      <c r="H150" s="14"/>
      <c r="I150" s="14"/>
      <c r="J150" s="14"/>
      <c r="K150" s="14"/>
      <c r="L150" s="15"/>
    </row>
    <row r="151">
      <c r="A151" s="11"/>
      <c r="B151" s="12"/>
      <c r="C151" s="13"/>
      <c r="D151" s="14"/>
      <c r="E151" s="14"/>
      <c r="F151" s="14"/>
      <c r="G151" s="14"/>
      <c r="H151" s="14"/>
      <c r="I151" s="14"/>
      <c r="J151" s="14"/>
      <c r="K151" s="14"/>
      <c r="L151" s="15"/>
    </row>
    <row r="152">
      <c r="A152" s="11"/>
      <c r="B152" s="12"/>
      <c r="C152" s="13"/>
      <c r="D152" s="14"/>
      <c r="E152" s="14"/>
      <c r="F152" s="14"/>
      <c r="G152" s="14"/>
      <c r="H152" s="14"/>
      <c r="I152" s="14"/>
      <c r="J152" s="14"/>
      <c r="K152" s="14"/>
      <c r="L152" s="15"/>
    </row>
    <row r="153">
      <c r="A153" s="11"/>
      <c r="B153" s="12"/>
      <c r="C153" s="13"/>
      <c r="D153" s="14"/>
      <c r="E153" s="14"/>
      <c r="F153" s="14"/>
      <c r="G153" s="14"/>
      <c r="H153" s="14"/>
      <c r="I153" s="14"/>
      <c r="J153" s="14"/>
      <c r="K153" s="14"/>
      <c r="L153" s="15"/>
    </row>
    <row r="154">
      <c r="A154" s="11"/>
      <c r="B154" s="12"/>
      <c r="C154" s="13"/>
      <c r="D154" s="14"/>
      <c r="E154" s="14"/>
      <c r="F154" s="14"/>
      <c r="G154" s="14"/>
      <c r="H154" s="14"/>
      <c r="I154" s="14"/>
      <c r="J154" s="14"/>
      <c r="K154" s="14"/>
      <c r="L154" s="15"/>
    </row>
    <row r="155">
      <c r="A155" s="11"/>
      <c r="B155" s="12"/>
      <c r="C155" s="13"/>
      <c r="D155" s="14"/>
      <c r="E155" s="14"/>
      <c r="F155" s="14"/>
      <c r="G155" s="14"/>
      <c r="H155" s="14"/>
      <c r="I155" s="14"/>
      <c r="J155" s="14"/>
      <c r="K155" s="14"/>
      <c r="L155" s="15"/>
    </row>
    <row r="156">
      <c r="A156" s="11"/>
      <c r="B156" s="12"/>
      <c r="C156" s="13"/>
      <c r="D156" s="14"/>
      <c r="E156" s="14"/>
      <c r="F156" s="14"/>
      <c r="G156" s="14"/>
      <c r="H156" s="14"/>
      <c r="I156" s="14"/>
      <c r="J156" s="14"/>
      <c r="K156" s="14"/>
      <c r="L156" s="15"/>
    </row>
    <row r="157">
      <c r="A157" s="11"/>
      <c r="B157" s="12"/>
      <c r="C157" s="13"/>
      <c r="D157" s="14"/>
      <c r="E157" s="14"/>
      <c r="F157" s="14"/>
      <c r="G157" s="14"/>
      <c r="H157" s="14"/>
      <c r="I157" s="14"/>
      <c r="J157" s="14"/>
      <c r="K157" s="14"/>
      <c r="L157" s="15"/>
    </row>
    <row r="158">
      <c r="A158" s="11"/>
      <c r="B158" s="12"/>
      <c r="C158" s="13"/>
      <c r="D158" s="14"/>
      <c r="E158" s="14"/>
      <c r="F158" s="14"/>
      <c r="G158" s="14"/>
      <c r="H158" s="14"/>
      <c r="I158" s="14"/>
      <c r="J158" s="14"/>
      <c r="K158" s="14"/>
      <c r="L158" s="15"/>
    </row>
    <row r="159">
      <c r="A159" s="11"/>
      <c r="B159" s="12"/>
      <c r="C159" s="13"/>
      <c r="D159" s="14"/>
      <c r="E159" s="14"/>
      <c r="F159" s="14"/>
      <c r="G159" s="14"/>
      <c r="H159" s="14"/>
      <c r="I159" s="14"/>
      <c r="J159" s="14"/>
      <c r="K159" s="14"/>
      <c r="L159" s="15"/>
    </row>
    <row r="160">
      <c r="A160" s="11"/>
      <c r="B160" s="12"/>
      <c r="C160" s="13"/>
      <c r="D160" s="14"/>
      <c r="E160" s="14"/>
      <c r="F160" s="14"/>
      <c r="G160" s="14"/>
      <c r="H160" s="14"/>
      <c r="I160" s="14"/>
      <c r="J160" s="14"/>
      <c r="K160" s="14"/>
      <c r="L160" s="15"/>
    </row>
    <row r="161">
      <c r="A161" s="11"/>
      <c r="B161" s="12"/>
      <c r="C161" s="13"/>
      <c r="D161" s="14"/>
      <c r="E161" s="14"/>
      <c r="F161" s="14"/>
      <c r="G161" s="14"/>
      <c r="H161" s="14"/>
      <c r="I161" s="14"/>
      <c r="J161" s="14"/>
      <c r="K161" s="14"/>
      <c r="L161" s="15"/>
    </row>
    <row r="162">
      <c r="A162" s="11"/>
      <c r="B162" s="12"/>
      <c r="C162" s="13"/>
      <c r="D162" s="14"/>
      <c r="E162" s="14"/>
      <c r="F162" s="14"/>
      <c r="G162" s="14"/>
      <c r="H162" s="14"/>
      <c r="I162" s="14"/>
      <c r="J162" s="14"/>
      <c r="K162" s="14"/>
      <c r="L162" s="15"/>
    </row>
    <row r="163">
      <c r="A163" s="11"/>
      <c r="B163" s="12"/>
      <c r="C163" s="13"/>
      <c r="D163" s="14"/>
      <c r="E163" s="14"/>
      <c r="F163" s="14"/>
      <c r="G163" s="14"/>
      <c r="H163" s="14"/>
      <c r="I163" s="14"/>
      <c r="J163" s="14"/>
      <c r="K163" s="14"/>
      <c r="L163" s="15"/>
    </row>
    <row r="164">
      <c r="A164" s="11"/>
      <c r="B164" s="12"/>
      <c r="C164" s="13"/>
      <c r="D164" s="14"/>
      <c r="E164" s="14"/>
      <c r="F164" s="14"/>
      <c r="G164" s="14"/>
      <c r="H164" s="14"/>
      <c r="I164" s="14"/>
      <c r="J164" s="14"/>
      <c r="K164" s="14"/>
      <c r="L164" s="15"/>
    </row>
    <row r="165">
      <c r="A165" s="11"/>
      <c r="B165" s="12"/>
      <c r="C165" s="13"/>
      <c r="D165" s="14"/>
      <c r="E165" s="14"/>
      <c r="F165" s="14"/>
      <c r="G165" s="14"/>
      <c r="H165" s="14"/>
      <c r="I165" s="14"/>
      <c r="J165" s="14"/>
      <c r="K165" s="14"/>
      <c r="L165" s="15"/>
    </row>
    <row r="166">
      <c r="A166" s="11"/>
      <c r="B166" s="12"/>
      <c r="C166" s="13"/>
      <c r="D166" s="14"/>
      <c r="E166" s="14"/>
      <c r="F166" s="14"/>
      <c r="G166" s="14"/>
      <c r="H166" s="14"/>
      <c r="I166" s="14"/>
      <c r="J166" s="14"/>
      <c r="K166" s="14"/>
      <c r="L166" s="15"/>
    </row>
    <row r="167">
      <c r="A167" s="11"/>
      <c r="B167" s="12"/>
      <c r="C167" s="13"/>
      <c r="D167" s="14"/>
      <c r="E167" s="14"/>
      <c r="F167" s="14"/>
      <c r="G167" s="14"/>
      <c r="H167" s="14"/>
      <c r="I167" s="14"/>
      <c r="J167" s="14"/>
      <c r="K167" s="14"/>
      <c r="L167" s="15"/>
    </row>
    <row r="168">
      <c r="A168" s="11"/>
      <c r="B168" s="12"/>
      <c r="C168" s="13"/>
      <c r="D168" s="14"/>
      <c r="E168" s="14"/>
      <c r="F168" s="14"/>
      <c r="G168" s="14"/>
      <c r="H168" s="14"/>
      <c r="I168" s="14"/>
      <c r="J168" s="14"/>
      <c r="K168" s="14"/>
      <c r="L168" s="15"/>
    </row>
    <row r="169">
      <c r="A169" s="11"/>
      <c r="B169" s="12"/>
      <c r="C169" s="13"/>
      <c r="D169" s="14"/>
      <c r="E169" s="14"/>
      <c r="F169" s="14"/>
      <c r="G169" s="14"/>
      <c r="H169" s="14"/>
      <c r="I169" s="14"/>
      <c r="J169" s="14"/>
      <c r="K169" s="14"/>
      <c r="L169" s="15"/>
    </row>
    <row r="170">
      <c r="A170" s="11"/>
      <c r="B170" s="12"/>
      <c r="C170" s="13"/>
      <c r="D170" s="14"/>
      <c r="E170" s="14"/>
      <c r="F170" s="14"/>
      <c r="G170" s="14"/>
      <c r="H170" s="14"/>
      <c r="I170" s="14"/>
      <c r="J170" s="14"/>
      <c r="K170" s="14"/>
      <c r="L170" s="15"/>
    </row>
    <row r="171">
      <c r="A171" s="11"/>
      <c r="B171" s="12"/>
      <c r="C171" s="13"/>
      <c r="D171" s="14"/>
      <c r="E171" s="14"/>
      <c r="F171" s="14"/>
      <c r="G171" s="14"/>
      <c r="H171" s="14"/>
      <c r="I171" s="14"/>
      <c r="J171" s="14"/>
      <c r="K171" s="14"/>
      <c r="L171" s="15"/>
    </row>
    <row r="172">
      <c r="A172" s="11"/>
      <c r="B172" s="12"/>
      <c r="C172" s="13"/>
      <c r="D172" s="14"/>
      <c r="E172" s="14"/>
      <c r="F172" s="14"/>
      <c r="G172" s="14"/>
      <c r="H172" s="14"/>
      <c r="I172" s="14"/>
      <c r="J172" s="14"/>
      <c r="K172" s="14"/>
      <c r="L172" s="15"/>
    </row>
    <row r="173">
      <c r="A173" s="11"/>
      <c r="B173" s="12"/>
      <c r="C173" s="13"/>
      <c r="D173" s="14"/>
      <c r="E173" s="14"/>
      <c r="F173" s="14"/>
      <c r="G173" s="14"/>
      <c r="H173" s="14"/>
      <c r="I173" s="14"/>
      <c r="J173" s="14"/>
      <c r="K173" s="14"/>
      <c r="L173" s="15"/>
    </row>
    <row r="174">
      <c r="A174" s="11"/>
      <c r="B174" s="12"/>
      <c r="C174" s="13"/>
      <c r="D174" s="14"/>
      <c r="E174" s="14"/>
      <c r="F174" s="14"/>
      <c r="G174" s="14"/>
      <c r="H174" s="14"/>
      <c r="I174" s="14"/>
      <c r="J174" s="14"/>
      <c r="K174" s="14"/>
      <c r="L174" s="15"/>
    </row>
    <row r="175">
      <c r="A175" s="11"/>
      <c r="B175" s="12"/>
      <c r="C175" s="13"/>
      <c r="D175" s="14"/>
      <c r="E175" s="14"/>
      <c r="F175" s="14"/>
      <c r="G175" s="14"/>
      <c r="H175" s="14"/>
      <c r="I175" s="14"/>
      <c r="J175" s="14"/>
      <c r="K175" s="14"/>
      <c r="L175" s="15"/>
    </row>
    <row r="176">
      <c r="A176" s="11"/>
      <c r="B176" s="12"/>
      <c r="C176" s="13"/>
      <c r="D176" s="14"/>
      <c r="E176" s="14"/>
      <c r="F176" s="14"/>
      <c r="G176" s="14"/>
      <c r="H176" s="14"/>
      <c r="I176" s="14"/>
      <c r="J176" s="14"/>
      <c r="K176" s="14"/>
      <c r="L176" s="15"/>
    </row>
    <row r="177">
      <c r="A177" s="11"/>
      <c r="B177" s="12"/>
      <c r="C177" s="13"/>
      <c r="D177" s="14"/>
      <c r="E177" s="14"/>
      <c r="F177" s="14"/>
      <c r="G177" s="14"/>
      <c r="H177" s="14"/>
      <c r="I177" s="14"/>
      <c r="J177" s="14"/>
      <c r="K177" s="14"/>
      <c r="L177" s="15"/>
    </row>
    <row r="178">
      <c r="A178" s="11"/>
      <c r="B178" s="12"/>
      <c r="C178" s="13"/>
      <c r="D178" s="14"/>
      <c r="E178" s="14"/>
      <c r="F178" s="14"/>
      <c r="G178" s="14"/>
      <c r="H178" s="14"/>
      <c r="I178" s="14"/>
      <c r="J178" s="14"/>
      <c r="K178" s="14"/>
      <c r="L178" s="15"/>
    </row>
    <row r="179">
      <c r="A179" s="11"/>
      <c r="B179" s="12"/>
      <c r="C179" s="13"/>
      <c r="D179" s="14"/>
      <c r="E179" s="14"/>
      <c r="F179" s="14"/>
      <c r="G179" s="14"/>
      <c r="H179" s="14"/>
      <c r="I179" s="14"/>
      <c r="J179" s="14"/>
      <c r="K179" s="14"/>
      <c r="L179" s="15"/>
    </row>
    <row r="180">
      <c r="A180" s="11"/>
      <c r="B180" s="12"/>
      <c r="C180" s="13"/>
      <c r="D180" s="14"/>
      <c r="E180" s="14"/>
      <c r="F180" s="14"/>
      <c r="G180" s="14"/>
      <c r="H180" s="14"/>
      <c r="I180" s="14"/>
      <c r="J180" s="14"/>
      <c r="K180" s="14"/>
      <c r="L180" s="15"/>
    </row>
    <row r="181">
      <c r="A181" s="11"/>
      <c r="B181" s="12"/>
      <c r="C181" s="13"/>
      <c r="D181" s="14"/>
      <c r="E181" s="14"/>
      <c r="F181" s="14"/>
      <c r="G181" s="14"/>
      <c r="H181" s="14"/>
      <c r="I181" s="14"/>
      <c r="J181" s="14"/>
      <c r="K181" s="14"/>
      <c r="L181" s="15"/>
    </row>
    <row r="182">
      <c r="A182" s="11"/>
      <c r="B182" s="12"/>
      <c r="C182" s="13"/>
      <c r="D182" s="14"/>
      <c r="E182" s="14"/>
      <c r="F182" s="14"/>
      <c r="G182" s="14"/>
      <c r="H182" s="14"/>
      <c r="I182" s="14"/>
      <c r="J182" s="14"/>
      <c r="K182" s="14"/>
      <c r="L182" s="15"/>
    </row>
    <row r="183">
      <c r="A183" s="11"/>
      <c r="B183" s="12"/>
      <c r="C183" s="13"/>
      <c r="D183" s="14"/>
      <c r="E183" s="14"/>
      <c r="F183" s="14"/>
      <c r="G183" s="14"/>
      <c r="H183" s="14"/>
      <c r="I183" s="14"/>
      <c r="J183" s="14"/>
      <c r="K183" s="14"/>
      <c r="L183" s="15"/>
    </row>
    <row r="184">
      <c r="A184" s="11"/>
      <c r="B184" s="12"/>
      <c r="C184" s="13"/>
      <c r="D184" s="14"/>
      <c r="E184" s="14"/>
      <c r="F184" s="14"/>
      <c r="G184" s="14"/>
      <c r="H184" s="14"/>
      <c r="I184" s="14"/>
      <c r="J184" s="14"/>
      <c r="K184" s="14"/>
      <c r="L184" s="15"/>
    </row>
    <row r="185">
      <c r="A185" s="11"/>
      <c r="B185" s="12"/>
      <c r="C185" s="13"/>
      <c r="D185" s="14"/>
      <c r="E185" s="14"/>
      <c r="F185" s="14"/>
      <c r="G185" s="14"/>
      <c r="H185" s="14"/>
      <c r="I185" s="14"/>
      <c r="J185" s="14"/>
      <c r="K185" s="14"/>
      <c r="L185" s="15"/>
    </row>
    <row r="186">
      <c r="A186" s="11"/>
      <c r="B186" s="12"/>
      <c r="C186" s="13"/>
      <c r="D186" s="14"/>
      <c r="E186" s="14"/>
      <c r="F186" s="14"/>
      <c r="G186" s="14"/>
      <c r="H186" s="14"/>
      <c r="I186" s="14"/>
      <c r="J186" s="14"/>
      <c r="K186" s="14"/>
      <c r="L186" s="15"/>
    </row>
    <row r="187">
      <c r="A187" s="11"/>
      <c r="B187" s="12"/>
      <c r="C187" s="13"/>
      <c r="D187" s="14"/>
      <c r="E187" s="14"/>
      <c r="F187" s="14"/>
      <c r="G187" s="14"/>
      <c r="H187" s="14"/>
      <c r="I187" s="14"/>
      <c r="J187" s="14"/>
      <c r="K187" s="14"/>
      <c r="L187" s="15"/>
    </row>
    <row r="188">
      <c r="A188" s="11"/>
      <c r="B188" s="12"/>
      <c r="C188" s="13"/>
      <c r="D188" s="14"/>
      <c r="E188" s="14"/>
      <c r="F188" s="14"/>
      <c r="G188" s="14"/>
      <c r="H188" s="14"/>
      <c r="I188" s="14"/>
      <c r="J188" s="14"/>
      <c r="K188" s="14"/>
      <c r="L188" s="15"/>
    </row>
    <row r="189">
      <c r="A189" s="11"/>
      <c r="B189" s="12"/>
      <c r="C189" s="13"/>
      <c r="D189" s="14"/>
      <c r="E189" s="14"/>
      <c r="F189" s="14"/>
      <c r="G189" s="14"/>
      <c r="H189" s="14"/>
      <c r="I189" s="14"/>
      <c r="J189" s="14"/>
      <c r="K189" s="14"/>
      <c r="L189" s="15"/>
    </row>
    <row r="190">
      <c r="A190" s="11"/>
      <c r="B190" s="12"/>
      <c r="C190" s="13"/>
      <c r="D190" s="14"/>
      <c r="E190" s="14"/>
      <c r="F190" s="14"/>
      <c r="G190" s="14"/>
      <c r="H190" s="14"/>
      <c r="I190" s="14"/>
      <c r="J190" s="14"/>
      <c r="K190" s="14"/>
      <c r="L190" s="15"/>
    </row>
    <row r="191">
      <c r="A191" s="11"/>
      <c r="B191" s="12"/>
      <c r="C191" s="13"/>
      <c r="D191" s="14"/>
      <c r="E191" s="14"/>
      <c r="F191" s="14"/>
      <c r="G191" s="14"/>
      <c r="H191" s="14"/>
      <c r="I191" s="14"/>
      <c r="J191" s="14"/>
      <c r="K191" s="14"/>
      <c r="L191" s="15"/>
    </row>
    <row r="192">
      <c r="A192" s="11"/>
      <c r="B192" s="12"/>
      <c r="C192" s="13"/>
      <c r="D192" s="14"/>
      <c r="E192" s="14"/>
      <c r="F192" s="14"/>
      <c r="G192" s="14"/>
      <c r="H192" s="14"/>
      <c r="I192" s="14"/>
      <c r="J192" s="14"/>
      <c r="K192" s="14"/>
      <c r="L192" s="15"/>
    </row>
    <row r="193">
      <c r="A193" s="11"/>
      <c r="B193" s="12"/>
      <c r="C193" s="13"/>
      <c r="D193" s="14"/>
      <c r="E193" s="14"/>
      <c r="F193" s="14"/>
      <c r="G193" s="14"/>
      <c r="H193" s="14"/>
      <c r="I193" s="14"/>
      <c r="J193" s="14"/>
      <c r="K193" s="14"/>
      <c r="L193" s="15"/>
    </row>
    <row r="194">
      <c r="A194" s="11"/>
      <c r="B194" s="12"/>
      <c r="C194" s="13"/>
      <c r="D194" s="14"/>
      <c r="E194" s="14"/>
      <c r="F194" s="14"/>
      <c r="G194" s="14"/>
      <c r="H194" s="14"/>
      <c r="I194" s="14"/>
      <c r="J194" s="14"/>
      <c r="K194" s="14"/>
      <c r="L194" s="15"/>
    </row>
    <row r="195">
      <c r="A195" s="11"/>
      <c r="B195" s="12"/>
      <c r="C195" s="13"/>
      <c r="D195" s="14"/>
      <c r="E195" s="14"/>
      <c r="F195" s="14"/>
      <c r="G195" s="14"/>
      <c r="H195" s="14"/>
      <c r="I195" s="14"/>
      <c r="J195" s="14"/>
      <c r="K195" s="14"/>
      <c r="L195" s="15"/>
    </row>
    <row r="196">
      <c r="A196" s="11"/>
      <c r="B196" s="12"/>
      <c r="C196" s="13"/>
      <c r="D196" s="14"/>
      <c r="E196" s="14"/>
      <c r="F196" s="14"/>
      <c r="G196" s="14"/>
      <c r="H196" s="14"/>
      <c r="I196" s="14"/>
      <c r="J196" s="14"/>
      <c r="K196" s="14"/>
      <c r="L196" s="15"/>
    </row>
    <row r="197">
      <c r="A197" s="11"/>
      <c r="B197" s="12"/>
      <c r="C197" s="13"/>
      <c r="D197" s="14"/>
      <c r="E197" s="14"/>
      <c r="F197" s="14"/>
      <c r="G197" s="14"/>
      <c r="H197" s="14"/>
      <c r="I197" s="14"/>
      <c r="J197" s="14"/>
      <c r="K197" s="14"/>
      <c r="L197" s="15"/>
    </row>
    <row r="198">
      <c r="A198" s="11"/>
      <c r="B198" s="12"/>
      <c r="C198" s="13"/>
      <c r="D198" s="14"/>
      <c r="E198" s="14"/>
      <c r="F198" s="14"/>
      <c r="G198" s="14"/>
      <c r="H198" s="14"/>
      <c r="I198" s="14"/>
      <c r="J198" s="14"/>
      <c r="K198" s="14"/>
      <c r="L198" s="15"/>
    </row>
    <row r="199">
      <c r="A199" s="11"/>
      <c r="B199" s="12"/>
      <c r="C199" s="13"/>
      <c r="D199" s="14"/>
      <c r="E199" s="14"/>
      <c r="F199" s="14"/>
      <c r="G199" s="14"/>
      <c r="H199" s="14"/>
      <c r="I199" s="14"/>
      <c r="J199" s="14"/>
      <c r="K199" s="14"/>
      <c r="L199" s="15"/>
    </row>
    <row r="200">
      <c r="A200" s="11"/>
      <c r="B200" s="12"/>
      <c r="C200" s="13"/>
      <c r="D200" s="14"/>
      <c r="E200" s="14"/>
      <c r="F200" s="14"/>
      <c r="G200" s="14"/>
      <c r="H200" s="14"/>
      <c r="I200" s="14"/>
      <c r="J200" s="14"/>
      <c r="K200" s="14"/>
      <c r="L200" s="15"/>
    </row>
    <row r="201">
      <c r="A201" s="11"/>
      <c r="B201" s="12"/>
      <c r="C201" s="13"/>
      <c r="D201" s="14"/>
      <c r="E201" s="14"/>
      <c r="F201" s="14"/>
      <c r="G201" s="14"/>
      <c r="H201" s="14"/>
      <c r="I201" s="14"/>
      <c r="J201" s="14"/>
      <c r="K201" s="14"/>
      <c r="L201" s="15"/>
    </row>
    <row r="202">
      <c r="A202" s="11"/>
      <c r="B202" s="12"/>
      <c r="C202" s="13"/>
      <c r="D202" s="14"/>
      <c r="E202" s="14"/>
      <c r="F202" s="14"/>
      <c r="G202" s="14"/>
      <c r="H202" s="14"/>
      <c r="I202" s="14"/>
      <c r="J202" s="14"/>
      <c r="K202" s="14"/>
      <c r="L202" s="15"/>
    </row>
    <row r="203">
      <c r="A203" s="11"/>
      <c r="B203" s="12"/>
      <c r="C203" s="13"/>
      <c r="D203" s="14"/>
      <c r="E203" s="14"/>
      <c r="F203" s="14"/>
      <c r="G203" s="14"/>
      <c r="H203" s="14"/>
      <c r="I203" s="14"/>
      <c r="J203" s="14"/>
      <c r="K203" s="14"/>
      <c r="L203" s="15"/>
    </row>
    <row r="204">
      <c r="A204" s="11"/>
      <c r="B204" s="12"/>
      <c r="C204" s="13"/>
      <c r="D204" s="14"/>
      <c r="E204" s="14"/>
      <c r="F204" s="14"/>
      <c r="G204" s="14"/>
      <c r="H204" s="14"/>
      <c r="I204" s="14"/>
      <c r="J204" s="14"/>
      <c r="K204" s="14"/>
      <c r="L204" s="15"/>
    </row>
    <row r="205">
      <c r="A205" s="11"/>
      <c r="B205" s="12"/>
      <c r="C205" s="13"/>
      <c r="D205" s="14"/>
      <c r="E205" s="14"/>
      <c r="F205" s="14"/>
      <c r="G205" s="14"/>
      <c r="H205" s="14"/>
      <c r="I205" s="14"/>
      <c r="J205" s="14"/>
      <c r="K205" s="14"/>
      <c r="L205" s="15"/>
    </row>
    <row r="206">
      <c r="A206" s="11"/>
      <c r="B206" s="12"/>
      <c r="C206" s="13"/>
      <c r="D206" s="14"/>
      <c r="E206" s="14"/>
      <c r="F206" s="14"/>
      <c r="G206" s="14"/>
      <c r="H206" s="14"/>
      <c r="I206" s="14"/>
      <c r="J206" s="14"/>
      <c r="K206" s="14"/>
      <c r="L206" s="15"/>
    </row>
    <row r="207">
      <c r="A207" s="11"/>
      <c r="B207" s="12"/>
      <c r="C207" s="13"/>
      <c r="D207" s="14"/>
      <c r="E207" s="14"/>
      <c r="F207" s="14"/>
      <c r="G207" s="14"/>
      <c r="H207" s="14"/>
      <c r="I207" s="14"/>
      <c r="J207" s="14"/>
      <c r="K207" s="14"/>
      <c r="L207" s="15"/>
    </row>
    <row r="208">
      <c r="A208" s="11"/>
      <c r="B208" s="12"/>
      <c r="C208" s="13"/>
      <c r="D208" s="14"/>
      <c r="E208" s="14"/>
      <c r="F208" s="14"/>
      <c r="G208" s="14"/>
      <c r="H208" s="14"/>
      <c r="I208" s="14"/>
      <c r="J208" s="14"/>
      <c r="K208" s="14"/>
      <c r="L208" s="15"/>
    </row>
    <row r="209">
      <c r="A209" s="11"/>
      <c r="B209" s="12"/>
      <c r="C209" s="13"/>
      <c r="D209" s="14"/>
      <c r="E209" s="14"/>
      <c r="F209" s="14"/>
      <c r="G209" s="14"/>
      <c r="H209" s="14"/>
      <c r="I209" s="14"/>
      <c r="J209" s="14"/>
      <c r="K209" s="14"/>
      <c r="L209" s="15"/>
    </row>
    <row r="210">
      <c r="A210" s="11"/>
      <c r="B210" s="12"/>
      <c r="C210" s="13"/>
      <c r="D210" s="14"/>
      <c r="E210" s="14"/>
      <c r="F210" s="14"/>
      <c r="G210" s="14"/>
      <c r="H210" s="14"/>
      <c r="I210" s="14"/>
      <c r="J210" s="14"/>
      <c r="K210" s="14"/>
      <c r="L210" s="15"/>
    </row>
    <row r="211">
      <c r="A211" s="11"/>
      <c r="B211" s="12"/>
      <c r="C211" s="13"/>
      <c r="D211" s="14"/>
      <c r="E211" s="14"/>
      <c r="F211" s="14"/>
      <c r="G211" s="14"/>
      <c r="H211" s="14"/>
      <c r="I211" s="14"/>
      <c r="J211" s="14"/>
      <c r="K211" s="14"/>
      <c r="L211" s="15"/>
    </row>
    <row r="212">
      <c r="A212" s="11"/>
      <c r="B212" s="12"/>
      <c r="C212" s="13"/>
      <c r="D212" s="14"/>
      <c r="E212" s="14"/>
      <c r="F212" s="14"/>
      <c r="G212" s="14"/>
      <c r="H212" s="14"/>
      <c r="I212" s="14"/>
      <c r="J212" s="14"/>
      <c r="K212" s="14"/>
      <c r="L212" s="15"/>
    </row>
    <row r="213">
      <c r="A213" s="11"/>
      <c r="B213" s="12"/>
      <c r="C213" s="13"/>
      <c r="D213" s="14"/>
      <c r="E213" s="14"/>
      <c r="F213" s="14"/>
      <c r="G213" s="14"/>
      <c r="H213" s="14"/>
      <c r="I213" s="14"/>
      <c r="J213" s="14"/>
      <c r="K213" s="14"/>
      <c r="L213" s="15"/>
    </row>
    <row r="214">
      <c r="A214" s="11"/>
      <c r="B214" s="12"/>
      <c r="C214" s="13"/>
      <c r="D214" s="14"/>
      <c r="E214" s="14"/>
      <c r="F214" s="14"/>
      <c r="G214" s="14"/>
      <c r="H214" s="14"/>
      <c r="I214" s="14"/>
      <c r="J214" s="14"/>
      <c r="K214" s="14"/>
      <c r="L214" s="15"/>
    </row>
    <row r="215">
      <c r="A215" s="11"/>
      <c r="B215" s="12"/>
      <c r="C215" s="13"/>
      <c r="D215" s="14"/>
      <c r="E215" s="14"/>
      <c r="F215" s="14"/>
      <c r="G215" s="14"/>
      <c r="H215" s="14"/>
      <c r="I215" s="14"/>
      <c r="J215" s="14"/>
      <c r="K215" s="14"/>
      <c r="L215" s="15"/>
    </row>
    <row r="216">
      <c r="A216" s="11"/>
      <c r="B216" s="12"/>
      <c r="C216" s="13"/>
      <c r="D216" s="14"/>
      <c r="E216" s="14"/>
      <c r="F216" s="14"/>
      <c r="G216" s="14"/>
      <c r="H216" s="14"/>
      <c r="I216" s="14"/>
      <c r="J216" s="14"/>
      <c r="K216" s="14"/>
      <c r="L216" s="15"/>
    </row>
    <row r="217">
      <c r="A217" s="11"/>
      <c r="B217" s="12"/>
      <c r="C217" s="13"/>
      <c r="D217" s="14"/>
      <c r="E217" s="14"/>
      <c r="F217" s="14"/>
      <c r="G217" s="14"/>
      <c r="H217" s="14"/>
      <c r="I217" s="14"/>
      <c r="J217" s="14"/>
      <c r="K217" s="14"/>
      <c r="L217" s="15"/>
    </row>
    <row r="218">
      <c r="A218" s="11"/>
      <c r="B218" s="12"/>
      <c r="C218" s="13"/>
      <c r="D218" s="14"/>
      <c r="E218" s="14"/>
      <c r="F218" s="14"/>
      <c r="G218" s="14"/>
      <c r="H218" s="14"/>
      <c r="I218" s="14"/>
      <c r="J218" s="14"/>
      <c r="K218" s="14"/>
      <c r="L218" s="15"/>
    </row>
    <row r="219">
      <c r="A219" s="11"/>
      <c r="B219" s="12"/>
      <c r="C219" s="13"/>
      <c r="D219" s="14"/>
      <c r="E219" s="14"/>
      <c r="F219" s="14"/>
      <c r="G219" s="14"/>
      <c r="H219" s="14"/>
      <c r="I219" s="14"/>
      <c r="J219" s="14"/>
      <c r="K219" s="14"/>
      <c r="L219" s="15"/>
    </row>
    <row r="220">
      <c r="A220" s="11"/>
      <c r="B220" s="12"/>
      <c r="C220" s="13"/>
      <c r="D220" s="14"/>
      <c r="E220" s="14"/>
      <c r="F220" s="14"/>
      <c r="G220" s="14"/>
      <c r="H220" s="14"/>
      <c r="I220" s="14"/>
      <c r="J220" s="14"/>
      <c r="K220" s="14"/>
      <c r="L220" s="15"/>
    </row>
    <row r="221">
      <c r="A221" s="11"/>
      <c r="B221" s="12"/>
      <c r="C221" s="13"/>
      <c r="D221" s="14"/>
      <c r="E221" s="14"/>
      <c r="F221" s="14"/>
      <c r="G221" s="14"/>
      <c r="H221" s="14"/>
      <c r="I221" s="14"/>
      <c r="J221" s="14"/>
      <c r="K221" s="14"/>
      <c r="L221" s="15"/>
    </row>
    <row r="222">
      <c r="A222" s="11"/>
      <c r="B222" s="12"/>
      <c r="C222" s="13"/>
      <c r="D222" s="14"/>
      <c r="E222" s="14"/>
      <c r="F222" s="14"/>
      <c r="G222" s="14"/>
      <c r="H222" s="14"/>
      <c r="I222" s="14"/>
      <c r="J222" s="14"/>
      <c r="K222" s="14"/>
      <c r="L222" s="15"/>
    </row>
    <row r="223">
      <c r="A223" s="11"/>
      <c r="B223" s="12"/>
      <c r="C223" s="13"/>
      <c r="D223" s="14"/>
      <c r="E223" s="14"/>
      <c r="F223" s="14"/>
      <c r="G223" s="14"/>
      <c r="H223" s="14"/>
      <c r="I223" s="14"/>
      <c r="J223" s="14"/>
      <c r="K223" s="14"/>
      <c r="L223" s="15"/>
    </row>
    <row r="224">
      <c r="A224" s="11"/>
      <c r="B224" s="12"/>
      <c r="C224" s="13"/>
      <c r="D224" s="14"/>
      <c r="E224" s="14"/>
      <c r="F224" s="14"/>
      <c r="G224" s="14"/>
      <c r="H224" s="14"/>
      <c r="I224" s="14"/>
      <c r="J224" s="14"/>
      <c r="K224" s="14"/>
      <c r="L224" s="15"/>
    </row>
    <row r="225">
      <c r="A225" s="11"/>
      <c r="B225" s="12"/>
      <c r="C225" s="13"/>
      <c r="D225" s="14"/>
      <c r="E225" s="14"/>
      <c r="F225" s="14"/>
      <c r="G225" s="14"/>
      <c r="H225" s="14"/>
      <c r="I225" s="14"/>
      <c r="J225" s="14"/>
      <c r="K225" s="14"/>
      <c r="L225" s="15"/>
    </row>
    <row r="226">
      <c r="A226" s="11"/>
      <c r="B226" s="12"/>
      <c r="C226" s="13"/>
      <c r="D226" s="14"/>
      <c r="E226" s="14"/>
      <c r="F226" s="14"/>
      <c r="G226" s="14"/>
      <c r="H226" s="14"/>
      <c r="I226" s="14"/>
      <c r="J226" s="14"/>
      <c r="K226" s="14"/>
      <c r="L226" s="15"/>
    </row>
    <row r="227">
      <c r="A227" s="11"/>
      <c r="B227" s="12"/>
      <c r="C227" s="13"/>
      <c r="D227" s="14"/>
      <c r="E227" s="14"/>
      <c r="F227" s="14"/>
      <c r="G227" s="14"/>
      <c r="H227" s="14"/>
      <c r="I227" s="14"/>
      <c r="J227" s="14"/>
      <c r="K227" s="14"/>
      <c r="L227" s="15"/>
    </row>
    <row r="228">
      <c r="A228" s="11"/>
      <c r="B228" s="12"/>
      <c r="C228" s="13"/>
      <c r="D228" s="14"/>
      <c r="E228" s="14"/>
      <c r="F228" s="14"/>
      <c r="G228" s="14"/>
      <c r="H228" s="14"/>
      <c r="I228" s="14"/>
      <c r="J228" s="14"/>
      <c r="K228" s="14"/>
      <c r="L228" s="15"/>
    </row>
    <row r="229">
      <c r="A229" s="11"/>
      <c r="B229" s="12"/>
      <c r="C229" s="13"/>
      <c r="D229" s="14"/>
      <c r="E229" s="14"/>
      <c r="F229" s="14"/>
      <c r="G229" s="14"/>
      <c r="H229" s="14"/>
      <c r="I229" s="14"/>
      <c r="J229" s="14"/>
      <c r="K229" s="14"/>
      <c r="L229" s="15"/>
    </row>
    <row r="230">
      <c r="A230" s="11"/>
      <c r="B230" s="12"/>
      <c r="C230" s="13"/>
      <c r="D230" s="14"/>
      <c r="E230" s="14"/>
      <c r="F230" s="14"/>
      <c r="G230" s="14"/>
      <c r="H230" s="14"/>
      <c r="I230" s="14"/>
      <c r="J230" s="14"/>
      <c r="K230" s="14"/>
      <c r="L230" s="15"/>
    </row>
    <row r="231">
      <c r="A231" s="11"/>
      <c r="B231" s="12"/>
      <c r="C231" s="13"/>
      <c r="D231" s="14"/>
      <c r="E231" s="14"/>
      <c r="F231" s="14"/>
      <c r="G231" s="14"/>
      <c r="H231" s="14"/>
      <c r="I231" s="14"/>
      <c r="J231" s="14"/>
      <c r="K231" s="14"/>
      <c r="L231" s="15"/>
    </row>
    <row r="232">
      <c r="A232" s="11"/>
      <c r="B232" s="12"/>
      <c r="C232" s="13"/>
      <c r="D232" s="14"/>
      <c r="E232" s="14"/>
      <c r="F232" s="14"/>
      <c r="G232" s="14"/>
      <c r="H232" s="14"/>
      <c r="I232" s="14"/>
      <c r="J232" s="14"/>
      <c r="K232" s="14"/>
      <c r="L232" s="15"/>
    </row>
    <row r="233">
      <c r="A233" s="11"/>
      <c r="B233" s="12"/>
      <c r="C233" s="13"/>
      <c r="D233" s="14"/>
      <c r="E233" s="14"/>
      <c r="F233" s="14"/>
      <c r="G233" s="14"/>
      <c r="H233" s="14"/>
      <c r="I233" s="14"/>
      <c r="J233" s="14"/>
      <c r="K233" s="14"/>
      <c r="L233" s="15"/>
    </row>
    <row r="234">
      <c r="A234" s="11"/>
      <c r="B234" s="12"/>
      <c r="C234" s="13"/>
      <c r="D234" s="14"/>
      <c r="E234" s="14"/>
      <c r="F234" s="14"/>
      <c r="G234" s="14"/>
      <c r="H234" s="14"/>
      <c r="I234" s="14"/>
      <c r="J234" s="14"/>
      <c r="K234" s="14"/>
      <c r="L234" s="15"/>
    </row>
    <row r="235">
      <c r="A235" s="11"/>
      <c r="B235" s="12"/>
      <c r="C235" s="13"/>
      <c r="D235" s="14"/>
      <c r="E235" s="14"/>
      <c r="F235" s="14"/>
      <c r="G235" s="14"/>
      <c r="H235" s="14"/>
      <c r="I235" s="14"/>
      <c r="J235" s="14"/>
      <c r="K235" s="14"/>
      <c r="L235" s="15"/>
    </row>
    <row r="236">
      <c r="A236" s="11"/>
      <c r="B236" s="12"/>
      <c r="C236" s="13"/>
      <c r="D236" s="14"/>
      <c r="E236" s="14"/>
      <c r="F236" s="14"/>
      <c r="G236" s="14"/>
      <c r="H236" s="14"/>
      <c r="I236" s="14"/>
      <c r="J236" s="14"/>
      <c r="K236" s="14"/>
      <c r="L236" s="15"/>
    </row>
    <row r="237">
      <c r="A237" s="11"/>
      <c r="B237" s="12"/>
      <c r="C237" s="13"/>
      <c r="D237" s="14"/>
      <c r="E237" s="14"/>
      <c r="F237" s="14"/>
      <c r="G237" s="14"/>
      <c r="H237" s="14"/>
      <c r="I237" s="14"/>
      <c r="J237" s="14"/>
      <c r="K237" s="14"/>
      <c r="L237" s="15"/>
    </row>
    <row r="238">
      <c r="A238" s="11"/>
      <c r="B238" s="12"/>
      <c r="C238" s="13"/>
      <c r="D238" s="14"/>
      <c r="E238" s="14"/>
      <c r="F238" s="14"/>
      <c r="G238" s="14"/>
      <c r="H238" s="14"/>
      <c r="I238" s="14"/>
      <c r="J238" s="14"/>
      <c r="K238" s="14"/>
      <c r="L238" s="15"/>
    </row>
    <row r="239">
      <c r="A239" s="11"/>
      <c r="B239" s="12"/>
      <c r="C239" s="13"/>
      <c r="D239" s="14"/>
      <c r="E239" s="14"/>
      <c r="F239" s="14"/>
      <c r="G239" s="14"/>
      <c r="H239" s="14"/>
      <c r="I239" s="14"/>
      <c r="J239" s="14"/>
      <c r="K239" s="14"/>
      <c r="L239" s="15"/>
    </row>
    <row r="240">
      <c r="A240" s="11"/>
      <c r="B240" s="12"/>
      <c r="C240" s="13"/>
      <c r="D240" s="14"/>
      <c r="E240" s="14"/>
      <c r="F240" s="14"/>
      <c r="G240" s="14"/>
      <c r="H240" s="14"/>
      <c r="I240" s="14"/>
      <c r="J240" s="14"/>
      <c r="K240" s="14"/>
      <c r="L240" s="15"/>
    </row>
    <row r="241">
      <c r="A241" s="11"/>
      <c r="B241" s="12"/>
      <c r="C241" s="13"/>
      <c r="D241" s="14"/>
      <c r="E241" s="14"/>
      <c r="F241" s="14"/>
      <c r="G241" s="14"/>
      <c r="H241" s="14"/>
      <c r="I241" s="14"/>
      <c r="J241" s="14"/>
      <c r="K241" s="14"/>
      <c r="L241" s="15"/>
    </row>
    <row r="242">
      <c r="A242" s="11"/>
      <c r="B242" s="12"/>
      <c r="C242" s="13"/>
      <c r="D242" s="14"/>
      <c r="E242" s="14"/>
      <c r="F242" s="14"/>
      <c r="G242" s="14"/>
      <c r="H242" s="14"/>
      <c r="I242" s="14"/>
      <c r="J242" s="14"/>
      <c r="K242" s="14"/>
      <c r="L242" s="15"/>
    </row>
    <row r="243">
      <c r="A243" s="11"/>
      <c r="B243" s="12"/>
      <c r="C243" s="13"/>
      <c r="D243" s="14"/>
      <c r="E243" s="14"/>
      <c r="F243" s="14"/>
      <c r="G243" s="14"/>
      <c r="H243" s="14"/>
      <c r="I243" s="14"/>
      <c r="J243" s="14"/>
      <c r="K243" s="14"/>
      <c r="L243" s="15"/>
    </row>
    <row r="244">
      <c r="A244" s="11"/>
      <c r="B244" s="12"/>
      <c r="C244" s="13"/>
      <c r="D244" s="14"/>
      <c r="E244" s="14"/>
      <c r="F244" s="14"/>
      <c r="G244" s="14"/>
      <c r="H244" s="14"/>
      <c r="I244" s="14"/>
      <c r="J244" s="14"/>
      <c r="K244" s="14"/>
      <c r="L244" s="15"/>
    </row>
    <row r="245">
      <c r="A245" s="11"/>
      <c r="B245" s="12"/>
      <c r="C245" s="13"/>
      <c r="D245" s="14"/>
      <c r="E245" s="14"/>
      <c r="F245" s="14"/>
      <c r="G245" s="14"/>
      <c r="H245" s="14"/>
      <c r="I245" s="14"/>
      <c r="J245" s="14"/>
      <c r="K245" s="14"/>
      <c r="L245" s="15"/>
    </row>
    <row r="246">
      <c r="A246" s="11"/>
      <c r="B246" s="12"/>
      <c r="C246" s="13"/>
      <c r="D246" s="14"/>
      <c r="E246" s="14"/>
      <c r="F246" s="14"/>
      <c r="G246" s="14"/>
      <c r="H246" s="14"/>
      <c r="I246" s="14"/>
      <c r="J246" s="14"/>
      <c r="K246" s="14"/>
      <c r="L246" s="15"/>
    </row>
    <row r="247">
      <c r="A247" s="11"/>
      <c r="B247" s="12"/>
      <c r="C247" s="13"/>
      <c r="D247" s="14"/>
      <c r="E247" s="14"/>
      <c r="F247" s="14"/>
      <c r="G247" s="14"/>
      <c r="H247" s="14"/>
      <c r="I247" s="14"/>
      <c r="J247" s="14"/>
      <c r="K247" s="14"/>
      <c r="L247" s="15"/>
    </row>
    <row r="248">
      <c r="A248" s="11"/>
      <c r="B248" s="12"/>
      <c r="C248" s="13"/>
      <c r="D248" s="14"/>
      <c r="E248" s="14"/>
      <c r="F248" s="14"/>
      <c r="G248" s="14"/>
      <c r="H248" s="14"/>
      <c r="I248" s="14"/>
      <c r="J248" s="14"/>
      <c r="K248" s="14"/>
      <c r="L248" s="15"/>
    </row>
    <row r="249">
      <c r="A249" s="11"/>
      <c r="B249" s="12"/>
      <c r="C249" s="13"/>
      <c r="D249" s="14"/>
      <c r="E249" s="14"/>
      <c r="F249" s="14"/>
      <c r="G249" s="14"/>
      <c r="H249" s="14"/>
      <c r="I249" s="14"/>
      <c r="J249" s="14"/>
      <c r="K249" s="14"/>
      <c r="L249" s="15"/>
    </row>
    <row r="250">
      <c r="A250" s="11"/>
      <c r="B250" s="12"/>
      <c r="C250" s="13"/>
      <c r="D250" s="14"/>
      <c r="E250" s="14"/>
      <c r="F250" s="14"/>
      <c r="G250" s="14"/>
      <c r="H250" s="14"/>
      <c r="I250" s="14"/>
      <c r="J250" s="14"/>
      <c r="K250" s="14"/>
      <c r="L250" s="15"/>
    </row>
    <row r="251">
      <c r="A251" s="11"/>
      <c r="B251" s="12"/>
      <c r="C251" s="13"/>
      <c r="D251" s="14"/>
      <c r="E251" s="14"/>
      <c r="F251" s="14"/>
      <c r="G251" s="14"/>
      <c r="H251" s="14"/>
      <c r="I251" s="14"/>
      <c r="J251" s="14"/>
      <c r="K251" s="14"/>
      <c r="L251" s="15"/>
    </row>
    <row r="252">
      <c r="A252" s="11"/>
      <c r="B252" s="12"/>
      <c r="C252" s="13"/>
      <c r="D252" s="14"/>
      <c r="E252" s="14"/>
      <c r="F252" s="14"/>
      <c r="G252" s="14"/>
      <c r="H252" s="14"/>
      <c r="I252" s="14"/>
      <c r="J252" s="14"/>
      <c r="K252" s="14"/>
      <c r="L252" s="15"/>
    </row>
    <row r="253">
      <c r="A253" s="11"/>
      <c r="B253" s="12"/>
      <c r="C253" s="13"/>
      <c r="D253" s="14"/>
      <c r="E253" s="14"/>
      <c r="F253" s="14"/>
      <c r="G253" s="14"/>
      <c r="H253" s="14"/>
      <c r="I253" s="14"/>
      <c r="J253" s="14"/>
      <c r="K253" s="14"/>
      <c r="L253" s="15"/>
    </row>
    <row r="254">
      <c r="A254" s="11"/>
      <c r="B254" s="12"/>
      <c r="C254" s="13"/>
      <c r="D254" s="14"/>
      <c r="E254" s="14"/>
      <c r="F254" s="14"/>
      <c r="G254" s="14"/>
      <c r="H254" s="14"/>
      <c r="I254" s="14"/>
      <c r="J254" s="14"/>
      <c r="K254" s="14"/>
      <c r="L254" s="15"/>
    </row>
    <row r="255">
      <c r="A255" s="11"/>
      <c r="B255" s="12"/>
      <c r="C255" s="13"/>
      <c r="D255" s="14"/>
      <c r="E255" s="14"/>
      <c r="F255" s="14"/>
      <c r="G255" s="14"/>
      <c r="H255" s="14"/>
      <c r="I255" s="14"/>
      <c r="J255" s="14"/>
      <c r="K255" s="14"/>
      <c r="L255" s="15"/>
    </row>
    <row r="256">
      <c r="A256" s="11"/>
      <c r="B256" s="12"/>
      <c r="C256" s="13"/>
      <c r="D256" s="14"/>
      <c r="E256" s="14"/>
      <c r="F256" s="14"/>
      <c r="G256" s="14"/>
      <c r="H256" s="14"/>
      <c r="I256" s="14"/>
      <c r="J256" s="14"/>
      <c r="K256" s="14"/>
      <c r="L256" s="15"/>
    </row>
    <row r="257">
      <c r="A257" s="11"/>
      <c r="B257" s="12"/>
      <c r="C257" s="13"/>
      <c r="D257" s="14"/>
      <c r="E257" s="14"/>
      <c r="F257" s="14"/>
      <c r="G257" s="14"/>
      <c r="H257" s="14"/>
      <c r="I257" s="14"/>
      <c r="J257" s="14"/>
      <c r="K257" s="14"/>
      <c r="L257" s="15"/>
    </row>
    <row r="258">
      <c r="A258" s="11"/>
      <c r="B258" s="12"/>
      <c r="C258" s="13"/>
      <c r="D258" s="14"/>
      <c r="E258" s="14"/>
      <c r="F258" s="14"/>
      <c r="G258" s="14"/>
      <c r="H258" s="14"/>
      <c r="I258" s="14"/>
      <c r="J258" s="14"/>
      <c r="K258" s="14"/>
      <c r="L258" s="15"/>
    </row>
    <row r="259">
      <c r="A259" s="11"/>
      <c r="B259" s="12"/>
      <c r="C259" s="13"/>
      <c r="D259" s="14"/>
      <c r="E259" s="14"/>
      <c r="F259" s="14"/>
      <c r="G259" s="14"/>
      <c r="H259" s="14"/>
      <c r="I259" s="14"/>
      <c r="J259" s="14"/>
      <c r="K259" s="14"/>
      <c r="L259" s="15"/>
    </row>
    <row r="260">
      <c r="A260" s="11"/>
      <c r="B260" s="12"/>
      <c r="C260" s="13"/>
      <c r="D260" s="14"/>
      <c r="E260" s="14"/>
      <c r="F260" s="14"/>
      <c r="G260" s="14"/>
      <c r="H260" s="14"/>
      <c r="I260" s="14"/>
      <c r="J260" s="14"/>
      <c r="K260" s="14"/>
      <c r="L260" s="15"/>
    </row>
    <row r="261">
      <c r="A261" s="11"/>
      <c r="B261" s="12"/>
      <c r="C261" s="13"/>
      <c r="D261" s="14"/>
      <c r="E261" s="14"/>
      <c r="F261" s="14"/>
      <c r="G261" s="14"/>
      <c r="H261" s="14"/>
      <c r="I261" s="14"/>
      <c r="J261" s="14"/>
      <c r="K261" s="14"/>
      <c r="L261" s="15"/>
    </row>
    <row r="262">
      <c r="A262" s="11"/>
      <c r="B262" s="12"/>
      <c r="C262" s="13"/>
      <c r="D262" s="14"/>
      <c r="E262" s="14"/>
      <c r="F262" s="14"/>
      <c r="G262" s="14"/>
      <c r="H262" s="14"/>
      <c r="I262" s="14"/>
      <c r="J262" s="14"/>
      <c r="K262" s="14"/>
      <c r="L262" s="15"/>
    </row>
    <row r="263">
      <c r="A263" s="11"/>
      <c r="B263" s="12"/>
      <c r="C263" s="13"/>
      <c r="D263" s="14"/>
      <c r="E263" s="14"/>
      <c r="F263" s="14"/>
      <c r="G263" s="14"/>
      <c r="H263" s="14"/>
      <c r="I263" s="14"/>
      <c r="J263" s="14"/>
      <c r="K263" s="14"/>
      <c r="L263" s="15"/>
    </row>
    <row r="264">
      <c r="A264" s="11"/>
      <c r="B264" s="12"/>
      <c r="C264" s="13"/>
      <c r="D264" s="14"/>
      <c r="E264" s="14"/>
      <c r="F264" s="14"/>
      <c r="G264" s="14"/>
      <c r="H264" s="14"/>
      <c r="I264" s="14"/>
      <c r="J264" s="14"/>
      <c r="K264" s="14"/>
      <c r="L264" s="15"/>
    </row>
    <row r="265">
      <c r="A265" s="11"/>
      <c r="B265" s="12"/>
      <c r="C265" s="13"/>
      <c r="D265" s="14"/>
      <c r="E265" s="14"/>
      <c r="F265" s="14"/>
      <c r="G265" s="14"/>
      <c r="H265" s="14"/>
      <c r="I265" s="14"/>
      <c r="J265" s="14"/>
      <c r="K265" s="14"/>
      <c r="L265" s="15"/>
    </row>
    <row r="266">
      <c r="A266" s="11"/>
      <c r="B266" s="12"/>
      <c r="C266" s="13"/>
      <c r="D266" s="14"/>
      <c r="E266" s="14"/>
      <c r="F266" s="14"/>
      <c r="G266" s="14"/>
      <c r="H266" s="14"/>
      <c r="I266" s="14"/>
      <c r="J266" s="14"/>
      <c r="K266" s="14"/>
      <c r="L266" s="15"/>
    </row>
    <row r="267">
      <c r="A267" s="11"/>
      <c r="B267" s="12"/>
      <c r="C267" s="13"/>
      <c r="D267" s="14"/>
      <c r="E267" s="14"/>
      <c r="F267" s="14"/>
      <c r="G267" s="14"/>
      <c r="H267" s="14"/>
      <c r="I267" s="14"/>
      <c r="J267" s="14"/>
      <c r="K267" s="14"/>
      <c r="L267" s="15"/>
    </row>
    <row r="268">
      <c r="A268" s="11"/>
      <c r="B268" s="12"/>
      <c r="C268" s="13"/>
      <c r="D268" s="14"/>
      <c r="E268" s="14"/>
      <c r="F268" s="14"/>
      <c r="G268" s="14"/>
      <c r="H268" s="14"/>
      <c r="I268" s="14"/>
      <c r="J268" s="14"/>
      <c r="K268" s="14"/>
      <c r="L268" s="15"/>
    </row>
    <row r="269">
      <c r="A269" s="11"/>
      <c r="B269" s="12"/>
      <c r="C269" s="13"/>
      <c r="D269" s="14"/>
      <c r="E269" s="14"/>
      <c r="F269" s="14"/>
      <c r="G269" s="14"/>
      <c r="H269" s="14"/>
      <c r="I269" s="14"/>
      <c r="J269" s="14"/>
      <c r="K269" s="14"/>
      <c r="L269" s="15"/>
    </row>
    <row r="270">
      <c r="A270" s="11"/>
      <c r="B270" s="12"/>
      <c r="C270" s="13"/>
      <c r="D270" s="14"/>
      <c r="E270" s="14"/>
      <c r="F270" s="14"/>
      <c r="G270" s="14"/>
      <c r="H270" s="14"/>
      <c r="I270" s="14"/>
      <c r="J270" s="14"/>
      <c r="K270" s="14"/>
      <c r="L270" s="15"/>
    </row>
    <row r="271">
      <c r="A271" s="11"/>
      <c r="B271" s="12"/>
      <c r="C271" s="13"/>
      <c r="D271" s="14"/>
      <c r="E271" s="14"/>
      <c r="F271" s="14"/>
      <c r="G271" s="14"/>
      <c r="H271" s="14"/>
      <c r="I271" s="14"/>
      <c r="J271" s="14"/>
      <c r="K271" s="14"/>
      <c r="L271" s="15"/>
    </row>
    <row r="272">
      <c r="A272" s="11"/>
      <c r="B272" s="12"/>
      <c r="C272" s="13"/>
      <c r="D272" s="14"/>
      <c r="E272" s="14"/>
      <c r="F272" s="14"/>
      <c r="G272" s="14"/>
      <c r="H272" s="14"/>
      <c r="I272" s="14"/>
      <c r="J272" s="14"/>
      <c r="K272" s="14"/>
      <c r="L272" s="15"/>
    </row>
    <row r="273">
      <c r="A273" s="11"/>
      <c r="B273" s="12"/>
      <c r="C273" s="13"/>
      <c r="D273" s="14"/>
      <c r="E273" s="14"/>
      <c r="F273" s="14"/>
      <c r="G273" s="14"/>
      <c r="H273" s="14"/>
      <c r="I273" s="14"/>
      <c r="J273" s="14"/>
      <c r="K273" s="14"/>
      <c r="L273" s="15"/>
    </row>
    <row r="274">
      <c r="A274" s="11"/>
      <c r="B274" s="12"/>
      <c r="C274" s="13"/>
      <c r="D274" s="14"/>
      <c r="E274" s="14"/>
      <c r="F274" s="14"/>
      <c r="G274" s="14"/>
      <c r="H274" s="14"/>
      <c r="I274" s="14"/>
      <c r="J274" s="14"/>
      <c r="K274" s="14"/>
      <c r="L274" s="15"/>
    </row>
    <row r="275">
      <c r="A275" s="11"/>
      <c r="B275" s="12"/>
      <c r="C275" s="13"/>
      <c r="D275" s="14"/>
      <c r="E275" s="14"/>
      <c r="F275" s="14"/>
      <c r="G275" s="14"/>
      <c r="H275" s="14"/>
      <c r="I275" s="14"/>
      <c r="J275" s="14"/>
      <c r="K275" s="14"/>
      <c r="L275" s="15"/>
    </row>
    <row r="276">
      <c r="A276" s="11"/>
      <c r="B276" s="12"/>
      <c r="C276" s="13"/>
      <c r="D276" s="14"/>
      <c r="E276" s="14"/>
      <c r="F276" s="14"/>
      <c r="G276" s="14"/>
      <c r="H276" s="14"/>
      <c r="I276" s="14"/>
      <c r="J276" s="14"/>
      <c r="K276" s="14"/>
      <c r="L276" s="15"/>
    </row>
    <row r="277">
      <c r="A277" s="11"/>
      <c r="B277" s="12"/>
      <c r="C277" s="13"/>
      <c r="D277" s="14"/>
      <c r="E277" s="14"/>
      <c r="F277" s="14"/>
      <c r="G277" s="14"/>
      <c r="H277" s="14"/>
      <c r="I277" s="14"/>
      <c r="J277" s="14"/>
      <c r="K277" s="14"/>
      <c r="L277" s="15"/>
    </row>
    <row r="278">
      <c r="A278" s="11"/>
      <c r="B278" s="12"/>
      <c r="C278" s="13"/>
      <c r="D278" s="14"/>
      <c r="E278" s="14"/>
      <c r="F278" s="14"/>
      <c r="G278" s="14"/>
      <c r="H278" s="14"/>
      <c r="I278" s="14"/>
      <c r="J278" s="14"/>
      <c r="K278" s="14"/>
      <c r="L278" s="15"/>
    </row>
    <row r="279">
      <c r="A279" s="11"/>
      <c r="B279" s="12"/>
      <c r="C279" s="13"/>
      <c r="D279" s="14"/>
      <c r="E279" s="14"/>
      <c r="F279" s="14"/>
      <c r="G279" s="14"/>
      <c r="H279" s="14"/>
      <c r="I279" s="14"/>
      <c r="J279" s="14"/>
      <c r="K279" s="14"/>
      <c r="L279" s="15"/>
    </row>
    <row r="280">
      <c r="A280" s="11"/>
      <c r="B280" s="12"/>
      <c r="C280" s="13"/>
      <c r="D280" s="14"/>
      <c r="E280" s="14"/>
      <c r="F280" s="14"/>
      <c r="G280" s="14"/>
      <c r="H280" s="14"/>
      <c r="I280" s="14"/>
      <c r="J280" s="14"/>
      <c r="K280" s="14"/>
      <c r="L280" s="15"/>
    </row>
    <row r="281">
      <c r="A281" s="11"/>
      <c r="B281" s="12"/>
      <c r="C281" s="13"/>
      <c r="D281" s="14"/>
      <c r="E281" s="14"/>
      <c r="F281" s="14"/>
      <c r="G281" s="14"/>
      <c r="H281" s="14"/>
      <c r="I281" s="14"/>
      <c r="J281" s="14"/>
      <c r="K281" s="14"/>
      <c r="L281" s="15"/>
    </row>
    <row r="282">
      <c r="A282" s="11"/>
      <c r="B282" s="12"/>
      <c r="C282" s="13"/>
      <c r="D282" s="14"/>
      <c r="E282" s="14"/>
      <c r="F282" s="14"/>
      <c r="G282" s="14"/>
      <c r="H282" s="14"/>
      <c r="I282" s="14"/>
      <c r="J282" s="14"/>
      <c r="K282" s="14"/>
      <c r="L282" s="15"/>
    </row>
    <row r="283">
      <c r="A283" s="11"/>
      <c r="B283" s="12"/>
      <c r="C283" s="13"/>
      <c r="D283" s="14"/>
      <c r="E283" s="14"/>
      <c r="F283" s="14"/>
      <c r="G283" s="14"/>
      <c r="H283" s="14"/>
      <c r="I283" s="14"/>
      <c r="J283" s="14"/>
      <c r="K283" s="14"/>
      <c r="L283" s="15"/>
    </row>
    <row r="284">
      <c r="A284" s="11"/>
      <c r="B284" s="12"/>
      <c r="C284" s="13"/>
      <c r="D284" s="14"/>
      <c r="E284" s="14"/>
      <c r="F284" s="14"/>
      <c r="G284" s="14"/>
      <c r="H284" s="14"/>
      <c r="I284" s="14"/>
      <c r="J284" s="14"/>
      <c r="K284" s="14"/>
      <c r="L284" s="15"/>
    </row>
    <row r="285">
      <c r="A285" s="11"/>
      <c r="B285" s="12"/>
      <c r="C285" s="13"/>
      <c r="D285" s="14"/>
      <c r="E285" s="14"/>
      <c r="F285" s="14"/>
      <c r="G285" s="14"/>
      <c r="H285" s="14"/>
      <c r="I285" s="14"/>
      <c r="J285" s="14"/>
      <c r="K285" s="14"/>
      <c r="L285" s="15"/>
    </row>
    <row r="286">
      <c r="A286" s="11"/>
      <c r="B286" s="12"/>
      <c r="C286" s="13"/>
      <c r="D286" s="14"/>
      <c r="E286" s="14"/>
      <c r="F286" s="14"/>
      <c r="G286" s="14"/>
      <c r="H286" s="14"/>
      <c r="I286" s="14"/>
      <c r="J286" s="14"/>
      <c r="K286" s="14"/>
      <c r="L286" s="15"/>
    </row>
    <row r="287">
      <c r="A287" s="11"/>
      <c r="B287" s="12"/>
      <c r="C287" s="13"/>
      <c r="D287" s="14"/>
      <c r="E287" s="14"/>
      <c r="F287" s="14"/>
      <c r="G287" s="14"/>
      <c r="H287" s="14"/>
      <c r="I287" s="14"/>
      <c r="J287" s="14"/>
      <c r="K287" s="14"/>
      <c r="L287" s="15"/>
    </row>
    <row r="288">
      <c r="A288" s="11"/>
      <c r="B288" s="12"/>
      <c r="C288" s="13"/>
      <c r="D288" s="14"/>
      <c r="E288" s="14"/>
      <c r="F288" s="14"/>
      <c r="G288" s="14"/>
      <c r="H288" s="14"/>
      <c r="I288" s="14"/>
      <c r="J288" s="14"/>
      <c r="K288" s="14"/>
      <c r="L288" s="15"/>
    </row>
    <row r="289">
      <c r="A289" s="11"/>
      <c r="B289" s="12"/>
      <c r="C289" s="13"/>
      <c r="D289" s="14"/>
      <c r="E289" s="14"/>
      <c r="F289" s="14"/>
      <c r="G289" s="14"/>
      <c r="H289" s="14"/>
      <c r="I289" s="14"/>
      <c r="J289" s="14"/>
      <c r="K289" s="14"/>
      <c r="L289" s="15"/>
    </row>
    <row r="290">
      <c r="A290" s="11"/>
      <c r="B290" s="12"/>
      <c r="C290" s="13"/>
      <c r="D290" s="14"/>
      <c r="E290" s="14"/>
      <c r="F290" s="14"/>
      <c r="G290" s="14"/>
      <c r="H290" s="14"/>
      <c r="I290" s="14"/>
      <c r="J290" s="14"/>
      <c r="K290" s="14"/>
      <c r="L290" s="15"/>
    </row>
    <row r="291">
      <c r="A291" s="11"/>
      <c r="B291" s="12"/>
      <c r="C291" s="13"/>
      <c r="D291" s="14"/>
      <c r="E291" s="14"/>
      <c r="F291" s="14"/>
      <c r="G291" s="14"/>
      <c r="H291" s="14"/>
      <c r="I291" s="14"/>
      <c r="J291" s="14"/>
      <c r="K291" s="14"/>
      <c r="L291" s="15"/>
    </row>
    <row r="292">
      <c r="A292" s="11"/>
      <c r="B292" s="12"/>
      <c r="C292" s="13"/>
      <c r="D292" s="14"/>
      <c r="E292" s="14"/>
      <c r="F292" s="14"/>
      <c r="G292" s="14"/>
      <c r="H292" s="14"/>
      <c r="I292" s="14"/>
      <c r="J292" s="14"/>
      <c r="K292" s="14"/>
      <c r="L292" s="15"/>
    </row>
    <row r="293">
      <c r="A293" s="11"/>
      <c r="B293" s="12"/>
      <c r="C293" s="13"/>
      <c r="D293" s="14"/>
      <c r="E293" s="14"/>
      <c r="F293" s="14"/>
      <c r="G293" s="14"/>
      <c r="H293" s="14"/>
      <c r="I293" s="14"/>
      <c r="J293" s="14"/>
      <c r="K293" s="14"/>
      <c r="L293" s="15"/>
    </row>
    <row r="294">
      <c r="A294" s="11"/>
      <c r="B294" s="12"/>
      <c r="C294" s="13"/>
      <c r="D294" s="14"/>
      <c r="E294" s="14"/>
      <c r="F294" s="14"/>
      <c r="G294" s="14"/>
      <c r="H294" s="14"/>
      <c r="I294" s="14"/>
      <c r="J294" s="14"/>
      <c r="K294" s="14"/>
      <c r="L294" s="15"/>
    </row>
    <row r="295">
      <c r="A295" s="11"/>
      <c r="B295" s="12"/>
      <c r="C295" s="13"/>
      <c r="D295" s="14"/>
      <c r="E295" s="14"/>
      <c r="F295" s="14"/>
      <c r="G295" s="14"/>
      <c r="H295" s="14"/>
      <c r="I295" s="14"/>
      <c r="J295" s="14"/>
      <c r="K295" s="14"/>
      <c r="L295" s="15"/>
    </row>
    <row r="296">
      <c r="A296" s="11"/>
      <c r="B296" s="12"/>
      <c r="C296" s="13"/>
      <c r="D296" s="14"/>
      <c r="E296" s="14"/>
      <c r="F296" s="14"/>
      <c r="G296" s="14"/>
      <c r="H296" s="14"/>
      <c r="I296" s="14"/>
      <c r="J296" s="14"/>
      <c r="K296" s="14"/>
      <c r="L296" s="15"/>
    </row>
    <row r="297">
      <c r="A297" s="11"/>
      <c r="B297" s="12"/>
      <c r="C297" s="13"/>
      <c r="D297" s="14"/>
      <c r="E297" s="14"/>
      <c r="F297" s="14"/>
      <c r="G297" s="14"/>
      <c r="H297" s="14"/>
      <c r="I297" s="14"/>
      <c r="J297" s="14"/>
      <c r="K297" s="14"/>
      <c r="L297" s="15"/>
    </row>
    <row r="298">
      <c r="A298" s="11"/>
      <c r="B298" s="12"/>
      <c r="C298" s="13"/>
      <c r="D298" s="14"/>
      <c r="E298" s="14"/>
      <c r="F298" s="14"/>
      <c r="G298" s="14"/>
      <c r="H298" s="14"/>
      <c r="I298" s="14"/>
      <c r="J298" s="14"/>
      <c r="K298" s="14"/>
      <c r="L298" s="15"/>
    </row>
    <row r="299">
      <c r="A299" s="11"/>
      <c r="B299" s="12"/>
      <c r="C299" s="13"/>
      <c r="D299" s="14"/>
      <c r="E299" s="14"/>
      <c r="F299" s="14"/>
      <c r="G299" s="14"/>
      <c r="H299" s="14"/>
      <c r="I299" s="14"/>
      <c r="J299" s="14"/>
      <c r="K299" s="14"/>
      <c r="L299" s="15"/>
    </row>
    <row r="300">
      <c r="A300" s="11"/>
      <c r="B300" s="12"/>
      <c r="C300" s="13"/>
      <c r="D300" s="14"/>
      <c r="E300" s="14"/>
      <c r="F300" s="14"/>
      <c r="G300" s="14"/>
      <c r="H300" s="14"/>
      <c r="I300" s="14"/>
      <c r="J300" s="14"/>
      <c r="K300" s="14"/>
      <c r="L300" s="15"/>
    </row>
    <row r="301">
      <c r="A301" s="11"/>
      <c r="B301" s="12"/>
      <c r="C301" s="13"/>
      <c r="D301" s="14"/>
      <c r="E301" s="14"/>
      <c r="F301" s="14"/>
      <c r="G301" s="14"/>
      <c r="H301" s="14"/>
      <c r="I301" s="14"/>
      <c r="J301" s="14"/>
      <c r="K301" s="14"/>
      <c r="L301" s="15"/>
    </row>
    <row r="302">
      <c r="A302" s="11"/>
      <c r="B302" s="12"/>
      <c r="C302" s="13"/>
      <c r="D302" s="14"/>
      <c r="E302" s="14"/>
      <c r="F302" s="14"/>
      <c r="G302" s="14"/>
      <c r="H302" s="14"/>
      <c r="I302" s="14"/>
      <c r="J302" s="14"/>
      <c r="K302" s="14"/>
      <c r="L302" s="15"/>
    </row>
    <row r="303">
      <c r="A303" s="11"/>
      <c r="B303" s="12"/>
      <c r="C303" s="13"/>
      <c r="D303" s="14"/>
      <c r="E303" s="14"/>
      <c r="F303" s="14"/>
      <c r="G303" s="14"/>
      <c r="H303" s="14"/>
      <c r="I303" s="14"/>
      <c r="J303" s="14"/>
      <c r="K303" s="14"/>
      <c r="L303" s="15"/>
    </row>
    <row r="304">
      <c r="A304" s="11"/>
      <c r="B304" s="12"/>
      <c r="C304" s="13"/>
      <c r="D304" s="14"/>
      <c r="E304" s="14"/>
      <c r="F304" s="14"/>
      <c r="G304" s="14"/>
      <c r="H304" s="14"/>
      <c r="I304" s="14"/>
      <c r="J304" s="14"/>
      <c r="K304" s="14"/>
      <c r="L304" s="15"/>
    </row>
    <row r="305">
      <c r="A305" s="11"/>
      <c r="B305" s="12"/>
      <c r="C305" s="13"/>
      <c r="D305" s="14"/>
      <c r="E305" s="14"/>
      <c r="F305" s="14"/>
      <c r="G305" s="14"/>
      <c r="H305" s="14"/>
      <c r="I305" s="14"/>
      <c r="J305" s="14"/>
      <c r="K305" s="14"/>
      <c r="L305" s="15"/>
    </row>
    <row r="306">
      <c r="A306" s="11"/>
      <c r="B306" s="12"/>
      <c r="C306" s="13"/>
      <c r="D306" s="14"/>
      <c r="E306" s="14"/>
      <c r="F306" s="14"/>
      <c r="G306" s="14"/>
      <c r="H306" s="14"/>
      <c r="I306" s="14"/>
      <c r="J306" s="14"/>
      <c r="K306" s="14"/>
      <c r="L306" s="15"/>
    </row>
    <row r="307">
      <c r="A307" s="11"/>
      <c r="B307" s="12"/>
      <c r="C307" s="13"/>
      <c r="D307" s="14"/>
      <c r="E307" s="14"/>
      <c r="F307" s="14"/>
      <c r="G307" s="14"/>
      <c r="H307" s="14"/>
      <c r="I307" s="14"/>
      <c r="J307" s="14"/>
      <c r="K307" s="14"/>
      <c r="L307" s="15"/>
    </row>
    <row r="308">
      <c r="A308" s="11"/>
      <c r="B308" s="12"/>
      <c r="C308" s="13"/>
      <c r="D308" s="14"/>
      <c r="E308" s="14"/>
      <c r="F308" s="14"/>
      <c r="G308" s="14"/>
      <c r="H308" s="14"/>
      <c r="I308" s="14"/>
      <c r="J308" s="14"/>
      <c r="K308" s="14"/>
      <c r="L308" s="15"/>
    </row>
    <row r="309">
      <c r="A309" s="11"/>
      <c r="B309" s="12"/>
      <c r="C309" s="13"/>
      <c r="D309" s="14"/>
      <c r="E309" s="14"/>
      <c r="F309" s="14"/>
      <c r="G309" s="14"/>
      <c r="H309" s="14"/>
      <c r="I309" s="14"/>
      <c r="J309" s="14"/>
      <c r="K309" s="14"/>
      <c r="L309" s="15"/>
    </row>
    <row r="310">
      <c r="A310" s="11"/>
      <c r="B310" s="12"/>
      <c r="C310" s="13"/>
      <c r="D310" s="14"/>
      <c r="E310" s="14"/>
      <c r="F310" s="14"/>
      <c r="G310" s="14"/>
      <c r="H310" s="14"/>
      <c r="I310" s="14"/>
      <c r="J310" s="14"/>
      <c r="K310" s="14"/>
      <c r="L310" s="15"/>
    </row>
    <row r="311">
      <c r="A311" s="11"/>
      <c r="B311" s="12"/>
      <c r="C311" s="13"/>
      <c r="D311" s="14"/>
      <c r="E311" s="14"/>
      <c r="F311" s="14"/>
      <c r="G311" s="14"/>
      <c r="H311" s="14"/>
      <c r="I311" s="14"/>
      <c r="J311" s="14"/>
      <c r="K311" s="14"/>
      <c r="L311" s="15"/>
    </row>
    <row r="312">
      <c r="A312" s="11"/>
      <c r="B312" s="12"/>
      <c r="C312" s="13"/>
      <c r="D312" s="14"/>
      <c r="E312" s="14"/>
      <c r="F312" s="14"/>
      <c r="G312" s="14"/>
      <c r="H312" s="14"/>
      <c r="I312" s="14"/>
      <c r="J312" s="14"/>
      <c r="K312" s="14"/>
      <c r="L312" s="15"/>
    </row>
    <row r="313">
      <c r="A313" s="11"/>
      <c r="B313" s="12"/>
      <c r="C313" s="13"/>
      <c r="D313" s="14"/>
      <c r="E313" s="14"/>
      <c r="F313" s="14"/>
      <c r="G313" s="14"/>
      <c r="H313" s="14"/>
      <c r="I313" s="14"/>
      <c r="J313" s="14"/>
      <c r="K313" s="14"/>
      <c r="L313" s="15"/>
    </row>
    <row r="314">
      <c r="A314" s="11"/>
      <c r="B314" s="12"/>
      <c r="C314" s="13"/>
      <c r="D314" s="14"/>
      <c r="E314" s="14"/>
      <c r="F314" s="14"/>
      <c r="G314" s="14"/>
      <c r="H314" s="14"/>
      <c r="I314" s="14"/>
      <c r="J314" s="14"/>
      <c r="K314" s="14"/>
      <c r="L314" s="15"/>
    </row>
    <row r="315">
      <c r="A315" s="11"/>
      <c r="B315" s="12"/>
      <c r="C315" s="13"/>
      <c r="D315" s="14"/>
      <c r="E315" s="14"/>
      <c r="F315" s="14"/>
      <c r="G315" s="14"/>
      <c r="H315" s="14"/>
      <c r="I315" s="14"/>
      <c r="J315" s="14"/>
      <c r="K315" s="14"/>
      <c r="L315" s="15"/>
    </row>
    <row r="316">
      <c r="A316" s="11"/>
      <c r="B316" s="12"/>
      <c r="C316" s="13"/>
      <c r="D316" s="14"/>
      <c r="E316" s="14"/>
      <c r="F316" s="14"/>
      <c r="G316" s="14"/>
      <c r="H316" s="14"/>
      <c r="I316" s="14"/>
      <c r="J316" s="14"/>
      <c r="K316" s="14"/>
      <c r="L316" s="15"/>
    </row>
    <row r="317">
      <c r="A317" s="11"/>
      <c r="B317" s="12"/>
      <c r="C317" s="13"/>
      <c r="D317" s="14"/>
      <c r="E317" s="14"/>
      <c r="F317" s="14"/>
      <c r="G317" s="14"/>
      <c r="H317" s="14"/>
      <c r="I317" s="14"/>
      <c r="J317" s="14"/>
      <c r="K317" s="14"/>
      <c r="L317" s="15"/>
    </row>
    <row r="318">
      <c r="A318" s="11"/>
      <c r="B318" s="12"/>
      <c r="C318" s="13"/>
      <c r="D318" s="14"/>
      <c r="E318" s="14"/>
      <c r="F318" s="14"/>
      <c r="G318" s="14"/>
      <c r="H318" s="14"/>
      <c r="I318" s="14"/>
      <c r="J318" s="14"/>
      <c r="K318" s="14"/>
      <c r="L318" s="15"/>
    </row>
    <row r="319">
      <c r="A319" s="11"/>
      <c r="B319" s="12"/>
      <c r="C319" s="13"/>
      <c r="D319" s="14"/>
      <c r="E319" s="14"/>
      <c r="F319" s="14"/>
      <c r="G319" s="14"/>
      <c r="H319" s="14"/>
      <c r="I319" s="14"/>
      <c r="J319" s="14"/>
      <c r="K319" s="14"/>
      <c r="L319" s="15"/>
    </row>
    <row r="320">
      <c r="A320" s="11"/>
      <c r="B320" s="12"/>
      <c r="C320" s="13"/>
      <c r="D320" s="14"/>
      <c r="E320" s="14"/>
      <c r="F320" s="14"/>
      <c r="G320" s="14"/>
      <c r="H320" s="14"/>
      <c r="I320" s="14"/>
      <c r="J320" s="14"/>
      <c r="K320" s="14"/>
      <c r="L320" s="15"/>
    </row>
    <row r="321">
      <c r="A321" s="11"/>
      <c r="B321" s="12"/>
      <c r="C321" s="13"/>
      <c r="D321" s="14"/>
      <c r="E321" s="14"/>
      <c r="F321" s="14"/>
      <c r="G321" s="14"/>
      <c r="H321" s="14"/>
      <c r="I321" s="14"/>
      <c r="J321" s="14"/>
      <c r="K321" s="14"/>
      <c r="L321" s="15"/>
    </row>
    <row r="322">
      <c r="A322" s="11"/>
      <c r="B322" s="12"/>
      <c r="C322" s="13"/>
      <c r="D322" s="14"/>
      <c r="E322" s="14"/>
      <c r="F322" s="14"/>
      <c r="G322" s="14"/>
      <c r="H322" s="14"/>
      <c r="I322" s="14"/>
      <c r="J322" s="14"/>
      <c r="K322" s="14"/>
      <c r="L322" s="15"/>
    </row>
    <row r="323">
      <c r="A323" s="11"/>
      <c r="B323" s="12"/>
      <c r="C323" s="13"/>
      <c r="D323" s="14"/>
      <c r="E323" s="14"/>
      <c r="F323" s="14"/>
      <c r="G323" s="14"/>
      <c r="H323" s="14"/>
      <c r="I323" s="14"/>
      <c r="J323" s="14"/>
      <c r="K323" s="14"/>
      <c r="L323" s="15"/>
    </row>
    <row r="324">
      <c r="A324" s="11"/>
      <c r="B324" s="12"/>
      <c r="C324" s="13"/>
      <c r="D324" s="14"/>
      <c r="E324" s="14"/>
      <c r="F324" s="14"/>
      <c r="G324" s="14"/>
      <c r="H324" s="14"/>
      <c r="I324" s="14"/>
      <c r="J324" s="14"/>
      <c r="K324" s="14"/>
      <c r="L324" s="15"/>
    </row>
    <row r="325">
      <c r="A325" s="11"/>
      <c r="B325" s="12"/>
      <c r="C325" s="13"/>
      <c r="D325" s="14"/>
      <c r="E325" s="14"/>
      <c r="F325" s="14"/>
      <c r="G325" s="14"/>
      <c r="H325" s="14"/>
      <c r="I325" s="14"/>
      <c r="J325" s="14"/>
      <c r="K325" s="14"/>
      <c r="L325" s="15"/>
    </row>
    <row r="326">
      <c r="A326" s="11"/>
      <c r="B326" s="12"/>
      <c r="C326" s="13"/>
      <c r="D326" s="14"/>
      <c r="E326" s="14"/>
      <c r="F326" s="14"/>
      <c r="G326" s="14"/>
      <c r="H326" s="14"/>
      <c r="I326" s="14"/>
      <c r="J326" s="14"/>
      <c r="K326" s="14"/>
      <c r="L326" s="15"/>
    </row>
    <row r="327">
      <c r="A327" s="11"/>
      <c r="B327" s="12"/>
      <c r="C327" s="13"/>
      <c r="D327" s="14"/>
      <c r="E327" s="14"/>
      <c r="F327" s="14"/>
      <c r="G327" s="14"/>
      <c r="H327" s="14"/>
      <c r="I327" s="14"/>
      <c r="J327" s="14"/>
      <c r="K327" s="14"/>
      <c r="L327" s="15"/>
    </row>
    <row r="328">
      <c r="A328" s="11"/>
      <c r="B328" s="12"/>
      <c r="C328" s="13"/>
      <c r="D328" s="14"/>
      <c r="E328" s="14"/>
      <c r="F328" s="14"/>
      <c r="G328" s="14"/>
      <c r="H328" s="14"/>
      <c r="I328" s="14"/>
      <c r="J328" s="14"/>
      <c r="K328" s="14"/>
      <c r="L328" s="15"/>
    </row>
    <row r="329">
      <c r="A329" s="11"/>
      <c r="B329" s="12"/>
      <c r="C329" s="13"/>
      <c r="D329" s="14"/>
      <c r="E329" s="14"/>
      <c r="F329" s="14"/>
      <c r="G329" s="14"/>
      <c r="H329" s="14"/>
      <c r="I329" s="14"/>
      <c r="J329" s="14"/>
      <c r="K329" s="14"/>
      <c r="L329" s="15"/>
    </row>
    <row r="330">
      <c r="A330" s="11"/>
      <c r="B330" s="12"/>
      <c r="C330" s="13"/>
      <c r="D330" s="14"/>
      <c r="E330" s="14"/>
      <c r="F330" s="14"/>
      <c r="G330" s="14"/>
      <c r="H330" s="14"/>
      <c r="I330" s="14"/>
      <c r="J330" s="14"/>
      <c r="K330" s="14"/>
      <c r="L330" s="15"/>
    </row>
    <row r="331">
      <c r="A331" s="11"/>
      <c r="B331" s="12"/>
      <c r="C331" s="13"/>
      <c r="D331" s="14"/>
      <c r="E331" s="14"/>
      <c r="F331" s="14"/>
      <c r="G331" s="14"/>
      <c r="H331" s="14"/>
      <c r="I331" s="14"/>
      <c r="J331" s="14"/>
      <c r="K331" s="14"/>
      <c r="L331" s="15"/>
    </row>
    <row r="332">
      <c r="A332" s="11"/>
      <c r="B332" s="12"/>
      <c r="C332" s="13"/>
      <c r="D332" s="14"/>
      <c r="E332" s="14"/>
      <c r="F332" s="14"/>
      <c r="G332" s="14"/>
      <c r="H332" s="14"/>
      <c r="I332" s="14"/>
      <c r="J332" s="14"/>
      <c r="K332" s="14"/>
      <c r="L332" s="15"/>
    </row>
    <row r="333">
      <c r="A333" s="11"/>
      <c r="B333" s="12"/>
      <c r="C333" s="13"/>
      <c r="D333" s="14"/>
      <c r="E333" s="14"/>
      <c r="F333" s="14"/>
      <c r="G333" s="14"/>
      <c r="H333" s="14"/>
      <c r="I333" s="14"/>
      <c r="J333" s="14"/>
      <c r="K333" s="14"/>
      <c r="L333" s="15"/>
    </row>
    <row r="334">
      <c r="A334" s="11"/>
      <c r="B334" s="12"/>
      <c r="C334" s="13"/>
      <c r="D334" s="14"/>
      <c r="E334" s="14"/>
      <c r="F334" s="14"/>
      <c r="G334" s="14"/>
      <c r="H334" s="14"/>
      <c r="I334" s="14"/>
      <c r="J334" s="14"/>
      <c r="K334" s="14"/>
      <c r="L334" s="15"/>
    </row>
    <row r="335">
      <c r="A335" s="11"/>
      <c r="B335" s="12"/>
      <c r="C335" s="13"/>
      <c r="D335" s="14"/>
      <c r="E335" s="14"/>
      <c r="F335" s="14"/>
      <c r="G335" s="14"/>
      <c r="H335" s="14"/>
      <c r="I335" s="14"/>
      <c r="J335" s="14"/>
      <c r="K335" s="14"/>
      <c r="L335" s="15"/>
    </row>
    <row r="336">
      <c r="A336" s="11"/>
      <c r="B336" s="12"/>
      <c r="C336" s="13"/>
      <c r="D336" s="14"/>
      <c r="E336" s="14"/>
      <c r="F336" s="14"/>
      <c r="G336" s="14"/>
      <c r="H336" s="14"/>
      <c r="I336" s="14"/>
      <c r="J336" s="14"/>
      <c r="K336" s="14"/>
      <c r="L336" s="15"/>
    </row>
    <row r="337">
      <c r="A337" s="11"/>
      <c r="B337" s="12"/>
      <c r="C337" s="13"/>
      <c r="D337" s="14"/>
      <c r="E337" s="14"/>
      <c r="F337" s="14"/>
      <c r="G337" s="14"/>
      <c r="H337" s="14"/>
      <c r="I337" s="14"/>
      <c r="J337" s="14"/>
      <c r="K337" s="14"/>
      <c r="L337" s="15"/>
    </row>
    <row r="338">
      <c r="A338" s="11"/>
      <c r="B338" s="12"/>
      <c r="C338" s="13"/>
      <c r="D338" s="14"/>
      <c r="E338" s="14"/>
      <c r="F338" s="14"/>
      <c r="G338" s="14"/>
      <c r="H338" s="14"/>
      <c r="I338" s="14"/>
      <c r="J338" s="14"/>
      <c r="K338" s="14"/>
      <c r="L338" s="15"/>
    </row>
    <row r="339">
      <c r="A339" s="11"/>
      <c r="B339" s="12"/>
      <c r="C339" s="13"/>
      <c r="D339" s="14"/>
      <c r="E339" s="14"/>
      <c r="F339" s="14"/>
      <c r="G339" s="14"/>
      <c r="H339" s="14"/>
      <c r="I339" s="14"/>
      <c r="J339" s="14"/>
      <c r="K339" s="14"/>
      <c r="L339" s="15"/>
    </row>
    <row r="340">
      <c r="A340" s="11"/>
      <c r="B340" s="12"/>
      <c r="C340" s="13"/>
      <c r="D340" s="14"/>
      <c r="E340" s="14"/>
      <c r="F340" s="14"/>
      <c r="G340" s="14"/>
      <c r="H340" s="14"/>
      <c r="I340" s="14"/>
      <c r="J340" s="14"/>
      <c r="K340" s="14"/>
      <c r="L340" s="15"/>
    </row>
    <row r="341">
      <c r="A341" s="11"/>
      <c r="B341" s="12"/>
      <c r="C341" s="13"/>
      <c r="D341" s="14"/>
      <c r="E341" s="14"/>
      <c r="F341" s="14"/>
      <c r="G341" s="14"/>
      <c r="H341" s="14"/>
      <c r="I341" s="14"/>
      <c r="J341" s="14"/>
      <c r="K341" s="14"/>
      <c r="L341" s="15"/>
    </row>
    <row r="342">
      <c r="A342" s="11"/>
      <c r="B342" s="12"/>
      <c r="C342" s="13"/>
      <c r="D342" s="14"/>
      <c r="E342" s="14"/>
      <c r="F342" s="14"/>
      <c r="G342" s="14"/>
      <c r="H342" s="14"/>
      <c r="I342" s="14"/>
      <c r="J342" s="14"/>
      <c r="K342" s="14"/>
      <c r="L342" s="15"/>
    </row>
    <row r="343">
      <c r="A343" s="11"/>
      <c r="B343" s="12"/>
      <c r="C343" s="13"/>
      <c r="D343" s="14"/>
      <c r="E343" s="14"/>
      <c r="F343" s="14"/>
      <c r="G343" s="14"/>
      <c r="H343" s="14"/>
      <c r="I343" s="14"/>
      <c r="J343" s="14"/>
      <c r="K343" s="14"/>
      <c r="L343" s="15"/>
    </row>
    <row r="344">
      <c r="A344" s="11"/>
      <c r="B344" s="12"/>
      <c r="C344" s="13"/>
      <c r="D344" s="14"/>
      <c r="E344" s="14"/>
      <c r="F344" s="14"/>
      <c r="G344" s="14"/>
      <c r="H344" s="14"/>
      <c r="I344" s="14"/>
      <c r="J344" s="14"/>
      <c r="K344" s="14"/>
      <c r="L344" s="15"/>
    </row>
    <row r="345">
      <c r="A345" s="11"/>
      <c r="B345" s="12"/>
      <c r="C345" s="13"/>
      <c r="D345" s="14"/>
      <c r="E345" s="14"/>
      <c r="F345" s="14"/>
      <c r="G345" s="14"/>
      <c r="H345" s="14"/>
      <c r="I345" s="14"/>
      <c r="J345" s="14"/>
      <c r="K345" s="14"/>
      <c r="L345" s="15"/>
    </row>
    <row r="346">
      <c r="A346" s="11"/>
      <c r="B346" s="12"/>
      <c r="C346" s="13"/>
      <c r="D346" s="14"/>
      <c r="E346" s="14"/>
      <c r="F346" s="14"/>
      <c r="G346" s="14"/>
      <c r="H346" s="14"/>
      <c r="I346" s="14"/>
      <c r="J346" s="14"/>
      <c r="K346" s="14"/>
      <c r="L346" s="15"/>
    </row>
    <row r="347">
      <c r="A347" s="11"/>
      <c r="B347" s="12"/>
      <c r="C347" s="13"/>
      <c r="D347" s="14"/>
      <c r="E347" s="14"/>
      <c r="F347" s="14"/>
      <c r="G347" s="14"/>
      <c r="H347" s="14"/>
      <c r="I347" s="14"/>
      <c r="J347" s="14"/>
      <c r="K347" s="14"/>
      <c r="L347" s="15"/>
    </row>
    <row r="348">
      <c r="A348" s="11"/>
      <c r="B348" s="12"/>
      <c r="C348" s="13"/>
      <c r="D348" s="14"/>
      <c r="E348" s="14"/>
      <c r="F348" s="14"/>
      <c r="G348" s="14"/>
      <c r="H348" s="14"/>
      <c r="I348" s="14"/>
      <c r="J348" s="14"/>
      <c r="K348" s="14"/>
      <c r="L348" s="15"/>
    </row>
    <row r="349">
      <c r="A349" s="11"/>
      <c r="B349" s="12"/>
      <c r="C349" s="13"/>
      <c r="D349" s="14"/>
      <c r="E349" s="14"/>
      <c r="F349" s="14"/>
      <c r="G349" s="14"/>
      <c r="H349" s="14"/>
      <c r="I349" s="14"/>
      <c r="J349" s="14"/>
      <c r="K349" s="14"/>
      <c r="L349" s="15"/>
    </row>
    <row r="350">
      <c r="A350" s="11"/>
      <c r="B350" s="12"/>
      <c r="C350" s="13"/>
      <c r="D350" s="14"/>
      <c r="E350" s="14"/>
      <c r="F350" s="14"/>
      <c r="G350" s="14"/>
      <c r="H350" s="14"/>
      <c r="I350" s="14"/>
      <c r="J350" s="14"/>
      <c r="K350" s="14"/>
      <c r="L350" s="15"/>
    </row>
    <row r="351">
      <c r="A351" s="11"/>
      <c r="B351" s="12"/>
      <c r="C351" s="13"/>
      <c r="D351" s="14"/>
      <c r="E351" s="14"/>
      <c r="F351" s="14"/>
      <c r="G351" s="14"/>
      <c r="H351" s="14"/>
      <c r="I351" s="14"/>
      <c r="J351" s="14"/>
      <c r="K351" s="14"/>
      <c r="L351" s="15"/>
    </row>
    <row r="352">
      <c r="A352" s="11"/>
      <c r="B352" s="12"/>
      <c r="C352" s="13"/>
      <c r="D352" s="14"/>
      <c r="E352" s="14"/>
      <c r="F352" s="14"/>
      <c r="G352" s="14"/>
      <c r="H352" s="14"/>
      <c r="I352" s="14"/>
      <c r="J352" s="14"/>
      <c r="K352" s="14"/>
      <c r="L352" s="15"/>
    </row>
    <row r="353">
      <c r="A353" s="11"/>
      <c r="B353" s="12"/>
      <c r="C353" s="13"/>
      <c r="D353" s="14"/>
      <c r="E353" s="14"/>
      <c r="F353" s="14"/>
      <c r="G353" s="14"/>
      <c r="H353" s="14"/>
      <c r="I353" s="14"/>
      <c r="J353" s="14"/>
      <c r="K353" s="14"/>
      <c r="L353" s="15"/>
    </row>
    <row r="354">
      <c r="A354" s="11"/>
      <c r="B354" s="12"/>
      <c r="C354" s="13"/>
      <c r="D354" s="14"/>
      <c r="E354" s="14"/>
      <c r="F354" s="14"/>
      <c r="G354" s="14"/>
      <c r="H354" s="14"/>
      <c r="I354" s="14"/>
      <c r="J354" s="14"/>
      <c r="K354" s="14"/>
      <c r="L354" s="15"/>
    </row>
    <row r="355">
      <c r="A355" s="11"/>
      <c r="B355" s="12"/>
      <c r="C355" s="13"/>
      <c r="D355" s="14"/>
      <c r="E355" s="14"/>
      <c r="F355" s="14"/>
      <c r="G355" s="14"/>
      <c r="H355" s="14"/>
      <c r="I355" s="14"/>
      <c r="J355" s="14"/>
      <c r="K355" s="14"/>
      <c r="L355" s="15"/>
    </row>
    <row r="356">
      <c r="A356" s="11"/>
      <c r="B356" s="12"/>
      <c r="C356" s="13"/>
      <c r="D356" s="14"/>
      <c r="E356" s="14"/>
      <c r="F356" s="14"/>
      <c r="G356" s="14"/>
      <c r="H356" s="14"/>
      <c r="I356" s="14"/>
      <c r="J356" s="14"/>
      <c r="K356" s="14"/>
      <c r="L356" s="15"/>
    </row>
    <row r="357">
      <c r="A357" s="11"/>
      <c r="B357" s="12"/>
      <c r="C357" s="13"/>
      <c r="D357" s="14"/>
      <c r="E357" s="14"/>
      <c r="F357" s="14"/>
      <c r="G357" s="14"/>
      <c r="H357" s="14"/>
      <c r="I357" s="14"/>
      <c r="J357" s="14"/>
      <c r="K357" s="14"/>
      <c r="L357" s="15"/>
    </row>
    <row r="358">
      <c r="A358" s="11"/>
      <c r="B358" s="12"/>
      <c r="C358" s="13"/>
      <c r="D358" s="14"/>
      <c r="E358" s="14"/>
      <c r="F358" s="14"/>
      <c r="G358" s="14"/>
      <c r="H358" s="14"/>
      <c r="I358" s="14"/>
      <c r="J358" s="14"/>
      <c r="K358" s="14"/>
      <c r="L358" s="15"/>
    </row>
    <row r="359">
      <c r="A359" s="11"/>
      <c r="B359" s="12"/>
      <c r="C359" s="13"/>
      <c r="D359" s="14"/>
      <c r="E359" s="14"/>
      <c r="F359" s="14"/>
      <c r="G359" s="14"/>
      <c r="H359" s="14"/>
      <c r="I359" s="14"/>
      <c r="J359" s="14"/>
      <c r="K359" s="14"/>
      <c r="L359" s="15"/>
    </row>
    <row r="360">
      <c r="A360" s="11"/>
      <c r="B360" s="12"/>
      <c r="C360" s="13"/>
      <c r="D360" s="14"/>
      <c r="E360" s="14"/>
      <c r="F360" s="14"/>
      <c r="G360" s="14"/>
      <c r="H360" s="14"/>
      <c r="I360" s="14"/>
      <c r="J360" s="14"/>
      <c r="K360" s="14"/>
      <c r="L360" s="15"/>
    </row>
    <row r="361">
      <c r="A361" s="11"/>
      <c r="B361" s="12"/>
      <c r="C361" s="13"/>
      <c r="D361" s="14"/>
      <c r="E361" s="14"/>
      <c r="F361" s="14"/>
      <c r="G361" s="14"/>
      <c r="H361" s="14"/>
      <c r="I361" s="14"/>
      <c r="J361" s="14"/>
      <c r="K361" s="14"/>
      <c r="L361" s="15"/>
    </row>
    <row r="362">
      <c r="A362" s="11"/>
      <c r="B362" s="12"/>
      <c r="C362" s="13"/>
      <c r="D362" s="14"/>
      <c r="E362" s="14"/>
      <c r="F362" s="14"/>
      <c r="G362" s="14"/>
      <c r="H362" s="14"/>
      <c r="I362" s="14"/>
      <c r="J362" s="14"/>
      <c r="K362" s="14"/>
      <c r="L362" s="15"/>
    </row>
    <row r="363">
      <c r="A363" s="11"/>
      <c r="B363" s="12"/>
      <c r="C363" s="13"/>
      <c r="D363" s="14"/>
      <c r="E363" s="14"/>
      <c r="F363" s="14"/>
      <c r="G363" s="14"/>
      <c r="H363" s="14"/>
      <c r="I363" s="14"/>
      <c r="J363" s="14"/>
      <c r="K363" s="14"/>
      <c r="L363" s="15"/>
    </row>
    <row r="364">
      <c r="A364" s="11"/>
      <c r="B364" s="12"/>
      <c r="C364" s="13"/>
      <c r="D364" s="14"/>
      <c r="E364" s="14"/>
      <c r="F364" s="14"/>
      <c r="G364" s="14"/>
      <c r="H364" s="14"/>
      <c r="I364" s="14"/>
      <c r="J364" s="14"/>
      <c r="K364" s="14"/>
      <c r="L364" s="15"/>
    </row>
    <row r="365">
      <c r="A365" s="11"/>
      <c r="B365" s="12"/>
      <c r="C365" s="13"/>
      <c r="D365" s="14"/>
      <c r="E365" s="14"/>
      <c r="F365" s="14"/>
      <c r="G365" s="14"/>
      <c r="H365" s="14"/>
      <c r="I365" s="14"/>
      <c r="J365" s="14"/>
      <c r="K365" s="14"/>
      <c r="L365" s="15"/>
    </row>
    <row r="366">
      <c r="A366" s="11"/>
      <c r="B366" s="12"/>
      <c r="C366" s="13"/>
      <c r="D366" s="14"/>
      <c r="E366" s="14"/>
      <c r="F366" s="14"/>
      <c r="G366" s="14"/>
      <c r="H366" s="14"/>
      <c r="I366" s="14"/>
      <c r="J366" s="14"/>
      <c r="K366" s="14"/>
      <c r="L366" s="15"/>
    </row>
    <row r="367">
      <c r="A367" s="11"/>
      <c r="B367" s="12"/>
      <c r="C367" s="13"/>
      <c r="D367" s="14"/>
      <c r="E367" s="14"/>
      <c r="F367" s="14"/>
      <c r="G367" s="14"/>
      <c r="H367" s="14"/>
      <c r="I367" s="14"/>
      <c r="J367" s="14"/>
      <c r="K367" s="14"/>
      <c r="L367" s="15"/>
    </row>
    <row r="368">
      <c r="A368" s="11"/>
      <c r="B368" s="12"/>
      <c r="C368" s="13"/>
      <c r="D368" s="14"/>
      <c r="E368" s="14"/>
      <c r="F368" s="14"/>
      <c r="G368" s="14"/>
      <c r="H368" s="14"/>
      <c r="I368" s="14"/>
      <c r="J368" s="14"/>
      <c r="K368" s="14"/>
      <c r="L368" s="15"/>
    </row>
    <row r="369">
      <c r="A369" s="11"/>
      <c r="B369" s="12"/>
      <c r="C369" s="13"/>
      <c r="D369" s="14"/>
      <c r="E369" s="14"/>
      <c r="F369" s="14"/>
      <c r="G369" s="14"/>
      <c r="H369" s="14"/>
      <c r="I369" s="14"/>
      <c r="J369" s="14"/>
      <c r="K369" s="14"/>
      <c r="L369" s="15"/>
    </row>
    <row r="370">
      <c r="A370" s="11"/>
      <c r="B370" s="12"/>
      <c r="C370" s="13"/>
      <c r="D370" s="14"/>
      <c r="E370" s="14"/>
      <c r="F370" s="14"/>
      <c r="G370" s="14"/>
      <c r="H370" s="14"/>
      <c r="I370" s="14"/>
      <c r="J370" s="14"/>
      <c r="K370" s="14"/>
      <c r="L370" s="15"/>
    </row>
    <row r="371">
      <c r="A371" s="11"/>
      <c r="B371" s="12"/>
      <c r="C371" s="13"/>
      <c r="D371" s="14"/>
      <c r="E371" s="14"/>
      <c r="F371" s="14"/>
      <c r="G371" s="14"/>
      <c r="H371" s="14"/>
      <c r="I371" s="14"/>
      <c r="J371" s="14"/>
      <c r="K371" s="14"/>
      <c r="L371" s="15"/>
    </row>
    <row r="372">
      <c r="A372" s="11"/>
      <c r="B372" s="12"/>
      <c r="C372" s="13"/>
      <c r="D372" s="14"/>
      <c r="E372" s="14"/>
      <c r="F372" s="14"/>
      <c r="G372" s="14"/>
      <c r="H372" s="14"/>
      <c r="I372" s="14"/>
      <c r="J372" s="14"/>
      <c r="K372" s="14"/>
      <c r="L372" s="15"/>
    </row>
    <row r="373">
      <c r="A373" s="11"/>
      <c r="B373" s="12"/>
      <c r="C373" s="13"/>
      <c r="D373" s="14"/>
      <c r="E373" s="14"/>
      <c r="F373" s="14"/>
      <c r="G373" s="14"/>
      <c r="H373" s="14"/>
      <c r="I373" s="14"/>
      <c r="J373" s="14"/>
      <c r="K373" s="14"/>
      <c r="L373" s="15"/>
    </row>
    <row r="374">
      <c r="A374" s="11"/>
      <c r="B374" s="12"/>
      <c r="C374" s="13"/>
      <c r="D374" s="14"/>
      <c r="E374" s="14"/>
      <c r="F374" s="14"/>
      <c r="G374" s="14"/>
      <c r="H374" s="14"/>
      <c r="I374" s="14"/>
      <c r="J374" s="14"/>
      <c r="K374" s="14"/>
      <c r="L374" s="15"/>
    </row>
    <row r="375">
      <c r="A375" s="11"/>
      <c r="B375" s="12"/>
      <c r="C375" s="13"/>
      <c r="D375" s="14"/>
      <c r="E375" s="14"/>
      <c r="F375" s="14"/>
      <c r="G375" s="14"/>
      <c r="H375" s="14"/>
      <c r="I375" s="14"/>
      <c r="J375" s="14"/>
      <c r="K375" s="14"/>
      <c r="L375" s="15"/>
    </row>
    <row r="376">
      <c r="A376" s="11"/>
      <c r="B376" s="12"/>
      <c r="C376" s="13"/>
      <c r="D376" s="14"/>
      <c r="E376" s="14"/>
      <c r="F376" s="14"/>
      <c r="G376" s="14"/>
      <c r="H376" s="14"/>
      <c r="I376" s="14"/>
      <c r="J376" s="14"/>
      <c r="K376" s="14"/>
      <c r="L376" s="15"/>
    </row>
    <row r="377">
      <c r="A377" s="11"/>
      <c r="B377" s="12"/>
      <c r="C377" s="13"/>
      <c r="D377" s="14"/>
      <c r="E377" s="14"/>
      <c r="F377" s="14"/>
      <c r="G377" s="14"/>
      <c r="H377" s="14"/>
      <c r="I377" s="14"/>
      <c r="J377" s="14"/>
      <c r="K377" s="14"/>
      <c r="L377" s="15"/>
    </row>
    <row r="378">
      <c r="A378" s="11"/>
      <c r="B378" s="12"/>
      <c r="C378" s="13"/>
      <c r="D378" s="14"/>
      <c r="E378" s="14"/>
      <c r="F378" s="14"/>
      <c r="G378" s="14"/>
      <c r="H378" s="14"/>
      <c r="I378" s="14"/>
      <c r="J378" s="14"/>
      <c r="K378" s="14"/>
      <c r="L378" s="15"/>
    </row>
    <row r="379">
      <c r="A379" s="11"/>
      <c r="B379" s="12"/>
      <c r="C379" s="13"/>
      <c r="D379" s="14"/>
      <c r="E379" s="14"/>
      <c r="F379" s="14"/>
      <c r="G379" s="14"/>
      <c r="H379" s="14"/>
      <c r="I379" s="14"/>
      <c r="J379" s="14"/>
      <c r="K379" s="14"/>
      <c r="L379" s="15"/>
    </row>
    <row r="380">
      <c r="A380" s="11"/>
      <c r="B380" s="12"/>
      <c r="C380" s="13"/>
      <c r="D380" s="14"/>
      <c r="E380" s="14"/>
      <c r="F380" s="14"/>
      <c r="G380" s="14"/>
      <c r="H380" s="14"/>
      <c r="I380" s="14"/>
      <c r="J380" s="14"/>
      <c r="K380" s="14"/>
      <c r="L380" s="15"/>
    </row>
    <row r="381">
      <c r="A381" s="11"/>
      <c r="B381" s="12"/>
      <c r="C381" s="13"/>
      <c r="D381" s="14"/>
      <c r="E381" s="14"/>
      <c r="F381" s="14"/>
      <c r="G381" s="14"/>
      <c r="H381" s="14"/>
      <c r="I381" s="14"/>
      <c r="J381" s="14"/>
      <c r="K381" s="14"/>
      <c r="L381" s="15"/>
    </row>
    <row r="382">
      <c r="A382" s="11"/>
      <c r="B382" s="12"/>
      <c r="C382" s="13"/>
      <c r="D382" s="14"/>
      <c r="E382" s="14"/>
      <c r="F382" s="14"/>
      <c r="G382" s="14"/>
      <c r="H382" s="14"/>
      <c r="I382" s="14"/>
      <c r="J382" s="14"/>
      <c r="K382" s="14"/>
      <c r="L382" s="15"/>
    </row>
    <row r="383">
      <c r="A383" s="11"/>
      <c r="B383" s="12"/>
      <c r="C383" s="13"/>
      <c r="D383" s="14"/>
      <c r="E383" s="14"/>
      <c r="F383" s="14"/>
      <c r="G383" s="14"/>
      <c r="H383" s="14"/>
      <c r="I383" s="14"/>
      <c r="J383" s="14"/>
      <c r="K383" s="14"/>
      <c r="L383" s="15"/>
    </row>
    <row r="384">
      <c r="A384" s="11"/>
      <c r="B384" s="12"/>
      <c r="C384" s="13"/>
      <c r="D384" s="14"/>
      <c r="E384" s="14"/>
      <c r="F384" s="14"/>
      <c r="G384" s="14"/>
      <c r="H384" s="14"/>
      <c r="I384" s="14"/>
      <c r="J384" s="14"/>
      <c r="K384" s="14"/>
      <c r="L384" s="15"/>
    </row>
    <row r="385">
      <c r="A385" s="11"/>
      <c r="B385" s="12"/>
      <c r="C385" s="13"/>
      <c r="D385" s="14"/>
      <c r="E385" s="14"/>
      <c r="F385" s="14"/>
      <c r="G385" s="14"/>
      <c r="H385" s="14"/>
      <c r="I385" s="14"/>
      <c r="J385" s="14"/>
      <c r="K385" s="14"/>
      <c r="L385" s="15"/>
    </row>
    <row r="386">
      <c r="A386" s="11"/>
      <c r="B386" s="12"/>
      <c r="C386" s="13"/>
      <c r="D386" s="14"/>
      <c r="E386" s="14"/>
      <c r="F386" s="14"/>
      <c r="G386" s="14"/>
      <c r="H386" s="14"/>
      <c r="I386" s="14"/>
      <c r="J386" s="14"/>
      <c r="K386" s="14"/>
      <c r="L386" s="15"/>
    </row>
    <row r="387">
      <c r="A387" s="11"/>
      <c r="B387" s="12"/>
      <c r="C387" s="13"/>
      <c r="D387" s="14"/>
      <c r="E387" s="14"/>
      <c r="F387" s="14"/>
      <c r="G387" s="14"/>
      <c r="H387" s="14"/>
      <c r="I387" s="14"/>
      <c r="J387" s="14"/>
      <c r="K387" s="14"/>
      <c r="L387" s="15"/>
    </row>
    <row r="388">
      <c r="A388" s="11"/>
      <c r="B388" s="12"/>
      <c r="C388" s="13"/>
      <c r="D388" s="14"/>
      <c r="E388" s="14"/>
      <c r="F388" s="14"/>
      <c r="G388" s="14"/>
      <c r="H388" s="14"/>
      <c r="I388" s="14"/>
      <c r="J388" s="14"/>
      <c r="K388" s="14"/>
      <c r="L388" s="15"/>
    </row>
    <row r="389">
      <c r="A389" s="11"/>
      <c r="B389" s="12"/>
      <c r="C389" s="13"/>
      <c r="D389" s="14"/>
      <c r="E389" s="14"/>
      <c r="F389" s="14"/>
      <c r="G389" s="14"/>
      <c r="H389" s="14"/>
      <c r="I389" s="14"/>
      <c r="J389" s="14"/>
      <c r="K389" s="14"/>
      <c r="L389" s="15"/>
    </row>
    <row r="390">
      <c r="A390" s="11"/>
      <c r="B390" s="12"/>
      <c r="C390" s="13"/>
      <c r="D390" s="14"/>
      <c r="E390" s="14"/>
      <c r="F390" s="14"/>
      <c r="G390" s="14"/>
      <c r="H390" s="14"/>
      <c r="I390" s="14"/>
      <c r="J390" s="14"/>
      <c r="K390" s="14"/>
      <c r="L390" s="15"/>
    </row>
    <row r="391">
      <c r="A391" s="11"/>
      <c r="B391" s="12"/>
      <c r="C391" s="13"/>
      <c r="D391" s="14"/>
      <c r="E391" s="14"/>
      <c r="F391" s="14"/>
      <c r="G391" s="14"/>
      <c r="H391" s="14"/>
      <c r="I391" s="14"/>
      <c r="J391" s="14"/>
      <c r="K391" s="14"/>
      <c r="L391" s="15"/>
    </row>
    <row r="392">
      <c r="A392" s="11"/>
      <c r="B392" s="12"/>
      <c r="C392" s="13"/>
      <c r="D392" s="14"/>
      <c r="E392" s="14"/>
      <c r="F392" s="14"/>
      <c r="G392" s="14"/>
      <c r="H392" s="14"/>
      <c r="I392" s="14"/>
      <c r="J392" s="14"/>
      <c r="K392" s="14"/>
      <c r="L392" s="15"/>
    </row>
    <row r="393">
      <c r="A393" s="11"/>
      <c r="B393" s="12"/>
      <c r="C393" s="13"/>
      <c r="D393" s="14"/>
      <c r="E393" s="14"/>
      <c r="F393" s="14"/>
      <c r="G393" s="14"/>
      <c r="H393" s="14"/>
      <c r="I393" s="14"/>
      <c r="J393" s="14"/>
      <c r="K393" s="14"/>
      <c r="L393" s="15"/>
    </row>
    <row r="394">
      <c r="A394" s="11"/>
      <c r="B394" s="12"/>
      <c r="C394" s="13"/>
      <c r="D394" s="14"/>
      <c r="E394" s="14"/>
      <c r="F394" s="14"/>
      <c r="G394" s="14"/>
      <c r="H394" s="14"/>
      <c r="I394" s="14"/>
      <c r="J394" s="14"/>
      <c r="K394" s="14"/>
      <c r="L394" s="15"/>
    </row>
    <row r="395">
      <c r="A395" s="11"/>
      <c r="B395" s="12"/>
      <c r="C395" s="13"/>
      <c r="D395" s="14"/>
      <c r="E395" s="14"/>
      <c r="F395" s="14"/>
      <c r="G395" s="14"/>
      <c r="H395" s="14"/>
      <c r="I395" s="14"/>
      <c r="J395" s="14"/>
      <c r="K395" s="14"/>
      <c r="L395" s="15"/>
    </row>
    <row r="396">
      <c r="A396" s="11"/>
      <c r="B396" s="12"/>
      <c r="C396" s="13"/>
      <c r="D396" s="14"/>
      <c r="E396" s="14"/>
      <c r="F396" s="14"/>
      <c r="G396" s="14"/>
      <c r="H396" s="14"/>
      <c r="I396" s="14"/>
      <c r="J396" s="14"/>
      <c r="K396" s="14"/>
      <c r="L396" s="15"/>
    </row>
    <row r="397">
      <c r="A397" s="11"/>
      <c r="B397" s="12"/>
      <c r="C397" s="13"/>
      <c r="D397" s="14"/>
      <c r="E397" s="14"/>
      <c r="F397" s="14"/>
      <c r="G397" s="14"/>
      <c r="H397" s="14"/>
      <c r="I397" s="14"/>
      <c r="J397" s="14"/>
      <c r="K397" s="14"/>
      <c r="L397" s="15"/>
    </row>
    <row r="398">
      <c r="A398" s="11"/>
      <c r="B398" s="12"/>
      <c r="C398" s="13"/>
      <c r="D398" s="14"/>
      <c r="E398" s="14"/>
      <c r="F398" s="14"/>
      <c r="G398" s="14"/>
      <c r="H398" s="14"/>
      <c r="I398" s="14"/>
      <c r="J398" s="14"/>
      <c r="K398" s="14"/>
      <c r="L398" s="15"/>
    </row>
    <row r="399">
      <c r="A399" s="11"/>
      <c r="B399" s="12"/>
      <c r="C399" s="13"/>
      <c r="D399" s="14"/>
      <c r="E399" s="14"/>
      <c r="F399" s="14"/>
      <c r="G399" s="14"/>
      <c r="H399" s="14"/>
      <c r="I399" s="14"/>
      <c r="J399" s="14"/>
      <c r="K399" s="14"/>
      <c r="L399" s="15"/>
    </row>
    <row r="400">
      <c r="A400" s="11"/>
      <c r="B400" s="12"/>
      <c r="C400" s="13"/>
      <c r="D400" s="14"/>
      <c r="E400" s="14"/>
      <c r="F400" s="14"/>
      <c r="G400" s="14"/>
      <c r="H400" s="14"/>
      <c r="I400" s="14"/>
      <c r="J400" s="14"/>
      <c r="K400" s="14"/>
      <c r="L400" s="15"/>
    </row>
    <row r="401">
      <c r="A401" s="11"/>
      <c r="B401" s="12"/>
      <c r="C401" s="13"/>
      <c r="D401" s="14"/>
      <c r="E401" s="14"/>
      <c r="F401" s="14"/>
      <c r="G401" s="14"/>
      <c r="H401" s="14"/>
      <c r="I401" s="14"/>
      <c r="J401" s="14"/>
      <c r="K401" s="14"/>
      <c r="L401" s="15"/>
    </row>
    <row r="402">
      <c r="A402" s="11"/>
      <c r="B402" s="12"/>
      <c r="C402" s="13"/>
      <c r="D402" s="14"/>
      <c r="E402" s="14"/>
      <c r="F402" s="14"/>
      <c r="G402" s="14"/>
      <c r="H402" s="14"/>
      <c r="I402" s="14"/>
      <c r="J402" s="14"/>
      <c r="K402" s="14"/>
      <c r="L402" s="15"/>
    </row>
    <row r="403">
      <c r="A403" s="11"/>
      <c r="B403" s="12"/>
      <c r="C403" s="13"/>
      <c r="D403" s="14"/>
      <c r="E403" s="14"/>
      <c r="F403" s="14"/>
      <c r="G403" s="14"/>
      <c r="H403" s="14"/>
      <c r="I403" s="14"/>
      <c r="J403" s="14"/>
      <c r="K403" s="14"/>
      <c r="L403" s="15"/>
    </row>
    <row r="404">
      <c r="A404" s="11"/>
      <c r="B404" s="12"/>
      <c r="C404" s="13"/>
      <c r="D404" s="14"/>
      <c r="E404" s="14"/>
      <c r="F404" s="14"/>
      <c r="G404" s="14"/>
      <c r="H404" s="14"/>
      <c r="I404" s="14"/>
      <c r="J404" s="14"/>
      <c r="K404" s="14"/>
      <c r="L404" s="15"/>
    </row>
    <row r="405">
      <c r="A405" s="11"/>
      <c r="B405" s="12"/>
      <c r="C405" s="13"/>
      <c r="D405" s="14"/>
      <c r="E405" s="14"/>
      <c r="F405" s="14"/>
      <c r="G405" s="14"/>
      <c r="H405" s="14"/>
      <c r="I405" s="14"/>
      <c r="J405" s="14"/>
      <c r="K405" s="14"/>
      <c r="L405" s="15"/>
    </row>
    <row r="406">
      <c r="A406" s="11"/>
      <c r="B406" s="12"/>
      <c r="C406" s="13"/>
      <c r="D406" s="14"/>
      <c r="E406" s="14"/>
      <c r="F406" s="14"/>
      <c r="G406" s="14"/>
      <c r="H406" s="14"/>
      <c r="I406" s="14"/>
      <c r="J406" s="14"/>
      <c r="K406" s="14"/>
      <c r="L406" s="15"/>
    </row>
    <row r="407">
      <c r="A407" s="11"/>
      <c r="B407" s="12"/>
      <c r="C407" s="13"/>
      <c r="D407" s="14"/>
      <c r="E407" s="14"/>
      <c r="F407" s="14"/>
      <c r="G407" s="14"/>
      <c r="H407" s="14"/>
      <c r="I407" s="14"/>
      <c r="J407" s="14"/>
      <c r="K407" s="14"/>
      <c r="L407" s="15"/>
    </row>
    <row r="408">
      <c r="A408" s="11"/>
      <c r="B408" s="12"/>
      <c r="C408" s="13"/>
      <c r="D408" s="14"/>
      <c r="E408" s="14"/>
      <c r="F408" s="14"/>
      <c r="G408" s="14"/>
      <c r="H408" s="14"/>
      <c r="I408" s="14"/>
      <c r="J408" s="14"/>
      <c r="K408" s="14"/>
      <c r="L408" s="15"/>
    </row>
    <row r="409">
      <c r="A409" s="11"/>
      <c r="B409" s="12"/>
      <c r="C409" s="13"/>
      <c r="D409" s="14"/>
      <c r="E409" s="14"/>
      <c r="F409" s="14"/>
      <c r="G409" s="14"/>
      <c r="H409" s="14"/>
      <c r="I409" s="14"/>
      <c r="J409" s="14"/>
      <c r="K409" s="14"/>
      <c r="L409" s="15"/>
    </row>
    <row r="410">
      <c r="A410" s="11"/>
      <c r="B410" s="12"/>
      <c r="C410" s="13"/>
      <c r="D410" s="14"/>
      <c r="E410" s="14"/>
      <c r="F410" s="14"/>
      <c r="G410" s="14"/>
      <c r="H410" s="14"/>
      <c r="I410" s="14"/>
      <c r="J410" s="14"/>
      <c r="K410" s="14"/>
      <c r="L410" s="15"/>
    </row>
    <row r="411">
      <c r="A411" s="11"/>
      <c r="B411" s="12"/>
      <c r="C411" s="13"/>
      <c r="D411" s="14"/>
      <c r="E411" s="14"/>
      <c r="F411" s="14"/>
      <c r="G411" s="14"/>
      <c r="H411" s="14"/>
      <c r="I411" s="14"/>
      <c r="J411" s="14"/>
      <c r="K411" s="14"/>
      <c r="L411" s="15"/>
    </row>
    <row r="412">
      <c r="A412" s="11"/>
      <c r="B412" s="12"/>
      <c r="C412" s="13"/>
      <c r="D412" s="14"/>
      <c r="E412" s="14"/>
      <c r="F412" s="14"/>
      <c r="G412" s="14"/>
      <c r="H412" s="14"/>
      <c r="I412" s="14"/>
      <c r="J412" s="14"/>
      <c r="K412" s="14"/>
      <c r="L412" s="15"/>
    </row>
    <row r="413">
      <c r="A413" s="11"/>
      <c r="B413" s="12"/>
      <c r="C413" s="13"/>
      <c r="D413" s="14"/>
      <c r="E413" s="14"/>
      <c r="F413" s="14"/>
      <c r="G413" s="14"/>
      <c r="H413" s="14"/>
      <c r="I413" s="14"/>
      <c r="J413" s="14"/>
      <c r="K413" s="14"/>
      <c r="L413" s="15"/>
    </row>
    <row r="414">
      <c r="A414" s="11"/>
      <c r="B414" s="12"/>
      <c r="C414" s="13"/>
      <c r="D414" s="14"/>
      <c r="E414" s="14"/>
      <c r="F414" s="14"/>
      <c r="G414" s="14"/>
      <c r="H414" s="14"/>
      <c r="I414" s="14"/>
      <c r="J414" s="14"/>
      <c r="K414" s="14"/>
      <c r="L414" s="15"/>
    </row>
    <row r="415">
      <c r="A415" s="11"/>
      <c r="B415" s="12"/>
      <c r="C415" s="13"/>
      <c r="D415" s="14"/>
      <c r="E415" s="14"/>
      <c r="F415" s="14"/>
      <c r="G415" s="14"/>
      <c r="H415" s="14"/>
      <c r="I415" s="14"/>
      <c r="J415" s="14"/>
      <c r="K415" s="14"/>
      <c r="L415" s="15"/>
    </row>
    <row r="416">
      <c r="A416" s="11"/>
      <c r="B416" s="12"/>
      <c r="C416" s="13"/>
      <c r="D416" s="14"/>
      <c r="E416" s="14"/>
      <c r="F416" s="14"/>
      <c r="G416" s="14"/>
      <c r="H416" s="14"/>
      <c r="I416" s="14"/>
      <c r="J416" s="14"/>
      <c r="K416" s="14"/>
      <c r="L416" s="15"/>
    </row>
    <row r="417">
      <c r="A417" s="11"/>
      <c r="B417" s="12"/>
      <c r="C417" s="13"/>
      <c r="D417" s="14"/>
      <c r="E417" s="14"/>
      <c r="F417" s="14"/>
      <c r="G417" s="14"/>
      <c r="H417" s="14"/>
      <c r="I417" s="14"/>
      <c r="J417" s="14"/>
      <c r="K417" s="14"/>
      <c r="L417" s="15"/>
    </row>
    <row r="418">
      <c r="A418" s="11"/>
      <c r="B418" s="12"/>
      <c r="C418" s="13"/>
      <c r="D418" s="14"/>
      <c r="E418" s="14"/>
      <c r="F418" s="14"/>
      <c r="G418" s="14"/>
      <c r="H418" s="14"/>
      <c r="I418" s="14"/>
      <c r="J418" s="14"/>
      <c r="K418" s="14"/>
      <c r="L418" s="15"/>
    </row>
    <row r="419">
      <c r="A419" s="11"/>
      <c r="B419" s="12"/>
      <c r="C419" s="13"/>
      <c r="D419" s="14"/>
      <c r="E419" s="14"/>
      <c r="F419" s="14"/>
      <c r="G419" s="14"/>
      <c r="H419" s="14"/>
      <c r="I419" s="14"/>
      <c r="J419" s="14"/>
      <c r="K419" s="14"/>
      <c r="L419" s="15"/>
    </row>
    <row r="420">
      <c r="A420" s="11"/>
      <c r="B420" s="12"/>
      <c r="C420" s="13"/>
      <c r="D420" s="14"/>
      <c r="E420" s="14"/>
      <c r="F420" s="14"/>
      <c r="G420" s="14"/>
      <c r="H420" s="14"/>
      <c r="I420" s="14"/>
      <c r="J420" s="14"/>
      <c r="K420" s="14"/>
      <c r="L420" s="15"/>
    </row>
    <row r="421">
      <c r="A421" s="11"/>
      <c r="B421" s="12"/>
      <c r="C421" s="13"/>
      <c r="D421" s="14"/>
      <c r="E421" s="14"/>
      <c r="F421" s="14"/>
      <c r="G421" s="14"/>
      <c r="H421" s="14"/>
      <c r="I421" s="14"/>
      <c r="J421" s="14"/>
      <c r="K421" s="14"/>
      <c r="L421" s="15"/>
    </row>
    <row r="422">
      <c r="A422" s="11"/>
      <c r="B422" s="12"/>
      <c r="C422" s="13"/>
      <c r="D422" s="14"/>
      <c r="E422" s="14"/>
      <c r="F422" s="14"/>
      <c r="G422" s="14"/>
      <c r="H422" s="14"/>
      <c r="I422" s="14"/>
      <c r="J422" s="14"/>
      <c r="K422" s="14"/>
      <c r="L422" s="15"/>
    </row>
    <row r="423">
      <c r="A423" s="11"/>
      <c r="B423" s="12"/>
      <c r="C423" s="13"/>
      <c r="D423" s="14"/>
      <c r="E423" s="14"/>
      <c r="F423" s="14"/>
      <c r="G423" s="14"/>
      <c r="H423" s="14"/>
      <c r="I423" s="14"/>
      <c r="J423" s="14"/>
      <c r="K423" s="14"/>
      <c r="L423" s="15"/>
    </row>
    <row r="424">
      <c r="A424" s="11"/>
      <c r="B424" s="12"/>
      <c r="C424" s="13"/>
      <c r="D424" s="14"/>
      <c r="E424" s="14"/>
      <c r="F424" s="14"/>
      <c r="G424" s="14"/>
      <c r="H424" s="14"/>
      <c r="I424" s="14"/>
      <c r="J424" s="14"/>
      <c r="K424" s="14"/>
      <c r="L424" s="15"/>
    </row>
    <row r="425">
      <c r="A425" s="11"/>
      <c r="B425" s="12"/>
      <c r="C425" s="13"/>
      <c r="D425" s="14"/>
      <c r="E425" s="14"/>
      <c r="F425" s="14"/>
      <c r="G425" s="14"/>
      <c r="H425" s="14"/>
      <c r="I425" s="14"/>
      <c r="J425" s="14"/>
      <c r="K425" s="14"/>
      <c r="L425" s="15"/>
    </row>
    <row r="426">
      <c r="A426" s="11"/>
      <c r="B426" s="12"/>
      <c r="C426" s="13"/>
      <c r="D426" s="14"/>
      <c r="E426" s="14"/>
      <c r="F426" s="14"/>
      <c r="G426" s="14"/>
      <c r="H426" s="14"/>
      <c r="I426" s="14"/>
      <c r="J426" s="14"/>
      <c r="K426" s="14"/>
      <c r="L426" s="15"/>
    </row>
    <row r="427">
      <c r="A427" s="11"/>
      <c r="B427" s="12"/>
      <c r="C427" s="13"/>
      <c r="D427" s="14"/>
      <c r="E427" s="14"/>
      <c r="F427" s="14"/>
      <c r="G427" s="14"/>
      <c r="H427" s="14"/>
      <c r="I427" s="14"/>
      <c r="J427" s="14"/>
      <c r="K427" s="14"/>
      <c r="L427" s="15"/>
    </row>
    <row r="428">
      <c r="A428" s="11"/>
      <c r="B428" s="12"/>
      <c r="C428" s="13"/>
      <c r="D428" s="14"/>
      <c r="E428" s="14"/>
      <c r="F428" s="14"/>
      <c r="G428" s="14"/>
      <c r="H428" s="14"/>
      <c r="I428" s="14"/>
      <c r="J428" s="14"/>
      <c r="K428" s="14"/>
      <c r="L428" s="15"/>
    </row>
    <row r="429">
      <c r="A429" s="11"/>
      <c r="B429" s="12"/>
      <c r="C429" s="13"/>
      <c r="D429" s="14"/>
      <c r="E429" s="14"/>
      <c r="F429" s="14"/>
      <c r="G429" s="14"/>
      <c r="H429" s="14"/>
      <c r="I429" s="14"/>
      <c r="J429" s="14"/>
      <c r="K429" s="14"/>
      <c r="L429" s="15"/>
    </row>
    <row r="430">
      <c r="A430" s="11"/>
      <c r="B430" s="12"/>
      <c r="C430" s="13"/>
      <c r="D430" s="14"/>
      <c r="E430" s="14"/>
      <c r="F430" s="14"/>
      <c r="G430" s="14"/>
      <c r="H430" s="14"/>
      <c r="I430" s="14"/>
      <c r="J430" s="14"/>
      <c r="K430" s="14"/>
      <c r="L430" s="15"/>
    </row>
    <row r="431">
      <c r="A431" s="11"/>
      <c r="B431" s="12"/>
      <c r="C431" s="13"/>
      <c r="D431" s="14"/>
      <c r="E431" s="14"/>
      <c r="F431" s="14"/>
      <c r="G431" s="14"/>
      <c r="H431" s="14"/>
      <c r="I431" s="14"/>
      <c r="J431" s="14"/>
      <c r="K431" s="14"/>
      <c r="L431" s="15"/>
    </row>
    <row r="432">
      <c r="A432" s="11"/>
      <c r="B432" s="12"/>
      <c r="C432" s="13"/>
      <c r="D432" s="14"/>
      <c r="E432" s="14"/>
      <c r="F432" s="14"/>
      <c r="G432" s="14"/>
      <c r="H432" s="14"/>
      <c r="I432" s="14"/>
      <c r="J432" s="14"/>
      <c r="K432" s="14"/>
      <c r="L432" s="15"/>
    </row>
    <row r="433">
      <c r="A433" s="11"/>
      <c r="B433" s="12"/>
      <c r="C433" s="13"/>
      <c r="D433" s="14"/>
      <c r="E433" s="14"/>
      <c r="F433" s="14"/>
      <c r="G433" s="14"/>
      <c r="H433" s="14"/>
      <c r="I433" s="14"/>
      <c r="J433" s="14"/>
      <c r="K433" s="14"/>
      <c r="L433" s="15"/>
    </row>
    <row r="434">
      <c r="A434" s="11"/>
      <c r="B434" s="12"/>
      <c r="C434" s="13"/>
      <c r="D434" s="14"/>
      <c r="E434" s="14"/>
      <c r="F434" s="14"/>
      <c r="G434" s="14"/>
      <c r="H434" s="14"/>
      <c r="I434" s="14"/>
      <c r="J434" s="14"/>
      <c r="K434" s="14"/>
      <c r="L434" s="15"/>
    </row>
    <row r="435">
      <c r="A435" s="11"/>
      <c r="B435" s="12"/>
      <c r="C435" s="13"/>
      <c r="D435" s="14"/>
      <c r="E435" s="14"/>
      <c r="F435" s="14"/>
      <c r="G435" s="14"/>
      <c r="H435" s="14"/>
      <c r="I435" s="14"/>
      <c r="J435" s="14"/>
      <c r="K435" s="14"/>
      <c r="L435" s="15"/>
    </row>
    <row r="436">
      <c r="A436" s="11"/>
      <c r="B436" s="12"/>
      <c r="C436" s="13"/>
      <c r="D436" s="14"/>
      <c r="E436" s="14"/>
      <c r="F436" s="14"/>
      <c r="G436" s="14"/>
      <c r="H436" s="14"/>
      <c r="I436" s="14"/>
      <c r="J436" s="14"/>
      <c r="K436" s="14"/>
      <c r="L436" s="15"/>
    </row>
    <row r="437">
      <c r="A437" s="11"/>
      <c r="B437" s="12"/>
      <c r="C437" s="13"/>
      <c r="D437" s="14"/>
      <c r="E437" s="14"/>
      <c r="F437" s="14"/>
      <c r="G437" s="14"/>
      <c r="H437" s="14"/>
      <c r="I437" s="14"/>
      <c r="J437" s="14"/>
      <c r="K437" s="14"/>
      <c r="L437" s="15"/>
    </row>
    <row r="438">
      <c r="A438" s="11"/>
      <c r="B438" s="12"/>
      <c r="C438" s="13"/>
      <c r="D438" s="14"/>
      <c r="E438" s="14"/>
      <c r="F438" s="14"/>
      <c r="G438" s="14"/>
      <c r="H438" s="14"/>
      <c r="I438" s="14"/>
      <c r="J438" s="14"/>
      <c r="K438" s="14"/>
      <c r="L438" s="15"/>
    </row>
    <row r="439">
      <c r="A439" s="11"/>
      <c r="B439" s="12"/>
      <c r="C439" s="13"/>
      <c r="D439" s="14"/>
      <c r="E439" s="14"/>
      <c r="F439" s="14"/>
      <c r="G439" s="14"/>
      <c r="H439" s="14"/>
      <c r="I439" s="14"/>
      <c r="J439" s="14"/>
      <c r="K439" s="14"/>
      <c r="L439" s="15"/>
    </row>
    <row r="440">
      <c r="A440" s="11"/>
      <c r="B440" s="12"/>
      <c r="C440" s="13"/>
      <c r="D440" s="14"/>
      <c r="E440" s="14"/>
      <c r="F440" s="14"/>
      <c r="G440" s="14"/>
      <c r="H440" s="14"/>
      <c r="I440" s="14"/>
      <c r="J440" s="14"/>
      <c r="K440" s="14"/>
      <c r="L440" s="15"/>
    </row>
    <row r="441">
      <c r="A441" s="11"/>
      <c r="B441" s="12"/>
      <c r="C441" s="13"/>
      <c r="D441" s="14"/>
      <c r="E441" s="14"/>
      <c r="F441" s="14"/>
      <c r="G441" s="14"/>
      <c r="H441" s="14"/>
      <c r="I441" s="14"/>
      <c r="J441" s="14"/>
      <c r="K441" s="14"/>
      <c r="L441" s="15"/>
    </row>
    <row r="442">
      <c r="A442" s="11"/>
      <c r="B442" s="12"/>
      <c r="C442" s="13"/>
      <c r="D442" s="14"/>
      <c r="E442" s="14"/>
      <c r="F442" s="14"/>
      <c r="G442" s="14"/>
      <c r="H442" s="14"/>
      <c r="I442" s="14"/>
      <c r="J442" s="14"/>
      <c r="K442" s="14"/>
      <c r="L442" s="15"/>
    </row>
    <row r="443">
      <c r="A443" s="11"/>
      <c r="B443" s="12"/>
      <c r="C443" s="13"/>
      <c r="D443" s="14"/>
      <c r="E443" s="14"/>
      <c r="F443" s="14"/>
      <c r="G443" s="14"/>
      <c r="H443" s="14"/>
      <c r="I443" s="14"/>
      <c r="J443" s="14"/>
      <c r="K443" s="14"/>
      <c r="L443" s="15"/>
    </row>
    <row r="444">
      <c r="A444" s="11"/>
      <c r="B444" s="12"/>
      <c r="C444" s="13"/>
      <c r="D444" s="14"/>
      <c r="E444" s="14"/>
      <c r="F444" s="14"/>
      <c r="G444" s="14"/>
      <c r="H444" s="14"/>
      <c r="I444" s="14"/>
      <c r="J444" s="14"/>
      <c r="K444" s="14"/>
      <c r="L444" s="15"/>
    </row>
    <row r="445">
      <c r="A445" s="11"/>
      <c r="B445" s="12"/>
      <c r="C445" s="13"/>
      <c r="D445" s="14"/>
      <c r="E445" s="14"/>
      <c r="F445" s="14"/>
      <c r="G445" s="14"/>
      <c r="H445" s="14"/>
      <c r="I445" s="14"/>
      <c r="J445" s="14"/>
      <c r="K445" s="14"/>
      <c r="L445" s="15"/>
    </row>
    <row r="446">
      <c r="A446" s="11"/>
      <c r="B446" s="12"/>
      <c r="C446" s="13"/>
      <c r="D446" s="14"/>
      <c r="E446" s="14"/>
      <c r="F446" s="14"/>
      <c r="G446" s="14"/>
      <c r="H446" s="14"/>
      <c r="I446" s="14"/>
      <c r="J446" s="14"/>
      <c r="K446" s="14"/>
      <c r="L446" s="15"/>
    </row>
    <row r="447">
      <c r="A447" s="11"/>
      <c r="B447" s="12"/>
      <c r="C447" s="13"/>
      <c r="D447" s="14"/>
      <c r="E447" s="14"/>
      <c r="F447" s="14"/>
      <c r="G447" s="14"/>
      <c r="H447" s="14"/>
      <c r="I447" s="14"/>
      <c r="J447" s="14"/>
      <c r="K447" s="14"/>
      <c r="L447" s="15"/>
    </row>
    <row r="448">
      <c r="A448" s="11"/>
      <c r="B448" s="12"/>
      <c r="C448" s="13"/>
      <c r="D448" s="14"/>
      <c r="E448" s="14"/>
      <c r="F448" s="14"/>
      <c r="G448" s="14"/>
      <c r="H448" s="14"/>
      <c r="I448" s="14"/>
      <c r="J448" s="14"/>
      <c r="K448" s="14"/>
      <c r="L448" s="15"/>
    </row>
    <row r="449">
      <c r="A449" s="11"/>
      <c r="B449" s="12"/>
      <c r="C449" s="13"/>
      <c r="D449" s="14"/>
      <c r="E449" s="14"/>
      <c r="F449" s="14"/>
      <c r="G449" s="14"/>
      <c r="H449" s="14"/>
      <c r="I449" s="14"/>
      <c r="J449" s="14"/>
      <c r="K449" s="14"/>
      <c r="L449" s="15"/>
    </row>
    <row r="450">
      <c r="A450" s="11"/>
      <c r="B450" s="12"/>
      <c r="C450" s="13"/>
      <c r="D450" s="14"/>
      <c r="E450" s="14"/>
      <c r="F450" s="14"/>
      <c r="G450" s="14"/>
      <c r="H450" s="14"/>
      <c r="I450" s="14"/>
      <c r="J450" s="14"/>
      <c r="K450" s="14"/>
      <c r="L450" s="15"/>
    </row>
    <row r="451">
      <c r="A451" s="11"/>
      <c r="B451" s="12"/>
      <c r="C451" s="13"/>
      <c r="D451" s="14"/>
      <c r="E451" s="14"/>
      <c r="F451" s="14"/>
      <c r="G451" s="14"/>
      <c r="H451" s="14"/>
      <c r="I451" s="14"/>
      <c r="J451" s="14"/>
      <c r="K451" s="14"/>
      <c r="L451" s="15"/>
    </row>
    <row r="452">
      <c r="A452" s="11"/>
      <c r="B452" s="12"/>
      <c r="C452" s="13"/>
      <c r="D452" s="14"/>
      <c r="E452" s="14"/>
      <c r="F452" s="14"/>
      <c r="G452" s="14"/>
      <c r="H452" s="14"/>
      <c r="I452" s="14"/>
      <c r="J452" s="14"/>
      <c r="K452" s="14"/>
      <c r="L452" s="15"/>
    </row>
    <row r="453">
      <c r="A453" s="11"/>
      <c r="B453" s="12"/>
      <c r="C453" s="13"/>
      <c r="D453" s="14"/>
      <c r="E453" s="14"/>
      <c r="F453" s="14"/>
      <c r="G453" s="14"/>
      <c r="H453" s="14"/>
      <c r="I453" s="14"/>
      <c r="J453" s="14"/>
      <c r="K453" s="14"/>
      <c r="L453" s="15"/>
    </row>
    <row r="454">
      <c r="A454" s="11"/>
      <c r="B454" s="12"/>
      <c r="C454" s="13"/>
      <c r="D454" s="14"/>
      <c r="E454" s="14"/>
      <c r="F454" s="14"/>
      <c r="G454" s="14"/>
      <c r="H454" s="14"/>
      <c r="I454" s="14"/>
      <c r="J454" s="14"/>
      <c r="K454" s="14"/>
      <c r="L454" s="15"/>
    </row>
    <row r="455">
      <c r="A455" s="11"/>
      <c r="B455" s="12"/>
      <c r="C455" s="13"/>
      <c r="D455" s="14"/>
      <c r="E455" s="14"/>
      <c r="F455" s="14"/>
      <c r="G455" s="14"/>
      <c r="H455" s="14"/>
      <c r="I455" s="14"/>
      <c r="J455" s="14"/>
      <c r="K455" s="14"/>
      <c r="L455" s="15"/>
    </row>
    <row r="456">
      <c r="A456" s="11"/>
      <c r="B456" s="12"/>
      <c r="C456" s="13"/>
      <c r="D456" s="14"/>
      <c r="E456" s="14"/>
      <c r="F456" s="14"/>
      <c r="G456" s="14"/>
      <c r="H456" s="14"/>
      <c r="I456" s="14"/>
      <c r="J456" s="14"/>
      <c r="K456" s="14"/>
      <c r="L456" s="15"/>
    </row>
    <row r="457">
      <c r="A457" s="11"/>
      <c r="B457" s="12"/>
      <c r="C457" s="13"/>
      <c r="D457" s="14"/>
      <c r="E457" s="14"/>
      <c r="F457" s="14"/>
      <c r="G457" s="14"/>
      <c r="H457" s="14"/>
      <c r="I457" s="14"/>
      <c r="J457" s="14"/>
      <c r="K457" s="14"/>
      <c r="L457" s="15"/>
    </row>
    <row r="458">
      <c r="A458" s="11"/>
      <c r="B458" s="12"/>
      <c r="C458" s="13"/>
      <c r="D458" s="14"/>
      <c r="E458" s="14"/>
      <c r="F458" s="14"/>
      <c r="G458" s="14"/>
      <c r="H458" s="14"/>
      <c r="I458" s="14"/>
      <c r="J458" s="14"/>
      <c r="K458" s="14"/>
      <c r="L458" s="15"/>
    </row>
    <row r="459">
      <c r="A459" s="11"/>
      <c r="B459" s="12"/>
      <c r="C459" s="13"/>
      <c r="D459" s="14"/>
      <c r="E459" s="14"/>
      <c r="F459" s="14"/>
      <c r="G459" s="14"/>
      <c r="H459" s="14"/>
      <c r="I459" s="14"/>
      <c r="J459" s="14"/>
      <c r="K459" s="14"/>
      <c r="L459" s="15"/>
    </row>
    <row r="460">
      <c r="A460" s="11"/>
      <c r="B460" s="12"/>
      <c r="C460" s="13"/>
      <c r="D460" s="14"/>
      <c r="E460" s="14"/>
      <c r="F460" s="14"/>
      <c r="G460" s="14"/>
      <c r="H460" s="14"/>
      <c r="I460" s="14"/>
      <c r="J460" s="14"/>
      <c r="K460" s="14"/>
      <c r="L460" s="15"/>
    </row>
    <row r="461">
      <c r="A461" s="11"/>
      <c r="B461" s="12"/>
      <c r="C461" s="13"/>
      <c r="D461" s="14"/>
      <c r="E461" s="14"/>
      <c r="F461" s="14"/>
      <c r="G461" s="14"/>
      <c r="H461" s="14"/>
      <c r="I461" s="14"/>
      <c r="J461" s="14"/>
      <c r="K461" s="14"/>
      <c r="L461" s="15"/>
    </row>
    <row r="462">
      <c r="A462" s="11"/>
      <c r="B462" s="12"/>
      <c r="C462" s="13"/>
      <c r="D462" s="14"/>
      <c r="E462" s="14"/>
      <c r="F462" s="14"/>
      <c r="G462" s="14"/>
      <c r="H462" s="14"/>
      <c r="I462" s="14"/>
      <c r="J462" s="14"/>
      <c r="K462" s="14"/>
      <c r="L462" s="15"/>
    </row>
    <row r="463">
      <c r="A463" s="11"/>
      <c r="B463" s="12"/>
      <c r="C463" s="13"/>
      <c r="D463" s="14"/>
      <c r="E463" s="14"/>
      <c r="F463" s="14"/>
      <c r="G463" s="14"/>
      <c r="H463" s="14"/>
      <c r="I463" s="14"/>
      <c r="J463" s="14"/>
      <c r="K463" s="14"/>
      <c r="L463" s="15"/>
    </row>
    <row r="464">
      <c r="A464" s="11"/>
      <c r="B464" s="12"/>
      <c r="C464" s="13"/>
      <c r="D464" s="14"/>
      <c r="E464" s="14"/>
      <c r="F464" s="14"/>
      <c r="G464" s="14"/>
      <c r="H464" s="14"/>
      <c r="I464" s="14"/>
      <c r="J464" s="14"/>
      <c r="K464" s="14"/>
      <c r="L464" s="15"/>
    </row>
    <row r="465">
      <c r="A465" s="11"/>
      <c r="B465" s="12"/>
      <c r="C465" s="13"/>
      <c r="D465" s="14"/>
      <c r="E465" s="14"/>
      <c r="F465" s="14"/>
      <c r="G465" s="14"/>
      <c r="H465" s="14"/>
      <c r="I465" s="14"/>
      <c r="J465" s="14"/>
      <c r="K465" s="14"/>
      <c r="L465" s="15"/>
    </row>
    <row r="466">
      <c r="A466" s="11"/>
      <c r="B466" s="12"/>
      <c r="C466" s="13"/>
      <c r="D466" s="14"/>
      <c r="E466" s="14"/>
      <c r="F466" s="14"/>
      <c r="G466" s="14"/>
      <c r="H466" s="14"/>
      <c r="I466" s="14"/>
      <c r="J466" s="14"/>
      <c r="K466" s="14"/>
      <c r="L466" s="15"/>
    </row>
    <row r="467">
      <c r="A467" s="11"/>
      <c r="B467" s="12"/>
      <c r="C467" s="13"/>
      <c r="D467" s="14"/>
      <c r="E467" s="14"/>
      <c r="F467" s="14"/>
      <c r="G467" s="14"/>
      <c r="H467" s="14"/>
      <c r="I467" s="14"/>
      <c r="J467" s="14"/>
      <c r="K467" s="14"/>
      <c r="L467" s="15"/>
    </row>
    <row r="468">
      <c r="A468" s="11"/>
      <c r="B468" s="12"/>
      <c r="C468" s="13"/>
      <c r="D468" s="14"/>
      <c r="E468" s="14"/>
      <c r="F468" s="14"/>
      <c r="G468" s="14"/>
      <c r="H468" s="14"/>
      <c r="I468" s="14"/>
      <c r="J468" s="14"/>
      <c r="K468" s="14"/>
      <c r="L468" s="15"/>
    </row>
    <row r="469">
      <c r="A469" s="11"/>
      <c r="B469" s="12"/>
      <c r="C469" s="13"/>
      <c r="D469" s="14"/>
      <c r="E469" s="14"/>
      <c r="F469" s="14"/>
      <c r="G469" s="14"/>
      <c r="H469" s="14"/>
      <c r="I469" s="14"/>
      <c r="J469" s="14"/>
      <c r="K469" s="14"/>
      <c r="L469" s="15"/>
    </row>
    <row r="470">
      <c r="A470" s="11"/>
      <c r="B470" s="12"/>
      <c r="C470" s="13"/>
      <c r="D470" s="14"/>
      <c r="E470" s="14"/>
      <c r="F470" s="14"/>
      <c r="G470" s="14"/>
      <c r="H470" s="14"/>
      <c r="I470" s="14"/>
      <c r="J470" s="14"/>
      <c r="K470" s="14"/>
      <c r="L470" s="15"/>
    </row>
    <row r="471">
      <c r="A471" s="11"/>
      <c r="B471" s="12"/>
      <c r="C471" s="13"/>
      <c r="D471" s="14"/>
      <c r="E471" s="14"/>
      <c r="F471" s="14"/>
      <c r="G471" s="14"/>
      <c r="H471" s="14"/>
      <c r="I471" s="14"/>
      <c r="J471" s="14"/>
      <c r="K471" s="14"/>
      <c r="L471" s="15"/>
    </row>
    <row r="472">
      <c r="A472" s="11"/>
      <c r="B472" s="12"/>
      <c r="C472" s="13"/>
      <c r="D472" s="14"/>
      <c r="E472" s="14"/>
      <c r="F472" s="14"/>
      <c r="G472" s="14"/>
      <c r="H472" s="14"/>
      <c r="I472" s="14"/>
      <c r="J472" s="14"/>
      <c r="K472" s="14"/>
      <c r="L472" s="15"/>
    </row>
    <row r="473">
      <c r="A473" s="11"/>
      <c r="B473" s="12"/>
      <c r="C473" s="13"/>
      <c r="D473" s="14"/>
      <c r="E473" s="14"/>
      <c r="F473" s="14"/>
      <c r="G473" s="14"/>
      <c r="H473" s="14"/>
      <c r="I473" s="14"/>
      <c r="J473" s="14"/>
      <c r="K473" s="14"/>
      <c r="L473" s="15"/>
    </row>
    <row r="474">
      <c r="A474" s="11"/>
      <c r="B474" s="12"/>
      <c r="C474" s="13"/>
      <c r="D474" s="14"/>
      <c r="E474" s="14"/>
      <c r="F474" s="14"/>
      <c r="G474" s="14"/>
      <c r="H474" s="14"/>
      <c r="I474" s="14"/>
      <c r="J474" s="14"/>
      <c r="K474" s="14"/>
      <c r="L474" s="15"/>
    </row>
    <row r="475">
      <c r="A475" s="11"/>
      <c r="B475" s="12"/>
      <c r="C475" s="13"/>
      <c r="D475" s="14"/>
      <c r="E475" s="14"/>
      <c r="F475" s="14"/>
      <c r="G475" s="14"/>
      <c r="H475" s="14"/>
      <c r="I475" s="14"/>
      <c r="J475" s="14"/>
      <c r="K475" s="14"/>
      <c r="L475" s="15"/>
    </row>
    <row r="476">
      <c r="A476" s="11"/>
      <c r="B476" s="12"/>
      <c r="C476" s="13"/>
      <c r="D476" s="14"/>
      <c r="E476" s="14"/>
      <c r="F476" s="14"/>
      <c r="G476" s="14"/>
      <c r="H476" s="14"/>
      <c r="I476" s="14"/>
      <c r="J476" s="14"/>
      <c r="K476" s="14"/>
      <c r="L476" s="15"/>
    </row>
    <row r="477">
      <c r="A477" s="11"/>
      <c r="B477" s="12"/>
      <c r="C477" s="13"/>
      <c r="D477" s="14"/>
      <c r="E477" s="14"/>
      <c r="F477" s="14"/>
      <c r="G477" s="14"/>
      <c r="H477" s="14"/>
      <c r="I477" s="14"/>
      <c r="J477" s="14"/>
      <c r="K477" s="14"/>
      <c r="L477" s="15"/>
    </row>
    <row r="478">
      <c r="A478" s="11"/>
      <c r="B478" s="12"/>
      <c r="C478" s="13"/>
      <c r="D478" s="14"/>
      <c r="E478" s="14"/>
      <c r="F478" s="14"/>
      <c r="G478" s="14"/>
      <c r="H478" s="14"/>
      <c r="I478" s="14"/>
      <c r="J478" s="14"/>
      <c r="K478" s="14"/>
      <c r="L478" s="15"/>
    </row>
    <row r="479">
      <c r="A479" s="11"/>
      <c r="B479" s="12"/>
      <c r="C479" s="13"/>
      <c r="D479" s="14"/>
      <c r="E479" s="14"/>
      <c r="F479" s="14"/>
      <c r="G479" s="14"/>
      <c r="H479" s="14"/>
      <c r="I479" s="14"/>
      <c r="J479" s="14"/>
      <c r="K479" s="14"/>
      <c r="L479" s="15"/>
    </row>
    <row r="480">
      <c r="A480" s="11"/>
      <c r="B480" s="12"/>
      <c r="C480" s="13"/>
      <c r="D480" s="14"/>
      <c r="E480" s="14"/>
      <c r="F480" s="14"/>
      <c r="G480" s="14"/>
      <c r="H480" s="14"/>
      <c r="I480" s="14"/>
      <c r="J480" s="14"/>
      <c r="K480" s="14"/>
      <c r="L480" s="15"/>
    </row>
    <row r="481">
      <c r="A481" s="11"/>
      <c r="B481" s="12"/>
      <c r="C481" s="13"/>
      <c r="D481" s="14"/>
      <c r="E481" s="14"/>
      <c r="F481" s="14"/>
      <c r="G481" s="14"/>
      <c r="H481" s="14"/>
      <c r="I481" s="14"/>
      <c r="J481" s="14"/>
      <c r="K481" s="14"/>
      <c r="L481" s="15"/>
    </row>
    <row r="482">
      <c r="A482" s="11"/>
      <c r="B482" s="12"/>
      <c r="C482" s="13"/>
      <c r="D482" s="14"/>
      <c r="E482" s="14"/>
      <c r="F482" s="14"/>
      <c r="G482" s="14"/>
      <c r="H482" s="14"/>
      <c r="I482" s="14"/>
      <c r="J482" s="14"/>
      <c r="K482" s="14"/>
      <c r="L482" s="15"/>
    </row>
    <row r="483">
      <c r="A483" s="11"/>
      <c r="B483" s="12"/>
      <c r="C483" s="13"/>
      <c r="D483" s="14"/>
      <c r="E483" s="14"/>
      <c r="F483" s="14"/>
      <c r="G483" s="14"/>
      <c r="H483" s="14"/>
      <c r="I483" s="14"/>
      <c r="J483" s="14"/>
      <c r="K483" s="14"/>
      <c r="L483" s="15"/>
    </row>
    <row r="484">
      <c r="A484" s="11"/>
      <c r="B484" s="12"/>
      <c r="C484" s="13"/>
      <c r="D484" s="14"/>
      <c r="E484" s="14"/>
      <c r="F484" s="14"/>
      <c r="G484" s="14"/>
      <c r="H484" s="14"/>
      <c r="I484" s="14"/>
      <c r="J484" s="14"/>
      <c r="K484" s="14"/>
      <c r="L484" s="15"/>
    </row>
    <row r="485">
      <c r="A485" s="11"/>
      <c r="B485" s="12"/>
      <c r="C485" s="13"/>
      <c r="D485" s="14"/>
      <c r="E485" s="14"/>
      <c r="F485" s="14"/>
      <c r="G485" s="14"/>
      <c r="H485" s="14"/>
      <c r="I485" s="14"/>
      <c r="J485" s="14"/>
      <c r="K485" s="14"/>
      <c r="L485" s="15"/>
    </row>
    <row r="486">
      <c r="A486" s="11"/>
      <c r="B486" s="12"/>
      <c r="C486" s="13"/>
      <c r="D486" s="14"/>
      <c r="E486" s="14"/>
      <c r="F486" s="14"/>
      <c r="G486" s="14"/>
      <c r="H486" s="14"/>
      <c r="I486" s="14"/>
      <c r="J486" s="14"/>
      <c r="K486" s="14"/>
      <c r="L486" s="15"/>
    </row>
    <row r="487">
      <c r="A487" s="11"/>
      <c r="B487" s="12"/>
      <c r="C487" s="13"/>
      <c r="D487" s="14"/>
      <c r="E487" s="14"/>
      <c r="F487" s="14"/>
      <c r="G487" s="14"/>
      <c r="H487" s="14"/>
      <c r="I487" s="14"/>
      <c r="J487" s="14"/>
      <c r="K487" s="14"/>
      <c r="L487" s="15"/>
    </row>
    <row r="488">
      <c r="A488" s="11"/>
      <c r="B488" s="12"/>
      <c r="C488" s="13"/>
      <c r="D488" s="14"/>
      <c r="E488" s="14"/>
      <c r="F488" s="14"/>
      <c r="G488" s="14"/>
      <c r="H488" s="14"/>
      <c r="I488" s="14"/>
      <c r="J488" s="14"/>
      <c r="K488" s="14"/>
      <c r="L488" s="15"/>
    </row>
    <row r="489">
      <c r="A489" s="11"/>
      <c r="B489" s="12"/>
      <c r="C489" s="13"/>
      <c r="D489" s="14"/>
      <c r="E489" s="14"/>
      <c r="F489" s="14"/>
      <c r="G489" s="14"/>
      <c r="H489" s="14"/>
      <c r="I489" s="14"/>
      <c r="J489" s="14"/>
      <c r="K489" s="14"/>
      <c r="L489" s="15"/>
    </row>
    <row r="490">
      <c r="A490" s="11"/>
      <c r="B490" s="12"/>
      <c r="C490" s="13"/>
      <c r="D490" s="14"/>
      <c r="E490" s="14"/>
      <c r="F490" s="14"/>
      <c r="G490" s="14"/>
      <c r="H490" s="14"/>
      <c r="I490" s="14"/>
      <c r="J490" s="14"/>
      <c r="K490" s="14"/>
      <c r="L490" s="15"/>
    </row>
    <row r="491">
      <c r="A491" s="11"/>
      <c r="B491" s="12"/>
      <c r="C491" s="13"/>
      <c r="D491" s="14"/>
      <c r="E491" s="14"/>
      <c r="F491" s="14"/>
      <c r="G491" s="14"/>
      <c r="H491" s="14"/>
      <c r="I491" s="14"/>
      <c r="J491" s="14"/>
      <c r="K491" s="14"/>
      <c r="L491" s="15"/>
    </row>
    <row r="492">
      <c r="A492" s="11"/>
      <c r="B492" s="12"/>
      <c r="C492" s="13"/>
      <c r="D492" s="14"/>
      <c r="E492" s="14"/>
      <c r="F492" s="14"/>
      <c r="G492" s="14"/>
      <c r="H492" s="14"/>
      <c r="I492" s="14"/>
      <c r="J492" s="14"/>
      <c r="K492" s="14"/>
      <c r="L492" s="15"/>
    </row>
    <row r="493">
      <c r="A493" s="11"/>
      <c r="B493" s="12"/>
      <c r="C493" s="13"/>
      <c r="D493" s="14"/>
      <c r="E493" s="14"/>
      <c r="F493" s="14"/>
      <c r="G493" s="14"/>
      <c r="H493" s="14"/>
      <c r="I493" s="14"/>
      <c r="J493" s="14"/>
      <c r="K493" s="14"/>
      <c r="L493" s="15"/>
    </row>
    <row r="494">
      <c r="A494" s="11"/>
      <c r="B494" s="12"/>
      <c r="C494" s="13"/>
      <c r="D494" s="14"/>
      <c r="E494" s="14"/>
      <c r="F494" s="14"/>
      <c r="G494" s="14"/>
      <c r="H494" s="14"/>
      <c r="I494" s="14"/>
      <c r="J494" s="14"/>
      <c r="K494" s="14"/>
      <c r="L494" s="15"/>
    </row>
    <row r="495">
      <c r="A495" s="11"/>
      <c r="B495" s="12"/>
      <c r="C495" s="13"/>
      <c r="D495" s="14"/>
      <c r="E495" s="14"/>
      <c r="F495" s="14"/>
      <c r="G495" s="14"/>
      <c r="H495" s="14"/>
      <c r="I495" s="14"/>
      <c r="J495" s="14"/>
      <c r="K495" s="14"/>
      <c r="L495" s="15"/>
    </row>
    <row r="496">
      <c r="A496" s="11"/>
      <c r="B496" s="12"/>
      <c r="C496" s="13"/>
      <c r="D496" s="14"/>
      <c r="E496" s="14"/>
      <c r="F496" s="14"/>
      <c r="G496" s="14"/>
      <c r="H496" s="14"/>
      <c r="I496" s="14"/>
      <c r="J496" s="14"/>
      <c r="K496" s="14"/>
      <c r="L496" s="15"/>
    </row>
    <row r="497">
      <c r="A497" s="11"/>
      <c r="B497" s="12"/>
      <c r="C497" s="13"/>
      <c r="D497" s="14"/>
      <c r="E497" s="14"/>
      <c r="F497" s="14"/>
      <c r="G497" s="14"/>
      <c r="H497" s="14"/>
      <c r="I497" s="14"/>
      <c r="J497" s="14"/>
      <c r="K497" s="14"/>
      <c r="L497" s="15"/>
    </row>
    <row r="498">
      <c r="A498" s="11"/>
      <c r="B498" s="12"/>
      <c r="C498" s="13"/>
      <c r="D498" s="14"/>
      <c r="E498" s="14"/>
      <c r="F498" s="14"/>
      <c r="G498" s="14"/>
      <c r="H498" s="14"/>
      <c r="I498" s="14"/>
      <c r="J498" s="14"/>
      <c r="K498" s="14"/>
      <c r="L498" s="15"/>
    </row>
    <row r="499">
      <c r="A499" s="11"/>
      <c r="B499" s="12"/>
      <c r="C499" s="13"/>
      <c r="D499" s="14"/>
      <c r="E499" s="14"/>
      <c r="F499" s="14"/>
      <c r="G499" s="14"/>
      <c r="H499" s="14"/>
      <c r="I499" s="14"/>
      <c r="J499" s="14"/>
      <c r="K499" s="14"/>
      <c r="L499" s="15"/>
    </row>
    <row r="500">
      <c r="A500" s="11"/>
      <c r="B500" s="12"/>
      <c r="C500" s="13"/>
      <c r="D500" s="14"/>
      <c r="E500" s="14"/>
      <c r="F500" s="14"/>
      <c r="G500" s="14"/>
      <c r="H500" s="14"/>
      <c r="I500" s="14"/>
      <c r="J500" s="14"/>
      <c r="K500" s="14"/>
      <c r="L500" s="15"/>
    </row>
    <row r="501">
      <c r="A501" s="11"/>
      <c r="B501" s="12"/>
      <c r="C501" s="13"/>
      <c r="D501" s="14"/>
      <c r="E501" s="14"/>
      <c r="F501" s="14"/>
      <c r="G501" s="14"/>
      <c r="H501" s="14"/>
      <c r="I501" s="14"/>
      <c r="J501" s="14"/>
      <c r="K501" s="14"/>
      <c r="L501" s="15"/>
    </row>
    <row r="502">
      <c r="A502" s="11"/>
      <c r="B502" s="12"/>
      <c r="C502" s="13"/>
      <c r="D502" s="14"/>
      <c r="E502" s="14"/>
      <c r="F502" s="14"/>
      <c r="G502" s="14"/>
      <c r="H502" s="14"/>
      <c r="I502" s="14"/>
      <c r="J502" s="14"/>
      <c r="K502" s="14"/>
      <c r="L502" s="15"/>
    </row>
    <row r="503">
      <c r="A503" s="11"/>
      <c r="B503" s="12"/>
      <c r="C503" s="13"/>
      <c r="D503" s="14"/>
      <c r="E503" s="14"/>
      <c r="F503" s="14"/>
      <c r="G503" s="14"/>
      <c r="H503" s="14"/>
      <c r="I503" s="14"/>
      <c r="J503" s="14"/>
      <c r="K503" s="14"/>
      <c r="L503" s="15"/>
    </row>
    <row r="504">
      <c r="A504" s="11"/>
      <c r="B504" s="12"/>
      <c r="C504" s="13"/>
      <c r="D504" s="14"/>
      <c r="E504" s="14"/>
      <c r="F504" s="14"/>
      <c r="G504" s="14"/>
      <c r="H504" s="14"/>
      <c r="I504" s="14"/>
      <c r="J504" s="14"/>
      <c r="K504" s="14"/>
      <c r="L504" s="15"/>
    </row>
    <row r="505">
      <c r="A505" s="11"/>
      <c r="B505" s="12"/>
      <c r="C505" s="13"/>
      <c r="D505" s="14"/>
      <c r="E505" s="14"/>
      <c r="F505" s="14"/>
      <c r="G505" s="14"/>
      <c r="H505" s="14"/>
      <c r="I505" s="14"/>
      <c r="J505" s="14"/>
      <c r="K505" s="14"/>
      <c r="L505" s="15"/>
    </row>
    <row r="506">
      <c r="A506" s="11"/>
      <c r="B506" s="12"/>
      <c r="C506" s="13"/>
      <c r="D506" s="14"/>
      <c r="E506" s="14"/>
      <c r="F506" s="14"/>
      <c r="G506" s="14"/>
      <c r="H506" s="14"/>
      <c r="I506" s="14"/>
      <c r="J506" s="14"/>
      <c r="K506" s="14"/>
      <c r="L506" s="15"/>
    </row>
    <row r="507">
      <c r="A507" s="11"/>
      <c r="B507" s="12"/>
      <c r="C507" s="13"/>
      <c r="D507" s="14"/>
      <c r="E507" s="14"/>
      <c r="F507" s="14"/>
      <c r="G507" s="14"/>
      <c r="H507" s="14"/>
      <c r="I507" s="14"/>
      <c r="J507" s="14"/>
      <c r="K507" s="14"/>
      <c r="L507" s="15"/>
    </row>
    <row r="508">
      <c r="A508" s="11"/>
      <c r="B508" s="12"/>
      <c r="C508" s="13"/>
      <c r="D508" s="14"/>
      <c r="E508" s="14"/>
      <c r="F508" s="14"/>
      <c r="G508" s="14"/>
      <c r="H508" s="14"/>
      <c r="I508" s="14"/>
      <c r="J508" s="14"/>
      <c r="K508" s="14"/>
      <c r="L508" s="15"/>
    </row>
    <row r="509">
      <c r="A509" s="11"/>
      <c r="B509" s="12"/>
      <c r="C509" s="13"/>
      <c r="D509" s="14"/>
      <c r="E509" s="14"/>
      <c r="F509" s="14"/>
      <c r="G509" s="14"/>
      <c r="H509" s="14"/>
      <c r="I509" s="14"/>
      <c r="J509" s="14"/>
      <c r="K509" s="14"/>
      <c r="L509" s="15"/>
    </row>
    <row r="510">
      <c r="A510" s="11"/>
      <c r="B510" s="12"/>
      <c r="C510" s="13"/>
      <c r="D510" s="14"/>
      <c r="E510" s="14"/>
      <c r="F510" s="14"/>
      <c r="G510" s="14"/>
      <c r="H510" s="14"/>
      <c r="I510" s="14"/>
      <c r="J510" s="14"/>
      <c r="K510" s="14"/>
      <c r="L510" s="15"/>
    </row>
    <row r="511">
      <c r="A511" s="11"/>
      <c r="B511" s="12"/>
      <c r="C511" s="13"/>
      <c r="D511" s="14"/>
      <c r="E511" s="14"/>
      <c r="F511" s="14"/>
      <c r="G511" s="14"/>
      <c r="H511" s="14"/>
      <c r="I511" s="14"/>
      <c r="J511" s="14"/>
      <c r="K511" s="14"/>
      <c r="L511" s="15"/>
    </row>
    <row r="512">
      <c r="A512" s="11"/>
      <c r="B512" s="12"/>
      <c r="C512" s="13"/>
      <c r="D512" s="14"/>
      <c r="E512" s="14"/>
      <c r="F512" s="14"/>
      <c r="G512" s="14"/>
      <c r="H512" s="14"/>
      <c r="I512" s="14"/>
      <c r="J512" s="14"/>
      <c r="K512" s="14"/>
      <c r="L512" s="15"/>
    </row>
    <row r="513">
      <c r="A513" s="11"/>
      <c r="B513" s="12"/>
      <c r="C513" s="13"/>
      <c r="D513" s="14"/>
      <c r="E513" s="14"/>
      <c r="F513" s="14"/>
      <c r="G513" s="14"/>
      <c r="H513" s="14"/>
      <c r="I513" s="14"/>
      <c r="J513" s="14"/>
      <c r="K513" s="14"/>
      <c r="L513" s="15"/>
    </row>
    <row r="514">
      <c r="A514" s="11"/>
      <c r="B514" s="12"/>
      <c r="C514" s="13"/>
      <c r="D514" s="14"/>
      <c r="E514" s="14"/>
      <c r="F514" s="14"/>
      <c r="G514" s="14"/>
      <c r="H514" s="14"/>
      <c r="I514" s="14"/>
      <c r="J514" s="14"/>
      <c r="K514" s="14"/>
      <c r="L514" s="15"/>
    </row>
    <row r="515">
      <c r="A515" s="11"/>
      <c r="B515" s="12"/>
      <c r="C515" s="13"/>
      <c r="D515" s="14"/>
      <c r="E515" s="14"/>
      <c r="F515" s="14"/>
      <c r="G515" s="14"/>
      <c r="H515" s="14"/>
      <c r="I515" s="14"/>
      <c r="J515" s="14"/>
      <c r="K515" s="14"/>
      <c r="L515" s="15"/>
    </row>
    <row r="516">
      <c r="A516" s="11"/>
      <c r="B516" s="12"/>
      <c r="C516" s="13"/>
      <c r="D516" s="14"/>
      <c r="E516" s="14"/>
      <c r="F516" s="14"/>
      <c r="G516" s="14"/>
      <c r="H516" s="14"/>
      <c r="I516" s="14"/>
      <c r="J516" s="14"/>
      <c r="K516" s="14"/>
      <c r="L516" s="15"/>
    </row>
    <row r="517">
      <c r="A517" s="11"/>
      <c r="B517" s="12"/>
      <c r="C517" s="13"/>
      <c r="D517" s="14"/>
      <c r="E517" s="14"/>
      <c r="F517" s="14"/>
      <c r="G517" s="14"/>
      <c r="H517" s="14"/>
      <c r="I517" s="14"/>
      <c r="J517" s="14"/>
      <c r="K517" s="14"/>
      <c r="L517" s="15"/>
    </row>
    <row r="518">
      <c r="A518" s="11"/>
      <c r="B518" s="12"/>
      <c r="C518" s="13"/>
      <c r="D518" s="14"/>
      <c r="E518" s="14"/>
      <c r="F518" s="14"/>
      <c r="G518" s="14"/>
      <c r="H518" s="14"/>
      <c r="I518" s="14"/>
      <c r="J518" s="14"/>
      <c r="K518" s="14"/>
      <c r="L518" s="15"/>
    </row>
    <row r="519">
      <c r="A519" s="11"/>
      <c r="B519" s="12"/>
      <c r="C519" s="13"/>
      <c r="D519" s="14"/>
      <c r="E519" s="14"/>
      <c r="F519" s="14"/>
      <c r="G519" s="14"/>
      <c r="H519" s="14"/>
      <c r="I519" s="14"/>
      <c r="J519" s="14"/>
      <c r="K519" s="14"/>
      <c r="L519" s="15"/>
    </row>
    <row r="520">
      <c r="A520" s="11"/>
      <c r="B520" s="12"/>
      <c r="C520" s="13"/>
      <c r="D520" s="14"/>
      <c r="E520" s="14"/>
      <c r="F520" s="14"/>
      <c r="G520" s="14"/>
      <c r="H520" s="14"/>
      <c r="I520" s="14"/>
      <c r="J520" s="14"/>
      <c r="K520" s="14"/>
      <c r="L520" s="15"/>
    </row>
    <row r="521">
      <c r="A521" s="11"/>
      <c r="B521" s="12"/>
      <c r="C521" s="13"/>
      <c r="D521" s="14"/>
      <c r="E521" s="14"/>
      <c r="F521" s="14"/>
      <c r="G521" s="14"/>
      <c r="H521" s="14"/>
      <c r="I521" s="14"/>
      <c r="J521" s="14"/>
      <c r="K521" s="14"/>
      <c r="L521" s="15"/>
    </row>
    <row r="522">
      <c r="A522" s="11"/>
      <c r="B522" s="12"/>
      <c r="C522" s="13"/>
      <c r="D522" s="14"/>
      <c r="E522" s="14"/>
      <c r="F522" s="14"/>
      <c r="G522" s="14"/>
      <c r="H522" s="14"/>
      <c r="I522" s="14"/>
      <c r="J522" s="14"/>
      <c r="K522" s="14"/>
      <c r="L522" s="15"/>
    </row>
    <row r="523">
      <c r="A523" s="11"/>
      <c r="B523" s="12"/>
      <c r="C523" s="13"/>
      <c r="D523" s="14"/>
      <c r="E523" s="14"/>
      <c r="F523" s="14"/>
      <c r="G523" s="14"/>
      <c r="H523" s="14"/>
      <c r="I523" s="14"/>
      <c r="J523" s="14"/>
      <c r="K523" s="14"/>
      <c r="L523" s="15"/>
    </row>
    <row r="524">
      <c r="A524" s="11"/>
      <c r="B524" s="12"/>
      <c r="C524" s="13"/>
      <c r="D524" s="14"/>
      <c r="E524" s="14"/>
      <c r="F524" s="14"/>
      <c r="G524" s="14"/>
      <c r="H524" s="14"/>
      <c r="I524" s="14"/>
      <c r="J524" s="14"/>
      <c r="K524" s="14"/>
      <c r="L524" s="15"/>
    </row>
    <row r="525">
      <c r="A525" s="11"/>
      <c r="B525" s="12"/>
      <c r="C525" s="13"/>
      <c r="D525" s="14"/>
      <c r="E525" s="14"/>
      <c r="F525" s="14"/>
      <c r="G525" s="14"/>
      <c r="H525" s="14"/>
      <c r="I525" s="14"/>
      <c r="J525" s="14"/>
      <c r="K525" s="14"/>
      <c r="L525" s="15"/>
    </row>
    <row r="526">
      <c r="A526" s="11"/>
      <c r="B526" s="12"/>
      <c r="C526" s="13"/>
      <c r="D526" s="14"/>
      <c r="E526" s="14"/>
      <c r="F526" s="14"/>
      <c r="G526" s="14"/>
      <c r="H526" s="14"/>
      <c r="I526" s="14"/>
      <c r="J526" s="14"/>
      <c r="K526" s="14"/>
      <c r="L526" s="15"/>
    </row>
    <row r="527">
      <c r="A527" s="11"/>
      <c r="B527" s="12"/>
      <c r="C527" s="13"/>
      <c r="D527" s="14"/>
      <c r="E527" s="14"/>
      <c r="F527" s="14"/>
      <c r="G527" s="14"/>
      <c r="H527" s="14"/>
      <c r="I527" s="14"/>
      <c r="J527" s="14"/>
      <c r="K527" s="14"/>
      <c r="L527" s="15"/>
    </row>
    <row r="528">
      <c r="A528" s="11"/>
      <c r="B528" s="12"/>
      <c r="C528" s="13"/>
      <c r="D528" s="14"/>
      <c r="E528" s="14"/>
      <c r="F528" s="14"/>
      <c r="G528" s="14"/>
      <c r="H528" s="14"/>
      <c r="I528" s="14"/>
      <c r="J528" s="14"/>
      <c r="K528" s="14"/>
      <c r="L528" s="15"/>
    </row>
    <row r="529">
      <c r="A529" s="11"/>
      <c r="B529" s="12"/>
      <c r="C529" s="13"/>
      <c r="D529" s="14"/>
      <c r="E529" s="14"/>
      <c r="F529" s="14"/>
      <c r="G529" s="14"/>
      <c r="H529" s="14"/>
      <c r="I529" s="14"/>
      <c r="J529" s="14"/>
      <c r="K529" s="14"/>
      <c r="L529" s="15"/>
    </row>
    <row r="530">
      <c r="A530" s="11"/>
      <c r="B530" s="12"/>
      <c r="C530" s="13"/>
      <c r="D530" s="14"/>
      <c r="E530" s="14"/>
      <c r="F530" s="14"/>
      <c r="G530" s="14"/>
      <c r="H530" s="14"/>
      <c r="I530" s="14"/>
      <c r="J530" s="14"/>
      <c r="K530" s="14"/>
      <c r="L530" s="15"/>
    </row>
    <row r="531">
      <c r="A531" s="11"/>
      <c r="B531" s="12"/>
      <c r="C531" s="13"/>
      <c r="D531" s="14"/>
      <c r="E531" s="14"/>
      <c r="F531" s="14"/>
      <c r="G531" s="14"/>
      <c r="H531" s="14"/>
      <c r="I531" s="14"/>
      <c r="J531" s="14"/>
      <c r="K531" s="14"/>
      <c r="L531" s="15"/>
    </row>
    <row r="532">
      <c r="A532" s="11"/>
      <c r="B532" s="12"/>
      <c r="C532" s="13"/>
      <c r="D532" s="14"/>
      <c r="E532" s="14"/>
      <c r="F532" s="14"/>
      <c r="G532" s="14"/>
      <c r="H532" s="14"/>
      <c r="I532" s="14"/>
      <c r="J532" s="14"/>
      <c r="K532" s="14"/>
      <c r="L532" s="15"/>
    </row>
    <row r="533">
      <c r="A533" s="11"/>
      <c r="B533" s="12"/>
      <c r="C533" s="13"/>
      <c r="D533" s="14"/>
      <c r="E533" s="14"/>
      <c r="F533" s="14"/>
      <c r="G533" s="14"/>
      <c r="H533" s="14"/>
      <c r="I533" s="14"/>
      <c r="J533" s="14"/>
      <c r="K533" s="14"/>
      <c r="L533" s="15"/>
    </row>
    <row r="534">
      <c r="A534" s="11"/>
      <c r="B534" s="12"/>
      <c r="C534" s="13"/>
      <c r="D534" s="14"/>
      <c r="E534" s="14"/>
      <c r="F534" s="14"/>
      <c r="G534" s="14"/>
      <c r="H534" s="14"/>
      <c r="I534" s="14"/>
      <c r="J534" s="14"/>
      <c r="K534" s="14"/>
      <c r="L534" s="15"/>
    </row>
    <row r="535">
      <c r="A535" s="11"/>
      <c r="B535" s="12"/>
      <c r="C535" s="13"/>
      <c r="D535" s="14"/>
      <c r="E535" s="14"/>
      <c r="F535" s="14"/>
      <c r="G535" s="14"/>
      <c r="H535" s="14"/>
      <c r="I535" s="14"/>
      <c r="J535" s="14"/>
      <c r="K535" s="14"/>
      <c r="L535" s="15"/>
    </row>
    <row r="536">
      <c r="A536" s="11"/>
      <c r="B536" s="12"/>
      <c r="C536" s="13"/>
      <c r="D536" s="14"/>
      <c r="E536" s="14"/>
      <c r="F536" s="14"/>
      <c r="G536" s="14"/>
      <c r="H536" s="14"/>
      <c r="I536" s="14"/>
      <c r="J536" s="14"/>
      <c r="K536" s="14"/>
      <c r="L536" s="15"/>
    </row>
    <row r="537">
      <c r="A537" s="11"/>
      <c r="B537" s="12"/>
      <c r="C537" s="13"/>
      <c r="D537" s="14"/>
      <c r="E537" s="14"/>
      <c r="F537" s="14"/>
      <c r="G537" s="14"/>
      <c r="H537" s="14"/>
      <c r="I537" s="14"/>
      <c r="J537" s="14"/>
      <c r="K537" s="14"/>
      <c r="L537" s="15"/>
    </row>
    <row r="538">
      <c r="A538" s="11"/>
      <c r="B538" s="12"/>
      <c r="C538" s="13"/>
      <c r="D538" s="14"/>
      <c r="E538" s="14"/>
      <c r="F538" s="14"/>
      <c r="G538" s="14"/>
      <c r="H538" s="14"/>
      <c r="I538" s="14"/>
      <c r="J538" s="14"/>
      <c r="K538" s="14"/>
      <c r="L538" s="15"/>
    </row>
    <row r="539">
      <c r="A539" s="11"/>
      <c r="B539" s="12"/>
      <c r="C539" s="13"/>
      <c r="D539" s="14"/>
      <c r="E539" s="14"/>
      <c r="F539" s="14"/>
      <c r="G539" s="14"/>
      <c r="H539" s="14"/>
      <c r="I539" s="14"/>
      <c r="J539" s="14"/>
      <c r="K539" s="14"/>
      <c r="L539" s="15"/>
    </row>
    <row r="540">
      <c r="A540" s="11"/>
      <c r="B540" s="12"/>
      <c r="C540" s="13"/>
      <c r="D540" s="14"/>
      <c r="E540" s="14"/>
      <c r="F540" s="14"/>
      <c r="G540" s="14"/>
      <c r="H540" s="14"/>
      <c r="I540" s="14"/>
      <c r="J540" s="14"/>
      <c r="K540" s="14"/>
      <c r="L540" s="15"/>
    </row>
    <row r="541">
      <c r="A541" s="11"/>
      <c r="B541" s="12"/>
      <c r="C541" s="13"/>
      <c r="D541" s="14"/>
      <c r="E541" s="14"/>
      <c r="F541" s="14"/>
      <c r="G541" s="14"/>
      <c r="H541" s="14"/>
      <c r="I541" s="14"/>
      <c r="J541" s="14"/>
      <c r="K541" s="14"/>
      <c r="L541" s="15"/>
    </row>
    <row r="542">
      <c r="A542" s="11"/>
      <c r="B542" s="12"/>
      <c r="C542" s="13"/>
      <c r="D542" s="14"/>
      <c r="E542" s="14"/>
      <c r="F542" s="14"/>
      <c r="G542" s="14"/>
      <c r="H542" s="14"/>
      <c r="I542" s="14"/>
      <c r="J542" s="14"/>
      <c r="K542" s="14"/>
      <c r="L542" s="15"/>
    </row>
    <row r="543">
      <c r="A543" s="11"/>
      <c r="B543" s="12"/>
      <c r="C543" s="13"/>
      <c r="D543" s="14"/>
      <c r="E543" s="14"/>
      <c r="F543" s="14"/>
      <c r="G543" s="14"/>
      <c r="H543" s="14"/>
      <c r="I543" s="14"/>
      <c r="J543" s="14"/>
      <c r="K543" s="14"/>
      <c r="L543" s="15"/>
    </row>
    <row r="544">
      <c r="A544" s="11"/>
      <c r="B544" s="12"/>
      <c r="C544" s="13"/>
      <c r="D544" s="14"/>
      <c r="E544" s="14"/>
      <c r="F544" s="14"/>
      <c r="G544" s="14"/>
      <c r="H544" s="14"/>
      <c r="I544" s="14"/>
      <c r="J544" s="14"/>
      <c r="K544" s="14"/>
      <c r="L544" s="15"/>
    </row>
    <row r="545">
      <c r="A545" s="11"/>
      <c r="B545" s="12"/>
      <c r="C545" s="13"/>
      <c r="D545" s="14"/>
      <c r="E545" s="14"/>
      <c r="F545" s="14"/>
      <c r="G545" s="14"/>
      <c r="H545" s="14"/>
      <c r="I545" s="14"/>
      <c r="J545" s="14"/>
      <c r="K545" s="14"/>
      <c r="L545" s="15"/>
    </row>
    <row r="546">
      <c r="A546" s="11"/>
      <c r="B546" s="12"/>
      <c r="C546" s="13"/>
      <c r="D546" s="14"/>
      <c r="E546" s="14"/>
      <c r="F546" s="14"/>
      <c r="G546" s="14"/>
      <c r="H546" s="14"/>
      <c r="I546" s="14"/>
      <c r="J546" s="14"/>
      <c r="K546" s="14"/>
      <c r="L546" s="15"/>
    </row>
    <row r="547">
      <c r="A547" s="11"/>
      <c r="B547" s="12"/>
      <c r="C547" s="13"/>
      <c r="D547" s="14"/>
      <c r="E547" s="14"/>
      <c r="F547" s="14"/>
      <c r="G547" s="14"/>
      <c r="H547" s="14"/>
      <c r="I547" s="14"/>
      <c r="J547" s="14"/>
      <c r="K547" s="14"/>
      <c r="L547" s="15"/>
    </row>
    <row r="548">
      <c r="A548" s="11"/>
      <c r="B548" s="12"/>
      <c r="C548" s="13"/>
      <c r="D548" s="14"/>
      <c r="E548" s="14"/>
      <c r="F548" s="14"/>
      <c r="G548" s="14"/>
      <c r="H548" s="14"/>
      <c r="I548" s="14"/>
      <c r="J548" s="14"/>
      <c r="K548" s="14"/>
      <c r="L548" s="15"/>
    </row>
    <row r="549">
      <c r="A549" s="11"/>
      <c r="B549" s="12"/>
      <c r="C549" s="13"/>
      <c r="D549" s="14"/>
      <c r="E549" s="14"/>
      <c r="F549" s="14"/>
      <c r="G549" s="14"/>
      <c r="H549" s="14"/>
      <c r="I549" s="14"/>
      <c r="J549" s="14"/>
      <c r="K549" s="14"/>
      <c r="L549" s="15"/>
    </row>
    <row r="550">
      <c r="A550" s="11"/>
      <c r="B550" s="12"/>
      <c r="C550" s="13"/>
      <c r="D550" s="14"/>
      <c r="E550" s="14"/>
      <c r="F550" s="14"/>
      <c r="G550" s="14"/>
      <c r="H550" s="14"/>
      <c r="I550" s="14"/>
      <c r="J550" s="14"/>
      <c r="K550" s="14"/>
      <c r="L550" s="15"/>
    </row>
    <row r="551">
      <c r="A551" s="11"/>
      <c r="B551" s="12"/>
      <c r="C551" s="13"/>
      <c r="D551" s="14"/>
      <c r="E551" s="14"/>
      <c r="F551" s="14"/>
      <c r="G551" s="14"/>
      <c r="H551" s="14"/>
      <c r="I551" s="14"/>
      <c r="J551" s="14"/>
      <c r="K551" s="14"/>
      <c r="L551" s="15"/>
    </row>
    <row r="552">
      <c r="A552" s="11"/>
      <c r="B552" s="12"/>
      <c r="C552" s="13"/>
      <c r="D552" s="14"/>
      <c r="E552" s="14"/>
      <c r="F552" s="14"/>
      <c r="G552" s="14"/>
      <c r="H552" s="14"/>
      <c r="I552" s="14"/>
      <c r="J552" s="14"/>
      <c r="K552" s="14"/>
      <c r="L552" s="15"/>
    </row>
    <row r="553">
      <c r="A553" s="11"/>
      <c r="B553" s="12"/>
      <c r="C553" s="13"/>
      <c r="D553" s="14"/>
      <c r="E553" s="14"/>
      <c r="F553" s="14"/>
      <c r="G553" s="14"/>
      <c r="H553" s="14"/>
      <c r="I553" s="14"/>
      <c r="J553" s="14"/>
      <c r="K553" s="14"/>
      <c r="L553" s="15"/>
    </row>
    <row r="554">
      <c r="A554" s="11"/>
      <c r="B554" s="12"/>
      <c r="C554" s="13"/>
      <c r="D554" s="14"/>
      <c r="E554" s="14"/>
      <c r="F554" s="14"/>
      <c r="G554" s="14"/>
      <c r="H554" s="14"/>
      <c r="I554" s="14"/>
      <c r="J554" s="14"/>
      <c r="K554" s="14"/>
      <c r="L554" s="15"/>
    </row>
    <row r="555">
      <c r="A555" s="11"/>
      <c r="B555" s="12"/>
      <c r="C555" s="13"/>
      <c r="D555" s="14"/>
      <c r="E555" s="14"/>
      <c r="F555" s="14"/>
      <c r="G555" s="14"/>
      <c r="H555" s="14"/>
      <c r="I555" s="14"/>
      <c r="J555" s="14"/>
      <c r="K555" s="14"/>
      <c r="L555" s="15"/>
    </row>
    <row r="556">
      <c r="A556" s="11"/>
      <c r="B556" s="12"/>
      <c r="C556" s="13"/>
      <c r="D556" s="14"/>
      <c r="E556" s="14"/>
      <c r="F556" s="14"/>
      <c r="G556" s="14"/>
      <c r="H556" s="14"/>
      <c r="I556" s="14"/>
      <c r="J556" s="14"/>
      <c r="K556" s="14"/>
      <c r="L556" s="15"/>
    </row>
    <row r="557">
      <c r="A557" s="11"/>
      <c r="B557" s="12"/>
      <c r="C557" s="13"/>
      <c r="D557" s="14"/>
      <c r="E557" s="14"/>
      <c r="F557" s="14"/>
      <c r="G557" s="14"/>
      <c r="H557" s="14"/>
      <c r="I557" s="14"/>
      <c r="J557" s="14"/>
      <c r="K557" s="14"/>
      <c r="L557" s="15"/>
    </row>
    <row r="558">
      <c r="A558" s="11"/>
      <c r="B558" s="12"/>
      <c r="C558" s="13"/>
      <c r="D558" s="14"/>
      <c r="E558" s="14"/>
      <c r="F558" s="14"/>
      <c r="G558" s="14"/>
      <c r="H558" s="14"/>
      <c r="I558" s="14"/>
      <c r="J558" s="14"/>
      <c r="K558" s="14"/>
      <c r="L558" s="15"/>
    </row>
    <row r="559">
      <c r="A559" s="11"/>
      <c r="B559" s="12"/>
      <c r="C559" s="13"/>
      <c r="D559" s="14"/>
      <c r="E559" s="14"/>
      <c r="F559" s="14"/>
      <c r="G559" s="14"/>
      <c r="H559" s="14"/>
      <c r="I559" s="14"/>
      <c r="J559" s="14"/>
      <c r="K559" s="14"/>
      <c r="L559" s="15"/>
    </row>
    <row r="560">
      <c r="A560" s="11"/>
      <c r="B560" s="12"/>
      <c r="C560" s="13"/>
      <c r="D560" s="14"/>
      <c r="E560" s="14"/>
      <c r="F560" s="14"/>
      <c r="G560" s="14"/>
      <c r="H560" s="14"/>
      <c r="I560" s="14"/>
      <c r="J560" s="14"/>
      <c r="K560" s="14"/>
      <c r="L560" s="15"/>
    </row>
    <row r="561">
      <c r="A561" s="11"/>
      <c r="B561" s="12"/>
      <c r="C561" s="13"/>
      <c r="D561" s="14"/>
      <c r="E561" s="14"/>
      <c r="F561" s="14"/>
      <c r="G561" s="14"/>
      <c r="H561" s="14"/>
      <c r="I561" s="14"/>
      <c r="J561" s="14"/>
      <c r="K561" s="14"/>
      <c r="L561" s="15"/>
    </row>
    <row r="562">
      <c r="A562" s="11"/>
      <c r="B562" s="12"/>
      <c r="C562" s="13"/>
      <c r="D562" s="14"/>
      <c r="E562" s="14"/>
      <c r="F562" s="14"/>
      <c r="G562" s="14"/>
      <c r="H562" s="14"/>
      <c r="I562" s="14"/>
      <c r="J562" s="14"/>
      <c r="K562" s="14"/>
      <c r="L562" s="15"/>
    </row>
    <row r="563">
      <c r="A563" s="11"/>
      <c r="B563" s="12"/>
      <c r="C563" s="13"/>
      <c r="D563" s="14"/>
      <c r="E563" s="14"/>
      <c r="F563" s="14"/>
      <c r="G563" s="14"/>
      <c r="H563" s="14"/>
      <c r="I563" s="14"/>
      <c r="J563" s="14"/>
      <c r="K563" s="14"/>
      <c r="L563" s="15"/>
    </row>
    <row r="564">
      <c r="A564" s="11"/>
      <c r="B564" s="12"/>
      <c r="C564" s="13"/>
      <c r="D564" s="14"/>
      <c r="E564" s="14"/>
      <c r="F564" s="14"/>
      <c r="G564" s="14"/>
      <c r="H564" s="14"/>
      <c r="I564" s="14"/>
      <c r="J564" s="14"/>
      <c r="K564" s="14"/>
      <c r="L564" s="15"/>
    </row>
    <row r="565">
      <c r="A565" s="11"/>
      <c r="B565" s="12"/>
      <c r="C565" s="13"/>
      <c r="D565" s="14"/>
      <c r="E565" s="14"/>
      <c r="F565" s="14"/>
      <c r="G565" s="14"/>
      <c r="H565" s="14"/>
      <c r="I565" s="14"/>
      <c r="J565" s="14"/>
      <c r="K565" s="14"/>
      <c r="L565" s="15"/>
    </row>
    <row r="566">
      <c r="A566" s="11"/>
      <c r="B566" s="12"/>
      <c r="C566" s="13"/>
      <c r="D566" s="14"/>
      <c r="E566" s="14"/>
      <c r="F566" s="14"/>
      <c r="G566" s="14"/>
      <c r="H566" s="14"/>
      <c r="I566" s="14"/>
      <c r="J566" s="14"/>
      <c r="K566" s="14"/>
      <c r="L566" s="15"/>
    </row>
    <row r="567">
      <c r="A567" s="11"/>
      <c r="B567" s="12"/>
      <c r="C567" s="13"/>
      <c r="D567" s="14"/>
      <c r="E567" s="14"/>
      <c r="F567" s="14"/>
      <c r="G567" s="14"/>
      <c r="H567" s="14"/>
      <c r="I567" s="14"/>
      <c r="J567" s="14"/>
      <c r="K567" s="14"/>
      <c r="L567" s="15"/>
    </row>
    <row r="568">
      <c r="A568" s="11"/>
      <c r="B568" s="12"/>
      <c r="C568" s="13"/>
      <c r="D568" s="14"/>
      <c r="E568" s="14"/>
      <c r="F568" s="14"/>
      <c r="G568" s="14"/>
      <c r="H568" s="14"/>
      <c r="I568" s="14"/>
      <c r="J568" s="14"/>
      <c r="K568" s="14"/>
      <c r="L568" s="15"/>
    </row>
    <row r="569">
      <c r="A569" s="11"/>
      <c r="B569" s="12"/>
      <c r="C569" s="13"/>
      <c r="D569" s="14"/>
      <c r="E569" s="14"/>
      <c r="F569" s="14"/>
      <c r="G569" s="14"/>
      <c r="H569" s="14"/>
      <c r="I569" s="14"/>
      <c r="J569" s="14"/>
      <c r="K569" s="14"/>
      <c r="L569" s="15"/>
    </row>
    <row r="570">
      <c r="A570" s="11"/>
      <c r="B570" s="12"/>
      <c r="C570" s="13"/>
      <c r="D570" s="14"/>
      <c r="E570" s="14"/>
      <c r="F570" s="14"/>
      <c r="G570" s="14"/>
      <c r="H570" s="14"/>
      <c r="I570" s="14"/>
      <c r="J570" s="14"/>
      <c r="K570" s="14"/>
      <c r="L570" s="15"/>
    </row>
    <row r="571">
      <c r="A571" s="11"/>
      <c r="B571" s="12"/>
      <c r="C571" s="13"/>
      <c r="D571" s="14"/>
      <c r="E571" s="14"/>
      <c r="F571" s="14"/>
      <c r="G571" s="14"/>
      <c r="H571" s="14"/>
      <c r="I571" s="14"/>
      <c r="J571" s="14"/>
      <c r="K571" s="14"/>
      <c r="L571" s="15"/>
    </row>
    <row r="572">
      <c r="A572" s="11"/>
      <c r="B572" s="12"/>
      <c r="C572" s="13"/>
      <c r="D572" s="14"/>
      <c r="E572" s="14"/>
      <c r="F572" s="14"/>
      <c r="G572" s="14"/>
      <c r="H572" s="14"/>
      <c r="I572" s="14"/>
      <c r="J572" s="14"/>
      <c r="K572" s="14"/>
      <c r="L572" s="15"/>
    </row>
    <row r="573">
      <c r="A573" s="11"/>
      <c r="B573" s="12"/>
      <c r="C573" s="13"/>
      <c r="D573" s="14"/>
      <c r="E573" s="14"/>
      <c r="F573" s="14"/>
      <c r="G573" s="14"/>
      <c r="H573" s="14"/>
      <c r="I573" s="14"/>
      <c r="J573" s="14"/>
      <c r="K573" s="14"/>
      <c r="L573" s="15"/>
    </row>
    <row r="574">
      <c r="A574" s="11"/>
      <c r="B574" s="12"/>
      <c r="C574" s="13"/>
      <c r="D574" s="14"/>
      <c r="E574" s="14"/>
      <c r="F574" s="14"/>
      <c r="G574" s="14"/>
      <c r="H574" s="14"/>
      <c r="I574" s="14"/>
      <c r="J574" s="14"/>
      <c r="K574" s="14"/>
      <c r="L574" s="15"/>
    </row>
    <row r="575">
      <c r="A575" s="11"/>
      <c r="B575" s="12"/>
      <c r="C575" s="13"/>
      <c r="D575" s="14"/>
      <c r="E575" s="14"/>
      <c r="F575" s="14"/>
      <c r="G575" s="14"/>
      <c r="H575" s="14"/>
      <c r="I575" s="14"/>
      <c r="J575" s="14"/>
      <c r="K575" s="14"/>
      <c r="L575" s="15"/>
    </row>
    <row r="576">
      <c r="A576" s="11"/>
      <c r="B576" s="12"/>
      <c r="C576" s="13"/>
      <c r="D576" s="14"/>
      <c r="E576" s="14"/>
      <c r="F576" s="14"/>
      <c r="G576" s="14"/>
      <c r="H576" s="14"/>
      <c r="I576" s="14"/>
      <c r="J576" s="14"/>
      <c r="K576" s="14"/>
      <c r="L576" s="15"/>
    </row>
    <row r="577">
      <c r="A577" s="11"/>
      <c r="B577" s="12"/>
      <c r="C577" s="13"/>
      <c r="D577" s="14"/>
      <c r="E577" s="14"/>
      <c r="F577" s="14"/>
      <c r="G577" s="14"/>
      <c r="H577" s="14"/>
      <c r="I577" s="14"/>
      <c r="J577" s="14"/>
      <c r="K577" s="14"/>
      <c r="L577" s="15"/>
    </row>
    <row r="578">
      <c r="A578" s="11"/>
      <c r="B578" s="12"/>
      <c r="C578" s="13"/>
      <c r="D578" s="14"/>
      <c r="E578" s="14"/>
      <c r="F578" s="14"/>
      <c r="G578" s="14"/>
      <c r="H578" s="14"/>
      <c r="I578" s="14"/>
      <c r="J578" s="14"/>
      <c r="K578" s="14"/>
      <c r="L578" s="15"/>
    </row>
    <row r="579">
      <c r="A579" s="11"/>
      <c r="B579" s="12"/>
      <c r="C579" s="13"/>
      <c r="D579" s="14"/>
      <c r="E579" s="14"/>
      <c r="F579" s="14"/>
      <c r="G579" s="14"/>
      <c r="H579" s="14"/>
      <c r="I579" s="14"/>
      <c r="J579" s="14"/>
      <c r="K579" s="14"/>
      <c r="L579" s="15"/>
    </row>
    <row r="580">
      <c r="A580" s="11"/>
      <c r="B580" s="12"/>
      <c r="C580" s="13"/>
      <c r="D580" s="14"/>
      <c r="E580" s="14"/>
      <c r="F580" s="14"/>
      <c r="G580" s="14"/>
      <c r="H580" s="14"/>
      <c r="I580" s="14"/>
      <c r="J580" s="14"/>
      <c r="K580" s="14"/>
      <c r="L580" s="15"/>
    </row>
    <row r="581">
      <c r="A581" s="11"/>
      <c r="B581" s="12"/>
      <c r="C581" s="13"/>
      <c r="D581" s="14"/>
      <c r="E581" s="14"/>
      <c r="F581" s="14"/>
      <c r="G581" s="14"/>
      <c r="H581" s="14"/>
      <c r="I581" s="14"/>
      <c r="J581" s="14"/>
      <c r="K581" s="14"/>
      <c r="L581" s="15"/>
    </row>
    <row r="582">
      <c r="A582" s="11"/>
      <c r="B582" s="12"/>
      <c r="C582" s="13"/>
      <c r="D582" s="14"/>
      <c r="E582" s="14"/>
      <c r="F582" s="14"/>
      <c r="G582" s="14"/>
      <c r="H582" s="14"/>
      <c r="I582" s="14"/>
      <c r="J582" s="14"/>
      <c r="K582" s="14"/>
      <c r="L582" s="15"/>
    </row>
    <row r="583">
      <c r="A583" s="11"/>
      <c r="B583" s="12"/>
      <c r="C583" s="13"/>
      <c r="D583" s="14"/>
      <c r="E583" s="14"/>
      <c r="F583" s="14"/>
      <c r="G583" s="14"/>
      <c r="H583" s="14"/>
      <c r="I583" s="14"/>
      <c r="J583" s="14"/>
      <c r="K583" s="14"/>
      <c r="L583" s="15"/>
    </row>
    <row r="584">
      <c r="A584" s="11"/>
      <c r="B584" s="12"/>
      <c r="C584" s="13"/>
      <c r="D584" s="14"/>
      <c r="E584" s="14"/>
      <c r="F584" s="14"/>
      <c r="G584" s="14"/>
      <c r="H584" s="14"/>
      <c r="I584" s="14"/>
      <c r="J584" s="14"/>
      <c r="K584" s="14"/>
      <c r="L584" s="15"/>
    </row>
    <row r="585">
      <c r="A585" s="11"/>
      <c r="B585" s="12"/>
      <c r="C585" s="13"/>
      <c r="D585" s="14"/>
      <c r="E585" s="14"/>
      <c r="F585" s="14"/>
      <c r="G585" s="14"/>
      <c r="H585" s="14"/>
      <c r="I585" s="14"/>
      <c r="J585" s="14"/>
      <c r="K585" s="14"/>
      <c r="L585" s="15"/>
    </row>
    <row r="586">
      <c r="A586" s="11"/>
      <c r="B586" s="12"/>
      <c r="C586" s="13"/>
      <c r="D586" s="14"/>
      <c r="E586" s="14"/>
      <c r="F586" s="14"/>
      <c r="G586" s="14"/>
      <c r="H586" s="14"/>
      <c r="I586" s="14"/>
      <c r="J586" s="14"/>
      <c r="K586" s="14"/>
      <c r="L586" s="15"/>
    </row>
    <row r="587">
      <c r="A587" s="11"/>
      <c r="B587" s="12"/>
      <c r="C587" s="13"/>
      <c r="D587" s="14"/>
      <c r="E587" s="14"/>
      <c r="F587" s="14"/>
      <c r="G587" s="14"/>
      <c r="H587" s="14"/>
      <c r="I587" s="14"/>
      <c r="J587" s="14"/>
      <c r="K587" s="14"/>
      <c r="L587" s="15"/>
    </row>
    <row r="588">
      <c r="A588" s="11"/>
      <c r="B588" s="12"/>
      <c r="C588" s="13"/>
      <c r="D588" s="14"/>
      <c r="E588" s="14"/>
      <c r="F588" s="14"/>
      <c r="G588" s="14"/>
      <c r="H588" s="14"/>
      <c r="I588" s="14"/>
      <c r="J588" s="14"/>
      <c r="K588" s="14"/>
      <c r="L588" s="15"/>
    </row>
    <row r="589">
      <c r="A589" s="11"/>
      <c r="B589" s="12"/>
      <c r="C589" s="13"/>
      <c r="D589" s="14"/>
      <c r="E589" s="14"/>
      <c r="F589" s="14"/>
      <c r="G589" s="14"/>
      <c r="H589" s="14"/>
      <c r="I589" s="14"/>
      <c r="J589" s="14"/>
      <c r="K589" s="14"/>
      <c r="L589" s="15"/>
    </row>
    <row r="590">
      <c r="A590" s="11"/>
      <c r="B590" s="12"/>
      <c r="C590" s="13"/>
      <c r="D590" s="14"/>
      <c r="E590" s="14"/>
      <c r="F590" s="14"/>
      <c r="G590" s="14"/>
      <c r="H590" s="14"/>
      <c r="I590" s="14"/>
      <c r="J590" s="14"/>
      <c r="K590" s="14"/>
      <c r="L590" s="15"/>
    </row>
    <row r="591">
      <c r="A591" s="11"/>
      <c r="B591" s="12"/>
      <c r="C591" s="13"/>
      <c r="D591" s="14"/>
      <c r="E591" s="14"/>
      <c r="F591" s="14"/>
      <c r="G591" s="14"/>
      <c r="H591" s="14"/>
      <c r="I591" s="14"/>
      <c r="J591" s="14"/>
      <c r="K591" s="14"/>
      <c r="L591" s="15"/>
    </row>
    <row r="592">
      <c r="A592" s="11"/>
      <c r="B592" s="12"/>
      <c r="C592" s="13"/>
      <c r="D592" s="14"/>
      <c r="E592" s="14"/>
      <c r="F592" s="14"/>
      <c r="G592" s="14"/>
      <c r="H592" s="14"/>
      <c r="I592" s="14"/>
      <c r="J592" s="14"/>
      <c r="K592" s="14"/>
      <c r="L592" s="15"/>
    </row>
    <row r="593">
      <c r="A593" s="11"/>
      <c r="B593" s="12"/>
      <c r="C593" s="13"/>
      <c r="D593" s="14"/>
      <c r="E593" s="14"/>
      <c r="F593" s="14"/>
      <c r="G593" s="14"/>
      <c r="H593" s="14"/>
      <c r="I593" s="14"/>
      <c r="J593" s="14"/>
      <c r="K593" s="14"/>
      <c r="L593" s="15"/>
    </row>
    <row r="594">
      <c r="A594" s="11"/>
      <c r="B594" s="12"/>
      <c r="C594" s="13"/>
      <c r="D594" s="14"/>
      <c r="E594" s="14"/>
      <c r="F594" s="14"/>
      <c r="G594" s="14"/>
      <c r="H594" s="14"/>
      <c r="I594" s="14"/>
      <c r="J594" s="14"/>
      <c r="K594" s="14"/>
      <c r="L594" s="15"/>
    </row>
    <row r="595">
      <c r="A595" s="11"/>
      <c r="B595" s="12"/>
      <c r="C595" s="13"/>
      <c r="D595" s="14"/>
      <c r="E595" s="14"/>
      <c r="F595" s="14"/>
      <c r="G595" s="14"/>
      <c r="H595" s="14"/>
      <c r="I595" s="14"/>
      <c r="J595" s="14"/>
      <c r="K595" s="14"/>
      <c r="L595" s="15"/>
    </row>
    <row r="596">
      <c r="A596" s="11"/>
      <c r="B596" s="12"/>
      <c r="C596" s="13"/>
      <c r="D596" s="14"/>
      <c r="E596" s="14"/>
      <c r="F596" s="14"/>
      <c r="G596" s="14"/>
      <c r="H596" s="14"/>
      <c r="I596" s="14"/>
      <c r="J596" s="14"/>
      <c r="K596" s="14"/>
      <c r="L596" s="15"/>
    </row>
    <row r="597">
      <c r="A597" s="11"/>
      <c r="B597" s="12"/>
      <c r="C597" s="13"/>
      <c r="D597" s="14"/>
      <c r="E597" s="14"/>
      <c r="F597" s="14"/>
      <c r="G597" s="14"/>
      <c r="H597" s="14"/>
      <c r="I597" s="14"/>
      <c r="J597" s="14"/>
      <c r="K597" s="14"/>
      <c r="L597" s="15"/>
    </row>
    <row r="598">
      <c r="A598" s="11"/>
      <c r="B598" s="12"/>
      <c r="C598" s="13"/>
      <c r="D598" s="14"/>
      <c r="E598" s="14"/>
      <c r="F598" s="14"/>
      <c r="G598" s="14"/>
      <c r="H598" s="14"/>
      <c r="I598" s="14"/>
      <c r="J598" s="14"/>
      <c r="K598" s="14"/>
      <c r="L598" s="15"/>
    </row>
    <row r="599">
      <c r="A599" s="11"/>
      <c r="B599" s="12"/>
      <c r="C599" s="13"/>
      <c r="D599" s="14"/>
      <c r="E599" s="14"/>
      <c r="F599" s="14"/>
      <c r="G599" s="14"/>
      <c r="H599" s="14"/>
      <c r="I599" s="14"/>
      <c r="J599" s="14"/>
      <c r="K599" s="14"/>
      <c r="L599" s="15"/>
    </row>
    <row r="600">
      <c r="A600" s="11"/>
      <c r="B600" s="12"/>
      <c r="C600" s="13"/>
      <c r="D600" s="14"/>
      <c r="E600" s="14"/>
      <c r="F600" s="14"/>
      <c r="G600" s="14"/>
      <c r="H600" s="14"/>
      <c r="I600" s="14"/>
      <c r="J600" s="14"/>
      <c r="K600" s="14"/>
      <c r="L600" s="15"/>
    </row>
    <row r="601">
      <c r="A601" s="11"/>
      <c r="B601" s="12"/>
      <c r="C601" s="13"/>
      <c r="D601" s="14"/>
      <c r="E601" s="14"/>
      <c r="F601" s="14"/>
      <c r="G601" s="14"/>
      <c r="H601" s="14"/>
      <c r="I601" s="14"/>
      <c r="J601" s="14"/>
      <c r="K601" s="14"/>
      <c r="L601" s="15"/>
    </row>
    <row r="602">
      <c r="A602" s="11"/>
      <c r="B602" s="12"/>
      <c r="C602" s="13"/>
      <c r="D602" s="14"/>
      <c r="E602" s="14"/>
      <c r="F602" s="14"/>
      <c r="G602" s="14"/>
      <c r="H602" s="14"/>
      <c r="I602" s="14"/>
      <c r="J602" s="14"/>
      <c r="K602" s="14"/>
      <c r="L602" s="15"/>
    </row>
    <row r="603">
      <c r="A603" s="11"/>
      <c r="B603" s="12"/>
      <c r="C603" s="13"/>
      <c r="D603" s="14"/>
      <c r="E603" s="14"/>
      <c r="F603" s="14"/>
      <c r="G603" s="14"/>
      <c r="H603" s="14"/>
      <c r="I603" s="14"/>
      <c r="J603" s="14"/>
      <c r="K603" s="14"/>
      <c r="L603" s="15"/>
    </row>
    <row r="604">
      <c r="A604" s="11"/>
      <c r="B604" s="12"/>
      <c r="C604" s="13"/>
      <c r="D604" s="14"/>
      <c r="E604" s="14"/>
      <c r="F604" s="14"/>
      <c r="G604" s="14"/>
      <c r="H604" s="14"/>
      <c r="I604" s="14"/>
      <c r="J604" s="14"/>
      <c r="K604" s="14"/>
      <c r="L604" s="15"/>
    </row>
    <row r="605">
      <c r="A605" s="11"/>
      <c r="B605" s="12"/>
      <c r="C605" s="13"/>
      <c r="D605" s="14"/>
      <c r="E605" s="14"/>
      <c r="F605" s="14"/>
      <c r="G605" s="14"/>
      <c r="H605" s="14"/>
      <c r="I605" s="14"/>
      <c r="J605" s="14"/>
      <c r="K605" s="14"/>
      <c r="L605" s="15"/>
    </row>
    <row r="606">
      <c r="A606" s="11"/>
      <c r="B606" s="12"/>
      <c r="C606" s="13"/>
      <c r="D606" s="14"/>
      <c r="E606" s="14"/>
      <c r="F606" s="14"/>
      <c r="G606" s="14"/>
      <c r="H606" s="14"/>
      <c r="I606" s="14"/>
      <c r="J606" s="14"/>
      <c r="K606" s="14"/>
      <c r="L606" s="15"/>
    </row>
    <row r="607">
      <c r="A607" s="11"/>
      <c r="B607" s="12"/>
      <c r="C607" s="13"/>
      <c r="D607" s="14"/>
      <c r="E607" s="14"/>
      <c r="F607" s="14"/>
      <c r="G607" s="14"/>
      <c r="H607" s="14"/>
      <c r="I607" s="14"/>
      <c r="J607" s="14"/>
      <c r="K607" s="14"/>
      <c r="L607" s="15"/>
    </row>
    <row r="608">
      <c r="A608" s="11"/>
      <c r="B608" s="12"/>
      <c r="C608" s="13"/>
      <c r="D608" s="14"/>
      <c r="E608" s="14"/>
      <c r="F608" s="14"/>
      <c r="G608" s="14"/>
      <c r="H608" s="14"/>
      <c r="I608" s="14"/>
      <c r="J608" s="14"/>
      <c r="K608" s="14"/>
      <c r="L608" s="15"/>
    </row>
    <row r="609">
      <c r="A609" s="11"/>
      <c r="B609" s="12"/>
      <c r="C609" s="13"/>
      <c r="D609" s="14"/>
      <c r="E609" s="14"/>
      <c r="F609" s="14"/>
      <c r="G609" s="14"/>
      <c r="H609" s="14"/>
      <c r="I609" s="14"/>
      <c r="J609" s="14"/>
      <c r="K609" s="14"/>
      <c r="L609" s="15"/>
    </row>
    <row r="610">
      <c r="A610" s="11"/>
      <c r="B610" s="12"/>
      <c r="C610" s="13"/>
      <c r="D610" s="14"/>
      <c r="E610" s="14"/>
      <c r="F610" s="14"/>
      <c r="G610" s="14"/>
      <c r="H610" s="14"/>
      <c r="I610" s="14"/>
      <c r="J610" s="14"/>
      <c r="K610" s="14"/>
      <c r="L610" s="15"/>
    </row>
    <row r="611">
      <c r="A611" s="11"/>
      <c r="B611" s="12"/>
      <c r="C611" s="13"/>
      <c r="D611" s="14"/>
      <c r="E611" s="14"/>
      <c r="F611" s="14"/>
      <c r="G611" s="14"/>
      <c r="H611" s="14"/>
      <c r="I611" s="14"/>
      <c r="J611" s="14"/>
      <c r="K611" s="14"/>
      <c r="L611" s="15"/>
    </row>
    <row r="612">
      <c r="A612" s="11"/>
      <c r="B612" s="12"/>
      <c r="C612" s="13"/>
      <c r="D612" s="14"/>
      <c r="E612" s="14"/>
      <c r="F612" s="14"/>
      <c r="G612" s="14"/>
      <c r="H612" s="14"/>
      <c r="I612" s="14"/>
      <c r="J612" s="14"/>
      <c r="K612" s="14"/>
      <c r="L612" s="15"/>
    </row>
    <row r="613">
      <c r="A613" s="11"/>
      <c r="B613" s="12"/>
      <c r="C613" s="13"/>
      <c r="D613" s="14"/>
      <c r="E613" s="14"/>
      <c r="F613" s="14"/>
      <c r="G613" s="14"/>
      <c r="H613" s="14"/>
      <c r="I613" s="14"/>
      <c r="J613" s="14"/>
      <c r="K613" s="14"/>
      <c r="L613" s="15"/>
    </row>
    <row r="614">
      <c r="A614" s="11"/>
      <c r="B614" s="12"/>
      <c r="C614" s="13"/>
      <c r="D614" s="14"/>
      <c r="E614" s="14"/>
      <c r="F614" s="14"/>
      <c r="G614" s="14"/>
      <c r="H614" s="14"/>
      <c r="I614" s="14"/>
      <c r="J614" s="14"/>
      <c r="K614" s="14"/>
      <c r="L614" s="15"/>
    </row>
    <row r="615">
      <c r="A615" s="11"/>
      <c r="B615" s="12"/>
      <c r="C615" s="13"/>
      <c r="D615" s="14"/>
      <c r="E615" s="14"/>
      <c r="F615" s="14"/>
      <c r="G615" s="14"/>
      <c r="H615" s="14"/>
      <c r="I615" s="14"/>
      <c r="J615" s="14"/>
      <c r="K615" s="14"/>
      <c r="L615" s="15"/>
    </row>
    <row r="616">
      <c r="A616" s="11"/>
      <c r="B616" s="12"/>
      <c r="C616" s="13"/>
      <c r="D616" s="14"/>
      <c r="E616" s="14"/>
      <c r="F616" s="14"/>
      <c r="G616" s="14"/>
      <c r="H616" s="14"/>
      <c r="I616" s="14"/>
      <c r="J616" s="14"/>
      <c r="K616" s="14"/>
      <c r="L616" s="15"/>
    </row>
    <row r="617">
      <c r="A617" s="11"/>
      <c r="B617" s="12"/>
      <c r="C617" s="13"/>
      <c r="D617" s="14"/>
      <c r="E617" s="14"/>
      <c r="F617" s="14"/>
      <c r="G617" s="14"/>
      <c r="H617" s="14"/>
      <c r="I617" s="14"/>
      <c r="J617" s="14"/>
      <c r="K617" s="14"/>
      <c r="L617" s="15"/>
    </row>
    <row r="618">
      <c r="A618" s="11"/>
      <c r="B618" s="12"/>
      <c r="C618" s="13"/>
      <c r="D618" s="14"/>
      <c r="E618" s="14"/>
      <c r="F618" s="14"/>
      <c r="G618" s="14"/>
      <c r="H618" s="14"/>
      <c r="I618" s="14"/>
      <c r="J618" s="14"/>
      <c r="K618" s="14"/>
      <c r="L618" s="15"/>
    </row>
    <row r="619">
      <c r="A619" s="11"/>
      <c r="B619" s="12"/>
      <c r="C619" s="13"/>
      <c r="D619" s="14"/>
      <c r="E619" s="14"/>
      <c r="F619" s="14"/>
      <c r="G619" s="14"/>
      <c r="H619" s="14"/>
      <c r="I619" s="14"/>
      <c r="J619" s="14"/>
      <c r="K619" s="14"/>
      <c r="L619" s="15"/>
    </row>
    <row r="620">
      <c r="A620" s="11"/>
      <c r="B620" s="12"/>
      <c r="C620" s="13"/>
      <c r="D620" s="14"/>
      <c r="E620" s="14"/>
      <c r="F620" s="14"/>
      <c r="G620" s="14"/>
      <c r="H620" s="14"/>
      <c r="I620" s="14"/>
      <c r="J620" s="14"/>
      <c r="K620" s="14"/>
      <c r="L620" s="15"/>
    </row>
    <row r="621">
      <c r="A621" s="11"/>
      <c r="B621" s="12"/>
      <c r="C621" s="13"/>
      <c r="D621" s="14"/>
      <c r="E621" s="14"/>
      <c r="F621" s="14"/>
      <c r="G621" s="14"/>
      <c r="H621" s="14"/>
      <c r="I621" s="14"/>
      <c r="J621" s="14"/>
      <c r="K621" s="14"/>
      <c r="L621" s="15"/>
    </row>
    <row r="622">
      <c r="A622" s="11"/>
      <c r="B622" s="12"/>
      <c r="C622" s="13"/>
      <c r="D622" s="14"/>
      <c r="E622" s="14"/>
      <c r="F622" s="14"/>
      <c r="G622" s="14"/>
      <c r="H622" s="14"/>
      <c r="I622" s="14"/>
      <c r="J622" s="14"/>
      <c r="K622" s="14"/>
      <c r="L622" s="15"/>
    </row>
    <row r="623">
      <c r="A623" s="11"/>
      <c r="B623" s="12"/>
      <c r="C623" s="13"/>
      <c r="D623" s="14"/>
      <c r="E623" s="14"/>
      <c r="F623" s="14"/>
      <c r="G623" s="14"/>
      <c r="H623" s="14"/>
      <c r="I623" s="14"/>
      <c r="J623" s="14"/>
      <c r="K623" s="14"/>
      <c r="L623" s="15"/>
    </row>
    <row r="624">
      <c r="A624" s="11"/>
      <c r="B624" s="12"/>
      <c r="C624" s="13"/>
      <c r="D624" s="14"/>
      <c r="E624" s="14"/>
      <c r="F624" s="14"/>
      <c r="G624" s="14"/>
      <c r="H624" s="14"/>
      <c r="I624" s="14"/>
      <c r="J624" s="14"/>
      <c r="K624" s="14"/>
      <c r="L624" s="15"/>
    </row>
    <row r="625">
      <c r="A625" s="11"/>
      <c r="B625" s="12"/>
      <c r="C625" s="13"/>
      <c r="D625" s="14"/>
      <c r="E625" s="14"/>
      <c r="F625" s="14"/>
      <c r="G625" s="14"/>
      <c r="H625" s="14"/>
      <c r="I625" s="14"/>
      <c r="J625" s="14"/>
      <c r="K625" s="14"/>
      <c r="L625" s="15"/>
    </row>
    <row r="626">
      <c r="A626" s="11"/>
      <c r="B626" s="12"/>
      <c r="C626" s="13"/>
      <c r="D626" s="14"/>
      <c r="E626" s="14"/>
      <c r="F626" s="14"/>
      <c r="G626" s="14"/>
      <c r="H626" s="14"/>
      <c r="I626" s="14"/>
      <c r="J626" s="14"/>
      <c r="K626" s="14"/>
      <c r="L626" s="15"/>
    </row>
    <row r="627">
      <c r="A627" s="11"/>
      <c r="B627" s="12"/>
      <c r="C627" s="13"/>
      <c r="D627" s="14"/>
      <c r="E627" s="14"/>
      <c r="F627" s="14"/>
      <c r="G627" s="14"/>
      <c r="H627" s="14"/>
      <c r="I627" s="14"/>
      <c r="J627" s="14"/>
      <c r="K627" s="14"/>
      <c r="L627" s="15"/>
    </row>
    <row r="628">
      <c r="A628" s="11"/>
      <c r="B628" s="12"/>
      <c r="C628" s="13"/>
      <c r="D628" s="14"/>
      <c r="E628" s="14"/>
      <c r="F628" s="14"/>
      <c r="G628" s="14"/>
      <c r="H628" s="14"/>
      <c r="I628" s="14"/>
      <c r="J628" s="14"/>
      <c r="K628" s="14"/>
      <c r="L628" s="15"/>
    </row>
    <row r="629">
      <c r="A629" s="11"/>
      <c r="B629" s="12"/>
      <c r="C629" s="13"/>
      <c r="D629" s="14"/>
      <c r="E629" s="14"/>
      <c r="F629" s="14"/>
      <c r="G629" s="14"/>
      <c r="H629" s="14"/>
      <c r="I629" s="14"/>
      <c r="J629" s="14"/>
      <c r="K629" s="14"/>
      <c r="L629" s="15"/>
    </row>
    <row r="630">
      <c r="A630" s="11"/>
      <c r="B630" s="12"/>
      <c r="C630" s="13"/>
      <c r="D630" s="14"/>
      <c r="E630" s="14"/>
      <c r="F630" s="14"/>
      <c r="G630" s="14"/>
      <c r="H630" s="14"/>
      <c r="I630" s="14"/>
      <c r="J630" s="14"/>
      <c r="K630" s="14"/>
      <c r="L630" s="15"/>
    </row>
    <row r="631">
      <c r="A631" s="11"/>
      <c r="B631" s="12"/>
      <c r="C631" s="13"/>
      <c r="D631" s="14"/>
      <c r="E631" s="14"/>
      <c r="F631" s="14"/>
      <c r="G631" s="14"/>
      <c r="H631" s="14"/>
      <c r="I631" s="14"/>
      <c r="J631" s="14"/>
      <c r="K631" s="14"/>
      <c r="L631" s="15"/>
    </row>
    <row r="632">
      <c r="A632" s="11"/>
      <c r="B632" s="12"/>
      <c r="C632" s="13"/>
      <c r="D632" s="14"/>
      <c r="E632" s="14"/>
      <c r="F632" s="14"/>
      <c r="G632" s="14"/>
      <c r="H632" s="14"/>
      <c r="I632" s="14"/>
      <c r="J632" s="14"/>
      <c r="K632" s="14"/>
      <c r="L632" s="15"/>
    </row>
    <row r="633">
      <c r="A633" s="11"/>
      <c r="B633" s="12"/>
      <c r="C633" s="13"/>
      <c r="D633" s="14"/>
      <c r="E633" s="14"/>
      <c r="F633" s="14"/>
      <c r="G633" s="14"/>
      <c r="H633" s="14"/>
      <c r="I633" s="14"/>
      <c r="J633" s="14"/>
      <c r="K633" s="14"/>
      <c r="L633" s="15"/>
    </row>
    <row r="634">
      <c r="A634" s="11"/>
      <c r="B634" s="12"/>
      <c r="C634" s="13"/>
      <c r="D634" s="14"/>
      <c r="E634" s="14"/>
      <c r="F634" s="14"/>
      <c r="G634" s="14"/>
      <c r="H634" s="14"/>
      <c r="I634" s="14"/>
      <c r="J634" s="14"/>
      <c r="K634" s="14"/>
      <c r="L634" s="15"/>
    </row>
    <row r="635">
      <c r="A635" s="11"/>
      <c r="B635" s="12"/>
      <c r="C635" s="13"/>
      <c r="D635" s="14"/>
      <c r="E635" s="14"/>
      <c r="F635" s="14"/>
      <c r="G635" s="14"/>
      <c r="H635" s="14"/>
      <c r="I635" s="14"/>
      <c r="J635" s="14"/>
      <c r="K635" s="14"/>
      <c r="L635" s="15"/>
    </row>
    <row r="636">
      <c r="A636" s="11"/>
      <c r="B636" s="12"/>
      <c r="C636" s="13"/>
      <c r="D636" s="14"/>
      <c r="E636" s="14"/>
      <c r="F636" s="14"/>
      <c r="G636" s="14"/>
      <c r="H636" s="14"/>
      <c r="I636" s="14"/>
      <c r="J636" s="14"/>
      <c r="K636" s="14"/>
      <c r="L636" s="15"/>
    </row>
    <row r="637">
      <c r="A637" s="11"/>
      <c r="B637" s="12"/>
      <c r="C637" s="13"/>
      <c r="D637" s="14"/>
      <c r="E637" s="14"/>
      <c r="F637" s="14"/>
      <c r="G637" s="14"/>
      <c r="H637" s="14"/>
      <c r="I637" s="14"/>
      <c r="J637" s="14"/>
      <c r="K637" s="14"/>
      <c r="L637" s="15"/>
    </row>
    <row r="638">
      <c r="A638" s="11"/>
      <c r="B638" s="12"/>
      <c r="C638" s="13"/>
      <c r="D638" s="14"/>
      <c r="E638" s="14"/>
      <c r="F638" s="14"/>
      <c r="G638" s="14"/>
      <c r="H638" s="14"/>
      <c r="I638" s="14"/>
      <c r="J638" s="14"/>
      <c r="K638" s="14"/>
      <c r="L638" s="15"/>
    </row>
    <row r="639">
      <c r="A639" s="11"/>
      <c r="B639" s="12"/>
      <c r="C639" s="13"/>
      <c r="D639" s="14"/>
      <c r="E639" s="14"/>
      <c r="F639" s="14"/>
      <c r="G639" s="14"/>
      <c r="H639" s="14"/>
      <c r="I639" s="14"/>
      <c r="J639" s="14"/>
      <c r="K639" s="14"/>
      <c r="L639" s="15"/>
    </row>
    <row r="640">
      <c r="A640" s="11"/>
      <c r="B640" s="12"/>
      <c r="C640" s="13"/>
      <c r="D640" s="14"/>
      <c r="E640" s="14"/>
      <c r="F640" s="14"/>
      <c r="G640" s="14"/>
      <c r="H640" s="14"/>
      <c r="I640" s="14"/>
      <c r="J640" s="14"/>
      <c r="K640" s="14"/>
      <c r="L640" s="15"/>
    </row>
    <row r="641">
      <c r="A641" s="11"/>
      <c r="B641" s="12"/>
      <c r="C641" s="13"/>
      <c r="D641" s="14"/>
      <c r="E641" s="14"/>
      <c r="F641" s="14"/>
      <c r="G641" s="14"/>
      <c r="H641" s="14"/>
      <c r="I641" s="14"/>
      <c r="J641" s="14"/>
      <c r="K641" s="14"/>
      <c r="L641" s="15"/>
    </row>
    <row r="642">
      <c r="A642" s="11"/>
      <c r="B642" s="12"/>
      <c r="C642" s="13"/>
      <c r="D642" s="14"/>
      <c r="E642" s="14"/>
      <c r="F642" s="14"/>
      <c r="G642" s="14"/>
      <c r="H642" s="14"/>
      <c r="I642" s="14"/>
      <c r="J642" s="14"/>
      <c r="K642" s="14"/>
      <c r="L642" s="15"/>
    </row>
    <row r="643">
      <c r="A643" s="11"/>
      <c r="B643" s="12"/>
      <c r="C643" s="13"/>
      <c r="D643" s="14"/>
      <c r="E643" s="14"/>
      <c r="F643" s="14"/>
      <c r="G643" s="14"/>
      <c r="H643" s="14"/>
      <c r="I643" s="14"/>
      <c r="J643" s="14"/>
      <c r="K643" s="14"/>
      <c r="L643" s="15"/>
    </row>
    <row r="644">
      <c r="A644" s="11"/>
      <c r="B644" s="12"/>
      <c r="C644" s="13"/>
      <c r="D644" s="14"/>
      <c r="E644" s="14"/>
      <c r="F644" s="14"/>
      <c r="G644" s="14"/>
      <c r="H644" s="14"/>
      <c r="I644" s="14"/>
      <c r="J644" s="14"/>
      <c r="K644" s="14"/>
      <c r="L644" s="15"/>
    </row>
    <row r="645">
      <c r="A645" s="11"/>
      <c r="B645" s="12"/>
      <c r="C645" s="13"/>
      <c r="D645" s="14"/>
      <c r="E645" s="14"/>
      <c r="F645" s="14"/>
      <c r="G645" s="14"/>
      <c r="H645" s="14"/>
      <c r="I645" s="14"/>
      <c r="J645" s="14"/>
      <c r="K645" s="14"/>
      <c r="L645" s="15"/>
    </row>
    <row r="646">
      <c r="A646" s="11"/>
      <c r="B646" s="12"/>
      <c r="C646" s="13"/>
      <c r="D646" s="14"/>
      <c r="E646" s="14"/>
      <c r="F646" s="14"/>
      <c r="G646" s="14"/>
      <c r="H646" s="14"/>
      <c r="I646" s="14"/>
      <c r="J646" s="14"/>
      <c r="K646" s="14"/>
      <c r="L646" s="15"/>
    </row>
    <row r="647">
      <c r="A647" s="11"/>
      <c r="B647" s="12"/>
      <c r="C647" s="13"/>
      <c r="D647" s="14"/>
      <c r="E647" s="14"/>
      <c r="F647" s="14"/>
      <c r="G647" s="14"/>
      <c r="H647" s="14"/>
      <c r="I647" s="14"/>
      <c r="J647" s="14"/>
      <c r="K647" s="14"/>
      <c r="L647" s="15"/>
    </row>
    <row r="648">
      <c r="A648" s="11"/>
      <c r="B648" s="12"/>
      <c r="C648" s="13"/>
      <c r="D648" s="14"/>
      <c r="E648" s="14"/>
      <c r="F648" s="14"/>
      <c r="G648" s="14"/>
      <c r="H648" s="14"/>
      <c r="I648" s="14"/>
      <c r="J648" s="14"/>
      <c r="K648" s="14"/>
      <c r="L648" s="15"/>
    </row>
    <row r="649">
      <c r="A649" s="11"/>
      <c r="B649" s="12"/>
      <c r="C649" s="13"/>
      <c r="D649" s="14"/>
      <c r="E649" s="14"/>
      <c r="F649" s="14"/>
      <c r="G649" s="14"/>
      <c r="H649" s="14"/>
      <c r="I649" s="14"/>
      <c r="J649" s="14"/>
      <c r="K649" s="14"/>
      <c r="L649" s="15"/>
    </row>
    <row r="650">
      <c r="A650" s="11"/>
      <c r="B650" s="12"/>
      <c r="C650" s="13"/>
      <c r="D650" s="14"/>
      <c r="E650" s="14"/>
      <c r="F650" s="14"/>
      <c r="G650" s="14"/>
      <c r="H650" s="14"/>
      <c r="I650" s="14"/>
      <c r="J650" s="14"/>
      <c r="K650" s="14"/>
      <c r="L650" s="15"/>
    </row>
    <row r="651">
      <c r="A651" s="11"/>
      <c r="B651" s="12"/>
      <c r="C651" s="13"/>
      <c r="D651" s="14"/>
      <c r="E651" s="14"/>
      <c r="F651" s="14"/>
      <c r="G651" s="14"/>
      <c r="H651" s="14"/>
      <c r="I651" s="14"/>
      <c r="J651" s="14"/>
      <c r="K651" s="14"/>
      <c r="L651" s="15"/>
    </row>
    <row r="652">
      <c r="A652" s="11"/>
      <c r="B652" s="12"/>
      <c r="C652" s="13"/>
      <c r="D652" s="14"/>
      <c r="E652" s="14"/>
      <c r="F652" s="14"/>
      <c r="G652" s="14"/>
      <c r="H652" s="14"/>
      <c r="I652" s="14"/>
      <c r="J652" s="14"/>
      <c r="K652" s="14"/>
      <c r="L652" s="15"/>
    </row>
    <row r="653">
      <c r="A653" s="11"/>
      <c r="B653" s="12"/>
      <c r="C653" s="13"/>
      <c r="D653" s="14"/>
      <c r="E653" s="14"/>
      <c r="F653" s="14"/>
      <c r="G653" s="14"/>
      <c r="H653" s="14"/>
      <c r="I653" s="14"/>
      <c r="J653" s="14"/>
      <c r="K653" s="14"/>
      <c r="L653" s="15"/>
    </row>
    <row r="654">
      <c r="A654" s="11"/>
      <c r="B654" s="12"/>
      <c r="C654" s="13"/>
      <c r="D654" s="14"/>
      <c r="E654" s="14"/>
      <c r="F654" s="14"/>
      <c r="G654" s="14"/>
      <c r="H654" s="14"/>
      <c r="I654" s="14"/>
      <c r="J654" s="14"/>
      <c r="K654" s="14"/>
      <c r="L654" s="15"/>
    </row>
    <row r="655">
      <c r="A655" s="11"/>
      <c r="B655" s="12"/>
      <c r="C655" s="13"/>
      <c r="D655" s="14"/>
      <c r="E655" s="14"/>
      <c r="F655" s="14"/>
      <c r="G655" s="14"/>
      <c r="H655" s="14"/>
      <c r="I655" s="14"/>
      <c r="J655" s="14"/>
      <c r="K655" s="14"/>
      <c r="L655" s="15"/>
    </row>
    <row r="656">
      <c r="A656" s="11"/>
      <c r="B656" s="12"/>
      <c r="C656" s="13"/>
      <c r="D656" s="14"/>
      <c r="E656" s="14"/>
      <c r="F656" s="14"/>
      <c r="G656" s="14"/>
      <c r="H656" s="14"/>
      <c r="I656" s="14"/>
      <c r="J656" s="14"/>
      <c r="K656" s="14"/>
      <c r="L656" s="15"/>
    </row>
    <row r="657">
      <c r="A657" s="11"/>
      <c r="B657" s="12"/>
      <c r="C657" s="13"/>
      <c r="D657" s="14"/>
      <c r="E657" s="14"/>
      <c r="F657" s="14"/>
      <c r="G657" s="14"/>
      <c r="H657" s="14"/>
      <c r="I657" s="14"/>
      <c r="J657" s="14"/>
      <c r="K657" s="14"/>
      <c r="L657" s="15"/>
    </row>
    <row r="658">
      <c r="A658" s="11"/>
      <c r="B658" s="12"/>
      <c r="C658" s="13"/>
      <c r="D658" s="14"/>
      <c r="E658" s="14"/>
      <c r="F658" s="14"/>
      <c r="G658" s="14"/>
      <c r="H658" s="14"/>
      <c r="I658" s="14"/>
      <c r="J658" s="14"/>
      <c r="K658" s="14"/>
      <c r="L658" s="15"/>
    </row>
    <row r="659">
      <c r="A659" s="11"/>
      <c r="B659" s="12"/>
      <c r="C659" s="13"/>
      <c r="D659" s="14"/>
      <c r="E659" s="14"/>
      <c r="F659" s="14"/>
      <c r="G659" s="14"/>
      <c r="H659" s="14"/>
      <c r="I659" s="14"/>
      <c r="J659" s="14"/>
      <c r="K659" s="14"/>
      <c r="L659" s="15"/>
    </row>
    <row r="660">
      <c r="A660" s="11"/>
      <c r="B660" s="12"/>
      <c r="C660" s="13"/>
      <c r="D660" s="14"/>
      <c r="E660" s="14"/>
      <c r="F660" s="14"/>
      <c r="G660" s="14"/>
      <c r="H660" s="14"/>
      <c r="I660" s="14"/>
      <c r="J660" s="14"/>
      <c r="K660" s="14"/>
      <c r="L660" s="15"/>
    </row>
    <row r="661">
      <c r="A661" s="11"/>
      <c r="B661" s="12"/>
      <c r="C661" s="13"/>
      <c r="D661" s="14"/>
      <c r="E661" s="14"/>
      <c r="F661" s="14"/>
      <c r="G661" s="14"/>
      <c r="H661" s="14"/>
      <c r="I661" s="14"/>
      <c r="J661" s="14"/>
      <c r="K661" s="14"/>
      <c r="L661" s="15"/>
    </row>
    <row r="662">
      <c r="A662" s="11"/>
      <c r="B662" s="12"/>
      <c r="C662" s="13"/>
      <c r="D662" s="14"/>
      <c r="E662" s="14"/>
      <c r="F662" s="14"/>
      <c r="G662" s="14"/>
      <c r="H662" s="14"/>
      <c r="I662" s="14"/>
      <c r="J662" s="14"/>
      <c r="K662" s="14"/>
      <c r="L662" s="15"/>
    </row>
    <row r="663">
      <c r="A663" s="11"/>
      <c r="B663" s="12"/>
      <c r="C663" s="13"/>
      <c r="D663" s="14"/>
      <c r="E663" s="14"/>
      <c r="F663" s="14"/>
      <c r="G663" s="14"/>
      <c r="H663" s="14"/>
      <c r="I663" s="14"/>
      <c r="J663" s="14"/>
      <c r="K663" s="14"/>
      <c r="L663" s="15"/>
    </row>
    <row r="664">
      <c r="A664" s="11"/>
      <c r="B664" s="12"/>
      <c r="C664" s="13"/>
      <c r="D664" s="14"/>
      <c r="E664" s="14"/>
      <c r="F664" s="14"/>
      <c r="G664" s="14"/>
      <c r="H664" s="14"/>
      <c r="I664" s="14"/>
      <c r="J664" s="14"/>
      <c r="K664" s="14"/>
      <c r="L664" s="15"/>
    </row>
    <row r="665">
      <c r="A665" s="11"/>
      <c r="B665" s="12"/>
      <c r="C665" s="13"/>
      <c r="D665" s="14"/>
      <c r="E665" s="14"/>
      <c r="F665" s="14"/>
      <c r="G665" s="14"/>
      <c r="H665" s="14"/>
      <c r="I665" s="14"/>
      <c r="J665" s="14"/>
      <c r="K665" s="14"/>
      <c r="L665" s="15"/>
    </row>
    <row r="666">
      <c r="A666" s="11"/>
      <c r="B666" s="12"/>
      <c r="C666" s="13"/>
      <c r="D666" s="14"/>
      <c r="E666" s="14"/>
      <c r="F666" s="14"/>
      <c r="G666" s="14"/>
      <c r="H666" s="14"/>
      <c r="I666" s="14"/>
      <c r="J666" s="14"/>
      <c r="K666" s="14"/>
      <c r="L666" s="15"/>
    </row>
    <row r="667">
      <c r="A667" s="11"/>
      <c r="B667" s="12"/>
      <c r="C667" s="13"/>
      <c r="D667" s="14"/>
      <c r="E667" s="14"/>
      <c r="F667" s="14"/>
      <c r="G667" s="14"/>
      <c r="H667" s="14"/>
      <c r="I667" s="14"/>
      <c r="J667" s="14"/>
      <c r="K667" s="14"/>
      <c r="L667" s="15"/>
    </row>
    <row r="668">
      <c r="A668" s="11"/>
      <c r="B668" s="12"/>
      <c r="C668" s="13"/>
      <c r="D668" s="14"/>
      <c r="E668" s="14"/>
      <c r="F668" s="14"/>
      <c r="G668" s="14"/>
      <c r="H668" s="14"/>
      <c r="I668" s="14"/>
      <c r="J668" s="14"/>
      <c r="K668" s="14"/>
      <c r="L668" s="15"/>
    </row>
    <row r="669">
      <c r="A669" s="11"/>
      <c r="B669" s="12"/>
      <c r="C669" s="13"/>
      <c r="D669" s="14"/>
      <c r="E669" s="14"/>
      <c r="F669" s="14"/>
      <c r="G669" s="14"/>
      <c r="H669" s="14"/>
      <c r="I669" s="14"/>
      <c r="J669" s="14"/>
      <c r="K669" s="14"/>
      <c r="L669" s="15"/>
    </row>
    <row r="670">
      <c r="A670" s="11"/>
      <c r="B670" s="12"/>
      <c r="C670" s="13"/>
      <c r="D670" s="14"/>
      <c r="E670" s="14"/>
      <c r="F670" s="14"/>
      <c r="G670" s="14"/>
      <c r="H670" s="14"/>
      <c r="I670" s="14"/>
      <c r="J670" s="14"/>
      <c r="K670" s="14"/>
      <c r="L670" s="15"/>
    </row>
    <row r="671">
      <c r="A671" s="11"/>
      <c r="B671" s="12"/>
      <c r="C671" s="13"/>
      <c r="D671" s="14"/>
      <c r="E671" s="14"/>
      <c r="F671" s="14"/>
      <c r="G671" s="14"/>
      <c r="H671" s="14"/>
      <c r="I671" s="14"/>
      <c r="J671" s="14"/>
      <c r="K671" s="14"/>
      <c r="L671" s="15"/>
    </row>
    <row r="672">
      <c r="A672" s="11"/>
      <c r="B672" s="12"/>
      <c r="C672" s="13"/>
      <c r="D672" s="14"/>
      <c r="E672" s="14"/>
      <c r="F672" s="14"/>
      <c r="G672" s="14"/>
      <c r="H672" s="14"/>
      <c r="I672" s="14"/>
      <c r="J672" s="14"/>
      <c r="K672" s="14"/>
      <c r="L672" s="15"/>
    </row>
    <row r="673">
      <c r="A673" s="11"/>
      <c r="B673" s="12"/>
      <c r="C673" s="13"/>
      <c r="D673" s="14"/>
      <c r="E673" s="14"/>
      <c r="F673" s="14"/>
      <c r="G673" s="14"/>
      <c r="H673" s="14"/>
      <c r="I673" s="14"/>
      <c r="J673" s="14"/>
      <c r="K673" s="14"/>
      <c r="L673" s="15"/>
    </row>
    <row r="674">
      <c r="A674" s="11"/>
      <c r="B674" s="12"/>
      <c r="C674" s="13"/>
      <c r="D674" s="14"/>
      <c r="E674" s="14"/>
      <c r="F674" s="14"/>
      <c r="G674" s="14"/>
      <c r="H674" s="14"/>
      <c r="I674" s="14"/>
      <c r="J674" s="14"/>
      <c r="K674" s="14"/>
      <c r="L674" s="15"/>
    </row>
    <row r="675">
      <c r="A675" s="11"/>
      <c r="B675" s="12"/>
      <c r="C675" s="13"/>
      <c r="D675" s="14"/>
      <c r="E675" s="14"/>
      <c r="F675" s="14"/>
      <c r="G675" s="14"/>
      <c r="H675" s="14"/>
      <c r="I675" s="14"/>
      <c r="J675" s="14"/>
      <c r="K675" s="14"/>
      <c r="L675" s="15"/>
    </row>
    <row r="676">
      <c r="A676" s="11"/>
      <c r="B676" s="12"/>
      <c r="C676" s="13"/>
      <c r="D676" s="14"/>
      <c r="E676" s="14"/>
      <c r="F676" s="14"/>
      <c r="G676" s="14"/>
      <c r="H676" s="14"/>
      <c r="I676" s="14"/>
      <c r="J676" s="14"/>
      <c r="K676" s="14"/>
      <c r="L676" s="15"/>
    </row>
    <row r="677">
      <c r="A677" s="11"/>
      <c r="B677" s="12"/>
      <c r="C677" s="13"/>
      <c r="D677" s="14"/>
      <c r="E677" s="14"/>
      <c r="F677" s="14"/>
      <c r="G677" s="14"/>
      <c r="H677" s="14"/>
      <c r="I677" s="14"/>
      <c r="J677" s="14"/>
      <c r="K677" s="14"/>
      <c r="L677" s="15"/>
    </row>
    <row r="678">
      <c r="A678" s="11"/>
      <c r="B678" s="12"/>
      <c r="C678" s="13"/>
      <c r="D678" s="14"/>
      <c r="E678" s="14"/>
      <c r="F678" s="14"/>
      <c r="G678" s="14"/>
      <c r="H678" s="14"/>
      <c r="I678" s="14"/>
      <c r="J678" s="14"/>
      <c r="K678" s="14"/>
      <c r="L678" s="15"/>
    </row>
    <row r="679">
      <c r="A679" s="11"/>
      <c r="B679" s="12"/>
      <c r="C679" s="13"/>
      <c r="D679" s="14"/>
      <c r="E679" s="14"/>
      <c r="F679" s="14"/>
      <c r="G679" s="14"/>
      <c r="H679" s="14"/>
      <c r="I679" s="14"/>
      <c r="J679" s="14"/>
      <c r="K679" s="14"/>
      <c r="L679" s="15"/>
    </row>
    <row r="680">
      <c r="A680" s="11"/>
      <c r="B680" s="12"/>
      <c r="C680" s="13"/>
      <c r="D680" s="14"/>
      <c r="E680" s="14"/>
      <c r="F680" s="14"/>
      <c r="G680" s="14"/>
      <c r="H680" s="14"/>
      <c r="I680" s="14"/>
      <c r="J680" s="14"/>
      <c r="K680" s="14"/>
      <c r="L680" s="15"/>
    </row>
    <row r="681">
      <c r="A681" s="11"/>
      <c r="B681" s="12"/>
      <c r="C681" s="13"/>
      <c r="D681" s="14"/>
      <c r="E681" s="14"/>
      <c r="F681" s="14"/>
      <c r="G681" s="14"/>
      <c r="H681" s="14"/>
      <c r="I681" s="14"/>
      <c r="J681" s="14"/>
      <c r="K681" s="14"/>
      <c r="L681" s="15"/>
    </row>
    <row r="682">
      <c r="A682" s="11"/>
      <c r="B682" s="12"/>
      <c r="C682" s="13"/>
      <c r="D682" s="14"/>
      <c r="E682" s="14"/>
      <c r="F682" s="14"/>
      <c r="G682" s="14"/>
      <c r="H682" s="14"/>
      <c r="I682" s="14"/>
      <c r="J682" s="14"/>
      <c r="K682" s="14"/>
      <c r="L682" s="15"/>
    </row>
    <row r="683">
      <c r="A683" s="11"/>
      <c r="B683" s="12"/>
      <c r="C683" s="13"/>
      <c r="D683" s="14"/>
      <c r="E683" s="14"/>
      <c r="F683" s="14"/>
      <c r="G683" s="14"/>
      <c r="H683" s="14"/>
      <c r="I683" s="14"/>
      <c r="J683" s="14"/>
      <c r="K683" s="14"/>
      <c r="L683" s="15"/>
    </row>
    <row r="684">
      <c r="A684" s="11"/>
      <c r="B684" s="12"/>
      <c r="C684" s="13"/>
      <c r="D684" s="14"/>
      <c r="E684" s="14"/>
      <c r="F684" s="14"/>
      <c r="G684" s="14"/>
      <c r="H684" s="14"/>
      <c r="I684" s="14"/>
      <c r="J684" s="14"/>
      <c r="K684" s="14"/>
      <c r="L684" s="15"/>
    </row>
    <row r="685">
      <c r="A685" s="11"/>
      <c r="B685" s="12"/>
      <c r="C685" s="13"/>
      <c r="D685" s="14"/>
      <c r="E685" s="14"/>
      <c r="F685" s="14"/>
      <c r="G685" s="14"/>
      <c r="H685" s="14"/>
      <c r="I685" s="14"/>
      <c r="J685" s="14"/>
      <c r="K685" s="14"/>
      <c r="L685" s="15"/>
    </row>
    <row r="686">
      <c r="A686" s="11"/>
      <c r="B686" s="12"/>
      <c r="C686" s="13"/>
      <c r="D686" s="14"/>
      <c r="E686" s="14"/>
      <c r="F686" s="14"/>
      <c r="G686" s="14"/>
      <c r="H686" s="14"/>
      <c r="I686" s="14"/>
      <c r="J686" s="14"/>
      <c r="K686" s="14"/>
      <c r="L686" s="15"/>
    </row>
    <row r="687">
      <c r="A687" s="11"/>
      <c r="B687" s="12"/>
      <c r="C687" s="13"/>
      <c r="D687" s="14"/>
      <c r="E687" s="14"/>
      <c r="F687" s="14"/>
      <c r="G687" s="14"/>
      <c r="H687" s="14"/>
      <c r="I687" s="14"/>
      <c r="J687" s="14"/>
      <c r="K687" s="14"/>
      <c r="L687" s="15"/>
    </row>
    <row r="688">
      <c r="A688" s="11"/>
      <c r="B688" s="12"/>
      <c r="C688" s="13"/>
      <c r="D688" s="14"/>
      <c r="E688" s="14"/>
      <c r="F688" s="14"/>
      <c r="G688" s="14"/>
      <c r="H688" s="14"/>
      <c r="I688" s="14"/>
      <c r="J688" s="14"/>
      <c r="K688" s="14"/>
      <c r="L688" s="15"/>
    </row>
    <row r="689">
      <c r="A689" s="11"/>
      <c r="B689" s="12"/>
      <c r="C689" s="13"/>
      <c r="D689" s="14"/>
      <c r="E689" s="14"/>
      <c r="F689" s="14"/>
      <c r="G689" s="14"/>
      <c r="H689" s="14"/>
      <c r="I689" s="14"/>
      <c r="J689" s="14"/>
      <c r="K689" s="14"/>
      <c r="L689" s="15"/>
    </row>
    <row r="690">
      <c r="A690" s="11"/>
      <c r="B690" s="12"/>
      <c r="C690" s="13"/>
      <c r="D690" s="14"/>
      <c r="E690" s="14"/>
      <c r="F690" s="14"/>
      <c r="G690" s="14"/>
      <c r="H690" s="14"/>
      <c r="I690" s="14"/>
      <c r="J690" s="14"/>
      <c r="K690" s="14"/>
      <c r="L690" s="15"/>
    </row>
    <row r="691">
      <c r="A691" s="11"/>
      <c r="B691" s="12"/>
      <c r="C691" s="13"/>
      <c r="D691" s="14"/>
      <c r="E691" s="14"/>
      <c r="F691" s="14"/>
      <c r="G691" s="14"/>
      <c r="H691" s="14"/>
      <c r="I691" s="14"/>
      <c r="J691" s="14"/>
      <c r="K691" s="14"/>
      <c r="L691" s="15"/>
    </row>
    <row r="692">
      <c r="A692" s="11"/>
      <c r="B692" s="12"/>
      <c r="C692" s="13"/>
      <c r="D692" s="14"/>
      <c r="E692" s="14"/>
      <c r="F692" s="14"/>
      <c r="G692" s="14"/>
      <c r="H692" s="14"/>
      <c r="I692" s="14"/>
      <c r="J692" s="14"/>
      <c r="K692" s="14"/>
      <c r="L692" s="15"/>
    </row>
    <row r="693">
      <c r="A693" s="11"/>
      <c r="B693" s="12"/>
      <c r="C693" s="13"/>
      <c r="D693" s="14"/>
      <c r="E693" s="14"/>
      <c r="F693" s="14"/>
      <c r="G693" s="14"/>
      <c r="H693" s="14"/>
      <c r="I693" s="14"/>
      <c r="J693" s="14"/>
      <c r="K693" s="14"/>
      <c r="L693" s="15"/>
    </row>
    <row r="694">
      <c r="A694" s="11"/>
      <c r="B694" s="12"/>
      <c r="C694" s="13"/>
      <c r="D694" s="14"/>
      <c r="E694" s="14"/>
      <c r="F694" s="14"/>
      <c r="G694" s="14"/>
      <c r="H694" s="14"/>
      <c r="I694" s="14"/>
      <c r="J694" s="14"/>
      <c r="K694" s="14"/>
      <c r="L694" s="15"/>
    </row>
    <row r="695">
      <c r="A695" s="11"/>
      <c r="B695" s="12"/>
      <c r="C695" s="13"/>
      <c r="D695" s="14"/>
      <c r="E695" s="14"/>
      <c r="F695" s="14"/>
      <c r="G695" s="14"/>
      <c r="H695" s="14"/>
      <c r="I695" s="14"/>
      <c r="J695" s="14"/>
      <c r="K695" s="14"/>
      <c r="L695" s="15"/>
    </row>
    <row r="696">
      <c r="A696" s="11"/>
      <c r="B696" s="12"/>
      <c r="C696" s="13"/>
      <c r="D696" s="14"/>
      <c r="E696" s="14"/>
      <c r="F696" s="14"/>
      <c r="G696" s="14"/>
      <c r="H696" s="14"/>
      <c r="I696" s="14"/>
      <c r="J696" s="14"/>
      <c r="K696" s="14"/>
      <c r="L696" s="15"/>
    </row>
    <row r="697">
      <c r="A697" s="11"/>
      <c r="B697" s="12"/>
      <c r="C697" s="13"/>
      <c r="D697" s="14"/>
      <c r="E697" s="14"/>
      <c r="F697" s="14"/>
      <c r="G697" s="14"/>
      <c r="H697" s="14"/>
      <c r="I697" s="14"/>
      <c r="J697" s="14"/>
      <c r="K697" s="14"/>
      <c r="L697" s="15"/>
    </row>
    <row r="698">
      <c r="A698" s="11"/>
      <c r="B698" s="12"/>
      <c r="C698" s="13"/>
      <c r="D698" s="14"/>
      <c r="E698" s="14"/>
      <c r="F698" s="14"/>
      <c r="G698" s="14"/>
      <c r="H698" s="14"/>
      <c r="I698" s="14"/>
      <c r="J698" s="14"/>
      <c r="K698" s="14"/>
      <c r="L698" s="15"/>
    </row>
    <row r="699">
      <c r="A699" s="11"/>
      <c r="B699" s="12"/>
      <c r="C699" s="13"/>
      <c r="D699" s="14"/>
      <c r="E699" s="14"/>
      <c r="F699" s="14"/>
      <c r="G699" s="14"/>
      <c r="H699" s="14"/>
      <c r="I699" s="14"/>
      <c r="J699" s="14"/>
      <c r="K699" s="14"/>
      <c r="L699" s="15"/>
    </row>
    <row r="700">
      <c r="A700" s="11"/>
      <c r="B700" s="12"/>
      <c r="C700" s="13"/>
      <c r="D700" s="14"/>
      <c r="E700" s="14"/>
      <c r="F700" s="14"/>
      <c r="G700" s="14"/>
      <c r="H700" s="14"/>
      <c r="I700" s="14"/>
      <c r="J700" s="14"/>
      <c r="K700" s="14"/>
      <c r="L700" s="15"/>
    </row>
    <row r="701">
      <c r="A701" s="11"/>
      <c r="B701" s="12"/>
      <c r="C701" s="13"/>
      <c r="D701" s="14"/>
      <c r="E701" s="14"/>
      <c r="F701" s="14"/>
      <c r="G701" s="14"/>
      <c r="H701" s="14"/>
      <c r="I701" s="14"/>
      <c r="J701" s="14"/>
      <c r="K701" s="14"/>
      <c r="L701" s="15"/>
    </row>
    <row r="702">
      <c r="A702" s="11"/>
      <c r="B702" s="12"/>
      <c r="C702" s="13"/>
      <c r="D702" s="14"/>
      <c r="E702" s="14"/>
      <c r="F702" s="14"/>
      <c r="G702" s="14"/>
      <c r="H702" s="14"/>
      <c r="I702" s="14"/>
      <c r="J702" s="14"/>
      <c r="K702" s="14"/>
      <c r="L702" s="15"/>
    </row>
    <row r="703">
      <c r="A703" s="11"/>
      <c r="B703" s="12"/>
      <c r="C703" s="13"/>
      <c r="D703" s="14"/>
      <c r="E703" s="14"/>
      <c r="F703" s="14"/>
      <c r="G703" s="14"/>
      <c r="H703" s="14"/>
      <c r="I703" s="14"/>
      <c r="J703" s="14"/>
      <c r="K703" s="14"/>
      <c r="L703" s="15"/>
    </row>
    <row r="704">
      <c r="A704" s="11"/>
      <c r="B704" s="12"/>
      <c r="C704" s="13"/>
      <c r="D704" s="14"/>
      <c r="E704" s="14"/>
      <c r="F704" s="14"/>
      <c r="G704" s="14"/>
      <c r="H704" s="14"/>
      <c r="I704" s="14"/>
      <c r="J704" s="14"/>
      <c r="K704" s="14"/>
      <c r="L704" s="15"/>
    </row>
    <row r="705">
      <c r="A705" s="11"/>
      <c r="B705" s="12"/>
      <c r="C705" s="13"/>
      <c r="D705" s="14"/>
      <c r="E705" s="14"/>
      <c r="F705" s="14"/>
      <c r="G705" s="14"/>
      <c r="H705" s="14"/>
      <c r="I705" s="14"/>
      <c r="J705" s="14"/>
      <c r="K705" s="14"/>
      <c r="L705" s="15"/>
    </row>
    <row r="706">
      <c r="A706" s="11"/>
      <c r="B706" s="12"/>
      <c r="C706" s="13"/>
      <c r="D706" s="14"/>
      <c r="E706" s="14"/>
      <c r="F706" s="14"/>
      <c r="G706" s="14"/>
      <c r="H706" s="14"/>
      <c r="I706" s="14"/>
      <c r="J706" s="14"/>
      <c r="K706" s="14"/>
      <c r="L706" s="15"/>
    </row>
    <row r="707">
      <c r="A707" s="11"/>
      <c r="B707" s="12"/>
      <c r="C707" s="13"/>
      <c r="D707" s="14"/>
      <c r="E707" s="14"/>
      <c r="F707" s="14"/>
      <c r="G707" s="14"/>
      <c r="H707" s="14"/>
      <c r="I707" s="14"/>
      <c r="J707" s="14"/>
      <c r="K707" s="14"/>
      <c r="L707" s="15"/>
    </row>
    <row r="708">
      <c r="A708" s="11"/>
      <c r="B708" s="12"/>
      <c r="C708" s="13"/>
      <c r="D708" s="14"/>
      <c r="E708" s="14"/>
      <c r="F708" s="14"/>
      <c r="G708" s="14"/>
      <c r="H708" s="14"/>
      <c r="I708" s="14"/>
      <c r="J708" s="14"/>
      <c r="K708" s="14"/>
      <c r="L708" s="15"/>
    </row>
    <row r="709">
      <c r="A709" s="11"/>
      <c r="B709" s="12"/>
      <c r="C709" s="13"/>
      <c r="D709" s="14"/>
      <c r="E709" s="14"/>
      <c r="F709" s="14"/>
      <c r="G709" s="14"/>
      <c r="H709" s="14"/>
      <c r="I709" s="14"/>
      <c r="J709" s="14"/>
      <c r="K709" s="14"/>
      <c r="L709" s="15"/>
    </row>
    <row r="710">
      <c r="A710" s="11"/>
      <c r="B710" s="12"/>
      <c r="C710" s="13"/>
      <c r="D710" s="14"/>
      <c r="E710" s="14"/>
      <c r="F710" s="14"/>
      <c r="G710" s="14"/>
      <c r="H710" s="14"/>
      <c r="I710" s="14"/>
      <c r="J710" s="14"/>
      <c r="K710" s="14"/>
      <c r="L710" s="15"/>
    </row>
    <row r="711">
      <c r="A711" s="11"/>
      <c r="B711" s="12"/>
      <c r="C711" s="13"/>
      <c r="D711" s="14"/>
      <c r="E711" s="14"/>
      <c r="F711" s="14"/>
      <c r="G711" s="14"/>
      <c r="H711" s="14"/>
      <c r="I711" s="14"/>
      <c r="J711" s="14"/>
      <c r="K711" s="14"/>
      <c r="L711" s="15"/>
    </row>
    <row r="712">
      <c r="A712" s="11"/>
      <c r="B712" s="12"/>
      <c r="C712" s="13"/>
      <c r="D712" s="14"/>
      <c r="E712" s="14"/>
      <c r="F712" s="14"/>
      <c r="G712" s="14"/>
      <c r="H712" s="14"/>
      <c r="I712" s="14"/>
      <c r="J712" s="14"/>
      <c r="K712" s="14"/>
      <c r="L712" s="15"/>
    </row>
    <row r="713">
      <c r="A713" s="11"/>
      <c r="B713" s="12"/>
      <c r="C713" s="13"/>
      <c r="D713" s="14"/>
      <c r="E713" s="14"/>
      <c r="F713" s="14"/>
      <c r="G713" s="14"/>
      <c r="H713" s="14"/>
      <c r="I713" s="14"/>
      <c r="J713" s="14"/>
      <c r="K713" s="14"/>
      <c r="L713" s="15"/>
    </row>
    <row r="714">
      <c r="A714" s="11"/>
      <c r="B714" s="12"/>
      <c r="C714" s="13"/>
      <c r="D714" s="14"/>
      <c r="E714" s="14"/>
      <c r="F714" s="14"/>
      <c r="G714" s="14"/>
      <c r="H714" s="14"/>
      <c r="I714" s="14"/>
      <c r="J714" s="14"/>
      <c r="K714" s="14"/>
      <c r="L714" s="15"/>
    </row>
    <row r="715">
      <c r="A715" s="11"/>
      <c r="B715" s="12"/>
      <c r="C715" s="13"/>
      <c r="D715" s="14"/>
      <c r="E715" s="14"/>
      <c r="F715" s="14"/>
      <c r="G715" s="14"/>
      <c r="H715" s="14"/>
      <c r="I715" s="14"/>
      <c r="J715" s="14"/>
      <c r="K715" s="14"/>
      <c r="L715" s="15"/>
    </row>
    <row r="716">
      <c r="A716" s="11"/>
      <c r="B716" s="12"/>
      <c r="C716" s="13"/>
      <c r="D716" s="14"/>
      <c r="E716" s="14"/>
      <c r="F716" s="14"/>
      <c r="G716" s="14"/>
      <c r="H716" s="14"/>
      <c r="I716" s="14"/>
      <c r="J716" s="14"/>
      <c r="K716" s="14"/>
      <c r="L716" s="15"/>
    </row>
    <row r="717">
      <c r="A717" s="11"/>
      <c r="B717" s="12"/>
      <c r="C717" s="13"/>
      <c r="D717" s="14"/>
      <c r="E717" s="14"/>
      <c r="F717" s="14"/>
      <c r="G717" s="14"/>
      <c r="H717" s="14"/>
      <c r="I717" s="14"/>
      <c r="J717" s="14"/>
      <c r="K717" s="14"/>
      <c r="L717" s="15"/>
    </row>
    <row r="718">
      <c r="A718" s="11"/>
      <c r="B718" s="12"/>
      <c r="C718" s="13"/>
      <c r="D718" s="14"/>
      <c r="E718" s="14"/>
      <c r="F718" s="14"/>
      <c r="G718" s="14"/>
      <c r="H718" s="14"/>
      <c r="I718" s="14"/>
      <c r="J718" s="14"/>
      <c r="K718" s="14"/>
      <c r="L718" s="15"/>
    </row>
    <row r="719">
      <c r="A719" s="11"/>
      <c r="B719" s="12"/>
      <c r="C719" s="13"/>
      <c r="D719" s="14"/>
      <c r="E719" s="14"/>
      <c r="F719" s="14"/>
      <c r="G719" s="14"/>
      <c r="H719" s="14"/>
      <c r="I719" s="14"/>
      <c r="J719" s="14"/>
      <c r="K719" s="14"/>
      <c r="L719" s="15"/>
    </row>
    <row r="720">
      <c r="A720" s="11"/>
      <c r="B720" s="12"/>
      <c r="C720" s="13"/>
      <c r="D720" s="14"/>
      <c r="E720" s="14"/>
      <c r="F720" s="14"/>
      <c r="G720" s="14"/>
      <c r="H720" s="14"/>
      <c r="I720" s="14"/>
      <c r="J720" s="14"/>
      <c r="K720" s="14"/>
      <c r="L720" s="15"/>
    </row>
    <row r="721">
      <c r="A721" s="11"/>
      <c r="B721" s="12"/>
      <c r="C721" s="13"/>
      <c r="D721" s="14"/>
      <c r="E721" s="14"/>
      <c r="F721" s="14"/>
      <c r="G721" s="14"/>
      <c r="H721" s="14"/>
      <c r="I721" s="14"/>
      <c r="J721" s="14"/>
      <c r="K721" s="14"/>
      <c r="L721" s="15"/>
    </row>
    <row r="722">
      <c r="A722" s="11"/>
      <c r="B722" s="12"/>
      <c r="C722" s="13"/>
      <c r="D722" s="14"/>
      <c r="E722" s="14"/>
      <c r="F722" s="14"/>
      <c r="G722" s="14"/>
      <c r="H722" s="14"/>
      <c r="I722" s="14"/>
      <c r="J722" s="14"/>
      <c r="K722" s="14"/>
      <c r="L722" s="15"/>
    </row>
    <row r="723">
      <c r="A723" s="11"/>
      <c r="B723" s="12"/>
      <c r="C723" s="13"/>
      <c r="D723" s="14"/>
      <c r="E723" s="14"/>
      <c r="F723" s="14"/>
      <c r="G723" s="14"/>
      <c r="H723" s="14"/>
      <c r="I723" s="14"/>
      <c r="J723" s="14"/>
      <c r="K723" s="14"/>
      <c r="L723" s="15"/>
    </row>
    <row r="724">
      <c r="A724" s="11"/>
      <c r="B724" s="12"/>
      <c r="C724" s="13"/>
      <c r="D724" s="14"/>
      <c r="E724" s="14"/>
      <c r="F724" s="14"/>
      <c r="G724" s="14"/>
      <c r="H724" s="14"/>
      <c r="I724" s="14"/>
      <c r="J724" s="14"/>
      <c r="K724" s="14"/>
      <c r="L724" s="15"/>
    </row>
    <row r="725">
      <c r="A725" s="11"/>
      <c r="B725" s="12"/>
      <c r="C725" s="13"/>
      <c r="D725" s="14"/>
      <c r="E725" s="14"/>
      <c r="F725" s="14"/>
      <c r="G725" s="14"/>
      <c r="H725" s="14"/>
      <c r="I725" s="14"/>
      <c r="J725" s="14"/>
      <c r="K725" s="14"/>
      <c r="L725" s="15"/>
    </row>
    <row r="726">
      <c r="A726" s="11"/>
      <c r="B726" s="12"/>
      <c r="C726" s="13"/>
      <c r="D726" s="14"/>
      <c r="E726" s="14"/>
      <c r="F726" s="14"/>
      <c r="G726" s="14"/>
      <c r="H726" s="14"/>
      <c r="I726" s="14"/>
      <c r="J726" s="14"/>
      <c r="K726" s="14"/>
      <c r="L726" s="15"/>
    </row>
    <row r="727">
      <c r="A727" s="11"/>
      <c r="B727" s="12"/>
      <c r="C727" s="13"/>
      <c r="D727" s="14"/>
      <c r="E727" s="14"/>
      <c r="F727" s="14"/>
      <c r="G727" s="14"/>
      <c r="H727" s="14"/>
      <c r="I727" s="14"/>
      <c r="J727" s="14"/>
      <c r="K727" s="14"/>
      <c r="L727" s="15"/>
    </row>
    <row r="728">
      <c r="A728" s="11"/>
      <c r="B728" s="12"/>
      <c r="C728" s="13"/>
      <c r="D728" s="14"/>
      <c r="E728" s="14"/>
      <c r="F728" s="14"/>
      <c r="G728" s="14"/>
      <c r="H728" s="14"/>
      <c r="I728" s="14"/>
      <c r="J728" s="14"/>
      <c r="K728" s="14"/>
      <c r="L728" s="15"/>
    </row>
    <row r="729">
      <c r="A729" s="11"/>
      <c r="B729" s="12"/>
      <c r="C729" s="13"/>
      <c r="D729" s="14"/>
      <c r="E729" s="14"/>
      <c r="F729" s="14"/>
      <c r="G729" s="14"/>
      <c r="H729" s="14"/>
      <c r="I729" s="14"/>
      <c r="J729" s="14"/>
      <c r="K729" s="14"/>
      <c r="L729" s="15"/>
    </row>
    <row r="730">
      <c r="A730" s="11"/>
      <c r="B730" s="12"/>
      <c r="C730" s="13"/>
      <c r="D730" s="14"/>
      <c r="E730" s="14"/>
      <c r="F730" s="14"/>
      <c r="G730" s="14"/>
      <c r="H730" s="14"/>
      <c r="I730" s="14"/>
      <c r="J730" s="14"/>
      <c r="K730" s="14"/>
      <c r="L730" s="15"/>
    </row>
    <row r="731">
      <c r="A731" s="11"/>
      <c r="B731" s="12"/>
      <c r="C731" s="13"/>
      <c r="D731" s="14"/>
      <c r="E731" s="14"/>
      <c r="F731" s="14"/>
      <c r="G731" s="14"/>
      <c r="H731" s="14"/>
      <c r="I731" s="14"/>
      <c r="J731" s="14"/>
      <c r="K731" s="14"/>
      <c r="L731" s="15"/>
    </row>
    <row r="732">
      <c r="A732" s="11"/>
      <c r="B732" s="12"/>
      <c r="C732" s="13"/>
      <c r="D732" s="14"/>
      <c r="E732" s="14"/>
      <c r="F732" s="14"/>
      <c r="G732" s="14"/>
      <c r="H732" s="14"/>
      <c r="I732" s="14"/>
      <c r="J732" s="14"/>
      <c r="K732" s="14"/>
      <c r="L732" s="15"/>
    </row>
    <row r="733">
      <c r="A733" s="11"/>
      <c r="B733" s="12"/>
      <c r="C733" s="13"/>
      <c r="D733" s="14"/>
      <c r="E733" s="14"/>
      <c r="F733" s="14"/>
      <c r="G733" s="14"/>
      <c r="H733" s="14"/>
      <c r="I733" s="14"/>
      <c r="J733" s="14"/>
      <c r="K733" s="14"/>
      <c r="L733" s="15"/>
    </row>
    <row r="734">
      <c r="A734" s="11"/>
      <c r="B734" s="12"/>
      <c r="C734" s="13"/>
      <c r="D734" s="14"/>
      <c r="E734" s="14"/>
      <c r="F734" s="14"/>
      <c r="G734" s="14"/>
      <c r="H734" s="14"/>
      <c r="I734" s="14"/>
      <c r="J734" s="14"/>
      <c r="K734" s="14"/>
      <c r="L734" s="15"/>
    </row>
    <row r="735">
      <c r="A735" s="11"/>
      <c r="B735" s="12"/>
      <c r="C735" s="13"/>
      <c r="D735" s="14"/>
      <c r="E735" s="14"/>
      <c r="F735" s="14"/>
      <c r="G735" s="14"/>
      <c r="H735" s="14"/>
      <c r="I735" s="14"/>
      <c r="J735" s="14"/>
      <c r="K735" s="14"/>
      <c r="L735" s="15"/>
    </row>
    <row r="736">
      <c r="A736" s="11"/>
      <c r="B736" s="12"/>
      <c r="C736" s="13"/>
      <c r="D736" s="14"/>
      <c r="E736" s="14"/>
      <c r="F736" s="14"/>
      <c r="G736" s="14"/>
      <c r="H736" s="14"/>
      <c r="I736" s="14"/>
      <c r="J736" s="14"/>
      <c r="K736" s="14"/>
      <c r="L736" s="15"/>
    </row>
    <row r="737">
      <c r="A737" s="11"/>
      <c r="B737" s="12"/>
      <c r="C737" s="13"/>
      <c r="D737" s="14"/>
      <c r="E737" s="14"/>
      <c r="F737" s="14"/>
      <c r="G737" s="14"/>
      <c r="H737" s="14"/>
      <c r="I737" s="14"/>
      <c r="J737" s="14"/>
      <c r="K737" s="14"/>
      <c r="L737" s="15"/>
    </row>
    <row r="738">
      <c r="A738" s="11"/>
      <c r="B738" s="12"/>
      <c r="C738" s="13"/>
      <c r="D738" s="14"/>
      <c r="E738" s="14"/>
      <c r="F738" s="14"/>
      <c r="G738" s="14"/>
      <c r="H738" s="14"/>
      <c r="I738" s="14"/>
      <c r="J738" s="14"/>
      <c r="K738" s="14"/>
      <c r="L738" s="15"/>
    </row>
    <row r="739">
      <c r="A739" s="11"/>
      <c r="B739" s="12"/>
      <c r="C739" s="13"/>
      <c r="D739" s="14"/>
      <c r="E739" s="14"/>
      <c r="F739" s="14"/>
      <c r="G739" s="14"/>
      <c r="H739" s="14"/>
      <c r="I739" s="14"/>
      <c r="J739" s="14"/>
      <c r="K739" s="14"/>
      <c r="L739" s="15"/>
    </row>
    <row r="740">
      <c r="A740" s="11"/>
      <c r="B740" s="12"/>
      <c r="C740" s="13"/>
      <c r="D740" s="14"/>
      <c r="E740" s="14"/>
      <c r="F740" s="14"/>
      <c r="G740" s="14"/>
      <c r="H740" s="14"/>
      <c r="I740" s="14"/>
      <c r="J740" s="14"/>
      <c r="K740" s="14"/>
      <c r="L740" s="15"/>
    </row>
    <row r="741">
      <c r="A741" s="11"/>
      <c r="B741" s="12"/>
      <c r="C741" s="13"/>
      <c r="D741" s="14"/>
      <c r="E741" s="14"/>
      <c r="F741" s="14"/>
      <c r="G741" s="14"/>
      <c r="H741" s="14"/>
      <c r="I741" s="14"/>
      <c r="J741" s="14"/>
      <c r="K741" s="14"/>
      <c r="L741" s="15"/>
    </row>
    <row r="742">
      <c r="A742" s="11"/>
      <c r="B742" s="12"/>
      <c r="C742" s="13"/>
      <c r="D742" s="14"/>
      <c r="E742" s="14"/>
      <c r="F742" s="14"/>
      <c r="G742" s="14"/>
      <c r="H742" s="14"/>
      <c r="I742" s="14"/>
      <c r="J742" s="14"/>
      <c r="K742" s="14"/>
      <c r="L742" s="15"/>
    </row>
    <row r="743">
      <c r="A743" s="11"/>
      <c r="B743" s="12"/>
      <c r="C743" s="13"/>
      <c r="D743" s="14"/>
      <c r="E743" s="14"/>
      <c r="F743" s="14"/>
      <c r="G743" s="14"/>
      <c r="H743" s="14"/>
      <c r="I743" s="14"/>
      <c r="J743" s="14"/>
      <c r="K743" s="14"/>
      <c r="L743" s="15"/>
    </row>
    <row r="744">
      <c r="A744" s="11"/>
      <c r="B744" s="12"/>
      <c r="C744" s="13"/>
      <c r="D744" s="14"/>
      <c r="E744" s="14"/>
      <c r="F744" s="14"/>
      <c r="G744" s="14"/>
      <c r="H744" s="14"/>
      <c r="I744" s="14"/>
      <c r="J744" s="14"/>
      <c r="K744" s="14"/>
      <c r="L744" s="15"/>
    </row>
    <row r="745">
      <c r="A745" s="11"/>
      <c r="B745" s="12"/>
      <c r="C745" s="13"/>
      <c r="D745" s="14"/>
      <c r="E745" s="14"/>
      <c r="F745" s="14"/>
      <c r="G745" s="14"/>
      <c r="H745" s="14"/>
      <c r="I745" s="14"/>
      <c r="J745" s="14"/>
      <c r="K745" s="14"/>
      <c r="L745" s="15"/>
    </row>
    <row r="746">
      <c r="A746" s="11"/>
      <c r="B746" s="12"/>
      <c r="C746" s="13"/>
      <c r="D746" s="14"/>
      <c r="E746" s="14"/>
      <c r="F746" s="14"/>
      <c r="G746" s="14"/>
      <c r="H746" s="14"/>
      <c r="I746" s="14"/>
      <c r="J746" s="14"/>
      <c r="K746" s="14"/>
      <c r="L746" s="15"/>
    </row>
    <row r="747">
      <c r="A747" s="11"/>
      <c r="B747" s="12"/>
      <c r="C747" s="13"/>
      <c r="D747" s="14"/>
      <c r="E747" s="14"/>
      <c r="F747" s="14"/>
      <c r="G747" s="14"/>
      <c r="H747" s="14"/>
      <c r="I747" s="14"/>
      <c r="J747" s="14"/>
      <c r="K747" s="14"/>
      <c r="L747" s="15"/>
    </row>
    <row r="748">
      <c r="A748" s="11"/>
      <c r="B748" s="12"/>
      <c r="C748" s="13"/>
      <c r="D748" s="14"/>
      <c r="E748" s="14"/>
      <c r="F748" s="14"/>
      <c r="G748" s="14"/>
      <c r="H748" s="14"/>
      <c r="I748" s="14"/>
      <c r="J748" s="14"/>
      <c r="K748" s="14"/>
      <c r="L748" s="15"/>
    </row>
    <row r="749">
      <c r="A749" s="11"/>
      <c r="B749" s="12"/>
      <c r="C749" s="13"/>
      <c r="D749" s="14"/>
      <c r="E749" s="14"/>
      <c r="F749" s="14"/>
      <c r="G749" s="14"/>
      <c r="H749" s="14"/>
      <c r="I749" s="14"/>
      <c r="J749" s="14"/>
      <c r="K749" s="14"/>
      <c r="L749" s="15"/>
    </row>
    <row r="750">
      <c r="A750" s="11"/>
      <c r="B750" s="12"/>
      <c r="C750" s="13"/>
      <c r="D750" s="14"/>
      <c r="E750" s="14"/>
      <c r="F750" s="14"/>
      <c r="G750" s="14"/>
      <c r="H750" s="14"/>
      <c r="I750" s="14"/>
      <c r="J750" s="14"/>
      <c r="K750" s="14"/>
      <c r="L750" s="15"/>
    </row>
    <row r="751">
      <c r="A751" s="11"/>
      <c r="B751" s="12"/>
      <c r="C751" s="13"/>
      <c r="D751" s="14"/>
      <c r="E751" s="14"/>
      <c r="F751" s="14"/>
      <c r="G751" s="14"/>
      <c r="H751" s="14"/>
      <c r="I751" s="14"/>
      <c r="J751" s="14"/>
      <c r="K751" s="14"/>
      <c r="L751" s="15"/>
    </row>
    <row r="752">
      <c r="A752" s="11"/>
      <c r="B752" s="12"/>
      <c r="C752" s="13"/>
      <c r="D752" s="14"/>
      <c r="E752" s="14"/>
      <c r="F752" s="14"/>
      <c r="G752" s="14"/>
      <c r="H752" s="14"/>
      <c r="I752" s="14"/>
      <c r="J752" s="14"/>
      <c r="K752" s="14"/>
      <c r="L752" s="15"/>
    </row>
    <row r="753">
      <c r="A753" s="11"/>
      <c r="B753" s="12"/>
      <c r="C753" s="13"/>
      <c r="D753" s="14"/>
      <c r="E753" s="14"/>
      <c r="F753" s="14"/>
      <c r="G753" s="14"/>
      <c r="H753" s="14"/>
      <c r="I753" s="14"/>
      <c r="J753" s="14"/>
      <c r="K753" s="14"/>
      <c r="L753" s="15"/>
    </row>
    <row r="754">
      <c r="A754" s="11"/>
      <c r="B754" s="12"/>
      <c r="C754" s="13"/>
      <c r="D754" s="14"/>
      <c r="E754" s="14"/>
      <c r="F754" s="14"/>
      <c r="G754" s="14"/>
      <c r="H754" s="14"/>
      <c r="I754" s="14"/>
      <c r="J754" s="14"/>
      <c r="K754" s="14"/>
      <c r="L754" s="15"/>
    </row>
    <row r="755">
      <c r="A755" s="11"/>
      <c r="B755" s="12"/>
      <c r="C755" s="13"/>
      <c r="D755" s="14"/>
      <c r="E755" s="14"/>
      <c r="F755" s="14"/>
      <c r="G755" s="14"/>
      <c r="H755" s="14"/>
      <c r="I755" s="14"/>
      <c r="J755" s="14"/>
      <c r="K755" s="14"/>
      <c r="L755" s="15"/>
    </row>
    <row r="756">
      <c r="A756" s="11"/>
      <c r="B756" s="12"/>
      <c r="C756" s="13"/>
      <c r="D756" s="14"/>
      <c r="E756" s="14"/>
      <c r="F756" s="14"/>
      <c r="G756" s="14"/>
      <c r="H756" s="14"/>
      <c r="I756" s="14"/>
      <c r="J756" s="14"/>
      <c r="K756" s="14"/>
      <c r="L756" s="15"/>
    </row>
    <row r="757">
      <c r="A757" s="11"/>
      <c r="B757" s="12"/>
      <c r="C757" s="13"/>
      <c r="D757" s="14"/>
      <c r="E757" s="14"/>
      <c r="F757" s="14"/>
      <c r="G757" s="14"/>
      <c r="H757" s="14"/>
      <c r="I757" s="14"/>
      <c r="J757" s="14"/>
      <c r="K757" s="14"/>
      <c r="L757" s="15"/>
    </row>
    <row r="758">
      <c r="A758" s="11"/>
      <c r="B758" s="12"/>
      <c r="C758" s="13"/>
      <c r="D758" s="14"/>
      <c r="E758" s="14"/>
      <c r="F758" s="14"/>
      <c r="G758" s="14"/>
      <c r="H758" s="14"/>
      <c r="I758" s="14"/>
      <c r="J758" s="14"/>
      <c r="K758" s="14"/>
      <c r="L758" s="15"/>
    </row>
    <row r="759">
      <c r="A759" s="11"/>
      <c r="B759" s="12"/>
      <c r="C759" s="13"/>
      <c r="D759" s="14"/>
      <c r="E759" s="14"/>
      <c r="F759" s="14"/>
      <c r="G759" s="14"/>
      <c r="H759" s="14"/>
      <c r="I759" s="14"/>
      <c r="J759" s="14"/>
      <c r="K759" s="14"/>
      <c r="L759" s="15"/>
    </row>
    <row r="760">
      <c r="A760" s="11"/>
      <c r="B760" s="12"/>
      <c r="C760" s="13"/>
      <c r="D760" s="14"/>
      <c r="E760" s="14"/>
      <c r="F760" s="14"/>
      <c r="G760" s="14"/>
      <c r="H760" s="14"/>
      <c r="I760" s="14"/>
      <c r="J760" s="14"/>
      <c r="K760" s="14"/>
      <c r="L760" s="15"/>
    </row>
    <row r="761">
      <c r="A761" s="11"/>
      <c r="B761" s="12"/>
      <c r="C761" s="13"/>
      <c r="D761" s="14"/>
      <c r="E761" s="14"/>
      <c r="F761" s="14"/>
      <c r="G761" s="14"/>
      <c r="H761" s="14"/>
      <c r="I761" s="14"/>
      <c r="J761" s="14"/>
      <c r="K761" s="14"/>
      <c r="L761" s="15"/>
    </row>
    <row r="762">
      <c r="A762" s="11"/>
      <c r="B762" s="12"/>
      <c r="C762" s="13"/>
      <c r="D762" s="14"/>
      <c r="E762" s="14"/>
      <c r="F762" s="14"/>
      <c r="G762" s="14"/>
      <c r="H762" s="14"/>
      <c r="I762" s="14"/>
      <c r="J762" s="14"/>
      <c r="K762" s="14"/>
      <c r="L762" s="15"/>
    </row>
    <row r="763">
      <c r="A763" s="11"/>
      <c r="B763" s="12"/>
      <c r="C763" s="13"/>
      <c r="D763" s="14"/>
      <c r="E763" s="14"/>
      <c r="F763" s="14"/>
      <c r="G763" s="14"/>
      <c r="H763" s="14"/>
      <c r="I763" s="14"/>
      <c r="J763" s="14"/>
      <c r="K763" s="14"/>
      <c r="L763" s="15"/>
    </row>
    <row r="764">
      <c r="A764" s="11"/>
      <c r="B764" s="12"/>
      <c r="C764" s="13"/>
      <c r="D764" s="14"/>
      <c r="E764" s="14"/>
      <c r="F764" s="14"/>
      <c r="G764" s="14"/>
      <c r="H764" s="14"/>
      <c r="I764" s="14"/>
      <c r="J764" s="14"/>
      <c r="K764" s="14"/>
      <c r="L764" s="15"/>
    </row>
    <row r="765">
      <c r="A765" s="11"/>
      <c r="B765" s="12"/>
      <c r="C765" s="13"/>
      <c r="D765" s="14"/>
      <c r="E765" s="14"/>
      <c r="F765" s="14"/>
      <c r="G765" s="14"/>
      <c r="H765" s="14"/>
      <c r="I765" s="14"/>
      <c r="J765" s="14"/>
      <c r="K765" s="14"/>
      <c r="L765" s="15"/>
    </row>
    <row r="766">
      <c r="A766" s="11"/>
      <c r="B766" s="12"/>
      <c r="C766" s="13"/>
      <c r="D766" s="14"/>
      <c r="E766" s="14"/>
      <c r="F766" s="14"/>
      <c r="G766" s="14"/>
      <c r="H766" s="14"/>
      <c r="I766" s="14"/>
      <c r="J766" s="14"/>
      <c r="K766" s="14"/>
      <c r="L766" s="15"/>
    </row>
    <row r="767">
      <c r="A767" s="11"/>
      <c r="B767" s="12"/>
      <c r="C767" s="13"/>
      <c r="D767" s="14"/>
      <c r="E767" s="14"/>
      <c r="F767" s="14"/>
      <c r="G767" s="14"/>
      <c r="H767" s="14"/>
      <c r="I767" s="14"/>
      <c r="J767" s="14"/>
      <c r="K767" s="14"/>
      <c r="L767" s="15"/>
    </row>
    <row r="768">
      <c r="A768" s="11"/>
      <c r="B768" s="12"/>
      <c r="C768" s="13"/>
      <c r="D768" s="14"/>
      <c r="E768" s="14"/>
      <c r="F768" s="14"/>
      <c r="G768" s="14"/>
      <c r="H768" s="14"/>
      <c r="I768" s="14"/>
      <c r="J768" s="14"/>
      <c r="K768" s="14"/>
      <c r="L768" s="15"/>
    </row>
    <row r="769">
      <c r="A769" s="11"/>
      <c r="B769" s="12"/>
      <c r="C769" s="13"/>
      <c r="D769" s="14"/>
      <c r="E769" s="14"/>
      <c r="F769" s="14"/>
      <c r="G769" s="14"/>
      <c r="H769" s="14"/>
      <c r="I769" s="14"/>
      <c r="J769" s="14"/>
      <c r="K769" s="14"/>
      <c r="L769" s="15"/>
    </row>
    <row r="770">
      <c r="A770" s="11"/>
      <c r="B770" s="12"/>
      <c r="C770" s="13"/>
      <c r="D770" s="14"/>
      <c r="E770" s="14"/>
      <c r="F770" s="14"/>
      <c r="G770" s="14"/>
      <c r="H770" s="14"/>
      <c r="I770" s="14"/>
      <c r="J770" s="14"/>
      <c r="K770" s="14"/>
      <c r="L770" s="15"/>
    </row>
    <row r="771">
      <c r="A771" s="11"/>
      <c r="B771" s="12"/>
      <c r="C771" s="13"/>
      <c r="D771" s="14"/>
      <c r="E771" s="14"/>
      <c r="F771" s="14"/>
      <c r="G771" s="14"/>
      <c r="H771" s="14"/>
      <c r="I771" s="14"/>
      <c r="J771" s="14"/>
      <c r="K771" s="14"/>
      <c r="L771" s="15"/>
    </row>
    <row r="772">
      <c r="A772" s="11"/>
      <c r="B772" s="12"/>
      <c r="C772" s="13"/>
      <c r="D772" s="14"/>
      <c r="E772" s="14"/>
      <c r="F772" s="14"/>
      <c r="G772" s="14"/>
      <c r="H772" s="14"/>
      <c r="I772" s="14"/>
      <c r="J772" s="14"/>
      <c r="K772" s="14"/>
      <c r="L772" s="15"/>
    </row>
    <row r="773">
      <c r="A773" s="11"/>
      <c r="B773" s="12"/>
      <c r="C773" s="13"/>
      <c r="D773" s="14"/>
      <c r="E773" s="14"/>
      <c r="F773" s="14"/>
      <c r="G773" s="14"/>
      <c r="H773" s="14"/>
      <c r="I773" s="14"/>
      <c r="J773" s="14"/>
      <c r="K773" s="14"/>
      <c r="L773" s="15"/>
    </row>
    <row r="774">
      <c r="A774" s="11"/>
      <c r="B774" s="12"/>
      <c r="C774" s="13"/>
      <c r="D774" s="14"/>
      <c r="E774" s="14"/>
      <c r="F774" s="14"/>
      <c r="G774" s="14"/>
      <c r="H774" s="14"/>
      <c r="I774" s="14"/>
      <c r="J774" s="14"/>
      <c r="K774" s="14"/>
      <c r="L774" s="15"/>
    </row>
    <row r="775">
      <c r="A775" s="11"/>
      <c r="B775" s="12"/>
      <c r="C775" s="13"/>
      <c r="D775" s="14"/>
      <c r="E775" s="14"/>
      <c r="F775" s="14"/>
      <c r="G775" s="14"/>
      <c r="H775" s="14"/>
      <c r="I775" s="14"/>
      <c r="J775" s="14"/>
      <c r="K775" s="14"/>
      <c r="L775" s="15"/>
    </row>
    <row r="776">
      <c r="A776" s="11"/>
      <c r="B776" s="12"/>
      <c r="C776" s="13"/>
      <c r="D776" s="14"/>
      <c r="E776" s="14"/>
      <c r="F776" s="14"/>
      <c r="G776" s="14"/>
      <c r="H776" s="14"/>
      <c r="I776" s="14"/>
      <c r="J776" s="14"/>
      <c r="K776" s="14"/>
      <c r="L776" s="15"/>
    </row>
    <row r="777">
      <c r="A777" s="11"/>
      <c r="B777" s="12"/>
      <c r="C777" s="13"/>
      <c r="D777" s="14"/>
      <c r="E777" s="14"/>
      <c r="F777" s="14"/>
      <c r="G777" s="14"/>
      <c r="H777" s="14"/>
      <c r="I777" s="14"/>
      <c r="J777" s="14"/>
      <c r="K777" s="14"/>
      <c r="L777" s="15"/>
    </row>
    <row r="778">
      <c r="A778" s="11"/>
      <c r="B778" s="12"/>
      <c r="C778" s="13"/>
      <c r="D778" s="14"/>
      <c r="E778" s="14"/>
      <c r="F778" s="14"/>
      <c r="G778" s="14"/>
      <c r="H778" s="14"/>
      <c r="I778" s="14"/>
      <c r="J778" s="14"/>
      <c r="K778" s="14"/>
      <c r="L778" s="15"/>
    </row>
    <row r="779">
      <c r="A779" s="11"/>
      <c r="B779" s="12"/>
      <c r="C779" s="13"/>
      <c r="D779" s="14"/>
      <c r="E779" s="14"/>
      <c r="F779" s="14"/>
      <c r="G779" s="14"/>
      <c r="H779" s="14"/>
      <c r="I779" s="14"/>
      <c r="J779" s="14"/>
      <c r="K779" s="14"/>
      <c r="L779" s="15"/>
    </row>
    <row r="780">
      <c r="A780" s="11"/>
      <c r="B780" s="12"/>
      <c r="C780" s="13"/>
      <c r="D780" s="14"/>
      <c r="E780" s="14"/>
      <c r="F780" s="14"/>
      <c r="G780" s="14"/>
      <c r="H780" s="14"/>
      <c r="I780" s="14"/>
      <c r="J780" s="14"/>
      <c r="K780" s="14"/>
      <c r="L780" s="15"/>
    </row>
    <row r="781">
      <c r="A781" s="11"/>
      <c r="B781" s="12"/>
      <c r="C781" s="13"/>
      <c r="D781" s="14"/>
      <c r="E781" s="14"/>
      <c r="F781" s="14"/>
      <c r="G781" s="14"/>
      <c r="H781" s="14"/>
      <c r="I781" s="14"/>
      <c r="J781" s="14"/>
      <c r="K781" s="14"/>
      <c r="L781" s="15"/>
    </row>
    <row r="782">
      <c r="A782" s="11"/>
      <c r="B782" s="12"/>
      <c r="C782" s="13"/>
      <c r="D782" s="14"/>
      <c r="E782" s="14"/>
      <c r="F782" s="14"/>
      <c r="G782" s="14"/>
      <c r="H782" s="14"/>
      <c r="I782" s="14"/>
      <c r="J782" s="14"/>
      <c r="K782" s="14"/>
      <c r="L782" s="15"/>
    </row>
    <row r="783">
      <c r="A783" s="11"/>
      <c r="B783" s="12"/>
      <c r="C783" s="13"/>
      <c r="D783" s="14"/>
      <c r="E783" s="14"/>
      <c r="F783" s="14"/>
      <c r="G783" s="14"/>
      <c r="H783" s="14"/>
      <c r="I783" s="14"/>
      <c r="J783" s="14"/>
      <c r="K783" s="14"/>
      <c r="L783" s="15"/>
    </row>
    <row r="784">
      <c r="A784" s="11"/>
      <c r="B784" s="12"/>
      <c r="C784" s="13"/>
      <c r="D784" s="14"/>
      <c r="E784" s="14"/>
      <c r="F784" s="14"/>
      <c r="G784" s="14"/>
      <c r="H784" s="14"/>
      <c r="I784" s="14"/>
      <c r="J784" s="14"/>
      <c r="K784" s="14"/>
      <c r="L784" s="15"/>
    </row>
    <row r="785">
      <c r="A785" s="11"/>
      <c r="B785" s="12"/>
      <c r="C785" s="13"/>
      <c r="D785" s="14"/>
      <c r="E785" s="14"/>
      <c r="F785" s="14"/>
      <c r="G785" s="14"/>
      <c r="H785" s="14"/>
      <c r="I785" s="14"/>
      <c r="J785" s="14"/>
      <c r="K785" s="14"/>
      <c r="L785" s="15"/>
    </row>
    <row r="786">
      <c r="A786" s="11"/>
      <c r="B786" s="12"/>
      <c r="C786" s="13"/>
      <c r="D786" s="14"/>
      <c r="E786" s="14"/>
      <c r="F786" s="14"/>
      <c r="G786" s="14"/>
      <c r="H786" s="14"/>
      <c r="I786" s="14"/>
      <c r="J786" s="14"/>
      <c r="K786" s="14"/>
      <c r="L786" s="15"/>
    </row>
    <row r="787">
      <c r="A787" s="11"/>
      <c r="B787" s="12"/>
      <c r="C787" s="13"/>
      <c r="D787" s="14"/>
      <c r="E787" s="14"/>
      <c r="F787" s="14"/>
      <c r="G787" s="14"/>
      <c r="H787" s="14"/>
      <c r="I787" s="14"/>
      <c r="J787" s="14"/>
      <c r="K787" s="14"/>
      <c r="L787" s="15"/>
    </row>
    <row r="788">
      <c r="A788" s="11"/>
      <c r="B788" s="12"/>
      <c r="C788" s="13"/>
      <c r="D788" s="14"/>
      <c r="E788" s="14"/>
      <c r="F788" s="14"/>
      <c r="G788" s="14"/>
      <c r="H788" s="14"/>
      <c r="I788" s="14"/>
      <c r="J788" s="14"/>
      <c r="K788" s="14"/>
      <c r="L788" s="15"/>
    </row>
    <row r="789">
      <c r="A789" s="11"/>
      <c r="B789" s="12"/>
      <c r="C789" s="13"/>
      <c r="D789" s="14"/>
      <c r="E789" s="14"/>
      <c r="F789" s="14"/>
      <c r="G789" s="14"/>
      <c r="H789" s="14"/>
      <c r="I789" s="14"/>
      <c r="J789" s="14"/>
      <c r="K789" s="14"/>
      <c r="L789" s="15"/>
    </row>
    <row r="790">
      <c r="A790" s="11"/>
      <c r="B790" s="12"/>
      <c r="C790" s="13"/>
      <c r="D790" s="14"/>
      <c r="E790" s="14"/>
      <c r="F790" s="14"/>
      <c r="G790" s="14"/>
      <c r="H790" s="14"/>
      <c r="I790" s="14"/>
      <c r="J790" s="14"/>
      <c r="K790" s="14"/>
      <c r="L790" s="15"/>
    </row>
    <row r="791">
      <c r="A791" s="11"/>
      <c r="B791" s="12"/>
      <c r="C791" s="13"/>
      <c r="D791" s="14"/>
      <c r="E791" s="14"/>
      <c r="F791" s="14"/>
      <c r="G791" s="14"/>
      <c r="H791" s="14"/>
      <c r="I791" s="14"/>
      <c r="J791" s="14"/>
      <c r="K791" s="14"/>
      <c r="L791" s="15"/>
    </row>
    <row r="792">
      <c r="A792" s="11"/>
      <c r="B792" s="12"/>
      <c r="C792" s="13"/>
      <c r="D792" s="14"/>
      <c r="E792" s="14"/>
      <c r="F792" s="14"/>
      <c r="G792" s="14"/>
      <c r="H792" s="14"/>
      <c r="I792" s="14"/>
      <c r="J792" s="14"/>
      <c r="K792" s="14"/>
      <c r="L792" s="15"/>
    </row>
    <row r="793">
      <c r="A793" s="11"/>
      <c r="B793" s="12"/>
      <c r="C793" s="13"/>
      <c r="D793" s="14"/>
      <c r="E793" s="14"/>
      <c r="F793" s="14"/>
      <c r="G793" s="14"/>
      <c r="H793" s="14"/>
      <c r="I793" s="14"/>
      <c r="J793" s="14"/>
      <c r="K793" s="14"/>
      <c r="L793" s="15"/>
    </row>
    <row r="794">
      <c r="A794" s="11"/>
      <c r="B794" s="12"/>
      <c r="C794" s="13"/>
      <c r="D794" s="14"/>
      <c r="E794" s="14"/>
      <c r="F794" s="14"/>
      <c r="G794" s="14"/>
      <c r="H794" s="14"/>
      <c r="I794" s="14"/>
      <c r="J794" s="14"/>
      <c r="K794" s="14"/>
      <c r="L794" s="15"/>
    </row>
    <row r="795">
      <c r="A795" s="11"/>
      <c r="B795" s="12"/>
      <c r="C795" s="13"/>
      <c r="D795" s="14"/>
      <c r="E795" s="14"/>
      <c r="F795" s="14"/>
      <c r="G795" s="14"/>
      <c r="H795" s="14"/>
      <c r="I795" s="14"/>
      <c r="J795" s="14"/>
      <c r="K795" s="14"/>
      <c r="L795" s="15"/>
    </row>
    <row r="796">
      <c r="A796" s="11"/>
      <c r="B796" s="12"/>
      <c r="C796" s="13"/>
      <c r="D796" s="14"/>
      <c r="E796" s="14"/>
      <c r="F796" s="14"/>
      <c r="G796" s="14"/>
      <c r="H796" s="14"/>
      <c r="I796" s="14"/>
      <c r="J796" s="14"/>
      <c r="K796" s="14"/>
      <c r="L796" s="15"/>
    </row>
    <row r="797">
      <c r="A797" s="11"/>
      <c r="B797" s="12"/>
      <c r="C797" s="13"/>
      <c r="D797" s="14"/>
      <c r="E797" s="14"/>
      <c r="F797" s="14"/>
      <c r="G797" s="14"/>
      <c r="H797" s="14"/>
      <c r="I797" s="14"/>
      <c r="J797" s="14"/>
      <c r="K797" s="14"/>
      <c r="L797" s="15"/>
    </row>
    <row r="798">
      <c r="A798" s="11"/>
      <c r="B798" s="12"/>
      <c r="C798" s="13"/>
      <c r="D798" s="14"/>
      <c r="E798" s="14"/>
      <c r="F798" s="14"/>
      <c r="G798" s="14"/>
      <c r="H798" s="14"/>
      <c r="I798" s="14"/>
      <c r="J798" s="14"/>
      <c r="K798" s="14"/>
      <c r="L798" s="15"/>
    </row>
    <row r="799">
      <c r="A799" s="11"/>
      <c r="B799" s="12"/>
      <c r="C799" s="13"/>
      <c r="D799" s="14"/>
      <c r="E799" s="14"/>
      <c r="F799" s="14"/>
      <c r="G799" s="14"/>
      <c r="H799" s="14"/>
      <c r="I799" s="14"/>
      <c r="J799" s="14"/>
      <c r="K799" s="14"/>
      <c r="L799" s="15"/>
    </row>
    <row r="800">
      <c r="A800" s="11"/>
      <c r="B800" s="12"/>
      <c r="C800" s="13"/>
      <c r="D800" s="14"/>
      <c r="E800" s="14"/>
      <c r="F800" s="14"/>
      <c r="G800" s="14"/>
      <c r="H800" s="14"/>
      <c r="I800" s="14"/>
      <c r="J800" s="14"/>
      <c r="K800" s="14"/>
      <c r="L800" s="15"/>
    </row>
    <row r="801">
      <c r="A801" s="11"/>
      <c r="B801" s="12"/>
      <c r="C801" s="13"/>
      <c r="D801" s="14"/>
      <c r="E801" s="14"/>
      <c r="F801" s="14"/>
      <c r="G801" s="14"/>
      <c r="H801" s="14"/>
      <c r="I801" s="14"/>
      <c r="J801" s="14"/>
      <c r="K801" s="14"/>
      <c r="L801" s="15"/>
    </row>
    <row r="802">
      <c r="A802" s="11"/>
      <c r="B802" s="12"/>
      <c r="C802" s="13"/>
      <c r="D802" s="14"/>
      <c r="E802" s="14"/>
      <c r="F802" s="14"/>
      <c r="G802" s="14"/>
      <c r="H802" s="14"/>
      <c r="I802" s="14"/>
      <c r="J802" s="14"/>
      <c r="K802" s="14"/>
      <c r="L802" s="15"/>
    </row>
    <row r="803">
      <c r="A803" s="11"/>
      <c r="B803" s="12"/>
      <c r="C803" s="13"/>
      <c r="D803" s="14"/>
      <c r="E803" s="14"/>
      <c r="F803" s="14"/>
      <c r="G803" s="14"/>
      <c r="H803" s="14"/>
      <c r="I803" s="14"/>
      <c r="J803" s="14"/>
      <c r="K803" s="14"/>
      <c r="L803" s="15"/>
    </row>
    <row r="804">
      <c r="A804" s="11"/>
      <c r="B804" s="12"/>
      <c r="C804" s="13"/>
      <c r="D804" s="14"/>
      <c r="E804" s="14"/>
      <c r="F804" s="14"/>
      <c r="G804" s="14"/>
      <c r="H804" s="14"/>
      <c r="I804" s="14"/>
      <c r="J804" s="14"/>
      <c r="K804" s="14"/>
      <c r="L804" s="15"/>
    </row>
    <row r="805">
      <c r="A805" s="11"/>
      <c r="B805" s="12"/>
      <c r="C805" s="13"/>
      <c r="D805" s="14"/>
      <c r="E805" s="14"/>
      <c r="F805" s="14"/>
      <c r="G805" s="14"/>
      <c r="H805" s="14"/>
      <c r="I805" s="14"/>
      <c r="J805" s="14"/>
      <c r="K805" s="14"/>
      <c r="L805" s="15"/>
    </row>
    <row r="806">
      <c r="A806" s="11"/>
      <c r="B806" s="12"/>
      <c r="C806" s="13"/>
      <c r="D806" s="14"/>
      <c r="E806" s="14"/>
      <c r="F806" s="14"/>
      <c r="G806" s="14"/>
      <c r="H806" s="14"/>
      <c r="I806" s="14"/>
      <c r="J806" s="14"/>
      <c r="K806" s="14"/>
      <c r="L806" s="15"/>
    </row>
    <row r="807">
      <c r="A807" s="11"/>
      <c r="B807" s="12"/>
      <c r="C807" s="13"/>
      <c r="D807" s="14"/>
      <c r="E807" s="14"/>
      <c r="F807" s="14"/>
      <c r="G807" s="14"/>
      <c r="H807" s="14"/>
      <c r="I807" s="14"/>
      <c r="J807" s="14"/>
      <c r="K807" s="14"/>
      <c r="L807" s="15"/>
    </row>
    <row r="808">
      <c r="A808" s="11"/>
      <c r="B808" s="12"/>
      <c r="C808" s="13"/>
      <c r="D808" s="14"/>
      <c r="E808" s="14"/>
      <c r="F808" s="14"/>
      <c r="G808" s="14"/>
      <c r="H808" s="14"/>
      <c r="I808" s="14"/>
      <c r="J808" s="14"/>
      <c r="K808" s="14"/>
      <c r="L808" s="15"/>
    </row>
    <row r="809">
      <c r="A809" s="11"/>
      <c r="B809" s="12"/>
      <c r="C809" s="13"/>
      <c r="D809" s="14"/>
      <c r="E809" s="14"/>
      <c r="F809" s="14"/>
      <c r="G809" s="14"/>
      <c r="H809" s="14"/>
      <c r="I809" s="14"/>
      <c r="J809" s="14"/>
      <c r="K809" s="14"/>
      <c r="L809" s="15"/>
    </row>
    <row r="810">
      <c r="A810" s="11"/>
      <c r="B810" s="12"/>
      <c r="C810" s="13"/>
      <c r="D810" s="14"/>
      <c r="E810" s="14"/>
      <c r="F810" s="14"/>
      <c r="G810" s="14"/>
      <c r="H810" s="14"/>
      <c r="I810" s="14"/>
      <c r="J810" s="14"/>
      <c r="K810" s="14"/>
      <c r="L810" s="15"/>
    </row>
    <row r="811">
      <c r="A811" s="11"/>
      <c r="B811" s="12"/>
      <c r="C811" s="13"/>
      <c r="D811" s="14"/>
      <c r="E811" s="14"/>
      <c r="F811" s="14"/>
      <c r="G811" s="14"/>
      <c r="H811" s="14"/>
      <c r="I811" s="14"/>
      <c r="J811" s="14"/>
      <c r="K811" s="14"/>
      <c r="L811" s="15"/>
    </row>
    <row r="812">
      <c r="A812" s="11"/>
      <c r="B812" s="12"/>
      <c r="C812" s="13"/>
      <c r="D812" s="14"/>
      <c r="E812" s="14"/>
      <c r="F812" s="14"/>
      <c r="G812" s="14"/>
      <c r="H812" s="14"/>
      <c r="I812" s="14"/>
      <c r="J812" s="14"/>
      <c r="K812" s="14"/>
      <c r="L812" s="15"/>
    </row>
    <row r="813">
      <c r="A813" s="11"/>
      <c r="B813" s="12"/>
      <c r="C813" s="13"/>
      <c r="D813" s="14"/>
      <c r="E813" s="14"/>
      <c r="F813" s="14"/>
      <c r="G813" s="14"/>
      <c r="H813" s="14"/>
      <c r="I813" s="14"/>
      <c r="J813" s="14"/>
      <c r="K813" s="14"/>
      <c r="L813" s="15"/>
    </row>
    <row r="814">
      <c r="A814" s="11"/>
      <c r="B814" s="12"/>
      <c r="C814" s="13"/>
      <c r="D814" s="14"/>
      <c r="E814" s="14"/>
      <c r="F814" s="14"/>
      <c r="G814" s="14"/>
      <c r="H814" s="14"/>
      <c r="I814" s="14"/>
      <c r="J814" s="14"/>
      <c r="K814" s="14"/>
      <c r="L814" s="15"/>
    </row>
    <row r="815">
      <c r="A815" s="11"/>
      <c r="B815" s="12"/>
      <c r="C815" s="13"/>
      <c r="D815" s="14"/>
      <c r="E815" s="14"/>
      <c r="F815" s="14"/>
      <c r="G815" s="14"/>
      <c r="H815" s="14"/>
      <c r="I815" s="14"/>
      <c r="J815" s="14"/>
      <c r="K815" s="14"/>
      <c r="L815" s="15"/>
    </row>
    <row r="816">
      <c r="A816" s="11"/>
      <c r="B816" s="12"/>
      <c r="C816" s="13"/>
      <c r="D816" s="14"/>
      <c r="E816" s="14"/>
      <c r="F816" s="14"/>
      <c r="G816" s="14"/>
      <c r="H816" s="14"/>
      <c r="I816" s="14"/>
      <c r="J816" s="14"/>
      <c r="K816" s="14"/>
      <c r="L816" s="15"/>
    </row>
    <row r="817">
      <c r="A817" s="11"/>
      <c r="B817" s="12"/>
      <c r="C817" s="13"/>
      <c r="D817" s="14"/>
      <c r="E817" s="14"/>
      <c r="F817" s="14"/>
      <c r="G817" s="14"/>
      <c r="H817" s="14"/>
      <c r="I817" s="14"/>
      <c r="J817" s="14"/>
      <c r="K817" s="14"/>
      <c r="L817" s="15"/>
    </row>
    <row r="818">
      <c r="A818" s="11"/>
      <c r="B818" s="12"/>
      <c r="C818" s="13"/>
      <c r="D818" s="14"/>
      <c r="E818" s="14"/>
      <c r="F818" s="14"/>
      <c r="G818" s="14"/>
      <c r="H818" s="14"/>
      <c r="I818" s="14"/>
      <c r="J818" s="14"/>
      <c r="K818" s="14"/>
      <c r="L818" s="15"/>
    </row>
    <row r="819">
      <c r="A819" s="11"/>
      <c r="B819" s="12"/>
      <c r="C819" s="13"/>
      <c r="D819" s="14"/>
      <c r="E819" s="14"/>
      <c r="F819" s="14"/>
      <c r="G819" s="14"/>
      <c r="H819" s="14"/>
      <c r="I819" s="14"/>
      <c r="J819" s="14"/>
      <c r="K819" s="14"/>
      <c r="L819" s="15"/>
    </row>
    <row r="820">
      <c r="A820" s="11"/>
      <c r="B820" s="12"/>
      <c r="C820" s="13"/>
      <c r="D820" s="14"/>
      <c r="E820" s="14"/>
      <c r="F820" s="14"/>
      <c r="G820" s="14"/>
      <c r="H820" s="14"/>
      <c r="I820" s="14"/>
      <c r="J820" s="14"/>
      <c r="K820" s="14"/>
      <c r="L820" s="15"/>
    </row>
    <row r="821">
      <c r="A821" s="11"/>
      <c r="B821" s="12"/>
      <c r="C821" s="13"/>
      <c r="D821" s="14"/>
      <c r="E821" s="14"/>
      <c r="F821" s="14"/>
      <c r="G821" s="14"/>
      <c r="H821" s="14"/>
      <c r="I821" s="14"/>
      <c r="J821" s="14"/>
      <c r="K821" s="14"/>
      <c r="L821" s="15"/>
    </row>
    <row r="822">
      <c r="A822" s="11"/>
      <c r="B822" s="12"/>
      <c r="C822" s="13"/>
      <c r="D822" s="14"/>
      <c r="E822" s="14"/>
      <c r="F822" s="14"/>
      <c r="G822" s="14"/>
      <c r="H822" s="14"/>
      <c r="I822" s="14"/>
      <c r="J822" s="14"/>
      <c r="K822" s="14"/>
      <c r="L822" s="15"/>
    </row>
    <row r="823">
      <c r="A823" s="11"/>
      <c r="B823" s="12"/>
      <c r="C823" s="13"/>
      <c r="D823" s="14"/>
      <c r="E823" s="14"/>
      <c r="F823" s="14"/>
      <c r="G823" s="14"/>
      <c r="H823" s="14"/>
      <c r="I823" s="14"/>
      <c r="J823" s="14"/>
      <c r="K823" s="14"/>
      <c r="L823" s="15"/>
    </row>
    <row r="824">
      <c r="A824" s="11"/>
      <c r="B824" s="12"/>
      <c r="C824" s="13"/>
      <c r="D824" s="14"/>
      <c r="E824" s="14"/>
      <c r="F824" s="14"/>
      <c r="G824" s="14"/>
      <c r="H824" s="14"/>
      <c r="I824" s="14"/>
      <c r="J824" s="14"/>
      <c r="K824" s="14"/>
      <c r="L824" s="15"/>
    </row>
    <row r="825">
      <c r="A825" s="11"/>
      <c r="B825" s="12"/>
      <c r="C825" s="13"/>
      <c r="D825" s="14"/>
      <c r="E825" s="14"/>
      <c r="F825" s="14"/>
      <c r="G825" s="14"/>
      <c r="H825" s="14"/>
      <c r="I825" s="14"/>
      <c r="J825" s="14"/>
      <c r="K825" s="14"/>
      <c r="L825" s="15"/>
    </row>
    <row r="826">
      <c r="A826" s="11"/>
      <c r="B826" s="12"/>
      <c r="C826" s="13"/>
      <c r="D826" s="14"/>
      <c r="E826" s="14"/>
      <c r="F826" s="14"/>
      <c r="G826" s="14"/>
      <c r="H826" s="14"/>
      <c r="I826" s="14"/>
      <c r="J826" s="14"/>
      <c r="K826" s="14"/>
      <c r="L826" s="15"/>
    </row>
    <row r="827">
      <c r="A827" s="11"/>
      <c r="B827" s="12"/>
      <c r="C827" s="13"/>
      <c r="D827" s="14"/>
      <c r="E827" s="14"/>
      <c r="F827" s="14"/>
      <c r="G827" s="14"/>
      <c r="H827" s="14"/>
      <c r="I827" s="14"/>
      <c r="J827" s="14"/>
      <c r="K827" s="14"/>
      <c r="L827" s="15"/>
    </row>
    <row r="828">
      <c r="A828" s="11"/>
      <c r="B828" s="12"/>
      <c r="C828" s="13"/>
      <c r="D828" s="14"/>
      <c r="E828" s="14"/>
      <c r="F828" s="14"/>
      <c r="G828" s="14"/>
      <c r="H828" s="14"/>
      <c r="I828" s="14"/>
      <c r="J828" s="14"/>
      <c r="K828" s="14"/>
      <c r="L828" s="15"/>
    </row>
    <row r="829">
      <c r="A829" s="11"/>
      <c r="B829" s="12"/>
      <c r="C829" s="13"/>
      <c r="D829" s="14"/>
      <c r="E829" s="14"/>
      <c r="F829" s="14"/>
      <c r="G829" s="14"/>
      <c r="H829" s="14"/>
      <c r="I829" s="14"/>
      <c r="J829" s="14"/>
      <c r="K829" s="14"/>
      <c r="L829" s="15"/>
    </row>
    <row r="830">
      <c r="A830" s="11"/>
      <c r="B830" s="12"/>
      <c r="C830" s="13"/>
      <c r="D830" s="14"/>
      <c r="E830" s="14"/>
      <c r="F830" s="14"/>
      <c r="G830" s="14"/>
      <c r="H830" s="14"/>
      <c r="I830" s="14"/>
      <c r="J830" s="14"/>
      <c r="K830" s="14"/>
      <c r="L830" s="15"/>
    </row>
    <row r="831">
      <c r="A831" s="11"/>
      <c r="B831" s="12"/>
      <c r="C831" s="13"/>
      <c r="D831" s="14"/>
      <c r="E831" s="14"/>
      <c r="F831" s="14"/>
      <c r="G831" s="14"/>
      <c r="H831" s="14"/>
      <c r="I831" s="14"/>
      <c r="J831" s="14"/>
      <c r="K831" s="14"/>
      <c r="L831" s="15"/>
    </row>
    <row r="832">
      <c r="A832" s="11"/>
      <c r="B832" s="12"/>
      <c r="C832" s="13"/>
      <c r="D832" s="14"/>
      <c r="E832" s="14"/>
      <c r="F832" s="14"/>
      <c r="G832" s="14"/>
      <c r="H832" s="14"/>
      <c r="I832" s="14"/>
      <c r="J832" s="14"/>
      <c r="K832" s="14"/>
      <c r="L832" s="15"/>
    </row>
    <row r="833">
      <c r="A833" s="11"/>
      <c r="B833" s="12"/>
      <c r="C833" s="13"/>
      <c r="D833" s="14"/>
      <c r="E833" s="14"/>
      <c r="F833" s="14"/>
      <c r="G833" s="14"/>
      <c r="H833" s="14"/>
      <c r="I833" s="14"/>
      <c r="J833" s="14"/>
      <c r="K833" s="14"/>
      <c r="L833" s="15"/>
    </row>
    <row r="834">
      <c r="A834" s="11"/>
      <c r="B834" s="12"/>
      <c r="C834" s="13"/>
      <c r="D834" s="14"/>
      <c r="E834" s="14"/>
      <c r="F834" s="14"/>
      <c r="G834" s="14"/>
      <c r="H834" s="14"/>
      <c r="I834" s="14"/>
      <c r="J834" s="14"/>
      <c r="K834" s="14"/>
      <c r="L834" s="15"/>
    </row>
    <row r="835">
      <c r="A835" s="11"/>
      <c r="B835" s="12"/>
      <c r="C835" s="13"/>
      <c r="D835" s="14"/>
      <c r="E835" s="14"/>
      <c r="F835" s="14"/>
      <c r="G835" s="14"/>
      <c r="H835" s="14"/>
      <c r="I835" s="14"/>
      <c r="J835" s="14"/>
      <c r="K835" s="14"/>
      <c r="L835" s="15"/>
    </row>
    <row r="836">
      <c r="A836" s="11"/>
      <c r="B836" s="12"/>
      <c r="C836" s="13"/>
      <c r="D836" s="14"/>
      <c r="E836" s="14"/>
      <c r="F836" s="14"/>
      <c r="G836" s="14"/>
      <c r="H836" s="14"/>
      <c r="I836" s="14"/>
      <c r="J836" s="14"/>
      <c r="K836" s="14"/>
      <c r="L836" s="15"/>
    </row>
    <row r="837">
      <c r="A837" s="11"/>
      <c r="B837" s="12"/>
      <c r="C837" s="13"/>
      <c r="D837" s="14"/>
      <c r="E837" s="14"/>
      <c r="F837" s="14"/>
      <c r="G837" s="14"/>
      <c r="H837" s="14"/>
      <c r="I837" s="14"/>
      <c r="J837" s="14"/>
      <c r="K837" s="14"/>
      <c r="L837" s="15"/>
    </row>
    <row r="838">
      <c r="A838" s="11"/>
      <c r="B838" s="12"/>
      <c r="C838" s="13"/>
      <c r="D838" s="14"/>
      <c r="E838" s="14"/>
      <c r="F838" s="14"/>
      <c r="G838" s="14"/>
      <c r="H838" s="14"/>
      <c r="I838" s="14"/>
      <c r="J838" s="14"/>
      <c r="K838" s="14"/>
      <c r="L838" s="15"/>
    </row>
    <row r="839">
      <c r="A839" s="11"/>
      <c r="B839" s="12"/>
      <c r="C839" s="13"/>
      <c r="D839" s="14"/>
      <c r="E839" s="14"/>
      <c r="F839" s="14"/>
      <c r="G839" s="14"/>
      <c r="H839" s="14"/>
      <c r="I839" s="14"/>
      <c r="J839" s="14"/>
      <c r="K839" s="14"/>
      <c r="L839" s="15"/>
    </row>
    <row r="840">
      <c r="A840" s="11"/>
      <c r="B840" s="12"/>
      <c r="C840" s="13"/>
      <c r="D840" s="14"/>
      <c r="E840" s="14"/>
      <c r="F840" s="14"/>
      <c r="G840" s="14"/>
      <c r="H840" s="14"/>
      <c r="I840" s="14"/>
      <c r="J840" s="14"/>
      <c r="K840" s="14"/>
      <c r="L840" s="15"/>
    </row>
    <row r="841">
      <c r="A841" s="11"/>
      <c r="B841" s="12"/>
      <c r="C841" s="13"/>
      <c r="D841" s="14"/>
      <c r="E841" s="14"/>
      <c r="F841" s="14"/>
      <c r="G841" s="14"/>
      <c r="H841" s="14"/>
      <c r="I841" s="14"/>
      <c r="J841" s="14"/>
      <c r="K841" s="14"/>
      <c r="L841" s="15"/>
    </row>
    <row r="842">
      <c r="A842" s="11"/>
      <c r="B842" s="12"/>
      <c r="C842" s="13"/>
      <c r="D842" s="14"/>
      <c r="E842" s="14"/>
      <c r="F842" s="14"/>
      <c r="G842" s="14"/>
      <c r="H842" s="14"/>
      <c r="I842" s="14"/>
      <c r="J842" s="14"/>
      <c r="K842" s="14"/>
      <c r="L842" s="15"/>
    </row>
    <row r="843">
      <c r="A843" s="11"/>
      <c r="B843" s="12"/>
      <c r="C843" s="13"/>
      <c r="D843" s="14"/>
      <c r="E843" s="14"/>
      <c r="F843" s="14"/>
      <c r="G843" s="14"/>
      <c r="H843" s="14"/>
      <c r="I843" s="14"/>
      <c r="J843" s="14"/>
      <c r="K843" s="14"/>
      <c r="L843" s="15"/>
    </row>
    <row r="844">
      <c r="A844" s="11"/>
      <c r="B844" s="12"/>
      <c r="C844" s="13"/>
      <c r="D844" s="14"/>
      <c r="E844" s="14"/>
      <c r="F844" s="14"/>
      <c r="G844" s="14"/>
      <c r="H844" s="14"/>
      <c r="I844" s="14"/>
      <c r="J844" s="14"/>
      <c r="K844" s="14"/>
      <c r="L844" s="15"/>
    </row>
    <row r="845">
      <c r="A845" s="11"/>
      <c r="B845" s="12"/>
      <c r="C845" s="13"/>
      <c r="D845" s="14"/>
      <c r="E845" s="14"/>
      <c r="F845" s="14"/>
      <c r="G845" s="14"/>
      <c r="H845" s="14"/>
      <c r="I845" s="14"/>
      <c r="J845" s="14"/>
      <c r="K845" s="14"/>
      <c r="L845" s="15"/>
    </row>
    <row r="846">
      <c r="A846" s="11"/>
      <c r="B846" s="12"/>
      <c r="C846" s="13"/>
      <c r="D846" s="14"/>
      <c r="E846" s="14"/>
      <c r="F846" s="14"/>
      <c r="G846" s="14"/>
      <c r="H846" s="14"/>
      <c r="I846" s="14"/>
      <c r="J846" s="14"/>
      <c r="K846" s="14"/>
      <c r="L846" s="15"/>
    </row>
    <row r="847">
      <c r="A847" s="11"/>
      <c r="B847" s="12"/>
      <c r="C847" s="13"/>
      <c r="D847" s="14"/>
      <c r="E847" s="14"/>
      <c r="F847" s="14"/>
      <c r="G847" s="14"/>
      <c r="H847" s="14"/>
      <c r="I847" s="14"/>
      <c r="J847" s="14"/>
      <c r="K847" s="14"/>
      <c r="L847" s="15"/>
    </row>
    <row r="848">
      <c r="A848" s="11"/>
      <c r="B848" s="12"/>
      <c r="C848" s="13"/>
      <c r="D848" s="14"/>
      <c r="E848" s="14"/>
      <c r="F848" s="14"/>
      <c r="G848" s="14"/>
      <c r="H848" s="14"/>
      <c r="I848" s="14"/>
      <c r="J848" s="14"/>
      <c r="K848" s="14"/>
      <c r="L848" s="15"/>
    </row>
    <row r="849">
      <c r="A849" s="11"/>
      <c r="B849" s="12"/>
      <c r="C849" s="13"/>
      <c r="D849" s="14"/>
      <c r="E849" s="14"/>
      <c r="F849" s="14"/>
      <c r="G849" s="14"/>
      <c r="H849" s="14"/>
      <c r="I849" s="14"/>
      <c r="J849" s="14"/>
      <c r="K849" s="14"/>
      <c r="L849" s="15"/>
    </row>
    <row r="850">
      <c r="A850" s="11"/>
      <c r="B850" s="12"/>
      <c r="C850" s="13"/>
      <c r="D850" s="14"/>
      <c r="E850" s="14"/>
      <c r="F850" s="14"/>
      <c r="G850" s="14"/>
      <c r="H850" s="14"/>
      <c r="I850" s="14"/>
      <c r="J850" s="14"/>
      <c r="K850" s="14"/>
      <c r="L850" s="15"/>
    </row>
    <row r="851">
      <c r="A851" s="11"/>
      <c r="B851" s="12"/>
      <c r="C851" s="13"/>
      <c r="D851" s="14"/>
      <c r="E851" s="14"/>
      <c r="F851" s="14"/>
      <c r="G851" s="14"/>
      <c r="H851" s="14"/>
      <c r="I851" s="14"/>
      <c r="J851" s="14"/>
      <c r="K851" s="14"/>
      <c r="L851" s="15"/>
    </row>
    <row r="852">
      <c r="A852" s="11"/>
      <c r="B852" s="12"/>
      <c r="C852" s="13"/>
      <c r="D852" s="14"/>
      <c r="E852" s="14"/>
      <c r="F852" s="14"/>
      <c r="G852" s="14"/>
      <c r="H852" s="14"/>
      <c r="I852" s="14"/>
      <c r="J852" s="14"/>
      <c r="K852" s="14"/>
      <c r="L852" s="15"/>
    </row>
    <row r="853">
      <c r="A853" s="11"/>
      <c r="B853" s="12"/>
      <c r="C853" s="13"/>
      <c r="D853" s="14"/>
      <c r="E853" s="14"/>
      <c r="F853" s="14"/>
      <c r="G853" s="14"/>
      <c r="H853" s="14"/>
      <c r="I853" s="14"/>
      <c r="J853" s="14"/>
      <c r="K853" s="14"/>
      <c r="L853" s="15"/>
    </row>
    <row r="854">
      <c r="A854" s="11"/>
      <c r="B854" s="12"/>
      <c r="C854" s="13"/>
      <c r="D854" s="14"/>
      <c r="E854" s="14"/>
      <c r="F854" s="14"/>
      <c r="G854" s="14"/>
      <c r="H854" s="14"/>
      <c r="I854" s="14"/>
      <c r="J854" s="14"/>
      <c r="K854" s="14"/>
      <c r="L854" s="15"/>
    </row>
    <row r="855">
      <c r="A855" s="11"/>
      <c r="B855" s="12"/>
      <c r="C855" s="13"/>
      <c r="D855" s="14"/>
      <c r="E855" s="14"/>
      <c r="F855" s="14"/>
      <c r="G855" s="14"/>
      <c r="H855" s="14"/>
      <c r="I855" s="14"/>
      <c r="J855" s="14"/>
      <c r="K855" s="14"/>
      <c r="L855" s="15"/>
    </row>
    <row r="856">
      <c r="A856" s="11"/>
      <c r="B856" s="12"/>
      <c r="C856" s="13"/>
      <c r="D856" s="14"/>
      <c r="E856" s="14"/>
      <c r="F856" s="14"/>
      <c r="G856" s="14"/>
      <c r="H856" s="14"/>
      <c r="I856" s="14"/>
      <c r="J856" s="14"/>
      <c r="K856" s="14"/>
      <c r="L856" s="15"/>
    </row>
    <row r="857">
      <c r="A857" s="11"/>
      <c r="B857" s="12"/>
      <c r="C857" s="13"/>
      <c r="D857" s="14"/>
      <c r="E857" s="14"/>
      <c r="F857" s="14"/>
      <c r="G857" s="14"/>
      <c r="H857" s="14"/>
      <c r="I857" s="14"/>
      <c r="J857" s="14"/>
      <c r="K857" s="14"/>
      <c r="L857" s="15"/>
    </row>
    <row r="858">
      <c r="A858" s="11"/>
      <c r="B858" s="12"/>
      <c r="C858" s="13"/>
      <c r="D858" s="14"/>
      <c r="E858" s="14"/>
      <c r="F858" s="14"/>
      <c r="G858" s="14"/>
      <c r="H858" s="14"/>
      <c r="I858" s="14"/>
      <c r="J858" s="14"/>
      <c r="K858" s="14"/>
      <c r="L858" s="15"/>
    </row>
    <row r="859">
      <c r="A859" s="11"/>
      <c r="B859" s="12"/>
      <c r="C859" s="13"/>
      <c r="D859" s="14"/>
      <c r="E859" s="14"/>
      <c r="F859" s="14"/>
      <c r="G859" s="14"/>
      <c r="H859" s="14"/>
      <c r="I859" s="14"/>
      <c r="J859" s="14"/>
      <c r="K859" s="14"/>
      <c r="L859" s="15"/>
    </row>
    <row r="860">
      <c r="A860" s="11"/>
      <c r="B860" s="12"/>
      <c r="C860" s="13"/>
      <c r="D860" s="14"/>
      <c r="E860" s="14"/>
      <c r="F860" s="14"/>
      <c r="G860" s="14"/>
      <c r="H860" s="14"/>
      <c r="I860" s="14"/>
      <c r="J860" s="14"/>
      <c r="K860" s="14"/>
      <c r="L860" s="15"/>
    </row>
    <row r="861">
      <c r="A861" s="11"/>
      <c r="B861" s="12"/>
      <c r="C861" s="13"/>
      <c r="D861" s="14"/>
      <c r="E861" s="14"/>
      <c r="F861" s="14"/>
      <c r="G861" s="14"/>
      <c r="H861" s="14"/>
      <c r="I861" s="14"/>
      <c r="J861" s="14"/>
      <c r="K861" s="14"/>
      <c r="L861" s="15"/>
    </row>
    <row r="862">
      <c r="A862" s="11"/>
      <c r="B862" s="12"/>
      <c r="C862" s="13"/>
      <c r="D862" s="14"/>
      <c r="E862" s="14"/>
      <c r="F862" s="14"/>
      <c r="G862" s="14"/>
      <c r="H862" s="14"/>
      <c r="I862" s="14"/>
      <c r="J862" s="14"/>
      <c r="K862" s="14"/>
      <c r="L862" s="15"/>
    </row>
    <row r="863">
      <c r="A863" s="11"/>
      <c r="B863" s="12"/>
      <c r="C863" s="13"/>
      <c r="D863" s="14"/>
      <c r="E863" s="14"/>
      <c r="F863" s="14"/>
      <c r="G863" s="14"/>
      <c r="H863" s="14"/>
      <c r="I863" s="14"/>
      <c r="J863" s="14"/>
      <c r="K863" s="14"/>
      <c r="L863" s="15"/>
    </row>
    <row r="864">
      <c r="A864" s="11"/>
      <c r="B864" s="12"/>
      <c r="C864" s="13"/>
      <c r="D864" s="14"/>
      <c r="E864" s="14"/>
      <c r="F864" s="14"/>
      <c r="G864" s="14"/>
      <c r="H864" s="14"/>
      <c r="I864" s="14"/>
      <c r="J864" s="14"/>
      <c r="K864" s="14"/>
      <c r="L864" s="15"/>
    </row>
    <row r="865">
      <c r="A865" s="11"/>
      <c r="B865" s="12"/>
      <c r="C865" s="13"/>
      <c r="D865" s="14"/>
      <c r="E865" s="14"/>
      <c r="F865" s="14"/>
      <c r="G865" s="14"/>
      <c r="H865" s="14"/>
      <c r="I865" s="14"/>
      <c r="J865" s="14"/>
      <c r="K865" s="14"/>
      <c r="L865" s="15"/>
    </row>
    <row r="866">
      <c r="A866" s="11"/>
      <c r="B866" s="12"/>
      <c r="C866" s="13"/>
      <c r="D866" s="14"/>
      <c r="E866" s="14"/>
      <c r="F866" s="14"/>
      <c r="G866" s="14"/>
      <c r="H866" s="14"/>
      <c r="I866" s="14"/>
      <c r="J866" s="14"/>
      <c r="K866" s="14"/>
      <c r="L866" s="15"/>
    </row>
    <row r="867">
      <c r="A867" s="11"/>
      <c r="B867" s="12"/>
      <c r="C867" s="13"/>
      <c r="D867" s="14"/>
      <c r="E867" s="14"/>
      <c r="F867" s="14"/>
      <c r="G867" s="14"/>
      <c r="H867" s="14"/>
      <c r="I867" s="14"/>
      <c r="J867" s="14"/>
      <c r="K867" s="14"/>
      <c r="L867" s="15"/>
    </row>
    <row r="868">
      <c r="A868" s="11"/>
      <c r="B868" s="12"/>
      <c r="C868" s="13"/>
      <c r="D868" s="14"/>
      <c r="E868" s="14"/>
      <c r="F868" s="14"/>
      <c r="G868" s="14"/>
      <c r="H868" s="14"/>
      <c r="I868" s="14"/>
      <c r="J868" s="14"/>
      <c r="K868" s="14"/>
      <c r="L868" s="15"/>
    </row>
    <row r="869">
      <c r="A869" s="11"/>
      <c r="B869" s="12"/>
      <c r="C869" s="13"/>
      <c r="D869" s="14"/>
      <c r="E869" s="14"/>
      <c r="F869" s="14"/>
      <c r="G869" s="14"/>
      <c r="H869" s="14"/>
      <c r="I869" s="14"/>
      <c r="J869" s="14"/>
      <c r="K869" s="14"/>
      <c r="L869" s="15"/>
    </row>
    <row r="870">
      <c r="A870" s="11"/>
      <c r="B870" s="12"/>
      <c r="C870" s="13"/>
      <c r="D870" s="14"/>
      <c r="E870" s="14"/>
      <c r="F870" s="14"/>
      <c r="G870" s="14"/>
      <c r="H870" s="14"/>
      <c r="I870" s="14"/>
      <c r="J870" s="14"/>
      <c r="K870" s="14"/>
      <c r="L870" s="15"/>
    </row>
    <row r="871">
      <c r="A871" s="11"/>
      <c r="B871" s="12"/>
      <c r="C871" s="13"/>
      <c r="D871" s="14"/>
      <c r="E871" s="14"/>
      <c r="F871" s="14"/>
      <c r="G871" s="14"/>
      <c r="H871" s="14"/>
      <c r="I871" s="14"/>
      <c r="J871" s="14"/>
      <c r="K871" s="14"/>
      <c r="L871" s="15"/>
    </row>
    <row r="872">
      <c r="A872" s="11"/>
      <c r="B872" s="12"/>
      <c r="C872" s="13"/>
      <c r="D872" s="14"/>
      <c r="E872" s="14"/>
      <c r="F872" s="14"/>
      <c r="G872" s="14"/>
      <c r="H872" s="14"/>
      <c r="I872" s="14"/>
      <c r="J872" s="14"/>
      <c r="K872" s="14"/>
      <c r="L872" s="15"/>
    </row>
    <row r="873">
      <c r="A873" s="11"/>
      <c r="B873" s="12"/>
      <c r="C873" s="13"/>
      <c r="D873" s="14"/>
      <c r="E873" s="14"/>
      <c r="F873" s="14"/>
      <c r="G873" s="14"/>
      <c r="H873" s="14"/>
      <c r="I873" s="14"/>
      <c r="J873" s="14"/>
      <c r="K873" s="14"/>
      <c r="L873" s="15"/>
    </row>
    <row r="874">
      <c r="A874" s="11"/>
      <c r="B874" s="12"/>
      <c r="C874" s="13"/>
      <c r="D874" s="14"/>
      <c r="E874" s="14"/>
      <c r="F874" s="14"/>
      <c r="G874" s="14"/>
      <c r="H874" s="14"/>
      <c r="I874" s="14"/>
      <c r="J874" s="14"/>
      <c r="K874" s="14"/>
      <c r="L874" s="15"/>
    </row>
    <row r="875">
      <c r="A875" s="11"/>
      <c r="B875" s="12"/>
      <c r="C875" s="13"/>
      <c r="D875" s="14"/>
      <c r="E875" s="14"/>
      <c r="F875" s="14"/>
      <c r="G875" s="14"/>
      <c r="H875" s="14"/>
      <c r="I875" s="14"/>
      <c r="J875" s="14"/>
      <c r="K875" s="14"/>
      <c r="L875" s="15"/>
    </row>
    <row r="876">
      <c r="A876" s="11"/>
      <c r="B876" s="12"/>
      <c r="C876" s="13"/>
      <c r="D876" s="14"/>
      <c r="E876" s="14"/>
      <c r="F876" s="14"/>
      <c r="G876" s="14"/>
      <c r="H876" s="14"/>
      <c r="I876" s="14"/>
      <c r="J876" s="14"/>
      <c r="K876" s="14"/>
      <c r="L876" s="15"/>
    </row>
    <row r="877">
      <c r="A877" s="11"/>
      <c r="B877" s="12"/>
      <c r="C877" s="13"/>
      <c r="D877" s="14"/>
      <c r="E877" s="14"/>
      <c r="F877" s="14"/>
      <c r="G877" s="14"/>
      <c r="H877" s="14"/>
      <c r="I877" s="14"/>
      <c r="J877" s="14"/>
      <c r="K877" s="14"/>
      <c r="L877" s="15"/>
    </row>
    <row r="878">
      <c r="A878" s="11"/>
      <c r="B878" s="12"/>
      <c r="C878" s="13"/>
      <c r="D878" s="14"/>
      <c r="E878" s="14"/>
      <c r="F878" s="14"/>
      <c r="G878" s="14"/>
      <c r="H878" s="14"/>
      <c r="I878" s="14"/>
      <c r="J878" s="14"/>
      <c r="K878" s="14"/>
      <c r="L878" s="15"/>
    </row>
    <row r="879">
      <c r="A879" s="11"/>
      <c r="B879" s="12"/>
      <c r="C879" s="13"/>
      <c r="D879" s="14"/>
      <c r="E879" s="14"/>
      <c r="F879" s="14"/>
      <c r="G879" s="14"/>
      <c r="H879" s="14"/>
      <c r="I879" s="14"/>
      <c r="J879" s="14"/>
      <c r="K879" s="14"/>
      <c r="L879" s="15"/>
    </row>
    <row r="880">
      <c r="A880" s="11"/>
      <c r="B880" s="12"/>
      <c r="C880" s="13"/>
      <c r="D880" s="14"/>
      <c r="E880" s="14"/>
      <c r="F880" s="14"/>
      <c r="G880" s="14"/>
      <c r="H880" s="14"/>
      <c r="I880" s="14"/>
      <c r="J880" s="14"/>
      <c r="K880" s="14"/>
      <c r="L880" s="15"/>
    </row>
    <row r="881">
      <c r="A881" s="11"/>
      <c r="B881" s="12"/>
      <c r="C881" s="13"/>
      <c r="D881" s="14"/>
      <c r="E881" s="14"/>
      <c r="F881" s="14"/>
      <c r="G881" s="14"/>
      <c r="H881" s="14"/>
      <c r="I881" s="14"/>
      <c r="J881" s="14"/>
      <c r="K881" s="14"/>
      <c r="L881" s="15"/>
    </row>
    <row r="882">
      <c r="A882" s="11"/>
      <c r="B882" s="12"/>
      <c r="C882" s="13"/>
      <c r="D882" s="14"/>
      <c r="E882" s="14"/>
      <c r="F882" s="14"/>
      <c r="G882" s="14"/>
      <c r="H882" s="14"/>
      <c r="I882" s="14"/>
      <c r="J882" s="14"/>
      <c r="K882" s="14"/>
      <c r="L882" s="15"/>
    </row>
    <row r="883">
      <c r="A883" s="11"/>
      <c r="B883" s="12"/>
      <c r="C883" s="13"/>
      <c r="D883" s="14"/>
      <c r="E883" s="14"/>
      <c r="F883" s="14"/>
      <c r="G883" s="14"/>
      <c r="H883" s="14"/>
      <c r="I883" s="14"/>
      <c r="J883" s="14"/>
      <c r="K883" s="14"/>
      <c r="L883" s="15"/>
    </row>
    <row r="884">
      <c r="A884" s="11"/>
      <c r="B884" s="12"/>
      <c r="C884" s="13"/>
      <c r="D884" s="14"/>
      <c r="E884" s="14"/>
      <c r="F884" s="14"/>
      <c r="G884" s="14"/>
      <c r="H884" s="14"/>
      <c r="I884" s="14"/>
      <c r="J884" s="14"/>
      <c r="K884" s="14"/>
      <c r="L884" s="15"/>
    </row>
    <row r="885">
      <c r="A885" s="11"/>
      <c r="B885" s="12"/>
      <c r="C885" s="13"/>
      <c r="D885" s="14"/>
      <c r="E885" s="14"/>
      <c r="F885" s="14"/>
      <c r="G885" s="14"/>
      <c r="H885" s="14"/>
      <c r="I885" s="14"/>
      <c r="J885" s="14"/>
      <c r="K885" s="14"/>
      <c r="L885" s="15"/>
    </row>
    <row r="886">
      <c r="A886" s="11"/>
      <c r="B886" s="12"/>
      <c r="C886" s="13"/>
      <c r="D886" s="14"/>
      <c r="E886" s="14"/>
      <c r="F886" s="14"/>
      <c r="G886" s="14"/>
      <c r="H886" s="14"/>
      <c r="I886" s="14"/>
      <c r="J886" s="14"/>
      <c r="K886" s="14"/>
      <c r="L886" s="15"/>
    </row>
    <row r="887">
      <c r="A887" s="11"/>
      <c r="B887" s="12"/>
      <c r="C887" s="13"/>
      <c r="D887" s="14"/>
      <c r="E887" s="14"/>
      <c r="F887" s="14"/>
      <c r="G887" s="14"/>
      <c r="H887" s="14"/>
      <c r="I887" s="14"/>
      <c r="J887" s="14"/>
      <c r="K887" s="14"/>
      <c r="L887" s="15"/>
    </row>
    <row r="888">
      <c r="A888" s="11"/>
      <c r="B888" s="12"/>
      <c r="C888" s="13"/>
      <c r="D888" s="14"/>
      <c r="E888" s="14"/>
      <c r="F888" s="14"/>
      <c r="G888" s="14"/>
      <c r="H888" s="14"/>
      <c r="I888" s="14"/>
      <c r="J888" s="14"/>
      <c r="K888" s="14"/>
      <c r="L888" s="15"/>
    </row>
    <row r="889">
      <c r="A889" s="11"/>
      <c r="B889" s="12"/>
      <c r="C889" s="13"/>
      <c r="D889" s="14"/>
      <c r="E889" s="14"/>
      <c r="F889" s="14"/>
      <c r="G889" s="14"/>
      <c r="H889" s="14"/>
      <c r="I889" s="14"/>
      <c r="J889" s="14"/>
      <c r="K889" s="14"/>
      <c r="L889" s="15"/>
    </row>
    <row r="890">
      <c r="A890" s="11"/>
      <c r="B890" s="12"/>
      <c r="C890" s="13"/>
      <c r="D890" s="14"/>
      <c r="E890" s="14"/>
      <c r="F890" s="14"/>
      <c r="G890" s="14"/>
      <c r="H890" s="14"/>
      <c r="I890" s="14"/>
      <c r="J890" s="14"/>
      <c r="K890" s="14"/>
      <c r="L890" s="15"/>
    </row>
    <row r="891">
      <c r="A891" s="11"/>
      <c r="B891" s="12"/>
      <c r="C891" s="13"/>
      <c r="D891" s="14"/>
      <c r="E891" s="14"/>
      <c r="F891" s="14"/>
      <c r="G891" s="14"/>
      <c r="H891" s="14"/>
      <c r="I891" s="14"/>
      <c r="J891" s="14"/>
      <c r="K891" s="14"/>
      <c r="L891" s="15"/>
    </row>
    <row r="892">
      <c r="A892" s="11"/>
      <c r="B892" s="12"/>
      <c r="C892" s="13"/>
      <c r="D892" s="14"/>
      <c r="E892" s="14"/>
      <c r="F892" s="14"/>
      <c r="G892" s="14"/>
      <c r="H892" s="14"/>
      <c r="I892" s="14"/>
      <c r="J892" s="14"/>
      <c r="K892" s="14"/>
      <c r="L892" s="15"/>
    </row>
    <row r="893">
      <c r="A893" s="11"/>
      <c r="B893" s="12"/>
      <c r="C893" s="13"/>
      <c r="D893" s="14"/>
      <c r="E893" s="14"/>
      <c r="F893" s="14"/>
      <c r="G893" s="14"/>
      <c r="H893" s="14"/>
      <c r="I893" s="14"/>
      <c r="J893" s="14"/>
      <c r="K893" s="14"/>
      <c r="L893" s="15"/>
    </row>
    <row r="894">
      <c r="A894" s="11"/>
      <c r="B894" s="12"/>
      <c r="C894" s="13"/>
      <c r="D894" s="14"/>
      <c r="E894" s="14"/>
      <c r="F894" s="14"/>
      <c r="G894" s="14"/>
      <c r="H894" s="14"/>
      <c r="I894" s="14"/>
      <c r="J894" s="14"/>
      <c r="K894" s="14"/>
      <c r="L894" s="15"/>
    </row>
    <row r="895">
      <c r="A895" s="11"/>
      <c r="B895" s="12"/>
      <c r="C895" s="13"/>
      <c r="D895" s="14"/>
      <c r="E895" s="14"/>
      <c r="F895" s="14"/>
      <c r="G895" s="14"/>
      <c r="H895" s="14"/>
      <c r="I895" s="14"/>
      <c r="J895" s="14"/>
      <c r="K895" s="14"/>
      <c r="L895" s="15"/>
    </row>
    <row r="896">
      <c r="A896" s="11"/>
      <c r="B896" s="12"/>
      <c r="C896" s="13"/>
      <c r="D896" s="14"/>
      <c r="E896" s="14"/>
      <c r="F896" s="14"/>
      <c r="G896" s="14"/>
      <c r="H896" s="14"/>
      <c r="I896" s="14"/>
      <c r="J896" s="14"/>
      <c r="K896" s="14"/>
      <c r="L896" s="15"/>
    </row>
    <row r="897">
      <c r="A897" s="11"/>
      <c r="B897" s="12"/>
      <c r="C897" s="13"/>
      <c r="D897" s="14"/>
      <c r="E897" s="14"/>
      <c r="F897" s="14"/>
      <c r="G897" s="14"/>
      <c r="H897" s="14"/>
      <c r="I897" s="14"/>
      <c r="J897" s="14"/>
      <c r="K897" s="14"/>
      <c r="L897" s="15"/>
    </row>
    <row r="898">
      <c r="A898" s="11"/>
      <c r="B898" s="12"/>
      <c r="C898" s="13"/>
      <c r="D898" s="14"/>
      <c r="E898" s="14"/>
      <c r="F898" s="14"/>
      <c r="G898" s="14"/>
      <c r="H898" s="14"/>
      <c r="I898" s="14"/>
      <c r="J898" s="14"/>
      <c r="K898" s="14"/>
      <c r="L898" s="15"/>
    </row>
    <row r="899">
      <c r="A899" s="11"/>
      <c r="B899" s="12"/>
      <c r="C899" s="13"/>
      <c r="D899" s="14"/>
      <c r="E899" s="14"/>
      <c r="F899" s="14"/>
      <c r="G899" s="14"/>
      <c r="H899" s="14"/>
      <c r="I899" s="14"/>
      <c r="J899" s="14"/>
      <c r="K899" s="14"/>
      <c r="L899" s="15"/>
    </row>
    <row r="900">
      <c r="A900" s="11"/>
      <c r="B900" s="12"/>
      <c r="C900" s="13"/>
      <c r="D900" s="14"/>
      <c r="E900" s="14"/>
      <c r="F900" s="14"/>
      <c r="G900" s="14"/>
      <c r="H900" s="14"/>
      <c r="I900" s="14"/>
      <c r="J900" s="14"/>
      <c r="K900" s="14"/>
      <c r="L900" s="15"/>
    </row>
    <row r="901">
      <c r="A901" s="11"/>
      <c r="B901" s="12"/>
      <c r="C901" s="13"/>
      <c r="D901" s="14"/>
      <c r="E901" s="14"/>
      <c r="F901" s="14"/>
      <c r="G901" s="14"/>
      <c r="H901" s="14"/>
      <c r="I901" s="14"/>
      <c r="J901" s="14"/>
      <c r="K901" s="14"/>
      <c r="L901" s="15"/>
    </row>
    <row r="902">
      <c r="A902" s="11"/>
      <c r="B902" s="12"/>
      <c r="C902" s="13"/>
      <c r="D902" s="14"/>
      <c r="E902" s="14"/>
      <c r="F902" s="14"/>
      <c r="G902" s="14"/>
      <c r="H902" s="14"/>
      <c r="I902" s="14"/>
      <c r="J902" s="14"/>
      <c r="K902" s="14"/>
      <c r="L902" s="15"/>
    </row>
    <row r="903">
      <c r="A903" s="11"/>
      <c r="B903" s="12"/>
      <c r="C903" s="13"/>
      <c r="D903" s="14"/>
      <c r="E903" s="14"/>
      <c r="F903" s="14"/>
      <c r="G903" s="14"/>
      <c r="H903" s="14"/>
      <c r="I903" s="14"/>
      <c r="J903" s="14"/>
      <c r="K903" s="14"/>
      <c r="L903" s="15"/>
    </row>
    <row r="904">
      <c r="A904" s="11"/>
      <c r="B904" s="12"/>
      <c r="C904" s="13"/>
      <c r="D904" s="14"/>
      <c r="E904" s="14"/>
      <c r="F904" s="14"/>
      <c r="G904" s="14"/>
      <c r="H904" s="14"/>
      <c r="I904" s="14"/>
      <c r="J904" s="14"/>
      <c r="K904" s="14"/>
      <c r="L904" s="15"/>
    </row>
    <row r="905">
      <c r="A905" s="11"/>
      <c r="B905" s="12"/>
      <c r="C905" s="13"/>
      <c r="D905" s="14"/>
      <c r="E905" s="14"/>
      <c r="F905" s="14"/>
      <c r="G905" s="14"/>
      <c r="H905" s="14"/>
      <c r="I905" s="14"/>
      <c r="J905" s="14"/>
      <c r="K905" s="14"/>
      <c r="L905" s="15"/>
    </row>
    <row r="906">
      <c r="A906" s="11"/>
      <c r="B906" s="12"/>
      <c r="C906" s="13"/>
      <c r="D906" s="14"/>
      <c r="E906" s="14"/>
      <c r="F906" s="14"/>
      <c r="G906" s="14"/>
      <c r="H906" s="14"/>
      <c r="I906" s="14"/>
      <c r="J906" s="14"/>
      <c r="K906" s="14"/>
      <c r="L906" s="15"/>
    </row>
    <row r="907">
      <c r="A907" s="11"/>
      <c r="B907" s="12"/>
      <c r="C907" s="13"/>
      <c r="D907" s="14"/>
      <c r="E907" s="14"/>
      <c r="F907" s="14"/>
      <c r="G907" s="14"/>
      <c r="H907" s="14"/>
      <c r="I907" s="14"/>
      <c r="J907" s="14"/>
      <c r="K907" s="14"/>
      <c r="L907" s="15"/>
    </row>
    <row r="908">
      <c r="A908" s="11"/>
      <c r="B908" s="12"/>
      <c r="C908" s="13"/>
      <c r="D908" s="14"/>
      <c r="E908" s="14"/>
      <c r="F908" s="14"/>
      <c r="G908" s="14"/>
      <c r="H908" s="14"/>
      <c r="I908" s="14"/>
      <c r="J908" s="14"/>
      <c r="K908" s="14"/>
      <c r="L908" s="15"/>
    </row>
    <row r="909">
      <c r="A909" s="11"/>
      <c r="B909" s="12"/>
      <c r="C909" s="13"/>
      <c r="D909" s="14"/>
      <c r="E909" s="14"/>
      <c r="F909" s="14"/>
      <c r="G909" s="14"/>
      <c r="H909" s="14"/>
      <c r="I909" s="14"/>
      <c r="J909" s="14"/>
      <c r="K909" s="14"/>
      <c r="L909" s="15"/>
    </row>
    <row r="910">
      <c r="A910" s="11"/>
      <c r="B910" s="12"/>
      <c r="C910" s="13"/>
      <c r="D910" s="14"/>
      <c r="E910" s="14"/>
      <c r="F910" s="14"/>
      <c r="G910" s="14"/>
      <c r="H910" s="14"/>
      <c r="I910" s="14"/>
      <c r="J910" s="14"/>
      <c r="K910" s="14"/>
      <c r="L910" s="15"/>
    </row>
    <row r="911">
      <c r="A911" s="11"/>
      <c r="B911" s="12"/>
      <c r="C911" s="13"/>
      <c r="D911" s="14"/>
      <c r="E911" s="14"/>
      <c r="F911" s="14"/>
      <c r="G911" s="14"/>
      <c r="H911" s="14"/>
      <c r="I911" s="14"/>
      <c r="J911" s="14"/>
      <c r="K911" s="14"/>
      <c r="L911" s="15"/>
    </row>
    <row r="912">
      <c r="A912" s="11"/>
      <c r="B912" s="12"/>
      <c r="C912" s="13"/>
      <c r="D912" s="14"/>
      <c r="E912" s="14"/>
      <c r="F912" s="14"/>
      <c r="G912" s="14"/>
      <c r="H912" s="14"/>
      <c r="I912" s="14"/>
      <c r="J912" s="14"/>
      <c r="K912" s="14"/>
      <c r="L912" s="15"/>
    </row>
    <row r="913">
      <c r="A913" s="11"/>
      <c r="B913" s="12"/>
      <c r="C913" s="13"/>
      <c r="D913" s="14"/>
      <c r="E913" s="14"/>
      <c r="F913" s="14"/>
      <c r="G913" s="14"/>
      <c r="H913" s="14"/>
      <c r="I913" s="14"/>
      <c r="J913" s="14"/>
      <c r="K913" s="14"/>
      <c r="L913" s="15"/>
    </row>
    <row r="914">
      <c r="A914" s="11"/>
      <c r="B914" s="12"/>
      <c r="C914" s="13"/>
      <c r="D914" s="14"/>
      <c r="E914" s="14"/>
      <c r="F914" s="14"/>
      <c r="G914" s="14"/>
      <c r="H914" s="14"/>
      <c r="I914" s="14"/>
      <c r="J914" s="14"/>
      <c r="K914" s="14"/>
      <c r="L914" s="15"/>
    </row>
    <row r="915">
      <c r="A915" s="11"/>
      <c r="B915" s="12"/>
      <c r="C915" s="13"/>
      <c r="D915" s="14"/>
      <c r="E915" s="14"/>
      <c r="F915" s="14"/>
      <c r="G915" s="14"/>
      <c r="H915" s="14"/>
      <c r="I915" s="14"/>
      <c r="J915" s="14"/>
      <c r="K915" s="14"/>
      <c r="L915" s="15"/>
    </row>
    <row r="916">
      <c r="A916" s="11"/>
      <c r="B916" s="12"/>
      <c r="C916" s="13"/>
      <c r="D916" s="14"/>
      <c r="E916" s="14"/>
      <c r="F916" s="14"/>
      <c r="G916" s="14"/>
      <c r="H916" s="14"/>
      <c r="I916" s="14"/>
      <c r="J916" s="14"/>
      <c r="K916" s="14"/>
      <c r="L916" s="15"/>
    </row>
    <row r="917">
      <c r="A917" s="11"/>
      <c r="B917" s="12"/>
      <c r="C917" s="13"/>
      <c r="D917" s="14"/>
      <c r="E917" s="14"/>
      <c r="F917" s="14"/>
      <c r="G917" s="14"/>
      <c r="H917" s="14"/>
      <c r="I917" s="14"/>
      <c r="J917" s="14"/>
      <c r="K917" s="14"/>
      <c r="L917" s="15"/>
    </row>
    <row r="918">
      <c r="A918" s="11"/>
      <c r="B918" s="12"/>
      <c r="C918" s="13"/>
      <c r="D918" s="14"/>
      <c r="E918" s="14"/>
      <c r="F918" s="14"/>
      <c r="G918" s="14"/>
      <c r="H918" s="14"/>
      <c r="I918" s="14"/>
      <c r="J918" s="14"/>
      <c r="K918" s="14"/>
      <c r="L918" s="15"/>
    </row>
    <row r="919">
      <c r="A919" s="11"/>
      <c r="B919" s="12"/>
      <c r="C919" s="13"/>
      <c r="D919" s="14"/>
      <c r="E919" s="14"/>
      <c r="F919" s="14"/>
      <c r="G919" s="14"/>
      <c r="H919" s="14"/>
      <c r="I919" s="14"/>
      <c r="J919" s="14"/>
      <c r="K919" s="14"/>
      <c r="L919" s="15"/>
    </row>
    <row r="920">
      <c r="A920" s="11"/>
      <c r="B920" s="12"/>
      <c r="C920" s="13"/>
      <c r="D920" s="14"/>
      <c r="E920" s="14"/>
      <c r="F920" s="14"/>
      <c r="G920" s="14"/>
      <c r="H920" s="14"/>
      <c r="I920" s="14"/>
      <c r="J920" s="14"/>
      <c r="K920" s="14"/>
      <c r="L920" s="15"/>
    </row>
    <row r="921">
      <c r="A921" s="11"/>
      <c r="B921" s="12"/>
      <c r="C921" s="13"/>
      <c r="D921" s="14"/>
      <c r="E921" s="14"/>
      <c r="F921" s="14"/>
      <c r="G921" s="14"/>
      <c r="H921" s="14"/>
      <c r="I921" s="14"/>
      <c r="J921" s="14"/>
      <c r="K921" s="14"/>
      <c r="L921" s="15"/>
    </row>
    <row r="922">
      <c r="A922" s="11"/>
      <c r="B922" s="12"/>
      <c r="C922" s="13"/>
      <c r="D922" s="14"/>
      <c r="E922" s="14"/>
      <c r="F922" s="14"/>
      <c r="G922" s="14"/>
      <c r="H922" s="14"/>
      <c r="I922" s="14"/>
      <c r="J922" s="14"/>
      <c r="K922" s="14"/>
      <c r="L922" s="15"/>
    </row>
    <row r="923">
      <c r="A923" s="11"/>
      <c r="B923" s="12"/>
      <c r="C923" s="13"/>
      <c r="D923" s="14"/>
      <c r="E923" s="14"/>
      <c r="F923" s="14"/>
      <c r="G923" s="14"/>
      <c r="H923" s="14"/>
      <c r="I923" s="14"/>
      <c r="J923" s="14"/>
      <c r="K923" s="14"/>
      <c r="L923" s="15"/>
    </row>
    <row r="924">
      <c r="A924" s="11"/>
      <c r="B924" s="12"/>
      <c r="C924" s="13"/>
      <c r="D924" s="14"/>
      <c r="E924" s="14"/>
      <c r="F924" s="14"/>
      <c r="G924" s="14"/>
      <c r="H924" s="14"/>
      <c r="I924" s="14"/>
      <c r="J924" s="14"/>
      <c r="K924" s="14"/>
      <c r="L924" s="15"/>
    </row>
    <row r="925">
      <c r="A925" s="11"/>
      <c r="B925" s="12"/>
      <c r="C925" s="13"/>
      <c r="D925" s="14"/>
      <c r="E925" s="14"/>
      <c r="F925" s="14"/>
      <c r="G925" s="14"/>
      <c r="H925" s="14"/>
      <c r="I925" s="14"/>
      <c r="J925" s="14"/>
      <c r="K925" s="14"/>
      <c r="L925" s="15"/>
    </row>
    <row r="926">
      <c r="A926" s="11"/>
      <c r="B926" s="12"/>
      <c r="C926" s="13"/>
      <c r="D926" s="14"/>
      <c r="E926" s="14"/>
      <c r="F926" s="14"/>
      <c r="G926" s="14"/>
      <c r="H926" s="14"/>
      <c r="I926" s="14"/>
      <c r="J926" s="14"/>
      <c r="K926" s="14"/>
      <c r="L926" s="15"/>
    </row>
    <row r="927">
      <c r="A927" s="11"/>
      <c r="B927" s="12"/>
      <c r="C927" s="13"/>
      <c r="D927" s="14"/>
      <c r="E927" s="14"/>
      <c r="F927" s="14"/>
      <c r="G927" s="14"/>
      <c r="H927" s="14"/>
      <c r="I927" s="14"/>
      <c r="J927" s="14"/>
      <c r="K927" s="14"/>
      <c r="L927" s="15"/>
    </row>
    <row r="928">
      <c r="A928" s="11"/>
      <c r="B928" s="12"/>
      <c r="C928" s="13"/>
      <c r="D928" s="14"/>
      <c r="E928" s="14"/>
      <c r="F928" s="14"/>
      <c r="G928" s="14"/>
      <c r="H928" s="14"/>
      <c r="I928" s="14"/>
      <c r="J928" s="14"/>
      <c r="K928" s="14"/>
      <c r="L928" s="15"/>
    </row>
    <row r="929">
      <c r="A929" s="11"/>
      <c r="B929" s="12"/>
      <c r="C929" s="13"/>
      <c r="D929" s="14"/>
      <c r="E929" s="14"/>
      <c r="F929" s="14"/>
      <c r="G929" s="14"/>
      <c r="H929" s="14"/>
      <c r="I929" s="14"/>
      <c r="J929" s="14"/>
      <c r="K929" s="14"/>
      <c r="L929" s="15"/>
    </row>
    <row r="930">
      <c r="A930" s="11"/>
      <c r="B930" s="12"/>
      <c r="C930" s="13"/>
      <c r="D930" s="14"/>
      <c r="E930" s="14"/>
      <c r="F930" s="14"/>
      <c r="G930" s="14"/>
      <c r="H930" s="14"/>
      <c r="I930" s="14"/>
      <c r="J930" s="14"/>
      <c r="K930" s="14"/>
      <c r="L930" s="15"/>
    </row>
    <row r="931">
      <c r="A931" s="11"/>
      <c r="B931" s="12"/>
      <c r="C931" s="13"/>
      <c r="D931" s="14"/>
      <c r="E931" s="14"/>
      <c r="F931" s="14"/>
      <c r="G931" s="14"/>
      <c r="H931" s="14"/>
      <c r="I931" s="14"/>
      <c r="J931" s="14"/>
      <c r="K931" s="14"/>
      <c r="L931" s="15"/>
    </row>
    <row r="932">
      <c r="A932" s="11"/>
      <c r="B932" s="12"/>
      <c r="C932" s="13"/>
      <c r="D932" s="14"/>
      <c r="E932" s="14"/>
      <c r="F932" s="14"/>
      <c r="G932" s="14"/>
      <c r="H932" s="14"/>
      <c r="I932" s="14"/>
      <c r="J932" s="14"/>
      <c r="K932" s="14"/>
      <c r="L932" s="15"/>
    </row>
    <row r="933">
      <c r="A933" s="11"/>
      <c r="B933" s="12"/>
      <c r="C933" s="13"/>
      <c r="D933" s="14"/>
      <c r="E933" s="14"/>
      <c r="F933" s="14"/>
      <c r="G933" s="14"/>
      <c r="H933" s="14"/>
      <c r="I933" s="14"/>
      <c r="J933" s="14"/>
      <c r="K933" s="14"/>
      <c r="L933" s="15"/>
    </row>
    <row r="934">
      <c r="A934" s="11"/>
      <c r="B934" s="12"/>
      <c r="C934" s="13"/>
      <c r="D934" s="14"/>
      <c r="E934" s="14"/>
      <c r="F934" s="14"/>
      <c r="G934" s="14"/>
      <c r="H934" s="14"/>
      <c r="I934" s="14"/>
      <c r="J934" s="14"/>
      <c r="K934" s="14"/>
      <c r="L934" s="15"/>
    </row>
    <row r="935">
      <c r="A935" s="11"/>
      <c r="B935" s="12"/>
      <c r="C935" s="13"/>
      <c r="D935" s="14"/>
      <c r="E935" s="14"/>
      <c r="F935" s="14"/>
      <c r="G935" s="14"/>
      <c r="H935" s="14"/>
      <c r="I935" s="14"/>
      <c r="J935" s="14"/>
      <c r="K935" s="14"/>
      <c r="L935" s="15"/>
    </row>
    <row r="936">
      <c r="A936" s="11"/>
      <c r="B936" s="12"/>
      <c r="C936" s="13"/>
      <c r="D936" s="14"/>
      <c r="E936" s="14"/>
      <c r="F936" s="14"/>
      <c r="G936" s="14"/>
      <c r="H936" s="14"/>
      <c r="I936" s="14"/>
      <c r="J936" s="14"/>
      <c r="K936" s="14"/>
      <c r="L936" s="15"/>
    </row>
    <row r="937">
      <c r="A937" s="11"/>
      <c r="B937" s="12"/>
      <c r="C937" s="13"/>
      <c r="D937" s="14"/>
      <c r="E937" s="14"/>
      <c r="F937" s="14"/>
      <c r="G937" s="14"/>
      <c r="H937" s="14"/>
      <c r="I937" s="14"/>
      <c r="J937" s="14"/>
      <c r="K937" s="14"/>
      <c r="L937" s="15"/>
    </row>
    <row r="938">
      <c r="A938" s="11"/>
      <c r="B938" s="12"/>
      <c r="C938" s="13"/>
      <c r="D938" s="14"/>
      <c r="E938" s="14"/>
      <c r="F938" s="14"/>
      <c r="G938" s="14"/>
      <c r="H938" s="14"/>
      <c r="I938" s="14"/>
      <c r="J938" s="14"/>
      <c r="K938" s="14"/>
      <c r="L938" s="15"/>
    </row>
    <row r="939">
      <c r="A939" s="11"/>
      <c r="B939" s="12"/>
      <c r="C939" s="13"/>
      <c r="D939" s="14"/>
      <c r="E939" s="14"/>
      <c r="F939" s="14"/>
      <c r="G939" s="14"/>
      <c r="H939" s="14"/>
      <c r="I939" s="14"/>
      <c r="J939" s="14"/>
      <c r="K939" s="14"/>
      <c r="L939" s="15"/>
    </row>
    <row r="940">
      <c r="A940" s="11"/>
      <c r="B940" s="12"/>
      <c r="C940" s="13"/>
      <c r="D940" s="14"/>
      <c r="E940" s="14"/>
      <c r="F940" s="14"/>
      <c r="G940" s="14"/>
      <c r="H940" s="14"/>
      <c r="I940" s="14"/>
      <c r="J940" s="14"/>
      <c r="K940" s="14"/>
      <c r="L940" s="15"/>
    </row>
    <row r="941">
      <c r="A941" s="11"/>
      <c r="B941" s="12"/>
      <c r="C941" s="13"/>
      <c r="D941" s="14"/>
      <c r="E941" s="14"/>
      <c r="F941" s="14"/>
      <c r="G941" s="14"/>
      <c r="H941" s="14"/>
      <c r="I941" s="14"/>
      <c r="J941" s="14"/>
      <c r="K941" s="14"/>
      <c r="L941" s="15"/>
    </row>
    <row r="942">
      <c r="A942" s="11"/>
      <c r="B942" s="12"/>
      <c r="C942" s="13"/>
      <c r="D942" s="14"/>
      <c r="E942" s="14"/>
      <c r="F942" s="14"/>
      <c r="G942" s="14"/>
      <c r="H942" s="14"/>
      <c r="I942" s="14"/>
      <c r="J942" s="14"/>
      <c r="K942" s="14"/>
      <c r="L942" s="15"/>
    </row>
    <row r="943">
      <c r="A943" s="11"/>
      <c r="B943" s="12"/>
      <c r="C943" s="13"/>
      <c r="D943" s="14"/>
      <c r="E943" s="14"/>
      <c r="F943" s="14"/>
      <c r="G943" s="14"/>
      <c r="H943" s="14"/>
      <c r="I943" s="14"/>
      <c r="J943" s="14"/>
      <c r="K943" s="14"/>
      <c r="L943" s="15"/>
    </row>
    <row r="944">
      <c r="A944" s="11"/>
      <c r="B944" s="12"/>
      <c r="C944" s="13"/>
      <c r="D944" s="14"/>
      <c r="E944" s="14"/>
      <c r="F944" s="14"/>
      <c r="G944" s="14"/>
      <c r="H944" s="14"/>
      <c r="I944" s="14"/>
      <c r="J944" s="14"/>
      <c r="K944" s="14"/>
      <c r="L944" s="15"/>
    </row>
    <row r="945">
      <c r="A945" s="11"/>
      <c r="B945" s="12"/>
      <c r="C945" s="13"/>
      <c r="D945" s="14"/>
      <c r="E945" s="14"/>
      <c r="F945" s="14"/>
      <c r="G945" s="14"/>
      <c r="H945" s="14"/>
      <c r="I945" s="14"/>
      <c r="J945" s="14"/>
      <c r="K945" s="14"/>
      <c r="L945" s="15"/>
    </row>
    <row r="946">
      <c r="A946" s="11"/>
      <c r="B946" s="12"/>
      <c r="C946" s="13"/>
      <c r="D946" s="14"/>
      <c r="E946" s="14"/>
      <c r="F946" s="14"/>
      <c r="G946" s="14"/>
      <c r="H946" s="14"/>
      <c r="I946" s="14"/>
      <c r="J946" s="14"/>
      <c r="K946" s="14"/>
      <c r="L946" s="15"/>
    </row>
    <row r="947">
      <c r="A947" s="11"/>
      <c r="B947" s="12"/>
      <c r="C947" s="13"/>
      <c r="D947" s="14"/>
      <c r="E947" s="14"/>
      <c r="F947" s="14"/>
      <c r="G947" s="14"/>
      <c r="H947" s="14"/>
      <c r="I947" s="14"/>
      <c r="J947" s="14"/>
      <c r="K947" s="14"/>
      <c r="L947" s="15"/>
    </row>
    <row r="948">
      <c r="A948" s="11"/>
      <c r="B948" s="12"/>
      <c r="C948" s="13"/>
      <c r="D948" s="14"/>
      <c r="E948" s="14"/>
      <c r="F948" s="14"/>
      <c r="G948" s="14"/>
      <c r="H948" s="14"/>
      <c r="I948" s="14"/>
      <c r="J948" s="14"/>
      <c r="K948" s="14"/>
      <c r="L948" s="15"/>
    </row>
    <row r="949">
      <c r="A949" s="11"/>
      <c r="B949" s="12"/>
      <c r="C949" s="13"/>
      <c r="D949" s="14"/>
      <c r="E949" s="14"/>
      <c r="F949" s="14"/>
      <c r="G949" s="14"/>
      <c r="H949" s="14"/>
      <c r="I949" s="14"/>
      <c r="J949" s="14"/>
      <c r="K949" s="14"/>
      <c r="L949" s="15"/>
    </row>
    <row r="950">
      <c r="A950" s="11"/>
      <c r="B950" s="12"/>
      <c r="C950" s="13"/>
      <c r="D950" s="14"/>
      <c r="E950" s="14"/>
      <c r="F950" s="14"/>
      <c r="G950" s="14"/>
      <c r="H950" s="14"/>
      <c r="I950" s="14"/>
      <c r="J950" s="14"/>
      <c r="K950" s="14"/>
      <c r="L950" s="15"/>
    </row>
    <row r="951">
      <c r="A951" s="11"/>
      <c r="B951" s="12"/>
      <c r="C951" s="13"/>
      <c r="D951" s="14"/>
      <c r="E951" s="14"/>
      <c r="F951" s="14"/>
      <c r="G951" s="14"/>
      <c r="H951" s="14"/>
      <c r="I951" s="14"/>
      <c r="J951" s="14"/>
      <c r="K951" s="14"/>
      <c r="L951" s="15"/>
    </row>
    <row r="952">
      <c r="A952" s="11"/>
      <c r="B952" s="12"/>
      <c r="C952" s="13"/>
      <c r="D952" s="14"/>
      <c r="E952" s="14"/>
      <c r="F952" s="14"/>
      <c r="G952" s="14"/>
      <c r="H952" s="14"/>
      <c r="I952" s="14"/>
      <c r="J952" s="14"/>
      <c r="K952" s="14"/>
      <c r="L952" s="15"/>
    </row>
    <row r="953">
      <c r="A953" s="11"/>
      <c r="B953" s="12"/>
      <c r="C953" s="13"/>
      <c r="D953" s="14"/>
      <c r="E953" s="14"/>
      <c r="F953" s="14"/>
      <c r="G953" s="14"/>
      <c r="H953" s="14"/>
      <c r="I953" s="14"/>
      <c r="J953" s="14"/>
      <c r="K953" s="14"/>
      <c r="L953" s="15"/>
    </row>
    <row r="954">
      <c r="A954" s="11"/>
      <c r="B954" s="12"/>
      <c r="C954" s="13"/>
      <c r="D954" s="14"/>
      <c r="E954" s="14"/>
      <c r="F954" s="14"/>
      <c r="G954" s="14"/>
      <c r="H954" s="14"/>
      <c r="I954" s="14"/>
      <c r="J954" s="14"/>
      <c r="K954" s="14"/>
      <c r="L954" s="15"/>
    </row>
    <row r="955">
      <c r="A955" s="11"/>
      <c r="B955" s="12"/>
      <c r="C955" s="13"/>
      <c r="D955" s="14"/>
      <c r="E955" s="14"/>
      <c r="F955" s="14"/>
      <c r="G955" s="14"/>
      <c r="H955" s="14"/>
      <c r="I955" s="14"/>
      <c r="J955" s="14"/>
      <c r="K955" s="14"/>
      <c r="L955" s="15"/>
    </row>
    <row r="956">
      <c r="A956" s="11"/>
      <c r="B956" s="12"/>
      <c r="C956" s="13"/>
      <c r="D956" s="14"/>
      <c r="E956" s="14"/>
      <c r="F956" s="14"/>
      <c r="G956" s="14"/>
      <c r="H956" s="14"/>
      <c r="I956" s="14"/>
      <c r="J956" s="14"/>
      <c r="K956" s="14"/>
      <c r="L956" s="15"/>
    </row>
    <row r="957">
      <c r="A957" s="11"/>
      <c r="B957" s="12"/>
      <c r="C957" s="13"/>
      <c r="D957" s="14"/>
      <c r="E957" s="14"/>
      <c r="F957" s="14"/>
      <c r="G957" s="14"/>
      <c r="H957" s="14"/>
      <c r="I957" s="14"/>
      <c r="J957" s="14"/>
      <c r="K957" s="14"/>
      <c r="L957" s="15"/>
    </row>
    <row r="958">
      <c r="A958" s="11"/>
      <c r="B958" s="12"/>
      <c r="C958" s="13"/>
      <c r="D958" s="14"/>
      <c r="E958" s="14"/>
      <c r="F958" s="14"/>
      <c r="G958" s="14"/>
      <c r="H958" s="14"/>
      <c r="I958" s="14"/>
      <c r="J958" s="14"/>
      <c r="K958" s="14"/>
      <c r="L958" s="15"/>
    </row>
    <row r="959">
      <c r="A959" s="11"/>
      <c r="B959" s="12"/>
      <c r="C959" s="13"/>
      <c r="D959" s="14"/>
      <c r="E959" s="14"/>
      <c r="F959" s="14"/>
      <c r="G959" s="14"/>
      <c r="H959" s="14"/>
      <c r="I959" s="14"/>
      <c r="J959" s="14"/>
      <c r="K959" s="14"/>
      <c r="L959" s="15"/>
    </row>
    <row r="960">
      <c r="A960" s="11"/>
      <c r="B960" s="12"/>
      <c r="C960" s="13"/>
      <c r="D960" s="14"/>
      <c r="E960" s="14"/>
      <c r="F960" s="14"/>
      <c r="G960" s="14"/>
      <c r="H960" s="14"/>
      <c r="I960" s="14"/>
      <c r="J960" s="14"/>
      <c r="K960" s="14"/>
      <c r="L960" s="15"/>
    </row>
    <row r="961">
      <c r="A961" s="11"/>
      <c r="B961" s="12"/>
      <c r="C961" s="13"/>
      <c r="D961" s="14"/>
      <c r="E961" s="14"/>
      <c r="F961" s="14"/>
      <c r="G961" s="14"/>
      <c r="H961" s="14"/>
      <c r="I961" s="14"/>
      <c r="J961" s="14"/>
      <c r="K961" s="14"/>
      <c r="L961" s="15"/>
    </row>
    <row r="962">
      <c r="A962" s="11"/>
      <c r="B962" s="12"/>
      <c r="C962" s="13"/>
      <c r="D962" s="14"/>
      <c r="E962" s="14"/>
      <c r="F962" s="14"/>
      <c r="G962" s="14"/>
      <c r="H962" s="14"/>
      <c r="I962" s="14"/>
      <c r="J962" s="14"/>
      <c r="K962" s="14"/>
      <c r="L962" s="15"/>
    </row>
    <row r="963">
      <c r="A963" s="11"/>
      <c r="B963" s="12"/>
      <c r="C963" s="13"/>
      <c r="D963" s="14"/>
      <c r="E963" s="14"/>
      <c r="F963" s="14"/>
      <c r="G963" s="14"/>
      <c r="H963" s="14"/>
      <c r="I963" s="14"/>
      <c r="J963" s="14"/>
      <c r="K963" s="14"/>
      <c r="L963" s="15"/>
    </row>
    <row r="964">
      <c r="A964" s="11"/>
      <c r="B964" s="12"/>
      <c r="C964" s="13"/>
      <c r="D964" s="14"/>
      <c r="E964" s="14"/>
      <c r="F964" s="14"/>
      <c r="G964" s="14"/>
      <c r="H964" s="14"/>
      <c r="I964" s="14"/>
      <c r="J964" s="14"/>
      <c r="K964" s="14"/>
      <c r="L964" s="15"/>
    </row>
    <row r="965">
      <c r="A965" s="11"/>
      <c r="B965" s="12"/>
      <c r="C965" s="13"/>
      <c r="D965" s="14"/>
      <c r="E965" s="14"/>
      <c r="F965" s="14"/>
      <c r="G965" s="14"/>
      <c r="H965" s="14"/>
      <c r="I965" s="14"/>
      <c r="J965" s="14"/>
      <c r="K965" s="14"/>
      <c r="L965" s="15"/>
    </row>
    <row r="966">
      <c r="A966" s="11"/>
      <c r="B966" s="12"/>
      <c r="C966" s="13"/>
      <c r="D966" s="14"/>
      <c r="E966" s="14"/>
      <c r="F966" s="14"/>
      <c r="G966" s="14"/>
      <c r="H966" s="14"/>
      <c r="I966" s="14"/>
      <c r="J966" s="14"/>
      <c r="K966" s="14"/>
      <c r="L966" s="15"/>
    </row>
    <row r="967">
      <c r="A967" s="11"/>
      <c r="B967" s="12"/>
      <c r="C967" s="13"/>
      <c r="D967" s="14"/>
      <c r="E967" s="14"/>
      <c r="F967" s="14"/>
      <c r="G967" s="14"/>
      <c r="H967" s="14"/>
      <c r="I967" s="14"/>
      <c r="J967" s="14"/>
      <c r="K967" s="14"/>
      <c r="L967" s="15"/>
    </row>
    <row r="968">
      <c r="A968" s="11"/>
      <c r="B968" s="12"/>
      <c r="C968" s="13"/>
      <c r="D968" s="14"/>
      <c r="E968" s="14"/>
      <c r="F968" s="14"/>
      <c r="G968" s="14"/>
      <c r="H968" s="14"/>
      <c r="I968" s="14"/>
      <c r="J968" s="14"/>
      <c r="K968" s="14"/>
      <c r="L968" s="15"/>
    </row>
    <row r="969">
      <c r="A969" s="11"/>
      <c r="B969" s="12"/>
      <c r="C969" s="13"/>
      <c r="D969" s="14"/>
      <c r="E969" s="14"/>
      <c r="F969" s="14"/>
      <c r="G969" s="14"/>
      <c r="H969" s="14"/>
      <c r="I969" s="14"/>
      <c r="J969" s="14"/>
      <c r="K969" s="14"/>
      <c r="L969" s="15"/>
    </row>
    <row r="970">
      <c r="A970" s="11"/>
      <c r="B970" s="12"/>
      <c r="C970" s="13"/>
      <c r="D970" s="14"/>
      <c r="E970" s="14"/>
      <c r="F970" s="14"/>
      <c r="G970" s="14"/>
      <c r="H970" s="14"/>
      <c r="I970" s="14"/>
      <c r="J970" s="14"/>
      <c r="K970" s="14"/>
      <c r="L970" s="15"/>
    </row>
    <row r="971">
      <c r="A971" s="11"/>
      <c r="B971" s="12"/>
      <c r="C971" s="13"/>
      <c r="D971" s="14"/>
      <c r="E971" s="14"/>
      <c r="F971" s="14"/>
      <c r="G971" s="14"/>
      <c r="H971" s="14"/>
      <c r="I971" s="14"/>
      <c r="J971" s="14"/>
      <c r="K971" s="14"/>
      <c r="L971" s="15"/>
    </row>
    <row r="972">
      <c r="A972" s="11"/>
      <c r="B972" s="12"/>
      <c r="C972" s="13"/>
      <c r="D972" s="14"/>
      <c r="E972" s="14"/>
      <c r="F972" s="14"/>
      <c r="G972" s="14"/>
      <c r="H972" s="14"/>
      <c r="I972" s="14"/>
      <c r="J972" s="14"/>
      <c r="K972" s="14"/>
      <c r="L972" s="15"/>
    </row>
    <row r="973">
      <c r="A973" s="11"/>
      <c r="B973" s="12"/>
      <c r="C973" s="13"/>
      <c r="D973" s="14"/>
      <c r="E973" s="14"/>
      <c r="F973" s="14"/>
      <c r="G973" s="14"/>
      <c r="H973" s="14"/>
      <c r="I973" s="14"/>
      <c r="J973" s="14"/>
      <c r="K973" s="14"/>
      <c r="L973" s="15"/>
    </row>
    <row r="974">
      <c r="A974" s="11"/>
      <c r="B974" s="12"/>
      <c r="C974" s="13"/>
      <c r="D974" s="14"/>
      <c r="E974" s="14"/>
      <c r="F974" s="14"/>
      <c r="G974" s="14"/>
      <c r="H974" s="14"/>
      <c r="I974" s="14"/>
      <c r="J974" s="14"/>
      <c r="K974" s="14"/>
      <c r="L974" s="15"/>
    </row>
    <row r="975">
      <c r="A975" s="11"/>
      <c r="B975" s="12"/>
      <c r="C975" s="13"/>
      <c r="D975" s="14"/>
      <c r="E975" s="14"/>
      <c r="F975" s="14"/>
      <c r="G975" s="14"/>
      <c r="H975" s="14"/>
      <c r="I975" s="14"/>
      <c r="J975" s="14"/>
      <c r="K975" s="14"/>
      <c r="L975" s="15"/>
    </row>
    <row r="976">
      <c r="A976" s="11"/>
      <c r="B976" s="12"/>
      <c r="C976" s="13"/>
      <c r="D976" s="14"/>
      <c r="E976" s="14"/>
      <c r="F976" s="14"/>
      <c r="G976" s="14"/>
      <c r="H976" s="14"/>
      <c r="I976" s="14"/>
      <c r="J976" s="14"/>
      <c r="K976" s="14"/>
      <c r="L976" s="15"/>
    </row>
    <row r="977">
      <c r="A977" s="11"/>
      <c r="B977" s="12"/>
      <c r="C977" s="13"/>
      <c r="D977" s="14"/>
      <c r="E977" s="14"/>
      <c r="F977" s="14"/>
      <c r="G977" s="14"/>
      <c r="H977" s="14"/>
      <c r="I977" s="14"/>
      <c r="J977" s="14"/>
      <c r="K977" s="14"/>
      <c r="L977" s="15"/>
    </row>
    <row r="978">
      <c r="A978" s="11"/>
      <c r="B978" s="12"/>
      <c r="C978" s="13"/>
      <c r="D978" s="14"/>
      <c r="E978" s="14"/>
      <c r="F978" s="14"/>
      <c r="G978" s="14"/>
      <c r="H978" s="14"/>
      <c r="I978" s="14"/>
      <c r="J978" s="14"/>
      <c r="K978" s="14"/>
      <c r="L978" s="15"/>
    </row>
    <row r="979">
      <c r="A979" s="11"/>
      <c r="B979" s="12"/>
      <c r="C979" s="13"/>
      <c r="D979" s="14"/>
      <c r="E979" s="14"/>
      <c r="F979" s="14"/>
      <c r="G979" s="14"/>
      <c r="H979" s="14"/>
      <c r="I979" s="14"/>
      <c r="J979" s="14"/>
      <c r="K979" s="14"/>
      <c r="L979" s="15"/>
    </row>
    <row r="980">
      <c r="A980" s="11"/>
      <c r="B980" s="12"/>
      <c r="C980" s="13"/>
      <c r="D980" s="14"/>
      <c r="E980" s="14"/>
      <c r="F980" s="14"/>
      <c r="G980" s="14"/>
      <c r="H980" s="14"/>
      <c r="I980" s="14"/>
      <c r="J980" s="14"/>
      <c r="K980" s="14"/>
      <c r="L980" s="15"/>
    </row>
    <row r="981">
      <c r="A981" s="11"/>
      <c r="B981" s="12"/>
      <c r="C981" s="13"/>
      <c r="D981" s="14"/>
      <c r="E981" s="14"/>
      <c r="F981" s="14"/>
      <c r="G981" s="14"/>
      <c r="H981" s="14"/>
      <c r="I981" s="14"/>
      <c r="J981" s="14"/>
      <c r="K981" s="14"/>
      <c r="L981" s="15"/>
    </row>
    <row r="982">
      <c r="A982" s="11"/>
      <c r="B982" s="12"/>
      <c r="C982" s="13"/>
      <c r="D982" s="14"/>
      <c r="E982" s="14"/>
      <c r="F982" s="14"/>
      <c r="G982" s="14"/>
      <c r="H982" s="14"/>
      <c r="I982" s="14"/>
      <c r="J982" s="14"/>
      <c r="K982" s="14"/>
      <c r="L982" s="15"/>
    </row>
    <row r="983">
      <c r="A983" s="11"/>
      <c r="B983" s="12"/>
      <c r="C983" s="13"/>
      <c r="D983" s="14"/>
      <c r="E983" s="14"/>
      <c r="F983" s="14"/>
      <c r="G983" s="14"/>
      <c r="H983" s="14"/>
      <c r="I983" s="14"/>
      <c r="J983" s="14"/>
      <c r="K983" s="14"/>
      <c r="L983" s="15"/>
    </row>
    <row r="984">
      <c r="A984" s="11"/>
      <c r="B984" s="12"/>
      <c r="C984" s="13"/>
      <c r="D984" s="14"/>
      <c r="E984" s="14"/>
      <c r="F984" s="14"/>
      <c r="G984" s="14"/>
      <c r="H984" s="14"/>
      <c r="I984" s="14"/>
      <c r="J984" s="14"/>
      <c r="K984" s="14"/>
      <c r="L984" s="15"/>
    </row>
    <row r="985">
      <c r="A985" s="11"/>
      <c r="B985" s="12"/>
      <c r="C985" s="13"/>
      <c r="D985" s="14"/>
      <c r="E985" s="14"/>
      <c r="F985" s="14"/>
      <c r="G985" s="14"/>
      <c r="H985" s="14"/>
      <c r="I985" s="14"/>
      <c r="J985" s="14"/>
      <c r="K985" s="14"/>
      <c r="L985" s="15"/>
    </row>
    <row r="986">
      <c r="A986" s="11"/>
      <c r="B986" s="12"/>
      <c r="C986" s="13"/>
      <c r="D986" s="14"/>
      <c r="E986" s="14"/>
      <c r="F986" s="14"/>
      <c r="G986" s="14"/>
      <c r="H986" s="14"/>
      <c r="I986" s="14"/>
      <c r="J986" s="14"/>
      <c r="K986" s="14"/>
      <c r="L986" s="15"/>
    </row>
    <row r="987">
      <c r="A987" s="11"/>
      <c r="B987" s="12"/>
      <c r="C987" s="13"/>
      <c r="D987" s="14"/>
      <c r="E987" s="14"/>
      <c r="F987" s="14"/>
      <c r="G987" s="14"/>
      <c r="H987" s="14"/>
      <c r="I987" s="14"/>
      <c r="J987" s="14"/>
      <c r="K987" s="14"/>
      <c r="L987" s="15"/>
    </row>
    <row r="988">
      <c r="A988" s="11"/>
      <c r="B988" s="12"/>
      <c r="C988" s="13"/>
      <c r="D988" s="14"/>
      <c r="E988" s="14"/>
      <c r="F988" s="14"/>
      <c r="G988" s="14"/>
      <c r="H988" s="14"/>
      <c r="I988" s="14"/>
      <c r="J988" s="14"/>
      <c r="K988" s="14"/>
      <c r="L988" s="15"/>
    </row>
    <row r="989">
      <c r="A989" s="11"/>
      <c r="B989" s="12"/>
      <c r="C989" s="13"/>
      <c r="D989" s="14"/>
      <c r="E989" s="14"/>
      <c r="F989" s="14"/>
      <c r="G989" s="14"/>
      <c r="H989" s="14"/>
      <c r="I989" s="14"/>
      <c r="J989" s="14"/>
      <c r="K989" s="14"/>
      <c r="L989" s="15"/>
    </row>
    <row r="990">
      <c r="A990" s="11"/>
      <c r="B990" s="12"/>
      <c r="C990" s="13"/>
      <c r="D990" s="14"/>
      <c r="E990" s="14"/>
      <c r="F990" s="14"/>
      <c r="G990" s="14"/>
      <c r="H990" s="14"/>
      <c r="I990" s="14"/>
      <c r="J990" s="14"/>
      <c r="K990" s="14"/>
      <c r="L990" s="15"/>
    </row>
    <row r="991">
      <c r="A991" s="11"/>
      <c r="B991" s="12"/>
      <c r="C991" s="13"/>
      <c r="D991" s="14"/>
      <c r="E991" s="14"/>
      <c r="F991" s="14"/>
      <c r="G991" s="14"/>
      <c r="H991" s="14"/>
      <c r="I991" s="14"/>
      <c r="J991" s="14"/>
      <c r="K991" s="14"/>
      <c r="L991" s="15"/>
    </row>
    <row r="992">
      <c r="A992" s="11"/>
      <c r="B992" s="12"/>
      <c r="C992" s="13"/>
      <c r="D992" s="14"/>
      <c r="E992" s="14"/>
      <c r="F992" s="14"/>
      <c r="G992" s="14"/>
      <c r="H992" s="14"/>
      <c r="I992" s="14"/>
      <c r="J992" s="14"/>
      <c r="K992" s="14"/>
      <c r="L992" s="15"/>
    </row>
    <row r="993">
      <c r="A993" s="11"/>
      <c r="B993" s="12"/>
      <c r="C993" s="13"/>
      <c r="D993" s="14"/>
      <c r="E993" s="14"/>
      <c r="F993" s="14"/>
      <c r="G993" s="14"/>
      <c r="H993" s="14"/>
      <c r="I993" s="14"/>
      <c r="J993" s="14"/>
      <c r="K993" s="14"/>
      <c r="L993" s="15"/>
    </row>
    <row r="994">
      <c r="A994" s="11"/>
      <c r="B994" s="12"/>
      <c r="C994" s="13"/>
      <c r="D994" s="14"/>
      <c r="E994" s="14"/>
      <c r="F994" s="14"/>
      <c r="G994" s="14"/>
      <c r="H994" s="14"/>
      <c r="I994" s="14"/>
      <c r="J994" s="14"/>
      <c r="K994" s="14"/>
      <c r="L994" s="15"/>
    </row>
    <row r="995">
      <c r="A995" s="11"/>
      <c r="B995" s="12"/>
      <c r="C995" s="13"/>
      <c r="D995" s="14"/>
      <c r="E995" s="14"/>
      <c r="F995" s="14"/>
      <c r="G995" s="14"/>
      <c r="H995" s="14"/>
      <c r="I995" s="14"/>
      <c r="J995" s="14"/>
      <c r="K995" s="14"/>
      <c r="L995" s="15"/>
    </row>
    <row r="996">
      <c r="A996" s="11"/>
      <c r="B996" s="12"/>
      <c r="C996" s="13"/>
      <c r="D996" s="14"/>
      <c r="E996" s="14"/>
      <c r="F996" s="14"/>
      <c r="G996" s="14"/>
      <c r="H996" s="14"/>
      <c r="I996" s="14"/>
      <c r="J996" s="14"/>
      <c r="K996" s="14"/>
      <c r="L996" s="15"/>
    </row>
    <row r="997">
      <c r="A997" s="11"/>
      <c r="B997" s="12"/>
      <c r="C997" s="13"/>
      <c r="D997" s="14"/>
      <c r="E997" s="14"/>
      <c r="F997" s="14"/>
      <c r="G997" s="14"/>
      <c r="H997" s="14"/>
      <c r="I997" s="14"/>
      <c r="J997" s="14"/>
      <c r="K997" s="14"/>
      <c r="L997" s="15"/>
    </row>
    <row r="998">
      <c r="A998" s="11"/>
      <c r="B998" s="12"/>
      <c r="C998" s="13"/>
      <c r="D998" s="14"/>
      <c r="E998" s="14"/>
      <c r="F998" s="14"/>
      <c r="G998" s="14"/>
      <c r="H998" s="14"/>
      <c r="I998" s="14"/>
      <c r="J998" s="14"/>
      <c r="K998" s="14"/>
      <c r="L998" s="15"/>
    </row>
    <row r="999">
      <c r="A999" s="11"/>
      <c r="B999" s="12"/>
      <c r="C999" s="13"/>
      <c r="D999" s="14"/>
      <c r="E999" s="14"/>
      <c r="F999" s="14"/>
      <c r="G999" s="14"/>
      <c r="H999" s="14"/>
      <c r="I999" s="14"/>
      <c r="J999" s="14"/>
      <c r="K999" s="14"/>
      <c r="L999" s="15"/>
    </row>
    <row r="1000">
      <c r="A1000" s="11"/>
      <c r="B1000" s="12"/>
      <c r="C1000" s="13"/>
      <c r="D1000" s="14"/>
      <c r="E1000" s="14"/>
      <c r="F1000" s="14"/>
      <c r="G1000" s="14"/>
      <c r="H1000" s="14"/>
      <c r="I1000" s="14"/>
      <c r="J1000" s="14"/>
      <c r="K1000" s="14"/>
      <c r="L1000" s="15"/>
    </row>
  </sheetData>
  <conditionalFormatting sqref="A2:A37">
    <cfRule type="cellIs" dxfId="5" priority="1" operator="between">
      <formula>1</formula>
      <formula>8</formula>
    </cfRule>
  </conditionalFormatting>
  <conditionalFormatting sqref="A2:A37">
    <cfRule type="cellIs" dxfId="6" priority="2" operator="between">
      <formula>9</formula>
      <formula>24</formula>
    </cfRule>
  </conditionalFormatting>
  <conditionalFormatting sqref="A2:A37">
    <cfRule type="cellIs" dxfId="7" priority="3" operator="between">
      <formula>25</formula>
      <formula>36</formula>
    </cfRule>
  </conditionalFormatting>
  <conditionalFormatting sqref="E2:E37">
    <cfRule type="colorScale" priority="4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F2:F37">
    <cfRule type="colorScale" priority="5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G2:G37">
    <cfRule type="colorScale" priority="6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7">
    <cfRule type="colorScale" priority="7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H2:H37">
    <cfRule type="colorScale" priority="8">
      <colorScale>
        <cfvo type="min"/>
        <cfvo type="percentile" val="50"/>
        <cfvo type="max"/>
        <color rgb="FF34A853"/>
        <color rgb="FFFFFF00"/>
        <color rgb="FFEA4335"/>
      </colorScale>
    </cfRule>
  </conditionalFormatting>
  <conditionalFormatting sqref="K2:K37">
    <cfRule type="colorScale" priority="9">
      <colorScale>
        <cfvo type="min"/>
        <cfvo type="percentile" val="50"/>
        <cfvo type="max"/>
        <color rgb="FF34A853"/>
        <color rgb="FFFFFF00"/>
        <color rgb="FFEA4335"/>
      </colorScale>
    </cfRule>
  </conditionalFormatting>
  <conditionalFormatting sqref="J2:J37">
    <cfRule type="colorScale" priority="10">
      <colorScale>
        <cfvo type="min"/>
        <cfvo type="percentile" val="50"/>
        <cfvo type="max"/>
        <color rgb="FFFFD966"/>
        <color rgb="FFFFFF00"/>
        <color rgb="FFFBBC04"/>
      </colorScale>
    </cfRule>
  </conditionalFormatting>
  <conditionalFormatting sqref="L2:L37">
    <cfRule type="colorScale" priority="11">
      <colorScale>
        <cfvo type="min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2:B37">
      <formula1>"Ajax,Arsenal,Atalanta,Athletic Bilbao,Atlético Madryt,Borussia Dortmund,Barcelona,Bayern Monachium,Benfica,Bodø/Glimt,Chelsea,Club Brugge,Kopenhaga,Eintracht Frankfurt,Galatasaray,Inter Mediolan,Juventus,Kairat,Bayer Leverkusen,Liverpool,Manchester City,M"&amp;"arsylia,Monaco,Napoli,Newcastle United,Olympiacos,Pafos,Paris Saint-Germain,PSV Eindhoven,Karabach,Real Madryt,Slavia Praga,Sporting CP,Tottenham Hotspur,Union Saint-Gilloise,Villarreal"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7.13"/>
    <col customWidth="1" min="3" max="3" width="23.75"/>
    <col customWidth="1" min="4" max="4" width="8.88"/>
    <col customWidth="1" min="5" max="5" width="34.63"/>
    <col customWidth="1" min="6" max="6" width="15.13"/>
    <col customWidth="1" min="7" max="7" width="5.38"/>
    <col customWidth="1" min="8" max="8" width="10.63"/>
    <col customWidth="1" min="9" max="9" width="9.0"/>
  </cols>
  <sheetData>
    <row r="1">
      <c r="A1" s="1" t="s">
        <v>0</v>
      </c>
      <c r="B1" s="1" t="s">
        <v>48</v>
      </c>
      <c r="C1" s="16" t="s">
        <v>49</v>
      </c>
      <c r="D1" s="16" t="s">
        <v>50</v>
      </c>
      <c r="E1" s="16" t="s">
        <v>51</v>
      </c>
      <c r="F1" s="16" t="s">
        <v>52</v>
      </c>
      <c r="G1" s="17" t="s">
        <v>53</v>
      </c>
      <c r="H1" s="1" t="s">
        <v>54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9">
        <v>1.0</v>
      </c>
      <c r="B2" s="20">
        <f>IFERROR(__xludf.DUMMYFUNCTION("QUERY({Ajax!A2:G1001,Ajax!J2:J1001; Arsenal!A2:G1001,Arsenal!J2:J1001; Atalanta!A2:G1001,Atalanta!J2:J1001; Athletic!A2:G1001,Athletic!J2:J1001; Atletico!A2:G1001,Atletico!J2:J1001; Borussia!A2:G1001,Borussia!J2:J1001; Barcelona!A2:G1001,Barcelona!J2:J100"&amp;"1; Bayern!A2:G1001,Bayern!J2:J1001; Benfica!A2:G1001,Benfica!J2:J1001; Bodo!A2:G1001,Bodo!J2:J1001; Chelsea!A2:G1001,Chelsea!J2:J1001; Brugge!A2:G1001,Brugge!J2:J1001; Kopenhaga!A2:G1001,Kopenhaga!J2:J1001; Frankfurt!A2:G1001,Frankfurt!J2:J1001; Galatasar"&amp;"ay!A2:G1001,Galatasaray!J2:J1001; Inter!A2:G1001,Inter!J2:J1001; Kairat!A2:G1001,Kairat!J2:J1001; Juventus!A2:G1001,Juventus!J2:J1001; Leverkusen!A2:G1001,Leverkusen!J2:J1001; Liverpool!A2:G1001,Liverpool!J2:J1001; City!A2:G1001,City!J2:J1001; Marsylia!A2"&amp;":G1001,Marsylia!J2:J1001; Monaco!A2:G1001,Monaco!J2:J1001; Napoli!A2:G1001,Napoli!J2:J1001; Newcastle!A2:G1001,Newcastle!J2:J1001; Olympiacos!A2:G1001,Olympiacos!J2:J1001; Pafos!A2:G1001,Pafos!J2:J1001; PSG!A2:G1001,PSG!J2:J1001; PSV!A2:G1001,PSV!J2:J1001"&amp;"; Real!A2:G1001,Real!J2:J1001; Slavia!A2:G1001,Slavia!J2:J1001; Sporting!A2:G1001,Sporting!J2:J1001; Karabach!A2:G1001,Karabach!J2:J1001; Tottenham!A2:G1001,Tottenham!J2:J1001; USG!A2:G1001,USG!J2:J1001; Villarreal!A2:G1001,Villarreal!J2:J1001},""SELECT C"&amp;"ol1, Col2, Col3, Col4, Col6, Col7, Col8 WHERE Col8 IS NOT NULL AND NOT Col3 CONTAINS 'trener' AND NOT Col3 CONTAINS 'trenera' AND Col1 IS NOT NULL ORDER BY Col8 DESC"")"),10.0)</f>
        <v>10</v>
      </c>
      <c r="C2" s="21" t="str">
        <f>IFERROR(__xludf.DUMMYFUNCTION("""COMPUTED_VALUE"""),"Kylian Mbappé")</f>
        <v>Kylian Mbappé</v>
      </c>
      <c r="D2" s="21" t="str">
        <f>IFERROR(__xludf.DUMMYFUNCTION("""COMPUTED_VALUE"""),"napastnik")</f>
        <v>napastnik</v>
      </c>
      <c r="E2" s="21" t="str">
        <f>IFERROR(__xludf.DUMMYFUNCTION("""COMPUTED_VALUE"""),"Francja /Kamerun")</f>
        <v>Francja /Kamerun</v>
      </c>
      <c r="F2" s="22">
        <f>IFERROR(__xludf.DUMMYFUNCTION("""COMPUTED_VALUE"""),36149.0)</f>
        <v>36149</v>
      </c>
      <c r="G2" s="23">
        <f>IFERROR(__xludf.DUMMYFUNCTION("""COMPUTED_VALUE"""),27.0)</f>
        <v>27</v>
      </c>
      <c r="H2" s="24">
        <f>IFERROR(__xludf.DUMMYFUNCTION("""COMPUTED_VALUE"""),11.0)</f>
        <v>11</v>
      </c>
      <c r="I2" s="12"/>
    </row>
    <row r="3">
      <c r="A3" s="19">
        <v>2.0</v>
      </c>
      <c r="B3" s="20">
        <f>IFERROR(__xludf.DUMMYFUNCTION("""COMPUTED_VALUE"""),9.0)</f>
        <v>9</v>
      </c>
      <c r="C3" s="21" t="str">
        <f>IFERROR(__xludf.DUMMYFUNCTION("""COMPUTED_VALUE"""),"Harry Kane")</f>
        <v>Harry Kane</v>
      </c>
      <c r="D3" s="21" t="str">
        <f>IFERROR(__xludf.DUMMYFUNCTION("""COMPUTED_VALUE"""),"napastnik")</f>
        <v>napastnik</v>
      </c>
      <c r="E3" s="21" t="str">
        <f>IFERROR(__xludf.DUMMYFUNCTION("""COMPUTED_VALUE"""),"Anglia")</f>
        <v>Anglia</v>
      </c>
      <c r="F3" s="22">
        <f>IFERROR(__xludf.DUMMYFUNCTION("""COMPUTED_VALUE"""),34178.0)</f>
        <v>34178</v>
      </c>
      <c r="G3" s="23">
        <f>IFERROR(__xludf.DUMMYFUNCTION("""COMPUTED_VALUE"""),32.0)</f>
        <v>32</v>
      </c>
      <c r="H3" s="24">
        <f>IFERROR(__xludf.DUMMYFUNCTION("""COMPUTED_VALUE"""),7.0)</f>
        <v>7</v>
      </c>
      <c r="I3" s="12"/>
    </row>
    <row r="4">
      <c r="A4" s="19">
        <v>3.0</v>
      </c>
      <c r="B4" s="20">
        <f>IFERROR(__xludf.DUMMYFUNCTION("""COMPUTED_VALUE"""),45.0)</f>
        <v>45</v>
      </c>
      <c r="C4" s="21" t="str">
        <f>IFERROR(__xludf.DUMMYFUNCTION("""COMPUTED_VALUE"""),"Victor Osimhen")</f>
        <v>Victor Osimhen</v>
      </c>
      <c r="D4" s="21" t="str">
        <f>IFERROR(__xludf.DUMMYFUNCTION("""COMPUTED_VALUE"""),"napastnik")</f>
        <v>napastnik</v>
      </c>
      <c r="E4" s="21" t="str">
        <f>IFERROR(__xludf.DUMMYFUNCTION("""COMPUTED_VALUE"""),"Nigeria")</f>
        <v>Nigeria</v>
      </c>
      <c r="F4" s="22">
        <f>IFERROR(__xludf.DUMMYFUNCTION("""COMPUTED_VALUE"""),36158.0)</f>
        <v>36158</v>
      </c>
      <c r="G4" s="23">
        <f>IFERROR(__xludf.DUMMYFUNCTION("""COMPUTED_VALUE"""),27.0)</f>
        <v>27</v>
      </c>
      <c r="H4" s="24">
        <f>IFERROR(__xludf.DUMMYFUNCTION("""COMPUTED_VALUE"""),6.0)</f>
        <v>6</v>
      </c>
      <c r="I4" s="12"/>
    </row>
    <row r="5">
      <c r="A5" s="19">
        <v>4.0</v>
      </c>
      <c r="B5" s="20">
        <f>IFERROR(__xludf.DUMMYFUNCTION("""COMPUTED_VALUE"""),9.0)</f>
        <v>9</v>
      </c>
      <c r="C5" s="21" t="str">
        <f>IFERROR(__xludf.DUMMYFUNCTION("""COMPUTED_VALUE"""),"Erling Haaland")</f>
        <v>Erling Haaland</v>
      </c>
      <c r="D5" s="21" t="str">
        <f>IFERROR(__xludf.DUMMYFUNCTION("""COMPUTED_VALUE"""),"napastnik")</f>
        <v>napastnik</v>
      </c>
      <c r="E5" s="21" t="str">
        <f>IFERROR(__xludf.DUMMYFUNCTION("""COMPUTED_VALUE"""),"Norwegia")</f>
        <v>Norwegia</v>
      </c>
      <c r="F5" s="22">
        <f>IFERROR(__xludf.DUMMYFUNCTION("""COMPUTED_VALUE"""),36728.0)</f>
        <v>36728</v>
      </c>
      <c r="G5" s="23">
        <f>IFERROR(__xludf.DUMMYFUNCTION("""COMPUTED_VALUE"""),25.0)</f>
        <v>25</v>
      </c>
      <c r="H5" s="24">
        <f>IFERROR(__xludf.DUMMYFUNCTION("""COMPUTED_VALUE"""),6.0)</f>
        <v>6</v>
      </c>
      <c r="I5" s="12"/>
    </row>
    <row r="6">
      <c r="A6" s="19">
        <v>5.0</v>
      </c>
      <c r="B6" s="20">
        <f>IFERROR(__xludf.DUMMYFUNCTION("""COMPUTED_VALUE"""),10.0)</f>
        <v>10</v>
      </c>
      <c r="C6" s="21" t="str">
        <f>IFERROR(__xludf.DUMMYFUNCTION("""COMPUTED_VALUE"""),"Anthony Gordon")</f>
        <v>Anthony Gordon</v>
      </c>
      <c r="D6" s="21" t="str">
        <f>IFERROR(__xludf.DUMMYFUNCTION("""COMPUTED_VALUE"""),"napastnik")</f>
        <v>napastnik</v>
      </c>
      <c r="E6" s="21" t="str">
        <f>IFERROR(__xludf.DUMMYFUNCTION("""COMPUTED_VALUE"""),"Anglia")</f>
        <v>Anglia</v>
      </c>
      <c r="F6" s="22">
        <f>IFERROR(__xludf.DUMMYFUNCTION("""COMPUTED_VALUE"""),36946.0)</f>
        <v>36946</v>
      </c>
      <c r="G6" s="23">
        <f>IFERROR(__xludf.DUMMYFUNCTION("""COMPUTED_VALUE"""),24.0)</f>
        <v>24</v>
      </c>
      <c r="H6" s="24">
        <f>IFERROR(__xludf.DUMMYFUNCTION("""COMPUTED_VALUE"""),6.0)</f>
        <v>6</v>
      </c>
      <c r="I6" s="12"/>
    </row>
    <row r="7">
      <c r="A7" s="19">
        <v>6.0</v>
      </c>
      <c r="B7" s="20">
        <f>IFERROR(__xludf.DUMMYFUNCTION("""COMPUTED_VALUE"""),11.0)</f>
        <v>11</v>
      </c>
      <c r="C7" s="21" t="str">
        <f>IFERROR(__xludf.DUMMYFUNCTION("""COMPUTED_VALUE"""),"Gabriel Martinelli")</f>
        <v>Gabriel Martinelli</v>
      </c>
      <c r="D7" s="21" t="str">
        <f>IFERROR(__xludf.DUMMYFUNCTION("""COMPUTED_VALUE"""),"napastnik")</f>
        <v>napastnik</v>
      </c>
      <c r="E7" s="21" t="str">
        <f>IFERROR(__xludf.DUMMYFUNCTION("""COMPUTED_VALUE"""),"Brazylia /Włochy")</f>
        <v>Brazylia /Włochy</v>
      </c>
      <c r="F7" s="22">
        <f>IFERROR(__xludf.DUMMYFUNCTION("""COMPUTED_VALUE"""),37060.0)</f>
        <v>37060</v>
      </c>
      <c r="G7" s="23">
        <f>IFERROR(__xludf.DUMMYFUNCTION("""COMPUTED_VALUE"""),24.0)</f>
        <v>24</v>
      </c>
      <c r="H7" s="24">
        <f>IFERROR(__xludf.DUMMYFUNCTION("""COMPUTED_VALUE"""),5.0)</f>
        <v>5</v>
      </c>
      <c r="I7" s="12"/>
    </row>
    <row r="8">
      <c r="A8" s="19">
        <v>7.0</v>
      </c>
      <c r="B8" s="20">
        <f>IFERROR(__xludf.DUMMYFUNCTION("""COMPUTED_VALUE"""),16.0)</f>
        <v>16</v>
      </c>
      <c r="C8" s="21" t="str">
        <f>IFERROR(__xludf.DUMMYFUNCTION("""COMPUTED_VALUE"""),"Fermín López")</f>
        <v>Fermín López</v>
      </c>
      <c r="D8" s="21" t="str">
        <f>IFERROR(__xludf.DUMMYFUNCTION("""COMPUTED_VALUE"""),"pomocnik")</f>
        <v>pomocnik</v>
      </c>
      <c r="E8" s="21" t="str">
        <f>IFERROR(__xludf.DUMMYFUNCTION("""COMPUTED_VALUE"""),"Hiszpania")</f>
        <v>Hiszpania</v>
      </c>
      <c r="F8" s="22">
        <f>IFERROR(__xludf.DUMMYFUNCTION("""COMPUTED_VALUE"""),37752.0)</f>
        <v>37752</v>
      </c>
      <c r="G8" s="23">
        <f>IFERROR(__xludf.DUMMYFUNCTION("""COMPUTED_VALUE"""),22.0)</f>
        <v>22</v>
      </c>
      <c r="H8" s="24">
        <f>IFERROR(__xludf.DUMMYFUNCTION("""COMPUTED_VALUE"""),5.0)</f>
        <v>5</v>
      </c>
      <c r="I8" s="12"/>
    </row>
    <row r="9">
      <c r="A9" s="19">
        <v>8.0</v>
      </c>
      <c r="B9" s="20">
        <f>IFERROR(__xludf.DUMMYFUNCTION("""COMPUTED_VALUE"""),11.0)</f>
        <v>11</v>
      </c>
      <c r="C9" s="21" t="str">
        <f>IFERROR(__xludf.DUMMYFUNCTION("""COMPUTED_VALUE"""),"Harvey Barnes")</f>
        <v>Harvey Barnes</v>
      </c>
      <c r="D9" s="21" t="str">
        <f>IFERROR(__xludf.DUMMYFUNCTION("""COMPUTED_VALUE"""),"pomocnik")</f>
        <v>pomocnik</v>
      </c>
      <c r="E9" s="21" t="str">
        <f>IFERROR(__xludf.DUMMYFUNCTION("""COMPUTED_VALUE"""),"Anglia")</f>
        <v>Anglia</v>
      </c>
      <c r="F9" s="22">
        <f>IFERROR(__xludf.DUMMYFUNCTION("""COMPUTED_VALUE"""),35773.0)</f>
        <v>35773</v>
      </c>
      <c r="G9" s="23">
        <f>IFERROR(__xludf.DUMMYFUNCTION("""COMPUTED_VALUE"""),28.0)</f>
        <v>28</v>
      </c>
      <c r="H9" s="24">
        <f>IFERROR(__xludf.DUMMYFUNCTION("""COMPUTED_VALUE"""),5.0)</f>
        <v>5</v>
      </c>
      <c r="I9" s="12"/>
    </row>
    <row r="10">
      <c r="A10" s="19">
        <v>9.0</v>
      </c>
      <c r="B10" s="20">
        <f>IFERROR(__xludf.DUMMYFUNCTION("""COMPUTED_VALUE"""),11.0)</f>
        <v>11</v>
      </c>
      <c r="C10" s="21" t="str">
        <f>IFERROR(__xludf.DUMMYFUNCTION("""COMPUTED_VALUE"""),"Gorka Guruzeta")</f>
        <v>Gorka Guruzeta</v>
      </c>
      <c r="D10" s="21" t="str">
        <f>IFERROR(__xludf.DUMMYFUNCTION("""COMPUTED_VALUE"""),"napastnik")</f>
        <v>napastnik</v>
      </c>
      <c r="E10" s="21" t="str">
        <f>IFERROR(__xludf.DUMMYFUNCTION("""COMPUTED_VALUE"""),"Hiszpania")</f>
        <v>Hiszpania</v>
      </c>
      <c r="F10" s="22">
        <f>IFERROR(__xludf.DUMMYFUNCTION("""COMPUTED_VALUE"""),35320.0)</f>
        <v>35320</v>
      </c>
      <c r="G10" s="23">
        <f>IFERROR(__xludf.DUMMYFUNCTION("""COMPUTED_VALUE"""),29.0)</f>
        <v>29</v>
      </c>
      <c r="H10" s="24">
        <f>IFERROR(__xludf.DUMMYFUNCTION("""COMPUTED_VALUE"""),4.0)</f>
        <v>4</v>
      </c>
      <c r="I10" s="12"/>
    </row>
    <row r="11">
      <c r="A11" s="19">
        <v>10.0</v>
      </c>
      <c r="B11" s="20">
        <f>IFERROR(__xludf.DUMMYFUNCTION("""COMPUTED_VALUE"""),19.0)</f>
        <v>19</v>
      </c>
      <c r="C11" s="21" t="str">
        <f>IFERROR(__xludf.DUMMYFUNCTION("""COMPUTED_VALUE"""),"Julián Alvarez")</f>
        <v>Julián Alvarez</v>
      </c>
      <c r="D11" s="21" t="str">
        <f>IFERROR(__xludf.DUMMYFUNCTION("""COMPUTED_VALUE"""),"napastnik")</f>
        <v>napastnik</v>
      </c>
      <c r="E11" s="21" t="str">
        <f>IFERROR(__xludf.DUMMYFUNCTION("""COMPUTED_VALUE"""),"Argentyna /Włochy")</f>
        <v>Argentyna /Włochy</v>
      </c>
      <c r="F11" s="22">
        <f>IFERROR(__xludf.DUMMYFUNCTION("""COMPUTED_VALUE"""),36556.0)</f>
        <v>36556</v>
      </c>
      <c r="G11" s="23">
        <f>IFERROR(__xludf.DUMMYFUNCTION("""COMPUTED_VALUE"""),25.0)</f>
        <v>25</v>
      </c>
      <c r="H11" s="24">
        <f>IFERROR(__xludf.DUMMYFUNCTION("""COMPUTED_VALUE"""),4.0)</f>
        <v>4</v>
      </c>
      <c r="I11" s="12"/>
    </row>
    <row r="12">
      <c r="A12" s="19">
        <v>11.0</v>
      </c>
      <c r="B12" s="20">
        <f>IFERROR(__xludf.DUMMYFUNCTION("""COMPUTED_VALUE"""),14.0)</f>
        <v>14</v>
      </c>
      <c r="C12" s="21" t="str">
        <f>IFERROR(__xludf.DUMMYFUNCTION("""COMPUTED_VALUE"""),"Marcus Rashford")</f>
        <v>Marcus Rashford</v>
      </c>
      <c r="D12" s="21" t="str">
        <f>IFERROR(__xludf.DUMMYFUNCTION("""COMPUTED_VALUE"""),"napastnik")</f>
        <v>napastnik</v>
      </c>
      <c r="E12" s="21" t="str">
        <f>IFERROR(__xludf.DUMMYFUNCTION("""COMPUTED_VALUE"""),"Anglia /St. Kitts i Nevis")</f>
        <v>Anglia /St. Kitts i Nevis</v>
      </c>
      <c r="F12" s="22">
        <f>IFERROR(__xludf.DUMMYFUNCTION("""COMPUTED_VALUE"""),35734.0)</f>
        <v>35734</v>
      </c>
      <c r="G12" s="23">
        <f>IFERROR(__xludf.DUMMYFUNCTION("""COMPUTED_VALUE"""),28.0)</f>
        <v>28</v>
      </c>
      <c r="H12" s="24">
        <f>IFERROR(__xludf.DUMMYFUNCTION("""COMPUTED_VALUE"""),4.0)</f>
        <v>4</v>
      </c>
      <c r="I12" s="12"/>
    </row>
    <row r="13">
      <c r="A13" s="19">
        <v>12.0</v>
      </c>
      <c r="B13" s="20">
        <f>IFERROR(__xludf.DUMMYFUNCTION("""COMPUTED_VALUE"""),10.0)</f>
        <v>10</v>
      </c>
      <c r="C13" s="21" t="str">
        <f>IFERROR(__xludf.DUMMYFUNCTION("""COMPUTED_VALUE"""),"Jens Petter Hauge")</f>
        <v>Jens Petter Hauge</v>
      </c>
      <c r="D13" s="21" t="str">
        <f>IFERROR(__xludf.DUMMYFUNCTION("""COMPUTED_VALUE"""),"napastnik")</f>
        <v>napastnik</v>
      </c>
      <c r="E13" s="21" t="str">
        <f>IFERROR(__xludf.DUMMYFUNCTION("""COMPUTED_VALUE"""),"Norwegia")</f>
        <v>Norwegia</v>
      </c>
      <c r="F13" s="22">
        <f>IFERROR(__xludf.DUMMYFUNCTION("""COMPUTED_VALUE"""),36445.0)</f>
        <v>36445</v>
      </c>
      <c r="G13" s="23">
        <f>IFERROR(__xludf.DUMMYFUNCTION("""COMPUTED_VALUE"""),26.0)</f>
        <v>26</v>
      </c>
      <c r="H13" s="24">
        <f>IFERROR(__xludf.DUMMYFUNCTION("""COMPUTED_VALUE"""),4.0)</f>
        <v>4</v>
      </c>
      <c r="I13" s="12"/>
    </row>
    <row r="14">
      <c r="A14" s="19">
        <v>13.0</v>
      </c>
      <c r="B14" s="20">
        <f>IFERROR(__xludf.DUMMYFUNCTION("""COMPUTED_VALUE"""),10.0)</f>
        <v>10</v>
      </c>
      <c r="C14" s="21" t="str">
        <f>IFERROR(__xludf.DUMMYFUNCTION("""COMPUTED_VALUE"""),"Lautaro Martínez")</f>
        <v>Lautaro Martínez</v>
      </c>
      <c r="D14" s="21" t="str">
        <f>IFERROR(__xludf.DUMMYFUNCTION("""COMPUTED_VALUE"""),"napastnik")</f>
        <v>napastnik</v>
      </c>
      <c r="E14" s="21" t="str">
        <f>IFERROR(__xludf.DUMMYFUNCTION("""COMPUTED_VALUE"""),"Argentyna")</f>
        <v>Argentyna</v>
      </c>
      <c r="F14" s="22">
        <f>IFERROR(__xludf.DUMMYFUNCTION("""COMPUTED_VALUE"""),35664.0)</f>
        <v>35664</v>
      </c>
      <c r="G14" s="23">
        <f>IFERROR(__xludf.DUMMYFUNCTION("""COMPUTED_VALUE"""),28.0)</f>
        <v>28</v>
      </c>
      <c r="H14" s="24">
        <f>IFERROR(__xludf.DUMMYFUNCTION("""COMPUTED_VALUE"""),4.0)</f>
        <v>4</v>
      </c>
      <c r="I14" s="12"/>
    </row>
    <row r="15">
      <c r="A15" s="19">
        <v>14.0</v>
      </c>
      <c r="B15" s="20">
        <f>IFERROR(__xludf.DUMMYFUNCTION("""COMPUTED_VALUE"""),8.0)</f>
        <v>8</v>
      </c>
      <c r="C15" s="21" t="str">
        <f>IFERROR(__xludf.DUMMYFUNCTION("""COMPUTED_VALUE"""),"Dominik Szoboszlai")</f>
        <v>Dominik Szoboszlai</v>
      </c>
      <c r="D15" s="21" t="str">
        <f>IFERROR(__xludf.DUMMYFUNCTION("""COMPUTED_VALUE"""),"pomocnik")</f>
        <v>pomocnik</v>
      </c>
      <c r="E15" s="21" t="str">
        <f>IFERROR(__xludf.DUMMYFUNCTION("""COMPUTED_VALUE"""),"Węgry")</f>
        <v>Węgry</v>
      </c>
      <c r="F15" s="22">
        <f>IFERROR(__xludf.DUMMYFUNCTION("""COMPUTED_VALUE"""),36824.0)</f>
        <v>36824</v>
      </c>
      <c r="G15" s="23">
        <f>IFERROR(__xludf.DUMMYFUNCTION("""COMPUTED_VALUE"""),25.0)</f>
        <v>25</v>
      </c>
      <c r="H15" s="24">
        <f>IFERROR(__xludf.DUMMYFUNCTION("""COMPUTED_VALUE"""),4.0)</f>
        <v>4</v>
      </c>
      <c r="I15" s="12"/>
    </row>
    <row r="16">
      <c r="A16" s="19">
        <v>15.0</v>
      </c>
      <c r="B16" s="20">
        <f>IFERROR(__xludf.DUMMYFUNCTION("""COMPUTED_VALUE"""),14.0)</f>
        <v>14</v>
      </c>
      <c r="C16" s="21" t="str">
        <f>IFERROR(__xludf.DUMMYFUNCTION("""COMPUTED_VALUE"""),"Igor Paixão")</f>
        <v>Igor Paixão</v>
      </c>
      <c r="D16" s="21" t="str">
        <f>IFERROR(__xludf.DUMMYFUNCTION("""COMPUTED_VALUE"""),"napastnik")</f>
        <v>napastnik</v>
      </c>
      <c r="E16" s="21" t="str">
        <f>IFERROR(__xludf.DUMMYFUNCTION("""COMPUTED_VALUE"""),"Brazylia")</f>
        <v>Brazylia</v>
      </c>
      <c r="F16" s="22">
        <f>IFERROR(__xludf.DUMMYFUNCTION("""COMPUTED_VALUE"""),36705.0)</f>
        <v>36705</v>
      </c>
      <c r="G16" s="23">
        <f>IFERROR(__xludf.DUMMYFUNCTION("""COMPUTED_VALUE"""),25.0)</f>
        <v>25</v>
      </c>
      <c r="H16" s="24">
        <f>IFERROR(__xludf.DUMMYFUNCTION("""COMPUTED_VALUE"""),4.0)</f>
        <v>4</v>
      </c>
      <c r="I16" s="12"/>
    </row>
    <row r="17">
      <c r="A17" s="19">
        <v>16.0</v>
      </c>
      <c r="B17" s="20">
        <f>IFERROR(__xludf.DUMMYFUNCTION("""COMPUTED_VALUE"""),8.0)</f>
        <v>8</v>
      </c>
      <c r="C17" s="21" t="str">
        <f>IFERROR(__xludf.DUMMYFUNCTION("""COMPUTED_VALUE"""),"Scott McTominay")</f>
        <v>Scott McTominay</v>
      </c>
      <c r="D17" s="21" t="str">
        <f>IFERROR(__xludf.DUMMYFUNCTION("""COMPUTED_VALUE"""),"pomocnik")</f>
        <v>pomocnik</v>
      </c>
      <c r="E17" s="21" t="str">
        <f>IFERROR(__xludf.DUMMYFUNCTION("""COMPUTED_VALUE"""),"Szkocja /Anglia")</f>
        <v>Szkocja /Anglia</v>
      </c>
      <c r="F17" s="22">
        <f>IFERROR(__xludf.DUMMYFUNCTION("""COMPUTED_VALUE"""),35407.0)</f>
        <v>35407</v>
      </c>
      <c r="G17" s="23">
        <f>IFERROR(__xludf.DUMMYFUNCTION("""COMPUTED_VALUE"""),29.0)</f>
        <v>29</v>
      </c>
      <c r="H17" s="24">
        <f>IFERROR(__xludf.DUMMYFUNCTION("""COMPUTED_VALUE"""),4.0)</f>
        <v>4</v>
      </c>
      <c r="I17" s="12"/>
    </row>
    <row r="18">
      <c r="A18" s="19">
        <v>17.0</v>
      </c>
      <c r="B18" s="20">
        <f>IFERROR(__xludf.DUMMYFUNCTION("""COMPUTED_VALUE"""),17.0)</f>
        <v>17</v>
      </c>
      <c r="C18" s="21" t="str">
        <f>IFERROR(__xludf.DUMMYFUNCTION("""COMPUTED_VALUE"""),"Vitinha")</f>
        <v>Vitinha</v>
      </c>
      <c r="D18" s="21" t="str">
        <f>IFERROR(__xludf.DUMMYFUNCTION("""COMPUTED_VALUE"""),"pomocnik")</f>
        <v>pomocnik</v>
      </c>
      <c r="E18" s="21" t="str">
        <f>IFERROR(__xludf.DUMMYFUNCTION("""COMPUTED_VALUE"""),"Portugalia")</f>
        <v>Portugalia</v>
      </c>
      <c r="F18" s="22">
        <f>IFERROR(__xludf.DUMMYFUNCTION("""COMPUTED_VALUE"""),36569.0)</f>
        <v>36569</v>
      </c>
      <c r="G18" s="23">
        <f>IFERROR(__xludf.DUMMYFUNCTION("""COMPUTED_VALUE"""),25.0)</f>
        <v>25</v>
      </c>
      <c r="H18" s="24">
        <f>IFERROR(__xludf.DUMMYFUNCTION("""COMPUTED_VALUE"""),4.0)</f>
        <v>4</v>
      </c>
      <c r="I18" s="12"/>
    </row>
    <row r="19">
      <c r="A19" s="19">
        <v>18.0</v>
      </c>
      <c r="B19" s="20">
        <f>IFERROR(__xludf.DUMMYFUNCTION("""COMPUTED_VALUE"""),97.0)</f>
        <v>97</v>
      </c>
      <c r="C19" s="21" t="str">
        <f>IFERROR(__xludf.DUMMYFUNCTION("""COMPUTED_VALUE"""),"Luis Suárez")</f>
        <v>Luis Suárez</v>
      </c>
      <c r="D19" s="21" t="str">
        <f>IFERROR(__xludf.DUMMYFUNCTION("""COMPUTED_VALUE"""),"napastnik")</f>
        <v>napastnik</v>
      </c>
      <c r="E19" s="21" t="str">
        <f>IFERROR(__xludf.DUMMYFUNCTION("""COMPUTED_VALUE"""),"Kolumbia /Hiszpania")</f>
        <v>Kolumbia /Hiszpania</v>
      </c>
      <c r="F19" s="22">
        <f>IFERROR(__xludf.DUMMYFUNCTION("""COMPUTED_VALUE"""),35766.0)</f>
        <v>35766</v>
      </c>
      <c r="G19" s="23">
        <f>IFERROR(__xludf.DUMMYFUNCTION("""COMPUTED_VALUE"""),28.0)</f>
        <v>28</v>
      </c>
      <c r="H19" s="24">
        <f>IFERROR(__xludf.DUMMYFUNCTION("""COMPUTED_VALUE"""),4.0)</f>
        <v>4</v>
      </c>
      <c r="I19" s="12"/>
    </row>
    <row r="20">
      <c r="A20" s="19">
        <v>19.0</v>
      </c>
      <c r="B20" s="20">
        <f>IFERROR(__xludf.DUMMYFUNCTION("""COMPUTED_VALUE"""),17.0)</f>
        <v>17</v>
      </c>
      <c r="C20" s="21" t="str">
        <f>IFERROR(__xludf.DUMMYFUNCTION("""COMPUTED_VALUE"""),"Camilo Durán")</f>
        <v>Camilo Durán</v>
      </c>
      <c r="D20" s="21" t="str">
        <f>IFERROR(__xludf.DUMMYFUNCTION("""COMPUTED_VALUE"""),"napastnik")</f>
        <v>napastnik</v>
      </c>
      <c r="E20" s="21" t="str">
        <f>IFERROR(__xludf.DUMMYFUNCTION("""COMPUTED_VALUE"""),"Kolumbia")</f>
        <v>Kolumbia</v>
      </c>
      <c r="F20" s="22">
        <f>IFERROR(__xludf.DUMMYFUNCTION("""COMPUTED_VALUE"""),37297.0)</f>
        <v>37297</v>
      </c>
      <c r="G20" s="23">
        <f>IFERROR(__xludf.DUMMYFUNCTION("""COMPUTED_VALUE"""),23.0)</f>
        <v>23</v>
      </c>
      <c r="H20" s="24">
        <f>IFERROR(__xludf.DUMMYFUNCTION("""COMPUTED_VALUE"""),4.0)</f>
        <v>4</v>
      </c>
      <c r="I20" s="12"/>
    </row>
    <row r="21">
      <c r="A21" s="19">
        <v>20.0</v>
      </c>
      <c r="B21" s="20">
        <f>IFERROR(__xludf.DUMMYFUNCTION("""COMPUTED_VALUE"""),10.0)</f>
        <v>10</v>
      </c>
      <c r="C21" s="21" t="str">
        <f>IFERROR(__xludf.DUMMYFUNCTION("""COMPUTED_VALUE"""),"Oscar Gloukh")</f>
        <v>Oscar Gloukh</v>
      </c>
      <c r="D21" s="21" t="str">
        <f>IFERROR(__xludf.DUMMYFUNCTION("""COMPUTED_VALUE"""),"pomocnik")</f>
        <v>pomocnik</v>
      </c>
      <c r="E21" s="21" t="str">
        <f>IFERROR(__xludf.DUMMYFUNCTION("""COMPUTED_VALUE"""),"Izrael")</f>
        <v>Izrael</v>
      </c>
      <c r="F21" s="22">
        <f>IFERROR(__xludf.DUMMYFUNCTION("""COMPUTED_VALUE"""),38078.0)</f>
        <v>38078</v>
      </c>
      <c r="G21" s="23">
        <f>IFERROR(__xludf.DUMMYFUNCTION("""COMPUTED_VALUE"""),21.0)</f>
        <v>21</v>
      </c>
      <c r="H21" s="24">
        <f>IFERROR(__xludf.DUMMYFUNCTION("""COMPUTED_VALUE"""),3.0)</f>
        <v>3</v>
      </c>
      <c r="I21" s="12"/>
    </row>
    <row r="22">
      <c r="A22" s="19">
        <v>21.0</v>
      </c>
      <c r="B22" s="20">
        <f>IFERROR(__xludf.DUMMYFUNCTION("""COMPUTED_VALUE"""),14.0)</f>
        <v>14</v>
      </c>
      <c r="C22" s="21" t="str">
        <f>IFERROR(__xludf.DUMMYFUNCTION("""COMPUTED_VALUE"""),"Viktor Gyökeres")</f>
        <v>Viktor Gyökeres</v>
      </c>
      <c r="D22" s="21" t="str">
        <f>IFERROR(__xludf.DUMMYFUNCTION("""COMPUTED_VALUE"""),"napastnik")</f>
        <v>napastnik</v>
      </c>
      <c r="E22" s="21" t="str">
        <f>IFERROR(__xludf.DUMMYFUNCTION("""COMPUTED_VALUE"""),"Szwecja /Węgry")</f>
        <v>Szwecja /Węgry</v>
      </c>
      <c r="F22" s="22">
        <f>IFERROR(__xludf.DUMMYFUNCTION("""COMPUTED_VALUE"""),35950.0)</f>
        <v>35950</v>
      </c>
      <c r="G22" s="23">
        <f>IFERROR(__xludf.DUMMYFUNCTION("""COMPUTED_VALUE"""),27.0)</f>
        <v>27</v>
      </c>
      <c r="H22" s="24">
        <f>IFERROR(__xludf.DUMMYFUNCTION("""COMPUTED_VALUE"""),3.0)</f>
        <v>3</v>
      </c>
      <c r="I22" s="12"/>
    </row>
    <row r="23">
      <c r="A23" s="19">
        <v>22.0</v>
      </c>
      <c r="B23" s="20">
        <f>IFERROR(__xludf.DUMMYFUNCTION("""COMPUTED_VALUE"""),20.0)</f>
        <v>20</v>
      </c>
      <c r="C23" s="21" t="str">
        <f>IFERROR(__xludf.DUMMYFUNCTION("""COMPUTED_VALUE"""),"Noni Madueke")</f>
        <v>Noni Madueke</v>
      </c>
      <c r="D23" s="21" t="str">
        <f>IFERROR(__xludf.DUMMYFUNCTION("""COMPUTED_VALUE"""),"napastnik")</f>
        <v>napastnik</v>
      </c>
      <c r="E23" s="21" t="str">
        <f>IFERROR(__xludf.DUMMYFUNCTION("""COMPUTED_VALUE"""),"Anglia /Nigeria")</f>
        <v>Anglia /Nigeria</v>
      </c>
      <c r="F23" s="22">
        <f>IFERROR(__xludf.DUMMYFUNCTION("""COMPUTED_VALUE"""),37325.0)</f>
        <v>37325</v>
      </c>
      <c r="G23" s="23">
        <f>IFERROR(__xludf.DUMMYFUNCTION("""COMPUTED_VALUE"""),23.0)</f>
        <v>23</v>
      </c>
      <c r="H23" s="24">
        <f>IFERROR(__xludf.DUMMYFUNCTION("""COMPUTED_VALUE"""),3.0)</f>
        <v>3</v>
      </c>
      <c r="I23" s="12"/>
    </row>
    <row r="24">
      <c r="A24" s="19">
        <v>23.0</v>
      </c>
      <c r="B24" s="20">
        <f>IFERROR(__xludf.DUMMYFUNCTION("""COMPUTED_VALUE"""),14.0)</f>
        <v>14</v>
      </c>
      <c r="C24" s="21" t="str">
        <f>IFERROR(__xludf.DUMMYFUNCTION("""COMPUTED_VALUE"""),"Marcos Llorente")</f>
        <v>Marcos Llorente</v>
      </c>
      <c r="D24" s="21" t="str">
        <f>IFERROR(__xludf.DUMMYFUNCTION("""COMPUTED_VALUE"""),"obrońca")</f>
        <v>obrońca</v>
      </c>
      <c r="E24" s="21" t="str">
        <f>IFERROR(__xludf.DUMMYFUNCTION("""COMPUTED_VALUE"""),"Hiszpania")</f>
        <v>Hiszpania</v>
      </c>
      <c r="F24" s="22">
        <f>IFERROR(__xludf.DUMMYFUNCTION("""COMPUTED_VALUE"""),34729.0)</f>
        <v>34729</v>
      </c>
      <c r="G24" s="23">
        <f>IFERROR(__xludf.DUMMYFUNCTION("""COMPUTED_VALUE"""),30.0)</f>
        <v>30</v>
      </c>
      <c r="H24" s="24">
        <f>IFERROR(__xludf.DUMMYFUNCTION("""COMPUTED_VALUE"""),3.0)</f>
        <v>3</v>
      </c>
      <c r="I24" s="12"/>
    </row>
    <row r="25">
      <c r="A25" s="19">
        <v>24.0</v>
      </c>
      <c r="B25" s="20">
        <f>IFERROR(__xludf.DUMMYFUNCTION("""COMPUTED_VALUE"""),8.0)</f>
        <v>8</v>
      </c>
      <c r="C25" s="21" t="str">
        <f>IFERROR(__xludf.DUMMYFUNCTION("""COMPUTED_VALUE"""),"Felix Nmecha")</f>
        <v>Felix Nmecha</v>
      </c>
      <c r="D25" s="21" t="str">
        <f>IFERROR(__xludf.DUMMYFUNCTION("""COMPUTED_VALUE"""),"pomocnik")</f>
        <v>pomocnik</v>
      </c>
      <c r="E25" s="21" t="str">
        <f>IFERROR(__xludf.DUMMYFUNCTION("""COMPUTED_VALUE"""),"Niemcy /Anglia")</f>
        <v>Niemcy /Anglia</v>
      </c>
      <c r="F25" s="22">
        <f>IFERROR(__xludf.DUMMYFUNCTION("""COMPUTED_VALUE"""),36809.0)</f>
        <v>36809</v>
      </c>
      <c r="G25" s="23">
        <f>IFERROR(__xludf.DUMMYFUNCTION("""COMPUTED_VALUE"""),25.0)</f>
        <v>25</v>
      </c>
      <c r="H25" s="24">
        <f>IFERROR(__xludf.DUMMYFUNCTION("""COMPUTED_VALUE"""),3.0)</f>
        <v>3</v>
      </c>
      <c r="I25" s="12"/>
    </row>
    <row r="26">
      <c r="A26" s="19">
        <v>25.0</v>
      </c>
      <c r="B26" s="20">
        <f>IFERROR(__xludf.DUMMYFUNCTION("""COMPUTED_VALUE"""),9.0)</f>
        <v>9</v>
      </c>
      <c r="C26" s="21" t="str">
        <f>IFERROR(__xludf.DUMMYFUNCTION("""COMPUTED_VALUE"""),"Serhou Guirassy")</f>
        <v>Serhou Guirassy</v>
      </c>
      <c r="D26" s="21" t="str">
        <f>IFERROR(__xludf.DUMMYFUNCTION("""COMPUTED_VALUE"""),"napastnik")</f>
        <v>napastnik</v>
      </c>
      <c r="E26" s="21" t="str">
        <f>IFERROR(__xludf.DUMMYFUNCTION("""COMPUTED_VALUE"""),"Gwinea /Mali")</f>
        <v>Gwinea /Mali</v>
      </c>
      <c r="F26" s="22">
        <f>IFERROR(__xludf.DUMMYFUNCTION("""COMPUTED_VALUE"""),35136.0)</f>
        <v>35136</v>
      </c>
      <c r="G26" s="23">
        <f>IFERROR(__xludf.DUMMYFUNCTION("""COMPUTED_VALUE"""),29.0)</f>
        <v>29</v>
      </c>
      <c r="H26" s="24">
        <f>IFERROR(__xludf.DUMMYFUNCTION("""COMPUTED_VALUE"""),3.0)</f>
        <v>3</v>
      </c>
      <c r="I26" s="12"/>
    </row>
    <row r="27">
      <c r="A27" s="19">
        <v>26.0</v>
      </c>
      <c r="B27" s="20">
        <f>IFERROR(__xludf.DUMMYFUNCTION("""COMPUTED_VALUE"""),10.0)</f>
        <v>10</v>
      </c>
      <c r="C27" s="21" t="str">
        <f>IFERROR(__xludf.DUMMYFUNCTION("""COMPUTED_VALUE"""),"Julian Brandt")</f>
        <v>Julian Brandt</v>
      </c>
      <c r="D27" s="21" t="str">
        <f>IFERROR(__xludf.DUMMYFUNCTION("""COMPUTED_VALUE"""),"pomocnik")</f>
        <v>pomocnik</v>
      </c>
      <c r="E27" s="21" t="str">
        <f>IFERROR(__xludf.DUMMYFUNCTION("""COMPUTED_VALUE"""),"Niemcy")</f>
        <v>Niemcy</v>
      </c>
      <c r="F27" s="22">
        <f>IFERROR(__xludf.DUMMYFUNCTION("""COMPUTED_VALUE"""),35187.0)</f>
        <v>35187</v>
      </c>
      <c r="G27" s="23">
        <f>IFERROR(__xludf.DUMMYFUNCTION("""COMPUTED_VALUE"""),29.0)</f>
        <v>29</v>
      </c>
      <c r="H27" s="24">
        <f>IFERROR(__xludf.DUMMYFUNCTION("""COMPUTED_VALUE"""),3.0)</f>
        <v>3</v>
      </c>
      <c r="I27" s="12"/>
    </row>
    <row r="28">
      <c r="A28" s="19">
        <v>27.0</v>
      </c>
      <c r="B28" s="20">
        <f>IFERROR(__xludf.DUMMYFUNCTION("""COMPUTED_VALUE"""),14.0)</f>
        <v>14</v>
      </c>
      <c r="C28" s="21" t="str">
        <f>IFERROR(__xludf.DUMMYFUNCTION("""COMPUTED_VALUE"""),"Luis Díaz")</f>
        <v>Luis Díaz</v>
      </c>
      <c r="D28" s="21" t="str">
        <f>IFERROR(__xludf.DUMMYFUNCTION("""COMPUTED_VALUE"""),"napastnik")</f>
        <v>napastnik</v>
      </c>
      <c r="E28" s="21" t="str">
        <f>IFERROR(__xludf.DUMMYFUNCTION("""COMPUTED_VALUE"""),"Kolumbia")</f>
        <v>Kolumbia</v>
      </c>
      <c r="F28" s="22">
        <f>IFERROR(__xludf.DUMMYFUNCTION("""COMPUTED_VALUE"""),35443.0)</f>
        <v>35443</v>
      </c>
      <c r="G28" s="23">
        <f>IFERROR(__xludf.DUMMYFUNCTION("""COMPUTED_VALUE"""),29.0)</f>
        <v>29</v>
      </c>
      <c r="H28" s="24">
        <f>IFERROR(__xludf.DUMMYFUNCTION("""COMPUTED_VALUE"""),3.0)</f>
        <v>3</v>
      </c>
      <c r="I28" s="12"/>
    </row>
    <row r="29">
      <c r="A29" s="19">
        <v>28.0</v>
      </c>
      <c r="B29" s="20">
        <f>IFERROR(__xludf.DUMMYFUNCTION("""COMPUTED_VALUE"""),42.0)</f>
        <v>42</v>
      </c>
      <c r="C29" s="21" t="str">
        <f>IFERROR(__xludf.DUMMYFUNCTION("""COMPUTED_VALUE"""),"Lennart Karl")</f>
        <v>Lennart Karl</v>
      </c>
      <c r="D29" s="21" t="str">
        <f>IFERROR(__xludf.DUMMYFUNCTION("""COMPUTED_VALUE"""),"pomocnik")</f>
        <v>pomocnik</v>
      </c>
      <c r="E29" s="21" t="str">
        <f>IFERROR(__xludf.DUMMYFUNCTION("""COMPUTED_VALUE"""),"Niemcy")</f>
        <v>Niemcy</v>
      </c>
      <c r="F29" s="22">
        <f>IFERROR(__xludf.DUMMYFUNCTION("""COMPUTED_VALUE"""),39500.0)</f>
        <v>39500</v>
      </c>
      <c r="G29" s="23">
        <f>IFERROR(__xludf.DUMMYFUNCTION("""COMPUTED_VALUE"""),17.0)</f>
        <v>17</v>
      </c>
      <c r="H29" s="24">
        <f>IFERROR(__xludf.DUMMYFUNCTION("""COMPUTED_VALUE"""),3.0)</f>
        <v>3</v>
      </c>
      <c r="I29" s="12"/>
    </row>
    <row r="30">
      <c r="A30" s="19">
        <v>29.0</v>
      </c>
      <c r="B30" s="20">
        <f>IFERROR(__xludf.DUMMYFUNCTION("""COMPUTED_VALUE"""),41.0)</f>
        <v>41</v>
      </c>
      <c r="C30" s="21" t="str">
        <f>IFERROR(__xludf.DUMMYFUNCTION("""COMPUTED_VALUE"""),"Estêvão")</f>
        <v>Estêvão</v>
      </c>
      <c r="D30" s="21" t="str">
        <f>IFERROR(__xludf.DUMMYFUNCTION("""COMPUTED_VALUE"""),"napastnik")</f>
        <v>napastnik</v>
      </c>
      <c r="E30" s="21" t="str">
        <f>IFERROR(__xludf.DUMMYFUNCTION("""COMPUTED_VALUE"""),"Brazylia")</f>
        <v>Brazylia</v>
      </c>
      <c r="F30" s="22">
        <f>IFERROR(__xludf.DUMMYFUNCTION("""COMPUTED_VALUE"""),39196.0)</f>
        <v>39196</v>
      </c>
      <c r="G30" s="23">
        <f>IFERROR(__xludf.DUMMYFUNCTION("""COMPUTED_VALUE"""),18.0)</f>
        <v>18</v>
      </c>
      <c r="H30" s="24">
        <f>IFERROR(__xludf.DUMMYFUNCTION("""COMPUTED_VALUE"""),3.0)</f>
        <v>3</v>
      </c>
      <c r="I30" s="12"/>
    </row>
    <row r="31">
      <c r="A31" s="19">
        <v>30.0</v>
      </c>
      <c r="B31" s="20">
        <f>IFERROR(__xludf.DUMMYFUNCTION("""COMPUTED_VALUE"""),11.0)</f>
        <v>11</v>
      </c>
      <c r="C31" s="21" t="str">
        <f>IFERROR(__xludf.DUMMYFUNCTION("""COMPUTED_VALUE"""),"Jordan Larsson")</f>
        <v>Jordan Larsson</v>
      </c>
      <c r="D31" s="21" t="str">
        <f>IFERROR(__xludf.DUMMYFUNCTION("""COMPUTED_VALUE"""),"napastnik")</f>
        <v>napastnik</v>
      </c>
      <c r="E31" s="21" t="str">
        <f>IFERROR(__xludf.DUMMYFUNCTION("""COMPUTED_VALUE"""),"Szwecja /Curaçao")</f>
        <v>Szwecja /Curaçao</v>
      </c>
      <c r="F31" s="22">
        <f>IFERROR(__xludf.DUMMYFUNCTION("""COMPUTED_VALUE"""),35601.0)</f>
        <v>35601</v>
      </c>
      <c r="G31" s="23">
        <f>IFERROR(__xludf.DUMMYFUNCTION("""COMPUTED_VALUE"""),28.0)</f>
        <v>28</v>
      </c>
      <c r="H31" s="24">
        <f>IFERROR(__xludf.DUMMYFUNCTION("""COMPUTED_VALUE"""),3.0)</f>
        <v>3</v>
      </c>
      <c r="I31" s="12"/>
    </row>
    <row r="32">
      <c r="A32" s="19">
        <v>31.0</v>
      </c>
      <c r="B32" s="20">
        <f>IFERROR(__xludf.DUMMYFUNCTION("""COMPUTED_VALUE"""),9.0)</f>
        <v>9</v>
      </c>
      <c r="C32" s="21" t="str">
        <f>IFERROR(__xludf.DUMMYFUNCTION("""COMPUTED_VALUE"""),"Jonathan Burkardt")</f>
        <v>Jonathan Burkardt</v>
      </c>
      <c r="D32" s="21" t="str">
        <f>IFERROR(__xludf.DUMMYFUNCTION("""COMPUTED_VALUE"""),"napastnik")</f>
        <v>napastnik</v>
      </c>
      <c r="E32" s="21" t="str">
        <f>IFERROR(__xludf.DUMMYFUNCTION("""COMPUTED_VALUE"""),"Niemcy")</f>
        <v>Niemcy</v>
      </c>
      <c r="F32" s="22">
        <f>IFERROR(__xludf.DUMMYFUNCTION("""COMPUTED_VALUE"""),36718.0)</f>
        <v>36718</v>
      </c>
      <c r="G32" s="23">
        <f>IFERROR(__xludf.DUMMYFUNCTION("""COMPUTED_VALUE"""),25.0)</f>
        <v>25</v>
      </c>
      <c r="H32" s="24">
        <f>IFERROR(__xludf.DUMMYFUNCTION("""COMPUTED_VALUE"""),3.0)</f>
        <v>3</v>
      </c>
      <c r="I32" s="12"/>
    </row>
    <row r="33">
      <c r="A33" s="19">
        <v>32.0</v>
      </c>
      <c r="B33" s="20">
        <f>IFERROR(__xludf.DUMMYFUNCTION("""COMPUTED_VALUE"""),9.0)</f>
        <v>9</v>
      </c>
      <c r="C33" s="21" t="str">
        <f>IFERROR(__xludf.DUMMYFUNCTION("""COMPUTED_VALUE"""),"Dušan Vlahović")</f>
        <v>Dušan Vlahović</v>
      </c>
      <c r="D33" s="21" t="str">
        <f>IFERROR(__xludf.DUMMYFUNCTION("""COMPUTED_VALUE"""),"napastnik")</f>
        <v>napastnik</v>
      </c>
      <c r="E33" s="21" t="str">
        <f>IFERROR(__xludf.DUMMYFUNCTION("""COMPUTED_VALUE"""),"Serbia")</f>
        <v>Serbia</v>
      </c>
      <c r="F33" s="22">
        <f>IFERROR(__xludf.DUMMYFUNCTION("""COMPUTED_VALUE"""),36553.0)</f>
        <v>36553</v>
      </c>
      <c r="G33" s="23">
        <f>IFERROR(__xludf.DUMMYFUNCTION("""COMPUTED_VALUE"""),26.0)</f>
        <v>26</v>
      </c>
      <c r="H33" s="24">
        <f>IFERROR(__xludf.DUMMYFUNCTION("""COMPUTED_VALUE"""),3.0)</f>
        <v>3</v>
      </c>
      <c r="I33" s="12"/>
    </row>
    <row r="34">
      <c r="A34" s="19">
        <v>33.0</v>
      </c>
      <c r="B34" s="20">
        <f>IFERROR(__xludf.DUMMYFUNCTION("""COMPUTED_VALUE"""),22.0)</f>
        <v>22</v>
      </c>
      <c r="C34" s="21" t="str">
        <f>IFERROR(__xludf.DUMMYFUNCTION("""COMPUTED_VALUE"""),"Weston McKennie")</f>
        <v>Weston McKennie</v>
      </c>
      <c r="D34" s="21" t="str">
        <f>IFERROR(__xludf.DUMMYFUNCTION("""COMPUTED_VALUE"""),"pomocnik")</f>
        <v>pomocnik</v>
      </c>
      <c r="E34" s="21" t="str">
        <f>IFERROR(__xludf.DUMMYFUNCTION("""COMPUTED_VALUE"""),"USA")</f>
        <v>USA</v>
      </c>
      <c r="F34" s="22">
        <f>IFERROR(__xludf.DUMMYFUNCTION("""COMPUTED_VALUE"""),36035.0)</f>
        <v>36035</v>
      </c>
      <c r="G34" s="23">
        <f>IFERROR(__xludf.DUMMYFUNCTION("""COMPUTED_VALUE"""),27.0)</f>
        <v>27</v>
      </c>
      <c r="H34" s="24">
        <f>IFERROR(__xludf.DUMMYFUNCTION("""COMPUTED_VALUE"""),3.0)</f>
        <v>3</v>
      </c>
      <c r="I34" s="12"/>
    </row>
    <row r="35">
      <c r="A35" s="19">
        <v>34.0</v>
      </c>
      <c r="B35" s="20">
        <f>IFERROR(__xludf.DUMMYFUNCTION("""COMPUTED_VALUE"""),20.0)</f>
        <v>20</v>
      </c>
      <c r="C35" s="21" t="str">
        <f>IFERROR(__xludf.DUMMYFUNCTION("""COMPUTED_VALUE"""),"Alejandro Grimaldo")</f>
        <v>Alejandro Grimaldo</v>
      </c>
      <c r="D35" s="21" t="str">
        <f>IFERROR(__xludf.DUMMYFUNCTION("""COMPUTED_VALUE"""),"obrońca")</f>
        <v>obrońca</v>
      </c>
      <c r="E35" s="21" t="str">
        <f>IFERROR(__xludf.DUMMYFUNCTION("""COMPUTED_VALUE"""),"Hiszpania")</f>
        <v>Hiszpania</v>
      </c>
      <c r="F35" s="22">
        <f>IFERROR(__xludf.DUMMYFUNCTION("""COMPUTED_VALUE"""),34962.0)</f>
        <v>34962</v>
      </c>
      <c r="G35" s="23">
        <f>IFERROR(__xludf.DUMMYFUNCTION("""COMPUTED_VALUE"""),30.0)</f>
        <v>30</v>
      </c>
      <c r="H35" s="24">
        <f>IFERROR(__xludf.DUMMYFUNCTION("""COMPUTED_VALUE"""),3.0)</f>
        <v>3</v>
      </c>
      <c r="I35" s="12"/>
    </row>
    <row r="36">
      <c r="A36" s="19">
        <v>35.0</v>
      </c>
      <c r="B36" s="20">
        <f>IFERROR(__xludf.DUMMYFUNCTION("""COMPUTED_VALUE"""),10.0)</f>
        <v>10</v>
      </c>
      <c r="C36" s="21" t="str">
        <f>IFERROR(__xludf.DUMMYFUNCTION("""COMPUTED_VALUE"""),"Mason Greenwood")</f>
        <v>Mason Greenwood</v>
      </c>
      <c r="D36" s="21" t="str">
        <f>IFERROR(__xludf.DUMMYFUNCTION("""COMPUTED_VALUE"""),"napastnik")</f>
        <v>napastnik</v>
      </c>
      <c r="E36" s="21" t="str">
        <f>IFERROR(__xludf.DUMMYFUNCTION("""COMPUTED_VALUE"""),"Anglia")</f>
        <v>Anglia</v>
      </c>
      <c r="F36" s="22">
        <f>IFERROR(__xludf.DUMMYFUNCTION("""COMPUTED_VALUE"""),37165.0)</f>
        <v>37165</v>
      </c>
      <c r="G36" s="23">
        <f>IFERROR(__xludf.DUMMYFUNCTION("""COMPUTED_VALUE"""),24.0)</f>
        <v>24</v>
      </c>
      <c r="H36" s="24">
        <f>IFERROR(__xludf.DUMMYFUNCTION("""COMPUTED_VALUE"""),3.0)</f>
        <v>3</v>
      </c>
      <c r="I36" s="12"/>
    </row>
    <row r="37">
      <c r="A37" s="19">
        <v>36.0</v>
      </c>
      <c r="B37" s="20">
        <f>IFERROR(__xludf.DUMMYFUNCTION("""COMPUTED_VALUE"""),97.0)</f>
        <v>97</v>
      </c>
      <c r="C37" s="21" t="str">
        <f>IFERROR(__xludf.DUMMYFUNCTION("""COMPUTED_VALUE"""),"Pierre-Emerick Aubameyang")</f>
        <v>Pierre-Emerick Aubameyang</v>
      </c>
      <c r="D37" s="21" t="str">
        <f>IFERROR(__xludf.DUMMYFUNCTION("""COMPUTED_VALUE"""),"napastnik")</f>
        <v>napastnik</v>
      </c>
      <c r="E37" s="21" t="str">
        <f>IFERROR(__xludf.DUMMYFUNCTION("""COMPUTED_VALUE"""),"Gabon /Francja")</f>
        <v>Gabon /Francja</v>
      </c>
      <c r="F37" s="22">
        <f>IFERROR(__xludf.DUMMYFUNCTION("""COMPUTED_VALUE"""),32677.0)</f>
        <v>32677</v>
      </c>
      <c r="G37" s="23">
        <f>IFERROR(__xludf.DUMMYFUNCTION("""COMPUTED_VALUE"""),36.0)</f>
        <v>36</v>
      </c>
      <c r="H37" s="24">
        <f>IFERROR(__xludf.DUMMYFUNCTION("""COMPUTED_VALUE"""),3.0)</f>
        <v>3</v>
      </c>
      <c r="I37" s="12"/>
    </row>
    <row r="38">
      <c r="A38" s="19">
        <v>37.0</v>
      </c>
      <c r="B38" s="20">
        <f>IFERROR(__xludf.DUMMYFUNCTION("""COMPUTED_VALUE"""),9.0)</f>
        <v>9</v>
      </c>
      <c r="C38" s="21" t="str">
        <f>IFERROR(__xludf.DUMMYFUNCTION("""COMPUTED_VALUE"""),"Folarin Balogun")</f>
        <v>Folarin Balogun</v>
      </c>
      <c r="D38" s="21" t="str">
        <f>IFERROR(__xludf.DUMMYFUNCTION("""COMPUTED_VALUE"""),"napastnik")</f>
        <v>napastnik</v>
      </c>
      <c r="E38" s="21" t="str">
        <f>IFERROR(__xludf.DUMMYFUNCTION("""COMPUTED_VALUE"""),"USA /Anglia")</f>
        <v>USA /Anglia</v>
      </c>
      <c r="F38" s="22">
        <f>IFERROR(__xludf.DUMMYFUNCTION("""COMPUTED_VALUE"""),37075.0)</f>
        <v>37075</v>
      </c>
      <c r="G38" s="23">
        <f>IFERROR(__xludf.DUMMYFUNCTION("""COMPUTED_VALUE"""),24.0)</f>
        <v>24</v>
      </c>
      <c r="H38" s="24">
        <f>IFERROR(__xludf.DUMMYFUNCTION("""COMPUTED_VALUE"""),3.0)</f>
        <v>3</v>
      </c>
      <c r="I38" s="12"/>
    </row>
    <row r="39">
      <c r="A39" s="19">
        <v>38.0</v>
      </c>
      <c r="B39" s="20">
        <f>IFERROR(__xludf.DUMMYFUNCTION("""COMPUTED_VALUE"""),7.0)</f>
        <v>7</v>
      </c>
      <c r="C39" s="21" t="str">
        <f>IFERROR(__xludf.DUMMYFUNCTION("""COMPUTED_VALUE"""),"Chwicza Kwaracchelia")</f>
        <v>Chwicza Kwaracchelia</v>
      </c>
      <c r="D39" s="21" t="str">
        <f>IFERROR(__xludf.DUMMYFUNCTION("""COMPUTED_VALUE"""),"napastnik")</f>
        <v>napastnik</v>
      </c>
      <c r="E39" s="21" t="str">
        <f>IFERROR(__xludf.DUMMYFUNCTION("""COMPUTED_VALUE"""),"Gruzja")</f>
        <v>Gruzja</v>
      </c>
      <c r="F39" s="22">
        <f>IFERROR(__xludf.DUMMYFUNCTION("""COMPUTED_VALUE"""),36934.0)</f>
        <v>36934</v>
      </c>
      <c r="G39" s="23">
        <f>IFERROR(__xludf.DUMMYFUNCTION("""COMPUTED_VALUE"""),24.0)</f>
        <v>24</v>
      </c>
      <c r="H39" s="24">
        <f>IFERROR(__xludf.DUMMYFUNCTION("""COMPUTED_VALUE"""),3.0)</f>
        <v>3</v>
      </c>
      <c r="I39" s="12"/>
    </row>
    <row r="40">
      <c r="A40" s="19">
        <v>39.0</v>
      </c>
      <c r="B40" s="20">
        <f>IFERROR(__xludf.DUMMYFUNCTION("""COMPUTED_VALUE"""),9.0)</f>
        <v>9</v>
      </c>
      <c r="C40" s="21" t="str">
        <f>IFERROR(__xludf.DUMMYFUNCTION("""COMPUTED_VALUE"""),"Ricardo Pepi")</f>
        <v>Ricardo Pepi</v>
      </c>
      <c r="D40" s="21" t="str">
        <f>IFERROR(__xludf.DUMMYFUNCTION("""COMPUTED_VALUE"""),"napastnik")</f>
        <v>napastnik</v>
      </c>
      <c r="E40" s="21" t="str">
        <f>IFERROR(__xludf.DUMMYFUNCTION("""COMPUTED_VALUE"""),"USA /Meksyk")</f>
        <v>USA /Meksyk</v>
      </c>
      <c r="F40" s="22">
        <f>IFERROR(__xludf.DUMMYFUNCTION("""COMPUTED_VALUE"""),37630.0)</f>
        <v>37630</v>
      </c>
      <c r="G40" s="23">
        <f>IFERROR(__xludf.DUMMYFUNCTION("""COMPUTED_VALUE"""),23.0)</f>
        <v>23</v>
      </c>
      <c r="H40" s="24">
        <f>IFERROR(__xludf.DUMMYFUNCTION("""COMPUTED_VALUE"""),3.0)</f>
        <v>3</v>
      </c>
      <c r="I40" s="12"/>
    </row>
    <row r="41">
      <c r="A41" s="19">
        <v>40.0</v>
      </c>
      <c r="B41" s="20">
        <f>IFERROR(__xludf.DUMMYFUNCTION("""COMPUTED_VALUE"""),11.0)</f>
        <v>11</v>
      </c>
      <c r="C41" s="21" t="str">
        <f>IFERROR(__xludf.DUMMYFUNCTION("""COMPUTED_VALUE"""),"Couhaib Driouech")</f>
        <v>Couhaib Driouech</v>
      </c>
      <c r="D41" s="21" t="str">
        <f>IFERROR(__xludf.DUMMYFUNCTION("""COMPUTED_VALUE"""),"napastnik")</f>
        <v>napastnik</v>
      </c>
      <c r="E41" s="21" t="str">
        <f>IFERROR(__xludf.DUMMYFUNCTION("""COMPUTED_VALUE"""),"Maroko /Holandia")</f>
        <v>Maroko /Holandia</v>
      </c>
      <c r="F41" s="22">
        <f>IFERROR(__xludf.DUMMYFUNCTION("""COMPUTED_VALUE"""),37363.0)</f>
        <v>37363</v>
      </c>
      <c r="G41" s="23">
        <f>IFERROR(__xludf.DUMMYFUNCTION("""COMPUTED_VALUE"""),23.0)</f>
        <v>23</v>
      </c>
      <c r="H41" s="24">
        <f>IFERROR(__xludf.DUMMYFUNCTION("""COMPUTED_VALUE"""),3.0)</f>
        <v>3</v>
      </c>
      <c r="I41" s="12"/>
    </row>
    <row r="42">
      <c r="A42" s="19">
        <v>41.0</v>
      </c>
      <c r="B42" s="20">
        <f>IFERROR(__xludf.DUMMYFUNCTION("""COMPUTED_VALUE"""),17.0)</f>
        <v>17</v>
      </c>
      <c r="C42" s="21" t="str">
        <f>IFERROR(__xludf.DUMMYFUNCTION("""COMPUTED_VALUE"""),"Francisco Trincão")</f>
        <v>Francisco Trincão</v>
      </c>
      <c r="D42" s="21" t="str">
        <f>IFERROR(__xludf.DUMMYFUNCTION("""COMPUTED_VALUE"""),"napastnik")</f>
        <v>napastnik</v>
      </c>
      <c r="E42" s="21" t="str">
        <f>IFERROR(__xludf.DUMMYFUNCTION("""COMPUTED_VALUE"""),"Portugalia")</f>
        <v>Portugalia</v>
      </c>
      <c r="F42" s="22">
        <f>IFERROR(__xludf.DUMMYFUNCTION("""COMPUTED_VALUE"""),36523.0)</f>
        <v>36523</v>
      </c>
      <c r="G42" s="23">
        <f>IFERROR(__xludf.DUMMYFUNCTION("""COMPUTED_VALUE"""),26.0)</f>
        <v>26</v>
      </c>
      <c r="H42" s="24">
        <f>IFERROR(__xludf.DUMMYFUNCTION("""COMPUTED_VALUE"""),3.0)</f>
        <v>3</v>
      </c>
      <c r="I42" s="12"/>
    </row>
    <row r="43">
      <c r="A43" s="19">
        <v>42.0</v>
      </c>
      <c r="B43" s="20">
        <f>IFERROR(__xludf.DUMMYFUNCTION("""COMPUTED_VALUE"""),15.0)</f>
        <v>15</v>
      </c>
      <c r="C43" s="21" t="str">
        <f>IFERROR(__xludf.DUMMYFUNCTION("""COMPUTED_VALUE"""),"Leandro Andrade")</f>
        <v>Leandro Andrade</v>
      </c>
      <c r="D43" s="21" t="str">
        <f>IFERROR(__xludf.DUMMYFUNCTION("""COMPUTED_VALUE"""),"napastnik")</f>
        <v>napastnik</v>
      </c>
      <c r="E43" s="21" t="str">
        <f>IFERROR(__xludf.DUMMYFUNCTION("""COMPUTED_VALUE"""),"Republika Zielonego Przylądka /Portugalia")</f>
        <v>Republika Zielonego Przylądka /Portugalia</v>
      </c>
      <c r="F43" s="22">
        <f>IFERROR(__xludf.DUMMYFUNCTION("""COMPUTED_VALUE"""),36427.0)</f>
        <v>36427</v>
      </c>
      <c r="G43" s="23">
        <f>IFERROR(__xludf.DUMMYFUNCTION("""COMPUTED_VALUE"""),26.0)</f>
        <v>26</v>
      </c>
      <c r="H43" s="24">
        <f>IFERROR(__xludf.DUMMYFUNCTION("""COMPUTED_VALUE"""),3.0)</f>
        <v>3</v>
      </c>
      <c r="I43" s="12"/>
    </row>
    <row r="44">
      <c r="A44" s="19">
        <v>43.0</v>
      </c>
      <c r="B44" s="20">
        <f>IFERROR(__xludf.DUMMYFUNCTION("""COMPUTED_VALUE"""),7.0)</f>
        <v>7</v>
      </c>
      <c r="C44" s="21" t="str">
        <f>IFERROR(__xludf.DUMMYFUNCTION("""COMPUTED_VALUE"""),"Bukayo Saka")</f>
        <v>Bukayo Saka</v>
      </c>
      <c r="D44" s="21" t="str">
        <f>IFERROR(__xludf.DUMMYFUNCTION("""COMPUTED_VALUE"""),"napastnik")</f>
        <v>napastnik</v>
      </c>
      <c r="E44" s="21" t="str">
        <f>IFERROR(__xludf.DUMMYFUNCTION("""COMPUTED_VALUE"""),"Anglia /Nigeria")</f>
        <v>Anglia /Nigeria</v>
      </c>
      <c r="F44" s="22">
        <f>IFERROR(__xludf.DUMMYFUNCTION("""COMPUTED_VALUE"""),37139.0)</f>
        <v>37139</v>
      </c>
      <c r="G44" s="23">
        <f>IFERROR(__xludf.DUMMYFUNCTION("""COMPUTED_VALUE"""),24.0)</f>
        <v>24</v>
      </c>
      <c r="H44" s="24">
        <f>IFERROR(__xludf.DUMMYFUNCTION("""COMPUTED_VALUE"""),2.0)</f>
        <v>2</v>
      </c>
      <c r="I44" s="12"/>
    </row>
    <row r="45">
      <c r="A45" s="19">
        <v>44.0</v>
      </c>
      <c r="B45" s="20">
        <f>IFERROR(__xludf.DUMMYFUNCTION("""COMPUTED_VALUE"""),9.0)</f>
        <v>9</v>
      </c>
      <c r="C45" s="21" t="str">
        <f>IFERROR(__xludf.DUMMYFUNCTION("""COMPUTED_VALUE"""),"Gabriel Jesus")</f>
        <v>Gabriel Jesus</v>
      </c>
      <c r="D45" s="21" t="str">
        <f>IFERROR(__xludf.DUMMYFUNCTION("""COMPUTED_VALUE"""),"napastnik")</f>
        <v>napastnik</v>
      </c>
      <c r="E45" s="21" t="str">
        <f>IFERROR(__xludf.DUMMYFUNCTION("""COMPUTED_VALUE"""),"Brazylia")</f>
        <v>Brazylia</v>
      </c>
      <c r="F45" s="22">
        <f>IFERROR(__xludf.DUMMYFUNCTION("""COMPUTED_VALUE"""),35523.0)</f>
        <v>35523</v>
      </c>
      <c r="G45" s="23">
        <f>IFERROR(__xludf.DUMMYFUNCTION("""COMPUTED_VALUE"""),28.0)</f>
        <v>28</v>
      </c>
      <c r="H45" s="24">
        <f>IFERROR(__xludf.DUMMYFUNCTION("""COMPUTED_VALUE"""),2.0)</f>
        <v>2</v>
      </c>
      <c r="I45" s="12"/>
    </row>
    <row r="46">
      <c r="A46" s="19">
        <v>45.0</v>
      </c>
      <c r="B46" s="20">
        <f>IFERROR(__xludf.DUMMYFUNCTION("""COMPUTED_VALUE"""),23.0)</f>
        <v>23</v>
      </c>
      <c r="C46" s="21" t="str">
        <f>IFERROR(__xludf.DUMMYFUNCTION("""COMPUTED_VALUE"""),"Mikel Merino")</f>
        <v>Mikel Merino</v>
      </c>
      <c r="D46" s="21" t="str">
        <f>IFERROR(__xludf.DUMMYFUNCTION("""COMPUTED_VALUE"""),"pomocnik")</f>
        <v>pomocnik</v>
      </c>
      <c r="E46" s="21" t="str">
        <f>IFERROR(__xludf.DUMMYFUNCTION("""COMPUTED_VALUE"""),"Hiszpania")</f>
        <v>Hiszpania</v>
      </c>
      <c r="F46" s="22">
        <f>IFERROR(__xludf.DUMMYFUNCTION("""COMPUTED_VALUE"""),35238.0)</f>
        <v>35238</v>
      </c>
      <c r="G46" s="23">
        <f>IFERROR(__xludf.DUMMYFUNCTION("""COMPUTED_VALUE"""),29.0)</f>
        <v>29</v>
      </c>
      <c r="H46" s="24">
        <f>IFERROR(__xludf.DUMMYFUNCTION("""COMPUTED_VALUE"""),2.0)</f>
        <v>2</v>
      </c>
      <c r="I46" s="12"/>
    </row>
    <row r="47">
      <c r="A47" s="19">
        <v>46.0</v>
      </c>
      <c r="B47" s="20">
        <f>IFERROR(__xludf.DUMMYFUNCTION("""COMPUTED_VALUE"""),9.0)</f>
        <v>9</v>
      </c>
      <c r="C47" s="21" t="str">
        <f>IFERROR(__xludf.DUMMYFUNCTION("""COMPUTED_VALUE"""),"Gianluca Scamacca")</f>
        <v>Gianluca Scamacca</v>
      </c>
      <c r="D47" s="21" t="str">
        <f>IFERROR(__xludf.DUMMYFUNCTION("""COMPUTED_VALUE"""),"napastnik")</f>
        <v>napastnik</v>
      </c>
      <c r="E47" s="21" t="str">
        <f>IFERROR(__xludf.DUMMYFUNCTION("""COMPUTED_VALUE"""),"Włochy")</f>
        <v>Włochy</v>
      </c>
      <c r="F47" s="22">
        <f>IFERROR(__xludf.DUMMYFUNCTION("""COMPUTED_VALUE"""),36161.0)</f>
        <v>36161</v>
      </c>
      <c r="G47" s="23">
        <f>IFERROR(__xludf.DUMMYFUNCTION("""COMPUTED_VALUE"""),27.0)</f>
        <v>27</v>
      </c>
      <c r="H47" s="24">
        <f>IFERROR(__xludf.DUMMYFUNCTION("""COMPUTED_VALUE"""),2.0)</f>
        <v>2</v>
      </c>
      <c r="I47" s="12"/>
    </row>
    <row r="48">
      <c r="A48" s="19">
        <v>47.0</v>
      </c>
      <c r="B48" s="20">
        <f>IFERROR(__xludf.DUMMYFUNCTION("""COMPUTED_VALUE"""),10.0)</f>
        <v>10</v>
      </c>
      <c r="C48" s="21" t="str">
        <f>IFERROR(__xludf.DUMMYFUNCTION("""COMPUTED_VALUE"""),"Lazar Samardžić")</f>
        <v>Lazar Samardžić</v>
      </c>
      <c r="D48" s="21" t="str">
        <f>IFERROR(__xludf.DUMMYFUNCTION("""COMPUTED_VALUE"""),"pomocnik")</f>
        <v>pomocnik</v>
      </c>
      <c r="E48" s="21" t="str">
        <f>IFERROR(__xludf.DUMMYFUNCTION("""COMPUTED_VALUE"""),"Serbia /Niemcy")</f>
        <v>Serbia /Niemcy</v>
      </c>
      <c r="F48" s="22">
        <f>IFERROR(__xludf.DUMMYFUNCTION("""COMPUTED_VALUE"""),37311.0)</f>
        <v>37311</v>
      </c>
      <c r="G48" s="23">
        <f>IFERROR(__xludf.DUMMYFUNCTION("""COMPUTED_VALUE"""),23.0)</f>
        <v>23</v>
      </c>
      <c r="H48" s="24">
        <f>IFERROR(__xludf.DUMMYFUNCTION("""COMPUTED_VALUE"""),2.0)</f>
        <v>2</v>
      </c>
      <c r="I48" s="12"/>
    </row>
    <row r="49">
      <c r="A49" s="19">
        <v>48.0</v>
      </c>
      <c r="B49" s="20">
        <f>IFERROR(__xludf.DUMMYFUNCTION("""COMPUTED_VALUE"""),17.0)</f>
        <v>17</v>
      </c>
      <c r="C49" s="21" t="str">
        <f>IFERROR(__xludf.DUMMYFUNCTION("""COMPUTED_VALUE"""),"Charles De Keteleare")</f>
        <v>Charles De Keteleare</v>
      </c>
      <c r="D49" s="21" t="str">
        <f>IFERROR(__xludf.DUMMYFUNCTION("""COMPUTED_VALUE"""),"pomocnik")</f>
        <v>pomocnik</v>
      </c>
      <c r="E49" s="21" t="str">
        <f>IFERROR(__xludf.DUMMYFUNCTION("""COMPUTED_VALUE"""),"Belgia")</f>
        <v>Belgia</v>
      </c>
      <c r="F49" s="22">
        <f>IFERROR(__xludf.DUMMYFUNCTION("""COMPUTED_VALUE"""),36960.0)</f>
        <v>36960</v>
      </c>
      <c r="G49" s="23">
        <f>IFERROR(__xludf.DUMMYFUNCTION("""COMPUTED_VALUE"""),24.0)</f>
        <v>24</v>
      </c>
      <c r="H49" s="24">
        <f>IFERROR(__xludf.DUMMYFUNCTION("""COMPUTED_VALUE"""),2.0)</f>
        <v>2</v>
      </c>
      <c r="I49" s="12"/>
    </row>
    <row r="50">
      <c r="A50" s="19">
        <v>49.0</v>
      </c>
      <c r="B50" s="20">
        <f>IFERROR(__xludf.DUMMYFUNCTION("""COMPUTED_VALUE"""),23.0)</f>
        <v>23</v>
      </c>
      <c r="C50" s="21" t="str">
        <f>IFERROR(__xludf.DUMMYFUNCTION("""COMPUTED_VALUE"""),"Robert Navarro")</f>
        <v>Robert Navarro</v>
      </c>
      <c r="D50" s="21" t="str">
        <f>IFERROR(__xludf.DUMMYFUNCTION("""COMPUTED_VALUE"""),"pomocnik")</f>
        <v>pomocnik</v>
      </c>
      <c r="E50" s="21" t="str">
        <f>IFERROR(__xludf.DUMMYFUNCTION("""COMPUTED_VALUE"""),"Hiszpania")</f>
        <v>Hiszpania</v>
      </c>
      <c r="F50" s="22">
        <f>IFERROR(__xludf.DUMMYFUNCTION("""COMPUTED_VALUE"""),37358.0)</f>
        <v>37358</v>
      </c>
      <c r="G50" s="23">
        <f>IFERROR(__xludf.DUMMYFUNCTION("""COMPUTED_VALUE"""),23.0)</f>
        <v>23</v>
      </c>
      <c r="H50" s="24">
        <f>IFERROR(__xludf.DUMMYFUNCTION("""COMPUTED_VALUE"""),2.0)</f>
        <v>2</v>
      </c>
      <c r="I50" s="12"/>
    </row>
    <row r="51">
      <c r="A51" s="19">
        <v>50.0</v>
      </c>
      <c r="B51" s="20">
        <f>IFERROR(__xludf.DUMMYFUNCTION("""COMPUTED_VALUE"""),20.0)</f>
        <v>20</v>
      </c>
      <c r="C51" s="21" t="str">
        <f>IFERROR(__xludf.DUMMYFUNCTION("""COMPUTED_VALUE"""),"Giuliano Simeone")</f>
        <v>Giuliano Simeone</v>
      </c>
      <c r="D51" s="21" t="str">
        <f>IFERROR(__xludf.DUMMYFUNCTION("""COMPUTED_VALUE"""),"napastnik")</f>
        <v>napastnik</v>
      </c>
      <c r="E51" s="21" t="str">
        <f>IFERROR(__xludf.DUMMYFUNCTION("""COMPUTED_VALUE"""),"Argentyna /Włochy")</f>
        <v>Argentyna /Włochy</v>
      </c>
      <c r="F51" s="22">
        <f>IFERROR(__xludf.DUMMYFUNCTION("""COMPUTED_VALUE"""),37608.0)</f>
        <v>37608</v>
      </c>
      <c r="G51" s="23">
        <f>IFERROR(__xludf.DUMMYFUNCTION("""COMPUTED_VALUE"""),23.0)</f>
        <v>23</v>
      </c>
      <c r="H51" s="24">
        <f>IFERROR(__xludf.DUMMYFUNCTION("""COMPUTED_VALUE"""),2.0)</f>
        <v>2</v>
      </c>
      <c r="I51" s="12"/>
    </row>
    <row r="52">
      <c r="A52" s="19">
        <v>51.0</v>
      </c>
      <c r="B52" s="20">
        <f>IFERROR(__xludf.DUMMYFUNCTION("""COMPUTED_VALUE"""),5.0)</f>
        <v>5</v>
      </c>
      <c r="C52" s="21" t="str">
        <f>IFERROR(__xludf.DUMMYFUNCTION("""COMPUTED_VALUE"""),"Ramy Bensebaini")</f>
        <v>Ramy Bensebaini</v>
      </c>
      <c r="D52" s="21" t="str">
        <f>IFERROR(__xludf.DUMMYFUNCTION("""COMPUTED_VALUE"""),"obrońca")</f>
        <v>obrońca</v>
      </c>
      <c r="E52" s="21" t="str">
        <f>IFERROR(__xludf.DUMMYFUNCTION("""COMPUTED_VALUE"""),"Algieria")</f>
        <v>Algieria</v>
      </c>
      <c r="F52" s="22">
        <f>IFERROR(__xludf.DUMMYFUNCTION("""COMPUTED_VALUE"""),34805.0)</f>
        <v>34805</v>
      </c>
      <c r="G52" s="23">
        <f>IFERROR(__xludf.DUMMYFUNCTION("""COMPUTED_VALUE"""),30.0)</f>
        <v>30</v>
      </c>
      <c r="H52" s="24">
        <f>IFERROR(__xludf.DUMMYFUNCTION("""COMPUTED_VALUE"""),2.0)</f>
        <v>2</v>
      </c>
      <c r="I52" s="12"/>
    </row>
    <row r="53">
      <c r="A53" s="19">
        <v>52.0</v>
      </c>
      <c r="B53" s="20">
        <f>IFERROR(__xludf.DUMMYFUNCTION("""COMPUTED_VALUE"""),24.0)</f>
        <v>24</v>
      </c>
      <c r="C53" s="21" t="str">
        <f>IFERROR(__xludf.DUMMYFUNCTION("""COMPUTED_VALUE"""),"Daniel Svensson")</f>
        <v>Daniel Svensson</v>
      </c>
      <c r="D53" s="21" t="str">
        <f>IFERROR(__xludf.DUMMYFUNCTION("""COMPUTED_VALUE"""),"obrońca")</f>
        <v>obrońca</v>
      </c>
      <c r="E53" s="21" t="str">
        <f>IFERROR(__xludf.DUMMYFUNCTION("""COMPUTED_VALUE"""),"Szwecja")</f>
        <v>Szwecja</v>
      </c>
      <c r="F53" s="22">
        <f>IFERROR(__xludf.DUMMYFUNCTION("""COMPUTED_VALUE"""),37299.0)</f>
        <v>37299</v>
      </c>
      <c r="G53" s="23">
        <f>IFERROR(__xludf.DUMMYFUNCTION("""COMPUTED_VALUE"""),23.0)</f>
        <v>23</v>
      </c>
      <c r="H53" s="24">
        <f>IFERROR(__xludf.DUMMYFUNCTION("""COMPUTED_VALUE"""),2.0)</f>
        <v>2</v>
      </c>
      <c r="I53" s="12"/>
    </row>
    <row r="54">
      <c r="A54" s="19">
        <v>53.0</v>
      </c>
      <c r="B54" s="20">
        <f>IFERROR(__xludf.DUMMYFUNCTION("""COMPUTED_VALUE"""),27.0)</f>
        <v>27</v>
      </c>
      <c r="C54" s="21" t="str">
        <f>IFERROR(__xludf.DUMMYFUNCTION("""COMPUTED_VALUE"""),"Karim Adeyemi")</f>
        <v>Karim Adeyemi</v>
      </c>
      <c r="D54" s="21" t="str">
        <f>IFERROR(__xludf.DUMMYFUNCTION("""COMPUTED_VALUE"""),"napastnik")</f>
        <v>napastnik</v>
      </c>
      <c r="E54" s="21" t="str">
        <f>IFERROR(__xludf.DUMMYFUNCTION("""COMPUTED_VALUE"""),"Niemcy /Nigeria")</f>
        <v>Niemcy /Nigeria</v>
      </c>
      <c r="F54" s="22">
        <f>IFERROR(__xludf.DUMMYFUNCTION("""COMPUTED_VALUE"""),37274.0)</f>
        <v>37274</v>
      </c>
      <c r="G54" s="23">
        <f>IFERROR(__xludf.DUMMYFUNCTION("""COMPUTED_VALUE"""),24.0)</f>
        <v>24</v>
      </c>
      <c r="H54" s="24">
        <f>IFERROR(__xludf.DUMMYFUNCTION("""COMPUTED_VALUE"""),2.0)</f>
        <v>2</v>
      </c>
      <c r="I54" s="12"/>
    </row>
    <row r="55">
      <c r="A55" s="19">
        <v>54.0</v>
      </c>
      <c r="B55" s="20">
        <f>IFERROR(__xludf.DUMMYFUNCTION("""COMPUTED_VALUE"""),7.0)</f>
        <v>7</v>
      </c>
      <c r="C55" s="21" t="str">
        <f>IFERROR(__xludf.DUMMYFUNCTION("""COMPUTED_VALUE"""),"Ferran Torres")</f>
        <v>Ferran Torres</v>
      </c>
      <c r="D55" s="21" t="str">
        <f>IFERROR(__xludf.DUMMYFUNCTION("""COMPUTED_VALUE"""),"napastnik")</f>
        <v>napastnik</v>
      </c>
      <c r="E55" s="21" t="str">
        <f>IFERROR(__xludf.DUMMYFUNCTION("""COMPUTED_VALUE"""),"Hiszpania")</f>
        <v>Hiszpania</v>
      </c>
      <c r="F55" s="22">
        <f>IFERROR(__xludf.DUMMYFUNCTION("""COMPUTED_VALUE"""),36585.0)</f>
        <v>36585</v>
      </c>
      <c r="G55" s="23">
        <f>IFERROR(__xludf.DUMMYFUNCTION("""COMPUTED_VALUE"""),25.0)</f>
        <v>25</v>
      </c>
      <c r="H55" s="24">
        <f>IFERROR(__xludf.DUMMYFUNCTION("""COMPUTED_VALUE"""),2.0)</f>
        <v>2</v>
      </c>
      <c r="I55" s="12"/>
    </row>
    <row r="56">
      <c r="A56" s="19">
        <v>55.0</v>
      </c>
      <c r="B56" s="20">
        <f>IFERROR(__xludf.DUMMYFUNCTION("""COMPUTED_VALUE"""),10.0)</f>
        <v>10</v>
      </c>
      <c r="C56" s="21" t="str">
        <f>IFERROR(__xludf.DUMMYFUNCTION("""COMPUTED_VALUE"""),"Lamine Yamal")</f>
        <v>Lamine Yamal</v>
      </c>
      <c r="D56" s="21" t="str">
        <f>IFERROR(__xludf.DUMMYFUNCTION("""COMPUTED_VALUE"""),"napastnik")</f>
        <v>napastnik</v>
      </c>
      <c r="E56" s="21" t="str">
        <f>IFERROR(__xludf.DUMMYFUNCTION("""COMPUTED_VALUE"""),"Hiszpania /Gwinea Równikowa")</f>
        <v>Hiszpania /Gwinea Równikowa</v>
      </c>
      <c r="F56" s="22">
        <f>IFERROR(__xludf.DUMMYFUNCTION("""COMPUTED_VALUE"""),39276.0)</f>
        <v>39276</v>
      </c>
      <c r="G56" s="23">
        <f>IFERROR(__xludf.DUMMYFUNCTION("""COMPUTED_VALUE"""),18.0)</f>
        <v>18</v>
      </c>
      <c r="H56" s="24">
        <f>IFERROR(__xludf.DUMMYFUNCTION("""COMPUTED_VALUE"""),2.0)</f>
        <v>2</v>
      </c>
      <c r="I56" s="12"/>
    </row>
    <row r="57">
      <c r="A57" s="19">
        <v>56.0</v>
      </c>
      <c r="B57" s="20">
        <f>IFERROR(__xludf.DUMMYFUNCTION("""COMPUTED_VALUE"""),23.0)</f>
        <v>23</v>
      </c>
      <c r="C57" s="21" t="str">
        <f>IFERROR(__xludf.DUMMYFUNCTION("""COMPUTED_VALUE"""),"Jules Koundé")</f>
        <v>Jules Koundé</v>
      </c>
      <c r="D57" s="21" t="str">
        <f>IFERROR(__xludf.DUMMYFUNCTION("""COMPUTED_VALUE"""),"obrońca")</f>
        <v>obrońca</v>
      </c>
      <c r="E57" s="21" t="str">
        <f>IFERROR(__xludf.DUMMYFUNCTION("""COMPUTED_VALUE"""),"Francja /Benin")</f>
        <v>Francja /Benin</v>
      </c>
      <c r="F57" s="22">
        <f>IFERROR(__xludf.DUMMYFUNCTION("""COMPUTED_VALUE"""),36111.0)</f>
        <v>36111</v>
      </c>
      <c r="G57" s="23">
        <f>IFERROR(__xludf.DUMMYFUNCTION("""COMPUTED_VALUE"""),27.0)</f>
        <v>27</v>
      </c>
      <c r="H57" s="24">
        <f>IFERROR(__xludf.DUMMYFUNCTION("""COMPUTED_VALUE"""),2.0)</f>
        <v>2</v>
      </c>
      <c r="I57" s="12"/>
    </row>
    <row r="58">
      <c r="A58" s="19">
        <v>57.0</v>
      </c>
      <c r="B58" s="20">
        <f>IFERROR(__xludf.DUMMYFUNCTION("""COMPUTED_VALUE"""),11.0)</f>
        <v>11</v>
      </c>
      <c r="C58" s="21" t="str">
        <f>IFERROR(__xludf.DUMMYFUNCTION("""COMPUTED_VALUE"""),"Nicolas Jackson")</f>
        <v>Nicolas Jackson</v>
      </c>
      <c r="D58" s="21" t="str">
        <f>IFERROR(__xludf.DUMMYFUNCTION("""COMPUTED_VALUE"""),"napastnik")</f>
        <v>napastnik</v>
      </c>
      <c r="E58" s="21" t="str">
        <f>IFERROR(__xludf.DUMMYFUNCTION("""COMPUTED_VALUE"""),"Senegal /Gambia")</f>
        <v>Senegal /Gambia</v>
      </c>
      <c r="F58" s="22">
        <f>IFERROR(__xludf.DUMMYFUNCTION("""COMPUTED_VALUE"""),37062.0)</f>
        <v>37062</v>
      </c>
      <c r="G58" s="23">
        <f>IFERROR(__xludf.DUMMYFUNCTION("""COMPUTED_VALUE"""),24.0)</f>
        <v>24</v>
      </c>
      <c r="H58" s="24">
        <f>IFERROR(__xludf.DUMMYFUNCTION("""COMPUTED_VALUE"""),2.0)</f>
        <v>2</v>
      </c>
      <c r="I58" s="12"/>
    </row>
    <row r="59">
      <c r="A59" s="19">
        <v>58.0</v>
      </c>
      <c r="B59" s="20">
        <f>IFERROR(__xludf.DUMMYFUNCTION("""COMPUTED_VALUE"""),18.0)</f>
        <v>18</v>
      </c>
      <c r="C59" s="21" t="str">
        <f>IFERROR(__xludf.DUMMYFUNCTION("""COMPUTED_VALUE"""),"Leandro Barreiro")</f>
        <v>Leandro Barreiro</v>
      </c>
      <c r="D59" s="21" t="str">
        <f>IFERROR(__xludf.DUMMYFUNCTION("""COMPUTED_VALUE"""),"pomocnik")</f>
        <v>pomocnik</v>
      </c>
      <c r="E59" s="21" t="str">
        <f>IFERROR(__xludf.DUMMYFUNCTION("""COMPUTED_VALUE"""),"Luksemburg /Portugalia")</f>
        <v>Luksemburg /Portugalia</v>
      </c>
      <c r="F59" s="22">
        <f>IFERROR(__xludf.DUMMYFUNCTION("""COMPUTED_VALUE"""),36528.0)</f>
        <v>36528</v>
      </c>
      <c r="G59" s="23">
        <f>IFERROR(__xludf.DUMMYFUNCTION("""COMPUTED_VALUE"""),26.0)</f>
        <v>26</v>
      </c>
      <c r="H59" s="24">
        <f>IFERROR(__xludf.DUMMYFUNCTION("""COMPUTED_VALUE"""),2.0)</f>
        <v>2</v>
      </c>
      <c r="I59" s="12"/>
    </row>
    <row r="60">
      <c r="A60" s="19">
        <v>59.0</v>
      </c>
      <c r="B60" s="20">
        <f>IFERROR(__xludf.DUMMYFUNCTION("""COMPUTED_VALUE"""),9.0)</f>
        <v>9</v>
      </c>
      <c r="C60" s="21" t="str">
        <f>IFERROR(__xludf.DUMMYFUNCTION("""COMPUTED_VALUE"""),"Kasper Høgh")</f>
        <v>Kasper Høgh</v>
      </c>
      <c r="D60" s="21" t="str">
        <f>IFERROR(__xludf.DUMMYFUNCTION("""COMPUTED_VALUE"""),"napastnik")</f>
        <v>napastnik</v>
      </c>
      <c r="E60" s="21" t="str">
        <f>IFERROR(__xludf.DUMMYFUNCTION("""COMPUTED_VALUE"""),"Dania")</f>
        <v>Dania</v>
      </c>
      <c r="F60" s="22">
        <f>IFERROR(__xludf.DUMMYFUNCTION("""COMPUTED_VALUE"""),36866.0)</f>
        <v>36866</v>
      </c>
      <c r="G60" s="23">
        <f>IFERROR(__xludf.DUMMYFUNCTION("""COMPUTED_VALUE"""),25.0)</f>
        <v>25</v>
      </c>
      <c r="H60" s="24">
        <f>IFERROR(__xludf.DUMMYFUNCTION("""COMPUTED_VALUE"""),2.0)</f>
        <v>2</v>
      </c>
      <c r="I60" s="12"/>
    </row>
    <row r="61">
      <c r="A61" s="19">
        <v>60.0</v>
      </c>
      <c r="B61" s="20">
        <f>IFERROR(__xludf.DUMMYFUNCTION("""COMPUTED_VALUE"""),19.0)</f>
        <v>19</v>
      </c>
      <c r="C61" s="21" t="str">
        <f>IFERROR(__xludf.DUMMYFUNCTION("""COMPUTED_VALUE"""),"Sondre Brunstad Fet")</f>
        <v>Sondre Brunstad Fet</v>
      </c>
      <c r="D61" s="21" t="str">
        <f>IFERROR(__xludf.DUMMYFUNCTION("""COMPUTED_VALUE"""),"pomocnik")</f>
        <v>pomocnik</v>
      </c>
      <c r="E61" s="21" t="str">
        <f>IFERROR(__xludf.DUMMYFUNCTION("""COMPUTED_VALUE"""),"Norwegia")</f>
        <v>Norwegia</v>
      </c>
      <c r="F61" s="22">
        <f>IFERROR(__xludf.DUMMYFUNCTION("""COMPUTED_VALUE"""),35447.0)</f>
        <v>35447</v>
      </c>
      <c r="G61" s="23">
        <f>IFERROR(__xludf.DUMMYFUNCTION("""COMPUTED_VALUE"""),29.0)</f>
        <v>29</v>
      </c>
      <c r="H61" s="24">
        <f>IFERROR(__xludf.DUMMYFUNCTION("""COMPUTED_VALUE"""),2.0)</f>
        <v>2</v>
      </c>
      <c r="I61" s="12"/>
    </row>
    <row r="62">
      <c r="A62" s="19">
        <v>61.0</v>
      </c>
      <c r="B62" s="20">
        <f>IFERROR(__xludf.DUMMYFUNCTION("""COMPUTED_VALUE"""),25.0)</f>
        <v>25</v>
      </c>
      <c r="C62" s="21" t="str">
        <f>IFERROR(__xludf.DUMMYFUNCTION("""COMPUTED_VALUE"""),"Moisés Caicedo")</f>
        <v>Moisés Caicedo</v>
      </c>
      <c r="D62" s="21" t="str">
        <f>IFERROR(__xludf.DUMMYFUNCTION("""COMPUTED_VALUE"""),"pomocnik")</f>
        <v>pomocnik</v>
      </c>
      <c r="E62" s="21" t="str">
        <f>IFERROR(__xludf.DUMMYFUNCTION("""COMPUTED_VALUE"""),"Ekwador")</f>
        <v>Ekwador</v>
      </c>
      <c r="F62" s="22">
        <f>IFERROR(__xludf.DUMMYFUNCTION("""COMPUTED_VALUE"""),37197.0)</f>
        <v>37197</v>
      </c>
      <c r="G62" s="23">
        <f>IFERROR(__xludf.DUMMYFUNCTION("""COMPUTED_VALUE"""),24.0)</f>
        <v>24</v>
      </c>
      <c r="H62" s="24">
        <f>IFERROR(__xludf.DUMMYFUNCTION("""COMPUTED_VALUE"""),2.0)</f>
        <v>2</v>
      </c>
      <c r="I62" s="12"/>
    </row>
    <row r="63">
      <c r="A63" s="19">
        <v>62.0</v>
      </c>
      <c r="B63" s="20">
        <f>IFERROR(__xludf.DUMMYFUNCTION("""COMPUTED_VALUE"""),7.0)</f>
        <v>7</v>
      </c>
      <c r="C63" s="21" t="str">
        <f>IFERROR(__xludf.DUMMYFUNCTION("""COMPUTED_VALUE"""),"Nicolò Tresoldi")</f>
        <v>Nicolò Tresoldi</v>
      </c>
      <c r="D63" s="21" t="str">
        <f>IFERROR(__xludf.DUMMYFUNCTION("""COMPUTED_VALUE"""),"napastnik")</f>
        <v>napastnik</v>
      </c>
      <c r="E63" s="21" t="str">
        <f>IFERROR(__xludf.DUMMYFUNCTION("""COMPUTED_VALUE"""),"Niemcy /Włochy")</f>
        <v>Niemcy /Włochy</v>
      </c>
      <c r="F63" s="22">
        <f>IFERROR(__xludf.DUMMYFUNCTION("""COMPUTED_VALUE"""),38219.0)</f>
        <v>38219</v>
      </c>
      <c r="G63" s="23">
        <f>IFERROR(__xludf.DUMMYFUNCTION("""COMPUTED_VALUE"""),21.0)</f>
        <v>21</v>
      </c>
      <c r="H63" s="24">
        <f>IFERROR(__xludf.DUMMYFUNCTION("""COMPUTED_VALUE"""),2.0)</f>
        <v>2</v>
      </c>
      <c r="I63" s="12"/>
    </row>
    <row r="64">
      <c r="A64" s="19">
        <v>63.0</v>
      </c>
      <c r="B64" s="20">
        <f>IFERROR(__xludf.DUMMYFUNCTION("""COMPUTED_VALUE"""),9.0)</f>
        <v>9</v>
      </c>
      <c r="C64" s="21" t="str">
        <f>IFERROR(__xludf.DUMMYFUNCTION("""COMPUTED_VALUE"""),"Carlos Forbs")</f>
        <v>Carlos Forbs</v>
      </c>
      <c r="D64" s="21" t="str">
        <f>IFERROR(__xludf.DUMMYFUNCTION("""COMPUTED_VALUE"""),"napastnik")</f>
        <v>napastnik</v>
      </c>
      <c r="E64" s="21" t="str">
        <f>IFERROR(__xludf.DUMMYFUNCTION("""COMPUTED_VALUE"""),"Portugalia /Gwinea Bissau")</f>
        <v>Portugalia /Gwinea Bissau</v>
      </c>
      <c r="F64" s="22">
        <f>IFERROR(__xludf.DUMMYFUNCTION("""COMPUTED_VALUE"""),38065.0)</f>
        <v>38065</v>
      </c>
      <c r="G64" s="23">
        <f>IFERROR(__xludf.DUMMYFUNCTION("""COMPUTED_VALUE"""),21.0)</f>
        <v>21</v>
      </c>
      <c r="H64" s="24">
        <f>IFERROR(__xludf.DUMMYFUNCTION("""COMPUTED_VALUE"""),2.0)</f>
        <v>2</v>
      </c>
      <c r="I64" s="12"/>
    </row>
    <row r="65">
      <c r="A65" s="19">
        <v>64.0</v>
      </c>
      <c r="B65" s="20">
        <f>IFERROR(__xludf.DUMMYFUNCTION("""COMPUTED_VALUE"""),20.0)</f>
        <v>20</v>
      </c>
      <c r="C65" s="21" t="str">
        <f>IFERROR(__xludf.DUMMYFUNCTION("""COMPUTED_VALUE"""),"Hans Vanaken")</f>
        <v>Hans Vanaken</v>
      </c>
      <c r="D65" s="21" t="str">
        <f>IFERROR(__xludf.DUMMYFUNCTION("""COMPUTED_VALUE"""),"pomocnik")</f>
        <v>pomocnik</v>
      </c>
      <c r="E65" s="21" t="str">
        <f>IFERROR(__xludf.DUMMYFUNCTION("""COMPUTED_VALUE"""),"Belgia")</f>
        <v>Belgia</v>
      </c>
      <c r="F65" s="22">
        <f>IFERROR(__xludf.DUMMYFUNCTION("""COMPUTED_VALUE"""),33840.0)</f>
        <v>33840</v>
      </c>
      <c r="G65" s="23">
        <f>IFERROR(__xludf.DUMMYFUNCTION("""COMPUTED_VALUE"""),33.0)</f>
        <v>33</v>
      </c>
      <c r="H65" s="24">
        <f>IFERROR(__xludf.DUMMYFUNCTION("""COMPUTED_VALUE"""),2.0)</f>
        <v>2</v>
      </c>
      <c r="I65" s="12"/>
    </row>
    <row r="66">
      <c r="A66" s="19">
        <v>65.0</v>
      </c>
      <c r="B66" s="20">
        <f>IFERROR(__xludf.DUMMYFUNCTION("""COMPUTED_VALUE"""),16.0)</f>
        <v>16</v>
      </c>
      <c r="C66" s="21" t="str">
        <f>IFERROR(__xludf.DUMMYFUNCTION("""COMPUTED_VALUE"""),"Robert")</f>
        <v>Robert</v>
      </c>
      <c r="D66" s="21" t="str">
        <f>IFERROR(__xludf.DUMMYFUNCTION("""COMPUTED_VALUE"""),"napastnik")</f>
        <v>napastnik</v>
      </c>
      <c r="E66" s="21" t="str">
        <f>IFERROR(__xludf.DUMMYFUNCTION("""COMPUTED_VALUE"""),"Brazylia")</f>
        <v>Brazylia</v>
      </c>
      <c r="F66" s="22">
        <f>IFERROR(__xludf.DUMMYFUNCTION("""COMPUTED_VALUE"""),38455.0)</f>
        <v>38455</v>
      </c>
      <c r="G66" s="23">
        <f>IFERROR(__xludf.DUMMYFUNCTION("""COMPUTED_VALUE"""),20.0)</f>
        <v>20</v>
      </c>
      <c r="H66" s="24">
        <f>IFERROR(__xludf.DUMMYFUNCTION("""COMPUTED_VALUE"""),2.0)</f>
        <v>2</v>
      </c>
      <c r="I66" s="12"/>
    </row>
    <row r="67">
      <c r="A67" s="19">
        <v>66.0</v>
      </c>
      <c r="B67" s="20">
        <f>IFERROR(__xludf.DUMMYFUNCTION("""COMPUTED_VALUE"""),39.0)</f>
        <v>39</v>
      </c>
      <c r="C67" s="21" t="str">
        <f>IFERROR(__xludf.DUMMYFUNCTION("""COMPUTED_VALUE"""),"Viktor Daðason")</f>
        <v>Viktor Daðason</v>
      </c>
      <c r="D67" s="21" t="str">
        <f>IFERROR(__xludf.DUMMYFUNCTION("""COMPUTED_VALUE"""),"napastnik")</f>
        <v>napastnik</v>
      </c>
      <c r="E67" s="21" t="str">
        <f>IFERROR(__xludf.DUMMYFUNCTION("""COMPUTED_VALUE"""),"Islandia")</f>
        <v>Islandia</v>
      </c>
      <c r="F67" s="22">
        <f>IFERROR(__xludf.DUMMYFUNCTION("""COMPUTED_VALUE"""),39629.0)</f>
        <v>39629</v>
      </c>
      <c r="G67" s="23">
        <f>IFERROR(__xludf.DUMMYFUNCTION("""COMPUTED_VALUE"""),17.0)</f>
        <v>17</v>
      </c>
      <c r="H67" s="24">
        <f>IFERROR(__xludf.DUMMYFUNCTION("""COMPUTED_VALUE"""),2.0)</f>
        <v>2</v>
      </c>
      <c r="I67" s="12"/>
    </row>
    <row r="68">
      <c r="A68" s="19">
        <v>67.0</v>
      </c>
      <c r="B68" s="20">
        <f>IFERROR(__xludf.DUMMYFUNCTION("""COMPUTED_VALUE"""),7.0)</f>
        <v>7</v>
      </c>
      <c r="C68" s="21" t="str">
        <f>IFERROR(__xludf.DUMMYFUNCTION("""COMPUTED_VALUE"""),"Ansgar Knauff")</f>
        <v>Ansgar Knauff</v>
      </c>
      <c r="D68" s="21" t="str">
        <f>IFERROR(__xludf.DUMMYFUNCTION("""COMPUTED_VALUE"""),"napastnik")</f>
        <v>napastnik</v>
      </c>
      <c r="E68" s="21" t="str">
        <f>IFERROR(__xludf.DUMMYFUNCTION("""COMPUTED_VALUE"""),"Niemcy /Ghana")</f>
        <v>Niemcy /Ghana</v>
      </c>
      <c r="F68" s="22">
        <f>IFERROR(__xludf.DUMMYFUNCTION("""COMPUTED_VALUE"""),37266.0)</f>
        <v>37266</v>
      </c>
      <c r="G68" s="23">
        <f>IFERROR(__xludf.DUMMYFUNCTION("""COMPUTED_VALUE"""),24.0)</f>
        <v>24</v>
      </c>
      <c r="H68" s="24">
        <f>IFERROR(__xludf.DUMMYFUNCTION("""COMPUTED_VALUE"""),2.0)</f>
        <v>2</v>
      </c>
      <c r="I68" s="12"/>
    </row>
    <row r="69">
      <c r="A69" s="19">
        <v>68.0</v>
      </c>
      <c r="B69" s="20">
        <f>IFERROR(__xludf.DUMMYFUNCTION("""COMPUTED_VALUE"""),42.0)</f>
        <v>42</v>
      </c>
      <c r="C69" s="21" t="str">
        <f>IFERROR(__xludf.DUMMYFUNCTION("""COMPUTED_VALUE"""),"Can Uzun")</f>
        <v>Can Uzun</v>
      </c>
      <c r="D69" s="21" t="str">
        <f>IFERROR(__xludf.DUMMYFUNCTION("""COMPUTED_VALUE"""),"pomocnik")</f>
        <v>pomocnik</v>
      </c>
      <c r="E69" s="21" t="str">
        <f>IFERROR(__xludf.DUMMYFUNCTION("""COMPUTED_VALUE"""),"Turcja /Niemcy")</f>
        <v>Turcja /Niemcy</v>
      </c>
      <c r="F69" s="22">
        <f>IFERROR(__xludf.DUMMYFUNCTION("""COMPUTED_VALUE"""),38667.0)</f>
        <v>38667</v>
      </c>
      <c r="G69" s="23">
        <f>IFERROR(__xludf.DUMMYFUNCTION("""COMPUTED_VALUE"""),20.0)</f>
        <v>20</v>
      </c>
      <c r="H69" s="24">
        <f>IFERROR(__xludf.DUMMYFUNCTION("""COMPUTED_VALUE"""),2.0)</f>
        <v>2</v>
      </c>
      <c r="I69" s="12"/>
    </row>
    <row r="70">
      <c r="A70" s="19">
        <v>69.0</v>
      </c>
      <c r="B70" s="20">
        <f>IFERROR(__xludf.DUMMYFUNCTION("""COMPUTED_VALUE"""),11.0)</f>
        <v>11</v>
      </c>
      <c r="C70" s="21" t="str">
        <f>IFERROR(__xludf.DUMMYFUNCTION("""COMPUTED_VALUE"""),"Yunus Akgün")</f>
        <v>Yunus Akgün</v>
      </c>
      <c r="D70" s="21" t="str">
        <f>IFERROR(__xludf.DUMMYFUNCTION("""COMPUTED_VALUE"""),"napastnik")</f>
        <v>napastnik</v>
      </c>
      <c r="E70" s="21" t="str">
        <f>IFERROR(__xludf.DUMMYFUNCTION("""COMPUTED_VALUE"""),"Turcja")</f>
        <v>Turcja</v>
      </c>
      <c r="F70" s="22">
        <f>IFERROR(__xludf.DUMMYFUNCTION("""COMPUTED_VALUE"""),36714.0)</f>
        <v>36714</v>
      </c>
      <c r="G70" s="23">
        <f>IFERROR(__xludf.DUMMYFUNCTION("""COMPUTED_VALUE"""),25.0)</f>
        <v>25</v>
      </c>
      <c r="H70" s="24">
        <f>IFERROR(__xludf.DUMMYFUNCTION("""COMPUTED_VALUE"""),2.0)</f>
        <v>2</v>
      </c>
      <c r="I70" s="12"/>
    </row>
    <row r="71">
      <c r="A71" s="19">
        <v>70.0</v>
      </c>
      <c r="B71" s="20">
        <f>IFERROR(__xludf.DUMMYFUNCTION("""COMPUTED_VALUE"""),2.0)</f>
        <v>2</v>
      </c>
      <c r="C71" s="21" t="str">
        <f>IFERROR(__xludf.DUMMYFUNCTION("""COMPUTED_VALUE"""),"Denzel Dumfries")</f>
        <v>Denzel Dumfries</v>
      </c>
      <c r="D71" s="21" t="str">
        <f>IFERROR(__xludf.DUMMYFUNCTION("""COMPUTED_VALUE"""),"obrońca")</f>
        <v>obrońca</v>
      </c>
      <c r="E71" s="21" t="str">
        <f>IFERROR(__xludf.DUMMYFUNCTION("""COMPUTED_VALUE"""),"Holandia /Aruba")</f>
        <v>Holandia /Aruba</v>
      </c>
      <c r="F71" s="22">
        <f>IFERROR(__xludf.DUMMYFUNCTION("""COMPUTED_VALUE"""),35173.0)</f>
        <v>35173</v>
      </c>
      <c r="G71" s="23">
        <f>IFERROR(__xludf.DUMMYFUNCTION("""COMPUTED_VALUE"""),29.0)</f>
        <v>29</v>
      </c>
      <c r="H71" s="24">
        <f>IFERROR(__xludf.DUMMYFUNCTION("""COMPUTED_VALUE"""),2.0)</f>
        <v>2</v>
      </c>
      <c r="I71" s="12"/>
    </row>
    <row r="72">
      <c r="A72" s="19">
        <v>71.0</v>
      </c>
      <c r="B72" s="20">
        <f>IFERROR(__xludf.DUMMYFUNCTION("""COMPUTED_VALUE"""),9.0)</f>
        <v>9</v>
      </c>
      <c r="C72" s="21" t="str">
        <f>IFERROR(__xludf.DUMMYFUNCTION("""COMPUTED_VALUE"""),"Marcus Thuram")</f>
        <v>Marcus Thuram</v>
      </c>
      <c r="D72" s="21" t="str">
        <f>IFERROR(__xludf.DUMMYFUNCTION("""COMPUTED_VALUE"""),"napastnik")</f>
        <v>napastnik</v>
      </c>
      <c r="E72" s="21" t="str">
        <f>IFERROR(__xludf.DUMMYFUNCTION("""COMPUTED_VALUE"""),"Francja /Gwadelupa")</f>
        <v>Francja /Gwadelupa</v>
      </c>
      <c r="F72" s="22">
        <f>IFERROR(__xludf.DUMMYFUNCTION("""COMPUTED_VALUE"""),35648.0)</f>
        <v>35648</v>
      </c>
      <c r="G72" s="23">
        <f>IFERROR(__xludf.DUMMYFUNCTION("""COMPUTED_VALUE"""),28.0)</f>
        <v>28</v>
      </c>
      <c r="H72" s="24">
        <f>IFERROR(__xludf.DUMMYFUNCTION("""COMPUTED_VALUE"""),2.0)</f>
        <v>2</v>
      </c>
      <c r="I72" s="12"/>
    </row>
    <row r="73">
      <c r="A73" s="19">
        <v>72.0</v>
      </c>
      <c r="B73" s="20">
        <f>IFERROR(__xludf.DUMMYFUNCTION("""COMPUTED_VALUE"""),30.0)</f>
        <v>30</v>
      </c>
      <c r="C73" s="21" t="str">
        <f>IFERROR(__xludf.DUMMYFUNCTION("""COMPUTED_VALUE"""),"Jonathan David")</f>
        <v>Jonathan David</v>
      </c>
      <c r="D73" s="21" t="str">
        <f>IFERROR(__xludf.DUMMYFUNCTION("""COMPUTED_VALUE"""),"napastnik")</f>
        <v>napastnik</v>
      </c>
      <c r="E73" s="21" t="str">
        <f>IFERROR(__xludf.DUMMYFUNCTION("""COMPUTED_VALUE"""),"Kanada /USA")</f>
        <v>Kanada /USA</v>
      </c>
      <c r="F73" s="22">
        <f>IFERROR(__xludf.DUMMYFUNCTION("""COMPUTED_VALUE"""),36539.0)</f>
        <v>36539</v>
      </c>
      <c r="G73" s="23">
        <f>IFERROR(__xludf.DUMMYFUNCTION("""COMPUTED_VALUE"""),26.0)</f>
        <v>26</v>
      </c>
      <c r="H73" s="24">
        <f>IFERROR(__xludf.DUMMYFUNCTION("""COMPUTED_VALUE"""),2.0)</f>
        <v>2</v>
      </c>
      <c r="I73" s="12"/>
    </row>
    <row r="74">
      <c r="A74" s="19">
        <v>73.0</v>
      </c>
      <c r="B74" s="20">
        <f>IFERROR(__xludf.DUMMYFUNCTION("""COMPUTED_VALUE"""),14.0)</f>
        <v>14</v>
      </c>
      <c r="C74" s="21" t="str">
        <f>IFERROR(__xludf.DUMMYFUNCTION("""COMPUTED_VALUE"""),"Patrik Schick")</f>
        <v>Patrik Schick</v>
      </c>
      <c r="D74" s="21" t="str">
        <f>IFERROR(__xludf.DUMMYFUNCTION("""COMPUTED_VALUE"""),"napastnik")</f>
        <v>napastnik</v>
      </c>
      <c r="E74" s="21" t="str">
        <f>IFERROR(__xludf.DUMMYFUNCTION("""COMPUTED_VALUE"""),"Czechy")</f>
        <v>Czechy</v>
      </c>
      <c r="F74" s="22">
        <f>IFERROR(__xludf.DUMMYFUNCTION("""COMPUTED_VALUE"""),35088.0)</f>
        <v>35088</v>
      </c>
      <c r="G74" s="23">
        <f>IFERROR(__xludf.DUMMYFUNCTION("""COMPUTED_VALUE"""),30.0)</f>
        <v>30</v>
      </c>
      <c r="H74" s="24">
        <f>IFERROR(__xludf.DUMMYFUNCTION("""COMPUTED_VALUE"""),2.0)</f>
        <v>2</v>
      </c>
      <c r="I74" s="12"/>
    </row>
    <row r="75">
      <c r="A75" s="19">
        <v>74.0</v>
      </c>
      <c r="B75" s="20">
        <f>IFERROR(__xludf.DUMMYFUNCTION("""COMPUTED_VALUE"""),24.0)</f>
        <v>24</v>
      </c>
      <c r="C75" s="21" t="str">
        <f>IFERROR(__xludf.DUMMYFUNCTION("""COMPUTED_VALUE"""),"Aleix García")</f>
        <v>Aleix García</v>
      </c>
      <c r="D75" s="21" t="str">
        <f>IFERROR(__xludf.DUMMYFUNCTION("""COMPUTED_VALUE"""),"pomocnik")</f>
        <v>pomocnik</v>
      </c>
      <c r="E75" s="21" t="str">
        <f>IFERROR(__xludf.DUMMYFUNCTION("""COMPUTED_VALUE"""),"Hiszpania")</f>
        <v>Hiszpania</v>
      </c>
      <c r="F75" s="22">
        <f>IFERROR(__xludf.DUMMYFUNCTION("""COMPUTED_VALUE"""),35609.0)</f>
        <v>35609</v>
      </c>
      <c r="G75" s="23">
        <f>IFERROR(__xludf.DUMMYFUNCTION("""COMPUTED_VALUE"""),28.0)</f>
        <v>28</v>
      </c>
      <c r="H75" s="24">
        <f>IFERROR(__xludf.DUMMYFUNCTION("""COMPUTED_VALUE"""),2.0)</f>
        <v>2</v>
      </c>
      <c r="I75" s="12"/>
    </row>
    <row r="76">
      <c r="A76" s="19">
        <v>75.0</v>
      </c>
      <c r="B76" s="20">
        <f>IFERROR(__xludf.DUMMYFUNCTION("""COMPUTED_VALUE"""),4.0)</f>
        <v>4</v>
      </c>
      <c r="C76" s="21" t="str">
        <f>IFERROR(__xludf.DUMMYFUNCTION("""COMPUTED_VALUE"""),"Virgil van Dijk")</f>
        <v>Virgil van Dijk</v>
      </c>
      <c r="D76" s="21" t="str">
        <f>IFERROR(__xludf.DUMMYFUNCTION("""COMPUTED_VALUE"""),"obrońca")</f>
        <v>obrońca</v>
      </c>
      <c r="E76" s="21" t="str">
        <f>IFERROR(__xludf.DUMMYFUNCTION("""COMPUTED_VALUE"""),"Holandia /Surinam")</f>
        <v>Holandia /Surinam</v>
      </c>
      <c r="F76" s="22">
        <f>IFERROR(__xludf.DUMMYFUNCTION("""COMPUTED_VALUE"""),33427.0)</f>
        <v>33427</v>
      </c>
      <c r="G76" s="23">
        <f>IFERROR(__xludf.DUMMYFUNCTION("""COMPUTED_VALUE"""),34.0)</f>
        <v>34</v>
      </c>
      <c r="H76" s="24">
        <f>IFERROR(__xludf.DUMMYFUNCTION("""COMPUTED_VALUE"""),2.0)</f>
        <v>2</v>
      </c>
      <c r="I76" s="12"/>
    </row>
    <row r="77">
      <c r="A77" s="19">
        <v>76.0</v>
      </c>
      <c r="B77" s="20">
        <f>IFERROR(__xludf.DUMMYFUNCTION("""COMPUTED_VALUE"""),18.0)</f>
        <v>18</v>
      </c>
      <c r="C77" s="21" t="str">
        <f>IFERROR(__xludf.DUMMYFUNCTION("""COMPUTED_VALUE"""),"Cody Gakpo")</f>
        <v>Cody Gakpo</v>
      </c>
      <c r="D77" s="21" t="str">
        <f>IFERROR(__xludf.DUMMYFUNCTION("""COMPUTED_VALUE"""),"napastnik")</f>
        <v>napastnik</v>
      </c>
      <c r="E77" s="21" t="str">
        <f>IFERROR(__xludf.DUMMYFUNCTION("""COMPUTED_VALUE"""),"Holandia /Togo")</f>
        <v>Holandia /Togo</v>
      </c>
      <c r="F77" s="22">
        <f>IFERROR(__xludf.DUMMYFUNCTION("""COMPUTED_VALUE"""),36287.0)</f>
        <v>36287</v>
      </c>
      <c r="G77" s="23">
        <f>IFERROR(__xludf.DUMMYFUNCTION("""COMPUTED_VALUE"""),26.0)</f>
        <v>26</v>
      </c>
      <c r="H77" s="24">
        <f>IFERROR(__xludf.DUMMYFUNCTION("""COMPUTED_VALUE"""),2.0)</f>
        <v>2</v>
      </c>
      <c r="I77" s="12"/>
    </row>
    <row r="78">
      <c r="A78" s="19">
        <v>77.0</v>
      </c>
      <c r="B78" s="20">
        <f>IFERROR(__xludf.DUMMYFUNCTION("""COMPUTED_VALUE"""),10.0)</f>
        <v>10</v>
      </c>
      <c r="C78" s="21" t="str">
        <f>IFERROR(__xludf.DUMMYFUNCTION("""COMPUTED_VALUE"""),"Rayan Cherki")</f>
        <v>Rayan Cherki</v>
      </c>
      <c r="D78" s="21" t="str">
        <f>IFERROR(__xludf.DUMMYFUNCTION("""COMPUTED_VALUE"""),"pomocnik")</f>
        <v>pomocnik</v>
      </c>
      <c r="E78" s="21" t="str">
        <f>IFERROR(__xludf.DUMMYFUNCTION("""COMPUTED_VALUE"""),"Francja /Algieria")</f>
        <v>Francja /Algieria</v>
      </c>
      <c r="F78" s="22">
        <f>IFERROR(__xludf.DUMMYFUNCTION("""COMPUTED_VALUE"""),37850.0)</f>
        <v>37850</v>
      </c>
      <c r="G78" s="23">
        <f>IFERROR(__xludf.DUMMYFUNCTION("""COMPUTED_VALUE"""),22.0)</f>
        <v>22</v>
      </c>
      <c r="H78" s="24">
        <f>IFERROR(__xludf.DUMMYFUNCTION("""COMPUTED_VALUE"""),2.0)</f>
        <v>2</v>
      </c>
      <c r="I78" s="12"/>
    </row>
    <row r="79">
      <c r="A79" s="19">
        <v>78.0</v>
      </c>
      <c r="B79" s="20">
        <f>IFERROR(__xludf.DUMMYFUNCTION("""COMPUTED_VALUE"""),47.0)</f>
        <v>47</v>
      </c>
      <c r="C79" s="21" t="str">
        <f>IFERROR(__xludf.DUMMYFUNCTION("""COMPUTED_VALUE"""),"Phil Foden")</f>
        <v>Phil Foden</v>
      </c>
      <c r="D79" s="21" t="str">
        <f>IFERROR(__xludf.DUMMYFUNCTION("""COMPUTED_VALUE"""),"pomocnik")</f>
        <v>pomocnik</v>
      </c>
      <c r="E79" s="21" t="str">
        <f>IFERROR(__xludf.DUMMYFUNCTION("""COMPUTED_VALUE"""),"Anglia")</f>
        <v>Anglia</v>
      </c>
      <c r="F79" s="22">
        <f>IFERROR(__xludf.DUMMYFUNCTION("""COMPUTED_VALUE"""),36674.0)</f>
        <v>36674</v>
      </c>
      <c r="G79" s="23">
        <f>IFERROR(__xludf.DUMMYFUNCTION("""COMPUTED_VALUE"""),25.0)</f>
        <v>25</v>
      </c>
      <c r="H79" s="24">
        <f>IFERROR(__xludf.DUMMYFUNCTION("""COMPUTED_VALUE"""),2.0)</f>
        <v>2</v>
      </c>
      <c r="I79" s="12"/>
    </row>
    <row r="80">
      <c r="A80" s="19">
        <v>79.0</v>
      </c>
      <c r="B80" s="20">
        <f>IFERROR(__xludf.DUMMYFUNCTION("""COMPUTED_VALUE"""),4.0)</f>
        <v>4</v>
      </c>
      <c r="C80" s="21" t="str">
        <f>IFERROR(__xludf.DUMMYFUNCTION("""COMPUTED_VALUE"""),"Jordan Teze")</f>
        <v>Jordan Teze</v>
      </c>
      <c r="D80" s="21" t="str">
        <f>IFERROR(__xludf.DUMMYFUNCTION("""COMPUTED_VALUE"""),"obrońca")</f>
        <v>obrońca</v>
      </c>
      <c r="E80" s="21" t="str">
        <f>IFERROR(__xludf.DUMMYFUNCTION("""COMPUTED_VALUE"""),"Holandia /Kongo")</f>
        <v>Holandia /Kongo</v>
      </c>
      <c r="F80" s="22">
        <f>IFERROR(__xludf.DUMMYFUNCTION("""COMPUTED_VALUE"""),36433.0)</f>
        <v>36433</v>
      </c>
      <c r="G80" s="23">
        <f>IFERROR(__xludf.DUMMYFUNCTION("""COMPUTED_VALUE"""),26.0)</f>
        <v>26</v>
      </c>
      <c r="H80" s="24">
        <f>IFERROR(__xludf.DUMMYFUNCTION("""COMPUTED_VALUE"""),2.0)</f>
        <v>2</v>
      </c>
      <c r="I80" s="12"/>
    </row>
    <row r="81">
      <c r="A81" s="19">
        <v>80.0</v>
      </c>
      <c r="B81" s="20">
        <f>IFERROR(__xludf.DUMMYFUNCTION("""COMPUTED_VALUE"""),19.0)</f>
        <v>19</v>
      </c>
      <c r="C81" s="21" t="str">
        <f>IFERROR(__xludf.DUMMYFUNCTION("""COMPUTED_VALUE"""),"Rasmus Højlund")</f>
        <v>Rasmus Højlund</v>
      </c>
      <c r="D81" s="21" t="str">
        <f>IFERROR(__xludf.DUMMYFUNCTION("""COMPUTED_VALUE"""),"napastnik")</f>
        <v>napastnik</v>
      </c>
      <c r="E81" s="21" t="str">
        <f>IFERROR(__xludf.DUMMYFUNCTION("""COMPUTED_VALUE"""),"Dania")</f>
        <v>Dania</v>
      </c>
      <c r="F81" s="22">
        <f>IFERROR(__xludf.DUMMYFUNCTION("""COMPUTED_VALUE"""),37656.0)</f>
        <v>37656</v>
      </c>
      <c r="G81" s="23">
        <f>IFERROR(__xludf.DUMMYFUNCTION("""COMPUTED_VALUE"""),22.0)</f>
        <v>22</v>
      </c>
      <c r="H81" s="24">
        <f>IFERROR(__xludf.DUMMYFUNCTION("""COMPUTED_VALUE"""),2.0)</f>
        <v>2</v>
      </c>
      <c r="I81" s="12"/>
    </row>
    <row r="82">
      <c r="A82" s="19">
        <v>81.0</v>
      </c>
      <c r="B82" s="20">
        <f>IFERROR(__xludf.DUMMYFUNCTION("""COMPUTED_VALUE"""),9.0)</f>
        <v>9</v>
      </c>
      <c r="C82" s="21" t="str">
        <f>IFERROR(__xludf.DUMMYFUNCTION("""COMPUTED_VALUE"""),"Ayoub El Kaabi")</f>
        <v>Ayoub El Kaabi</v>
      </c>
      <c r="D82" s="21" t="str">
        <f>IFERROR(__xludf.DUMMYFUNCTION("""COMPUTED_VALUE"""),"napastnik")</f>
        <v>napastnik</v>
      </c>
      <c r="E82" s="21" t="str">
        <f>IFERROR(__xludf.DUMMYFUNCTION("""COMPUTED_VALUE"""),"Maroko")</f>
        <v>Maroko</v>
      </c>
      <c r="F82" s="22">
        <f>IFERROR(__xludf.DUMMYFUNCTION("""COMPUTED_VALUE"""),34145.0)</f>
        <v>34145</v>
      </c>
      <c r="G82" s="23">
        <f>IFERROR(__xludf.DUMMYFUNCTION("""COMPUTED_VALUE"""),32.0)</f>
        <v>32</v>
      </c>
      <c r="H82" s="24">
        <f>IFERROR(__xludf.DUMMYFUNCTION("""COMPUTED_VALUE"""),2.0)</f>
        <v>2</v>
      </c>
      <c r="I82" s="12"/>
    </row>
    <row r="83">
      <c r="A83" s="19">
        <v>82.0</v>
      </c>
      <c r="B83" s="20">
        <f>IFERROR(__xludf.DUMMYFUNCTION("""COMPUTED_VALUE"""),10.0)</f>
        <v>10</v>
      </c>
      <c r="C83" s="21" t="str">
        <f>IFERROR(__xludf.DUMMYFUNCTION("""COMPUTED_VALUE"""),"Gelson Martins")</f>
        <v>Gelson Martins</v>
      </c>
      <c r="D83" s="21" t="str">
        <f>IFERROR(__xludf.DUMMYFUNCTION("""COMPUTED_VALUE"""),"napastnik")</f>
        <v>napastnik</v>
      </c>
      <c r="E83" s="21" t="str">
        <f>IFERROR(__xludf.DUMMYFUNCTION("""COMPUTED_VALUE"""),"Portugalia /Republika Zielonego Przylądka")</f>
        <v>Portugalia /Republika Zielonego Przylądka</v>
      </c>
      <c r="F83" s="22">
        <f>IFERROR(__xludf.DUMMYFUNCTION("""COMPUTED_VALUE"""),34830.0)</f>
        <v>34830</v>
      </c>
      <c r="G83" s="23">
        <f>IFERROR(__xludf.DUMMYFUNCTION("""COMPUTED_VALUE"""),30.0)</f>
        <v>30</v>
      </c>
      <c r="H83" s="24">
        <f>IFERROR(__xludf.DUMMYFUNCTION("""COMPUTED_VALUE"""),2.0)</f>
        <v>2</v>
      </c>
      <c r="I83" s="12"/>
    </row>
    <row r="84">
      <c r="A84" s="19">
        <v>83.0</v>
      </c>
      <c r="B84" s="20">
        <f>IFERROR(__xludf.DUMMYFUNCTION("""COMPUTED_VALUE"""),99.0)</f>
        <v>99</v>
      </c>
      <c r="C84" s="21" t="str">
        <f>IFERROR(__xludf.DUMMYFUNCTION("""COMPUTED_VALUE"""),"Mehdi Taremi")</f>
        <v>Mehdi Taremi</v>
      </c>
      <c r="D84" s="21" t="str">
        <f>IFERROR(__xludf.DUMMYFUNCTION("""COMPUTED_VALUE"""),"napastnik")</f>
        <v>napastnik</v>
      </c>
      <c r="E84" s="21" t="str">
        <f>IFERROR(__xludf.DUMMYFUNCTION("""COMPUTED_VALUE"""),"Iran")</f>
        <v>Iran</v>
      </c>
      <c r="F84" s="22">
        <f>IFERROR(__xludf.DUMMYFUNCTION("""COMPUTED_VALUE"""),33803.0)</f>
        <v>33803</v>
      </c>
      <c r="G84" s="23">
        <f>IFERROR(__xludf.DUMMYFUNCTION("""COMPUTED_VALUE"""),33.0)</f>
        <v>33</v>
      </c>
      <c r="H84" s="24">
        <f>IFERROR(__xludf.DUMMYFUNCTION("""COMPUTED_VALUE"""),2.0)</f>
        <v>2</v>
      </c>
      <c r="I84" s="12"/>
    </row>
    <row r="85">
      <c r="A85" s="19">
        <v>84.0</v>
      </c>
      <c r="B85" s="20">
        <f>IFERROR(__xludf.DUMMYFUNCTION("""COMPUTED_VALUE"""),14.0)</f>
        <v>14</v>
      </c>
      <c r="C85" s="21" t="str">
        <f>IFERROR(__xludf.DUMMYFUNCTION("""COMPUTED_VALUE"""),"Désiré Doué")</f>
        <v>Désiré Doué</v>
      </c>
      <c r="D85" s="21" t="str">
        <f>IFERROR(__xludf.DUMMYFUNCTION("""COMPUTED_VALUE"""),"napastnik")</f>
        <v>napastnik</v>
      </c>
      <c r="E85" s="21" t="str">
        <f>IFERROR(__xludf.DUMMYFUNCTION("""COMPUTED_VALUE"""),"Francja /Wybrzeże Kości Słoniowej")</f>
        <v>Francja /Wybrzeże Kości Słoniowej</v>
      </c>
      <c r="F85" s="22">
        <f>IFERROR(__xludf.DUMMYFUNCTION("""COMPUTED_VALUE"""),38506.0)</f>
        <v>38506</v>
      </c>
      <c r="G85" s="23">
        <f>IFERROR(__xludf.DUMMYFUNCTION("""COMPUTED_VALUE"""),20.0)</f>
        <v>20</v>
      </c>
      <c r="H85" s="24">
        <f>IFERROR(__xludf.DUMMYFUNCTION("""COMPUTED_VALUE"""),2.0)</f>
        <v>2</v>
      </c>
      <c r="I85" s="12"/>
    </row>
    <row r="86">
      <c r="A86" s="19">
        <v>85.0</v>
      </c>
      <c r="B86" s="20">
        <f>IFERROR(__xludf.DUMMYFUNCTION("""COMPUTED_VALUE"""),25.0)</f>
        <v>25</v>
      </c>
      <c r="C86" s="21" t="str">
        <f>IFERROR(__xludf.DUMMYFUNCTION("""COMPUTED_VALUE"""),"Nuno Mendes")</f>
        <v>Nuno Mendes</v>
      </c>
      <c r="D86" s="21" t="str">
        <f>IFERROR(__xludf.DUMMYFUNCTION("""COMPUTED_VALUE"""),"obrońca")</f>
        <v>obrońca</v>
      </c>
      <c r="E86" s="21" t="str">
        <f>IFERROR(__xludf.DUMMYFUNCTION("""COMPUTED_VALUE"""),"Portugalia")</f>
        <v>Portugalia</v>
      </c>
      <c r="F86" s="22">
        <f>IFERROR(__xludf.DUMMYFUNCTION("""COMPUTED_VALUE"""),37426.0)</f>
        <v>37426</v>
      </c>
      <c r="G86" s="23">
        <f>IFERROR(__xludf.DUMMYFUNCTION("""COMPUTED_VALUE"""),23.0)</f>
        <v>23</v>
      </c>
      <c r="H86" s="24">
        <f>IFERROR(__xludf.DUMMYFUNCTION("""COMPUTED_VALUE"""),2.0)</f>
        <v>2</v>
      </c>
      <c r="I86" s="12"/>
    </row>
    <row r="87">
      <c r="A87" s="19">
        <v>86.0</v>
      </c>
      <c r="B87" s="20">
        <f>IFERROR(__xludf.DUMMYFUNCTION("""COMPUTED_VALUE"""),51.0)</f>
        <v>51</v>
      </c>
      <c r="C87" s="21" t="str">
        <f>IFERROR(__xludf.DUMMYFUNCTION("""COMPUTED_VALUE"""),"William Pacho")</f>
        <v>William Pacho</v>
      </c>
      <c r="D87" s="21" t="str">
        <f>IFERROR(__xludf.DUMMYFUNCTION("""COMPUTED_VALUE"""),"obrońca")</f>
        <v>obrońca</v>
      </c>
      <c r="E87" s="21" t="str">
        <f>IFERROR(__xludf.DUMMYFUNCTION("""COMPUTED_VALUE"""),"Wenezuela")</f>
        <v>Wenezuela</v>
      </c>
      <c r="F87" s="22">
        <f>IFERROR(__xludf.DUMMYFUNCTION("""COMPUTED_VALUE"""),37180.0)</f>
        <v>37180</v>
      </c>
      <c r="G87" s="23">
        <f>IFERROR(__xludf.DUMMYFUNCTION("""COMPUTED_VALUE"""),24.0)</f>
        <v>24</v>
      </c>
      <c r="H87" s="24">
        <f>IFERROR(__xludf.DUMMYFUNCTION("""COMPUTED_VALUE"""),2.0)</f>
        <v>2</v>
      </c>
      <c r="I87" s="12"/>
    </row>
    <row r="88">
      <c r="A88" s="19">
        <v>87.0</v>
      </c>
      <c r="B88" s="20">
        <f>IFERROR(__xludf.DUMMYFUNCTION("""COMPUTED_VALUE"""),20.0)</f>
        <v>20</v>
      </c>
      <c r="C88" s="21" t="str">
        <f>IFERROR(__xludf.DUMMYFUNCTION("""COMPUTED_VALUE"""),"Guus Til")</f>
        <v>Guus Til</v>
      </c>
      <c r="D88" s="21" t="str">
        <f>IFERROR(__xludf.DUMMYFUNCTION("""COMPUTED_VALUE"""),"pomocnik")</f>
        <v>pomocnik</v>
      </c>
      <c r="E88" s="21" t="str">
        <f>IFERROR(__xludf.DUMMYFUNCTION("""COMPUTED_VALUE"""),"Holandia")</f>
        <v>Holandia</v>
      </c>
      <c r="F88" s="22">
        <f>IFERROR(__xludf.DUMMYFUNCTION("""COMPUTED_VALUE"""),35786.0)</f>
        <v>35786</v>
      </c>
      <c r="G88" s="23">
        <f>IFERROR(__xludf.DUMMYFUNCTION("""COMPUTED_VALUE"""),28.0)</f>
        <v>28</v>
      </c>
      <c r="H88" s="24">
        <f>IFERROR(__xludf.DUMMYFUNCTION("""COMPUTED_VALUE"""),2.0)</f>
        <v>2</v>
      </c>
      <c r="I88" s="12"/>
    </row>
    <row r="89">
      <c r="A89" s="19">
        <v>88.0</v>
      </c>
      <c r="B89" s="20">
        <f>IFERROR(__xludf.DUMMYFUNCTION("""COMPUTED_VALUE"""),27.0)</f>
        <v>27</v>
      </c>
      <c r="C89" s="21" t="str">
        <f>IFERROR(__xludf.DUMMYFUNCTION("""COMPUTED_VALUE"""),"Dennis Man")</f>
        <v>Dennis Man</v>
      </c>
      <c r="D89" s="21" t="str">
        <f>IFERROR(__xludf.DUMMYFUNCTION("""COMPUTED_VALUE"""),"napastnik")</f>
        <v>napastnik</v>
      </c>
      <c r="E89" s="21" t="str">
        <f>IFERROR(__xludf.DUMMYFUNCTION("""COMPUTED_VALUE"""),"Rumunia")</f>
        <v>Rumunia</v>
      </c>
      <c r="F89" s="22">
        <f>IFERROR(__xludf.DUMMYFUNCTION("""COMPUTED_VALUE"""),36033.0)</f>
        <v>36033</v>
      </c>
      <c r="G89" s="23">
        <f>IFERROR(__xludf.DUMMYFUNCTION("""COMPUTED_VALUE"""),27.0)</f>
        <v>27</v>
      </c>
      <c r="H89" s="24">
        <f>IFERROR(__xludf.DUMMYFUNCTION("""COMPUTED_VALUE"""),2.0)</f>
        <v>2</v>
      </c>
      <c r="I89" s="12"/>
    </row>
    <row r="90">
      <c r="A90" s="19">
        <v>89.0</v>
      </c>
      <c r="B90" s="20">
        <f>IFERROR(__xludf.DUMMYFUNCTION("""COMPUTED_VALUE"""),34.0)</f>
        <v>34</v>
      </c>
      <c r="C90" s="21" t="str">
        <f>IFERROR(__xludf.DUMMYFUNCTION("""COMPUTED_VALUE"""),"Ismael Saibari")</f>
        <v>Ismael Saibari</v>
      </c>
      <c r="D90" s="21" t="str">
        <f>IFERROR(__xludf.DUMMYFUNCTION("""COMPUTED_VALUE"""),"pomocnik")</f>
        <v>pomocnik</v>
      </c>
      <c r="E90" s="21" t="str">
        <f>IFERROR(__xludf.DUMMYFUNCTION("""COMPUTED_VALUE"""),"Maroko /Belgia")</f>
        <v>Maroko /Belgia</v>
      </c>
      <c r="F90" s="22">
        <f>IFERROR(__xludf.DUMMYFUNCTION("""COMPUTED_VALUE"""),36919.0)</f>
        <v>36919</v>
      </c>
      <c r="G90" s="23">
        <f>IFERROR(__xludf.DUMMYFUNCTION("""COMPUTED_VALUE"""),25.0)</f>
        <v>25</v>
      </c>
      <c r="H90" s="24">
        <f>IFERROR(__xludf.DUMMYFUNCTION("""COMPUTED_VALUE"""),2.0)</f>
        <v>2</v>
      </c>
      <c r="I90" s="12"/>
    </row>
    <row r="91">
      <c r="A91" s="19">
        <v>90.0</v>
      </c>
      <c r="B91" s="20">
        <f>IFERROR(__xludf.DUMMYFUNCTION("""COMPUTED_VALUE"""),5.0)</f>
        <v>5</v>
      </c>
      <c r="C91" s="21" t="str">
        <f>IFERROR(__xludf.DUMMYFUNCTION("""COMPUTED_VALUE"""),"Jude Bellingham")</f>
        <v>Jude Bellingham</v>
      </c>
      <c r="D91" s="21" t="str">
        <f>IFERROR(__xludf.DUMMYFUNCTION("""COMPUTED_VALUE"""),"pomocnik")</f>
        <v>pomocnik</v>
      </c>
      <c r="E91" s="21" t="str">
        <f>IFERROR(__xludf.DUMMYFUNCTION("""COMPUTED_VALUE"""),"Anglia /Irlandia")</f>
        <v>Anglia /Irlandia</v>
      </c>
      <c r="F91" s="22">
        <f>IFERROR(__xludf.DUMMYFUNCTION("""COMPUTED_VALUE"""),37801.0)</f>
        <v>37801</v>
      </c>
      <c r="G91" s="23">
        <f>IFERROR(__xludf.DUMMYFUNCTION("""COMPUTED_VALUE"""),22.0)</f>
        <v>22</v>
      </c>
      <c r="H91" s="24">
        <f>IFERROR(__xludf.DUMMYFUNCTION("""COMPUTED_VALUE"""),2.0)</f>
        <v>2</v>
      </c>
      <c r="I91" s="12"/>
    </row>
    <row r="92">
      <c r="A92" s="19">
        <v>91.0</v>
      </c>
      <c r="B92" s="20">
        <f>IFERROR(__xludf.DUMMYFUNCTION("""COMPUTED_VALUE"""),12.0)</f>
        <v>12</v>
      </c>
      <c r="C92" s="21" t="str">
        <f>IFERROR(__xludf.DUMMYFUNCTION("""COMPUTED_VALUE"""),"Youssoupha Mbodji")</f>
        <v>Youssoupha Mbodji</v>
      </c>
      <c r="D92" s="21" t="str">
        <f>IFERROR(__xludf.DUMMYFUNCTION("""COMPUTED_VALUE"""),"obrońca")</f>
        <v>obrońca</v>
      </c>
      <c r="E92" s="21" t="str">
        <f>IFERROR(__xludf.DUMMYFUNCTION("""COMPUTED_VALUE"""),"Senegal")</f>
        <v>Senegal</v>
      </c>
      <c r="F92" s="22">
        <f>IFERROR(__xludf.DUMMYFUNCTION("""COMPUTED_VALUE"""),37995.0)</f>
        <v>37995</v>
      </c>
      <c r="G92" s="23">
        <f>IFERROR(__xludf.DUMMYFUNCTION("""COMPUTED_VALUE"""),22.0)</f>
        <v>22</v>
      </c>
      <c r="H92" s="24">
        <f>IFERROR(__xludf.DUMMYFUNCTION("""COMPUTED_VALUE"""),2.0)</f>
        <v>2</v>
      </c>
      <c r="I92" s="12"/>
    </row>
    <row r="93">
      <c r="A93" s="19">
        <v>92.0</v>
      </c>
      <c r="B93" s="20">
        <f>IFERROR(__xludf.DUMMYFUNCTION("""COMPUTED_VALUE"""),7.0)</f>
        <v>7</v>
      </c>
      <c r="C93" s="21" t="str">
        <f>IFERROR(__xludf.DUMMYFUNCTION("""COMPUTED_VALUE"""),"Geovany Quenda")</f>
        <v>Geovany Quenda</v>
      </c>
      <c r="D93" s="21" t="str">
        <f>IFERROR(__xludf.DUMMYFUNCTION("""COMPUTED_VALUE"""),"napastnik")</f>
        <v>napastnik</v>
      </c>
      <c r="E93" s="21" t="str">
        <f>IFERROR(__xludf.DUMMYFUNCTION("""COMPUTED_VALUE"""),"Portugalia /Gwinea Bissau")</f>
        <v>Portugalia /Gwinea Bissau</v>
      </c>
      <c r="F93" s="22">
        <f>IFERROR(__xludf.DUMMYFUNCTION("""COMPUTED_VALUE"""),39202.0)</f>
        <v>39202</v>
      </c>
      <c r="G93" s="23">
        <f>IFERROR(__xludf.DUMMYFUNCTION("""COMPUTED_VALUE"""),18.0)</f>
        <v>18</v>
      </c>
      <c r="H93" s="24">
        <f>IFERROR(__xludf.DUMMYFUNCTION("""COMPUTED_VALUE"""),2.0)</f>
        <v>2</v>
      </c>
      <c r="I93" s="12"/>
    </row>
    <row r="94">
      <c r="A94" s="19">
        <v>93.0</v>
      </c>
      <c r="B94" s="20">
        <f>IFERROR(__xludf.DUMMYFUNCTION("""COMPUTED_VALUE"""),27.0)</f>
        <v>27</v>
      </c>
      <c r="C94" s="21" t="str">
        <f>IFERROR(__xludf.DUMMYFUNCTION("""COMPUTED_VALUE"""),"Alisson Santos")</f>
        <v>Alisson Santos</v>
      </c>
      <c r="D94" s="21" t="str">
        <f>IFERROR(__xludf.DUMMYFUNCTION("""COMPUTED_VALUE"""),"napastnik")</f>
        <v>napastnik</v>
      </c>
      <c r="E94" s="21" t="str">
        <f>IFERROR(__xludf.DUMMYFUNCTION("""COMPUTED_VALUE"""),"Brazylia")</f>
        <v>Brazylia</v>
      </c>
      <c r="F94" s="22">
        <f>IFERROR(__xludf.DUMMYFUNCTION("""COMPUTED_VALUE"""),37526.0)</f>
        <v>37526</v>
      </c>
      <c r="G94" s="23">
        <f>IFERROR(__xludf.DUMMYFUNCTION("""COMPUTED_VALUE"""),23.0)</f>
        <v>23</v>
      </c>
      <c r="H94" s="24">
        <f>IFERROR(__xludf.DUMMYFUNCTION("""COMPUTED_VALUE"""),2.0)</f>
        <v>2</v>
      </c>
      <c r="I94" s="12"/>
    </row>
    <row r="95">
      <c r="A95" s="19">
        <v>94.0</v>
      </c>
      <c r="B95" s="20">
        <f>IFERROR(__xludf.DUMMYFUNCTION("""COMPUTED_VALUE"""),37.0)</f>
        <v>37</v>
      </c>
      <c r="C95" s="21" t="str">
        <f>IFERROR(__xludf.DUMMYFUNCTION("""COMPUTED_VALUE"""),"Micky van den Ven")</f>
        <v>Micky van den Ven</v>
      </c>
      <c r="D95" s="21" t="str">
        <f>IFERROR(__xludf.DUMMYFUNCTION("""COMPUTED_VALUE"""),"obrońca")</f>
        <v>obrońca</v>
      </c>
      <c r="E95" s="21" t="str">
        <f>IFERROR(__xludf.DUMMYFUNCTION("""COMPUTED_VALUE"""),"Holandia")</f>
        <v>Holandia</v>
      </c>
      <c r="F95" s="22">
        <f>IFERROR(__xludf.DUMMYFUNCTION("""COMPUTED_VALUE"""),37000.0)</f>
        <v>37000</v>
      </c>
      <c r="G95" s="23">
        <f>IFERROR(__xludf.DUMMYFUNCTION("""COMPUTED_VALUE"""),24.0)</f>
        <v>24</v>
      </c>
      <c r="H95" s="24">
        <f>IFERROR(__xludf.DUMMYFUNCTION("""COMPUTED_VALUE"""),2.0)</f>
        <v>2</v>
      </c>
      <c r="I95" s="12"/>
    </row>
    <row r="96">
      <c r="A96" s="19">
        <v>95.0</v>
      </c>
      <c r="B96" s="20">
        <f>IFERROR(__xludf.DUMMYFUNCTION("""COMPUTED_VALUE"""),39.0)</f>
        <v>39</v>
      </c>
      <c r="C96" s="21" t="str">
        <f>IFERROR(__xludf.DUMMYFUNCTION("""COMPUTED_VALUE"""),"Randal Kolo Muani")</f>
        <v>Randal Kolo Muani</v>
      </c>
      <c r="D96" s="21" t="str">
        <f>IFERROR(__xludf.DUMMYFUNCTION("""COMPUTED_VALUE"""),"napastnik")</f>
        <v>napastnik</v>
      </c>
      <c r="E96" s="21" t="str">
        <f>IFERROR(__xludf.DUMMYFUNCTION("""COMPUTED_VALUE"""),"Francja /Demokratyczna Republika Konga")</f>
        <v>Francja /Demokratyczna Republika Konga</v>
      </c>
      <c r="F96" s="22">
        <f>IFERROR(__xludf.DUMMYFUNCTION("""COMPUTED_VALUE"""),36134.0)</f>
        <v>36134</v>
      </c>
      <c r="G96" s="23">
        <f>IFERROR(__xludf.DUMMYFUNCTION("""COMPUTED_VALUE"""),27.0)</f>
        <v>27</v>
      </c>
      <c r="H96" s="24">
        <f>IFERROR(__xludf.DUMMYFUNCTION("""COMPUTED_VALUE"""),2.0)</f>
        <v>2</v>
      </c>
      <c r="I96" s="12"/>
    </row>
    <row r="97">
      <c r="A97" s="19">
        <v>96.0</v>
      </c>
      <c r="B97" s="20">
        <f>IFERROR(__xludf.DUMMYFUNCTION("""COMPUTED_VALUE"""),12.0)</f>
        <v>12</v>
      </c>
      <c r="C97" s="21" t="str">
        <f>IFERROR(__xludf.DUMMYFUNCTION("""COMPUTED_VALUE"""),"Promise David")</f>
        <v>Promise David</v>
      </c>
      <c r="D97" s="21" t="str">
        <f>IFERROR(__xludf.DUMMYFUNCTION("""COMPUTED_VALUE"""),"napastnik")</f>
        <v>napastnik</v>
      </c>
      <c r="E97" s="21" t="str">
        <f>IFERROR(__xludf.DUMMYFUNCTION("""COMPUTED_VALUE"""),"Kanada /Nigeria")</f>
        <v>Kanada /Nigeria</v>
      </c>
      <c r="F97" s="22">
        <f>IFERROR(__xludf.DUMMYFUNCTION("""COMPUTED_VALUE"""),37075.0)</f>
        <v>37075</v>
      </c>
      <c r="G97" s="23">
        <f>IFERROR(__xludf.DUMMYFUNCTION("""COMPUTED_VALUE"""),24.0)</f>
        <v>24</v>
      </c>
      <c r="H97" s="24">
        <f>IFERROR(__xludf.DUMMYFUNCTION("""COMPUTED_VALUE"""),2.0)</f>
        <v>2</v>
      </c>
      <c r="I97" s="12"/>
    </row>
    <row r="98">
      <c r="A98" s="19">
        <v>97.0</v>
      </c>
      <c r="B98" s="20">
        <f>IFERROR(__xludf.DUMMYFUNCTION("""COMPUTED_VALUE"""),25.0)</f>
        <v>25</v>
      </c>
      <c r="C98" s="21" t="str">
        <f>IFERROR(__xludf.DUMMYFUNCTION("""COMPUTED_VALUE"""),"Anan Khalaili")</f>
        <v>Anan Khalaili</v>
      </c>
      <c r="D98" s="21" t="str">
        <f>IFERROR(__xludf.DUMMYFUNCTION("""COMPUTED_VALUE"""),"pomocnik")</f>
        <v>pomocnik</v>
      </c>
      <c r="E98" s="21" t="str">
        <f>IFERROR(__xludf.DUMMYFUNCTION("""COMPUTED_VALUE"""),"Izrael")</f>
        <v>Izrael</v>
      </c>
      <c r="F98" s="22">
        <f>IFERROR(__xludf.DUMMYFUNCTION("""COMPUTED_VALUE"""),38233.0)</f>
        <v>38233</v>
      </c>
      <c r="G98" s="23">
        <f>IFERROR(__xludf.DUMMYFUNCTION("""COMPUTED_VALUE"""),21.0)</f>
        <v>21</v>
      </c>
      <c r="H98" s="24">
        <f>IFERROR(__xludf.DUMMYFUNCTION("""COMPUTED_VALUE"""),2.0)</f>
        <v>2</v>
      </c>
      <c r="I98" s="12"/>
    </row>
    <row r="99">
      <c r="A99" s="19">
        <v>98.0</v>
      </c>
      <c r="B99" s="20">
        <f>IFERROR(__xludf.DUMMYFUNCTION("""COMPUTED_VALUE"""),21.0)</f>
        <v>21</v>
      </c>
      <c r="C99" s="21" t="str">
        <f>IFERROR(__xludf.DUMMYFUNCTION("""COMPUTED_VALUE"""),"Tani Oluwaseyi")</f>
        <v>Tani Oluwaseyi</v>
      </c>
      <c r="D99" s="21" t="str">
        <f>IFERROR(__xludf.DUMMYFUNCTION("""COMPUTED_VALUE"""),"napastnik")</f>
        <v>napastnik</v>
      </c>
      <c r="E99" s="21" t="str">
        <f>IFERROR(__xludf.DUMMYFUNCTION("""COMPUTED_VALUE"""),"Kanada /Nigeria")</f>
        <v>Kanada /Nigeria</v>
      </c>
      <c r="F99" s="22">
        <f>IFERROR(__xludf.DUMMYFUNCTION("""COMPUTED_VALUE"""),36661.0)</f>
        <v>36661</v>
      </c>
      <c r="G99" s="23">
        <f>IFERROR(__xludf.DUMMYFUNCTION("""COMPUTED_VALUE"""),25.0)</f>
        <v>25</v>
      </c>
      <c r="H99" s="24">
        <f>IFERROR(__xludf.DUMMYFUNCTION("""COMPUTED_VALUE"""),2.0)</f>
        <v>2</v>
      </c>
      <c r="I99" s="12"/>
    </row>
    <row r="100">
      <c r="A100" s="19">
        <v>99.0</v>
      </c>
      <c r="B100" s="20">
        <f>IFERROR(__xludf.DUMMYFUNCTION("""COMPUTED_VALUE"""),3.0)</f>
        <v>3</v>
      </c>
      <c r="C100" s="21" t="str">
        <f>IFERROR(__xludf.DUMMYFUNCTION("""COMPUTED_VALUE"""),"Anton Gaaei")</f>
        <v>Anton Gaaei</v>
      </c>
      <c r="D100" s="21" t="str">
        <f>IFERROR(__xludf.DUMMYFUNCTION("""COMPUTED_VALUE"""),"obrońca")</f>
        <v>obrońca</v>
      </c>
      <c r="E100" s="21" t="str">
        <f>IFERROR(__xludf.DUMMYFUNCTION("""COMPUTED_VALUE"""),"Dania")</f>
        <v>Dania</v>
      </c>
      <c r="F100" s="22">
        <f>IFERROR(__xludf.DUMMYFUNCTION("""COMPUTED_VALUE"""),37579.0)</f>
        <v>37579</v>
      </c>
      <c r="G100" s="23">
        <f>IFERROR(__xludf.DUMMYFUNCTION("""COMPUTED_VALUE"""),23.0)</f>
        <v>23</v>
      </c>
      <c r="H100" s="24">
        <f>IFERROR(__xludf.DUMMYFUNCTION("""COMPUTED_VALUE"""),1.0)</f>
        <v>1</v>
      </c>
      <c r="I100" s="12"/>
    </row>
    <row r="101">
      <c r="A101" s="19">
        <v>100.0</v>
      </c>
      <c r="B101" s="20">
        <f>IFERROR(__xludf.DUMMYFUNCTION("""COMPUTED_VALUE"""),9.0)</f>
        <v>9</v>
      </c>
      <c r="C101" s="21" t="str">
        <f>IFERROR(__xludf.DUMMYFUNCTION("""COMPUTED_VALUE"""),"Kasper Dolberg")</f>
        <v>Kasper Dolberg</v>
      </c>
      <c r="D101" s="21" t="str">
        <f>IFERROR(__xludf.DUMMYFUNCTION("""COMPUTED_VALUE"""),"napastnik")</f>
        <v>napastnik</v>
      </c>
      <c r="E101" s="21" t="str">
        <f>IFERROR(__xludf.DUMMYFUNCTION("""COMPUTED_VALUE"""),"Dania")</f>
        <v>Dania</v>
      </c>
      <c r="F101" s="22">
        <f>IFERROR(__xludf.DUMMYFUNCTION("""COMPUTED_VALUE"""),35709.0)</f>
        <v>35709</v>
      </c>
      <c r="G101" s="23">
        <f>IFERROR(__xludf.DUMMYFUNCTION("""COMPUTED_VALUE"""),28.0)</f>
        <v>28</v>
      </c>
      <c r="H101" s="24">
        <f>IFERROR(__xludf.DUMMYFUNCTION("""COMPUTED_VALUE"""),1.0)</f>
        <v>1</v>
      </c>
      <c r="I101" s="12"/>
    </row>
    <row r="102">
      <c r="A102" s="19">
        <v>101.0</v>
      </c>
      <c r="B102" s="20">
        <f>IFERROR(__xludf.DUMMYFUNCTION("""COMPUTED_VALUE"""),17.0)</f>
        <v>17</v>
      </c>
      <c r="C102" s="21" t="str">
        <f>IFERROR(__xludf.DUMMYFUNCTION("""COMPUTED_VALUE"""),"Oliver Edvardsen")</f>
        <v>Oliver Edvardsen</v>
      </c>
      <c r="D102" s="21" t="str">
        <f>IFERROR(__xludf.DUMMYFUNCTION("""COMPUTED_VALUE"""),"napastnik")</f>
        <v>napastnik</v>
      </c>
      <c r="E102" s="21" t="str">
        <f>IFERROR(__xludf.DUMMYFUNCTION("""COMPUTED_VALUE"""),"Norwegia")</f>
        <v>Norwegia</v>
      </c>
      <c r="F102" s="22">
        <f>IFERROR(__xludf.DUMMYFUNCTION("""COMPUTED_VALUE"""),36238.0)</f>
        <v>36238</v>
      </c>
      <c r="G102" s="23">
        <f>IFERROR(__xludf.DUMMYFUNCTION("""COMPUTED_VALUE"""),26.0)</f>
        <v>26</v>
      </c>
      <c r="H102" s="24">
        <f>IFERROR(__xludf.DUMMYFUNCTION("""COMPUTED_VALUE"""),1.0)</f>
        <v>1</v>
      </c>
      <c r="I102" s="12"/>
    </row>
    <row r="103">
      <c r="A103" s="19">
        <v>102.0</v>
      </c>
      <c r="B103" s="20">
        <f>IFERROR(__xludf.DUMMYFUNCTION("""COMPUTED_VALUE"""),25.0)</f>
        <v>25</v>
      </c>
      <c r="C103" s="21" t="str">
        <f>IFERROR(__xludf.DUMMYFUNCTION("""COMPUTED_VALUE"""),"Wout Weghorst")</f>
        <v>Wout Weghorst</v>
      </c>
      <c r="D103" s="21" t="str">
        <f>IFERROR(__xludf.DUMMYFUNCTION("""COMPUTED_VALUE"""),"napastnik")</f>
        <v>napastnik</v>
      </c>
      <c r="E103" s="21" t="str">
        <f>IFERROR(__xludf.DUMMYFUNCTION("""COMPUTED_VALUE"""),"Holandia")</f>
        <v>Holandia</v>
      </c>
      <c r="F103" s="22">
        <f>IFERROR(__xludf.DUMMYFUNCTION("""COMPUTED_VALUE"""),33823.0)</f>
        <v>33823</v>
      </c>
      <c r="G103" s="23">
        <f>IFERROR(__xludf.DUMMYFUNCTION("""COMPUTED_VALUE"""),33.0)</f>
        <v>33</v>
      </c>
      <c r="H103" s="24">
        <f>IFERROR(__xludf.DUMMYFUNCTION("""COMPUTED_VALUE"""),1.0)</f>
        <v>1</v>
      </c>
      <c r="I103" s="12"/>
    </row>
    <row r="104">
      <c r="A104" s="19">
        <v>103.0</v>
      </c>
      <c r="B104" s="20">
        <f>IFERROR(__xludf.DUMMYFUNCTION("""COMPUTED_VALUE"""),6.0)</f>
        <v>6</v>
      </c>
      <c r="C104" s="21" t="str">
        <f>IFERROR(__xludf.DUMMYFUNCTION("""COMPUTED_VALUE"""),"Gabriel Magalhães")</f>
        <v>Gabriel Magalhães</v>
      </c>
      <c r="D104" s="21" t="str">
        <f>IFERROR(__xludf.DUMMYFUNCTION("""COMPUTED_VALUE"""),"obrońca")</f>
        <v>obrońca</v>
      </c>
      <c r="E104" s="21" t="str">
        <f>IFERROR(__xludf.DUMMYFUNCTION("""COMPUTED_VALUE"""),"Brazylia")</f>
        <v>Brazylia</v>
      </c>
      <c r="F104" s="22">
        <f>IFERROR(__xludf.DUMMYFUNCTION("""COMPUTED_VALUE"""),35783.0)</f>
        <v>35783</v>
      </c>
      <c r="G104" s="23">
        <f>IFERROR(__xludf.DUMMYFUNCTION("""COMPUTED_VALUE"""),28.0)</f>
        <v>28</v>
      </c>
      <c r="H104" s="24">
        <f>IFERROR(__xludf.DUMMYFUNCTION("""COMPUTED_VALUE"""),1.0)</f>
        <v>1</v>
      </c>
      <c r="I104" s="12"/>
    </row>
    <row r="105">
      <c r="A105" s="19">
        <v>104.0</v>
      </c>
      <c r="B105" s="20">
        <f>IFERROR(__xludf.DUMMYFUNCTION("""COMPUTED_VALUE"""),12.0)</f>
        <v>12</v>
      </c>
      <c r="C105" s="21" t="str">
        <f>IFERROR(__xludf.DUMMYFUNCTION("""COMPUTED_VALUE"""),"Jurriën Timber")</f>
        <v>Jurriën Timber</v>
      </c>
      <c r="D105" s="21" t="str">
        <f>IFERROR(__xludf.DUMMYFUNCTION("""COMPUTED_VALUE"""),"obrońca")</f>
        <v>obrońca</v>
      </c>
      <c r="E105" s="21" t="str">
        <f>IFERROR(__xludf.DUMMYFUNCTION("""COMPUTED_VALUE"""),"Holandia /Curaçao")</f>
        <v>Holandia /Curaçao</v>
      </c>
      <c r="F105" s="22">
        <f>IFERROR(__xludf.DUMMYFUNCTION("""COMPUTED_VALUE"""),37059.0)</f>
        <v>37059</v>
      </c>
      <c r="G105" s="23">
        <f>IFERROR(__xludf.DUMMYFUNCTION("""COMPUTED_VALUE"""),24.0)</f>
        <v>24</v>
      </c>
      <c r="H105" s="24">
        <f>IFERROR(__xludf.DUMMYFUNCTION("""COMPUTED_VALUE"""),1.0)</f>
        <v>1</v>
      </c>
      <c r="I105" s="12"/>
    </row>
    <row r="106">
      <c r="A106" s="19">
        <v>105.0</v>
      </c>
      <c r="B106" s="20">
        <f>IFERROR(__xludf.DUMMYFUNCTION("""COMPUTED_VALUE"""),19.0)</f>
        <v>19</v>
      </c>
      <c r="C106" s="21" t="str">
        <f>IFERROR(__xludf.DUMMYFUNCTION("""COMPUTED_VALUE"""),"Leandro Trossard")</f>
        <v>Leandro Trossard</v>
      </c>
      <c r="D106" s="21" t="str">
        <f>IFERROR(__xludf.DUMMYFUNCTION("""COMPUTED_VALUE"""),"napastnik")</f>
        <v>napastnik</v>
      </c>
      <c r="E106" s="21" t="str">
        <f>IFERROR(__xludf.DUMMYFUNCTION("""COMPUTED_VALUE"""),"Belgia")</f>
        <v>Belgia</v>
      </c>
      <c r="F106" s="22">
        <f>IFERROR(__xludf.DUMMYFUNCTION("""COMPUTED_VALUE"""),34672.0)</f>
        <v>34672</v>
      </c>
      <c r="G106" s="23">
        <f>IFERROR(__xludf.DUMMYFUNCTION("""COMPUTED_VALUE"""),31.0)</f>
        <v>31</v>
      </c>
      <c r="H106" s="24">
        <f>IFERROR(__xludf.DUMMYFUNCTION("""COMPUTED_VALUE"""),1.0)</f>
        <v>1</v>
      </c>
      <c r="I106" s="12"/>
    </row>
    <row r="107">
      <c r="A107" s="19">
        <v>106.0</v>
      </c>
      <c r="B107" s="20">
        <f>IFERROR(__xludf.DUMMYFUNCTION("""COMPUTED_VALUE"""),8.0)</f>
        <v>8</v>
      </c>
      <c r="C107" s="21" t="str">
        <f>IFERROR(__xludf.DUMMYFUNCTION("""COMPUTED_VALUE"""),"Mario Pašalić")</f>
        <v>Mario Pašalić</v>
      </c>
      <c r="D107" s="21" t="str">
        <f>IFERROR(__xludf.DUMMYFUNCTION("""COMPUTED_VALUE"""),"pomocnik")</f>
        <v>pomocnik</v>
      </c>
      <c r="E107" s="21" t="str">
        <f>IFERROR(__xludf.DUMMYFUNCTION("""COMPUTED_VALUE"""),"Chorwacja")</f>
        <v>Chorwacja</v>
      </c>
      <c r="F107" s="22">
        <f>IFERROR(__xludf.DUMMYFUNCTION("""COMPUTED_VALUE"""),34739.0)</f>
        <v>34739</v>
      </c>
      <c r="G107" s="23">
        <f>IFERROR(__xludf.DUMMYFUNCTION("""COMPUTED_VALUE"""),30.0)</f>
        <v>30</v>
      </c>
      <c r="H107" s="24">
        <f>IFERROR(__xludf.DUMMYFUNCTION("""COMPUTED_VALUE"""),1.0)</f>
        <v>1</v>
      </c>
      <c r="I107" s="12"/>
    </row>
    <row r="108">
      <c r="A108" s="19">
        <v>107.0</v>
      </c>
      <c r="B108" s="20">
        <f>IFERROR(__xludf.DUMMYFUNCTION("""COMPUTED_VALUE"""),11.0)</f>
        <v>11</v>
      </c>
      <c r="C108" s="21" t="str">
        <f>IFERROR(__xludf.DUMMYFUNCTION("""COMPUTED_VALUE"""),"Ademola Lookman")</f>
        <v>Ademola Lookman</v>
      </c>
      <c r="D108" s="21" t="str">
        <f>IFERROR(__xludf.DUMMYFUNCTION("""COMPUTED_VALUE"""),"napastnik")</f>
        <v>napastnik</v>
      </c>
      <c r="E108" s="21" t="str">
        <f>IFERROR(__xludf.DUMMYFUNCTION("""COMPUTED_VALUE"""),"Nigeria /Anglia")</f>
        <v>Nigeria /Anglia</v>
      </c>
      <c r="F108" s="22">
        <f>IFERROR(__xludf.DUMMYFUNCTION("""COMPUTED_VALUE"""),35723.0)</f>
        <v>35723</v>
      </c>
      <c r="G108" s="23">
        <f>IFERROR(__xludf.DUMMYFUNCTION("""COMPUTED_VALUE"""),28.0)</f>
        <v>28</v>
      </c>
      <c r="H108" s="24">
        <f>IFERROR(__xludf.DUMMYFUNCTION("""COMPUTED_VALUE"""),1.0)</f>
        <v>1</v>
      </c>
      <c r="I108" s="12"/>
    </row>
    <row r="109">
      <c r="A109" s="19">
        <v>108.0</v>
      </c>
      <c r="B109" s="20">
        <f>IFERROR(__xludf.DUMMYFUNCTION("""COMPUTED_VALUE"""),13.0)</f>
        <v>13</v>
      </c>
      <c r="C109" s="21" t="str">
        <f>IFERROR(__xludf.DUMMYFUNCTION("""COMPUTED_VALUE"""),"Éderson")</f>
        <v>Éderson</v>
      </c>
      <c r="D109" s="21" t="str">
        <f>IFERROR(__xludf.DUMMYFUNCTION("""COMPUTED_VALUE"""),"pomocnik")</f>
        <v>pomocnik</v>
      </c>
      <c r="E109" s="21" t="str">
        <f>IFERROR(__xludf.DUMMYFUNCTION("""COMPUTED_VALUE"""),"Brazylia")</f>
        <v>Brazylia</v>
      </c>
      <c r="F109" s="22">
        <f>IFERROR(__xludf.DUMMYFUNCTION("""COMPUTED_VALUE"""),36348.0)</f>
        <v>36348</v>
      </c>
      <c r="G109" s="23">
        <f>IFERROR(__xludf.DUMMYFUNCTION("""COMPUTED_VALUE"""),26.0)</f>
        <v>26</v>
      </c>
      <c r="H109" s="24">
        <f>IFERROR(__xludf.DUMMYFUNCTION("""COMPUTED_VALUE"""),1.0)</f>
        <v>1</v>
      </c>
      <c r="I109" s="12"/>
    </row>
    <row r="110">
      <c r="A110" s="19">
        <v>109.0</v>
      </c>
      <c r="B110" s="20">
        <f>IFERROR(__xludf.DUMMYFUNCTION("""COMPUTED_VALUE"""),90.0)</f>
        <v>90</v>
      </c>
      <c r="C110" s="21" t="str">
        <f>IFERROR(__xludf.DUMMYFUNCTION("""COMPUTED_VALUE"""),"Nikola Krstović")</f>
        <v>Nikola Krstović</v>
      </c>
      <c r="D110" s="21" t="str">
        <f>IFERROR(__xludf.DUMMYFUNCTION("""COMPUTED_VALUE"""),"napastnik")</f>
        <v>napastnik</v>
      </c>
      <c r="E110" s="21" t="str">
        <f>IFERROR(__xludf.DUMMYFUNCTION("""COMPUTED_VALUE"""),"Czarnogóra /Serbia")</f>
        <v>Czarnogóra /Serbia</v>
      </c>
      <c r="F110" s="22">
        <f>IFERROR(__xludf.DUMMYFUNCTION("""COMPUTED_VALUE"""),36621.0)</f>
        <v>36621</v>
      </c>
      <c r="G110" s="23">
        <f>IFERROR(__xludf.DUMMYFUNCTION("""COMPUTED_VALUE"""),25.0)</f>
        <v>25</v>
      </c>
      <c r="H110" s="24">
        <f>IFERROR(__xludf.DUMMYFUNCTION("""COMPUTED_VALUE"""),1.0)</f>
        <v>1</v>
      </c>
      <c r="I110" s="12"/>
    </row>
    <row r="111">
      <c r="A111" s="19">
        <v>110.0</v>
      </c>
      <c r="B111" s="20">
        <f>IFERROR(__xludf.DUMMYFUNCTION("""COMPUTED_VALUE"""),22.0)</f>
        <v>22</v>
      </c>
      <c r="C111" s="21" t="str">
        <f>IFERROR(__xludf.DUMMYFUNCTION("""COMPUTED_VALUE"""),"Nico Serrano")</f>
        <v>Nico Serrano</v>
      </c>
      <c r="D111" s="21" t="str">
        <f>IFERROR(__xludf.DUMMYFUNCTION("""COMPUTED_VALUE"""),"napastnik")</f>
        <v>napastnik</v>
      </c>
      <c r="E111" s="21" t="str">
        <f>IFERROR(__xludf.DUMMYFUNCTION("""COMPUTED_VALUE"""),"Hiszpania")</f>
        <v>Hiszpania</v>
      </c>
      <c r="F111" s="22">
        <f>IFERROR(__xludf.DUMMYFUNCTION("""COMPUTED_VALUE"""),37685.0)</f>
        <v>37685</v>
      </c>
      <c r="G111" s="23">
        <f>IFERROR(__xludf.DUMMYFUNCTION("""COMPUTED_VALUE"""),22.0)</f>
        <v>22</v>
      </c>
      <c r="H111" s="24">
        <f>IFERROR(__xludf.DUMMYFUNCTION("""COMPUTED_VALUE"""),1.0)</f>
        <v>1</v>
      </c>
      <c r="I111" s="12"/>
    </row>
    <row r="112">
      <c r="A112" s="19">
        <v>111.0</v>
      </c>
      <c r="B112" s="20">
        <f>IFERROR(__xludf.DUMMYFUNCTION("""COMPUTED_VALUE"""),2.0)</f>
        <v>2</v>
      </c>
      <c r="C112" s="21" t="str">
        <f>IFERROR(__xludf.DUMMYFUNCTION("""COMPUTED_VALUE"""),"José María Giménez")</f>
        <v>José María Giménez</v>
      </c>
      <c r="D112" s="21" t="str">
        <f>IFERROR(__xludf.DUMMYFUNCTION("""COMPUTED_VALUE"""),"obrońca")</f>
        <v>obrońca</v>
      </c>
      <c r="E112" s="21" t="str">
        <f>IFERROR(__xludf.DUMMYFUNCTION("""COMPUTED_VALUE"""),"Urugwaj /Hiszpania")</f>
        <v>Urugwaj /Hiszpania</v>
      </c>
      <c r="F112" s="22">
        <f>IFERROR(__xludf.DUMMYFUNCTION("""COMPUTED_VALUE"""),34719.0)</f>
        <v>34719</v>
      </c>
      <c r="G112" s="23">
        <f>IFERROR(__xludf.DUMMYFUNCTION("""COMPUTED_VALUE"""),31.0)</f>
        <v>31</v>
      </c>
      <c r="H112" s="24">
        <f>IFERROR(__xludf.DUMMYFUNCTION("""COMPUTED_VALUE"""),1.0)</f>
        <v>1</v>
      </c>
      <c r="I112" s="12"/>
    </row>
    <row r="113">
      <c r="A113" s="19">
        <v>112.0</v>
      </c>
      <c r="B113" s="20">
        <f>IFERROR(__xludf.DUMMYFUNCTION("""COMPUTED_VALUE"""),4.0)</f>
        <v>4</v>
      </c>
      <c r="C113" s="21" t="str">
        <f>IFERROR(__xludf.DUMMYFUNCTION("""COMPUTED_VALUE"""),"Conor Gallagher")</f>
        <v>Conor Gallagher</v>
      </c>
      <c r="D113" s="21" t="str">
        <f>IFERROR(__xludf.DUMMYFUNCTION("""COMPUTED_VALUE"""),"pomocnik")</f>
        <v>pomocnik</v>
      </c>
      <c r="E113" s="21" t="str">
        <f>IFERROR(__xludf.DUMMYFUNCTION("""COMPUTED_VALUE"""),"Anglia")</f>
        <v>Anglia</v>
      </c>
      <c r="F113" s="22">
        <f>IFERROR(__xludf.DUMMYFUNCTION("""COMPUTED_VALUE"""),36562.0)</f>
        <v>36562</v>
      </c>
      <c r="G113" s="23">
        <f>IFERROR(__xludf.DUMMYFUNCTION("""COMPUTED_VALUE"""),25.0)</f>
        <v>25</v>
      </c>
      <c r="H113" s="24">
        <f>IFERROR(__xludf.DUMMYFUNCTION("""COMPUTED_VALUE"""),1.0)</f>
        <v>1</v>
      </c>
      <c r="I113" s="12"/>
    </row>
    <row r="114">
      <c r="A114" s="19">
        <v>113.0</v>
      </c>
      <c r="B114" s="20">
        <f>IFERROR(__xludf.DUMMYFUNCTION("""COMPUTED_VALUE"""),7.0)</f>
        <v>7</v>
      </c>
      <c r="C114" s="21" t="str">
        <f>IFERROR(__xludf.DUMMYFUNCTION("""COMPUTED_VALUE"""),"Antoine Griezmann")</f>
        <v>Antoine Griezmann</v>
      </c>
      <c r="D114" s="21" t="str">
        <f>IFERROR(__xludf.DUMMYFUNCTION("""COMPUTED_VALUE"""),"napastnik")</f>
        <v>napastnik</v>
      </c>
      <c r="E114" s="21" t="str">
        <f>IFERROR(__xludf.DUMMYFUNCTION("""COMPUTED_VALUE"""),"Francja")</f>
        <v>Francja</v>
      </c>
      <c r="F114" s="22">
        <f>IFERROR(__xludf.DUMMYFUNCTION("""COMPUTED_VALUE"""),33318.0)</f>
        <v>33318</v>
      </c>
      <c r="G114" s="23">
        <f>IFERROR(__xludf.DUMMYFUNCTION("""COMPUTED_VALUE"""),34.0)</f>
        <v>34</v>
      </c>
      <c r="H114" s="24">
        <f>IFERROR(__xludf.DUMMYFUNCTION("""COMPUTED_VALUE"""),1.0)</f>
        <v>1</v>
      </c>
      <c r="I114" s="12"/>
    </row>
    <row r="115">
      <c r="A115" s="19">
        <v>114.0</v>
      </c>
      <c r="B115" s="20">
        <f>IFERROR(__xludf.DUMMYFUNCTION("""COMPUTED_VALUE"""),9.0)</f>
        <v>9</v>
      </c>
      <c r="C115" s="21" t="str">
        <f>IFERROR(__xludf.DUMMYFUNCTION("""COMPUTED_VALUE"""),"Alexander Sørloth")</f>
        <v>Alexander Sørloth</v>
      </c>
      <c r="D115" s="21" t="str">
        <f>IFERROR(__xludf.DUMMYFUNCTION("""COMPUTED_VALUE"""),"napastnik")</f>
        <v>napastnik</v>
      </c>
      <c r="E115" s="21" t="str">
        <f>IFERROR(__xludf.DUMMYFUNCTION("""COMPUTED_VALUE"""),"Norwegia")</f>
        <v>Norwegia</v>
      </c>
      <c r="F115" s="22">
        <f>IFERROR(__xludf.DUMMYFUNCTION("""COMPUTED_VALUE"""),35038.0)</f>
        <v>35038</v>
      </c>
      <c r="G115" s="23">
        <f>IFERROR(__xludf.DUMMYFUNCTION("""COMPUTED_VALUE"""),30.0)</f>
        <v>30</v>
      </c>
      <c r="H115" s="24">
        <f>IFERROR(__xludf.DUMMYFUNCTION("""COMPUTED_VALUE"""),1.0)</f>
        <v>1</v>
      </c>
      <c r="I115" s="12"/>
    </row>
    <row r="116">
      <c r="A116" s="19">
        <v>115.0</v>
      </c>
      <c r="B116" s="20">
        <f>IFERROR(__xludf.DUMMYFUNCTION("""COMPUTED_VALUE"""),17.0)</f>
        <v>17</v>
      </c>
      <c r="C116" s="21" t="str">
        <f>IFERROR(__xludf.DUMMYFUNCTION("""COMPUTED_VALUE"""),"Dávid Hancko")</f>
        <v>Dávid Hancko</v>
      </c>
      <c r="D116" s="21" t="str">
        <f>IFERROR(__xludf.DUMMYFUNCTION("""COMPUTED_VALUE"""),"obrońca")</f>
        <v>obrońca</v>
      </c>
      <c r="E116" s="21" t="str">
        <f>IFERROR(__xludf.DUMMYFUNCTION("""COMPUTED_VALUE"""),"Słowacja")</f>
        <v>Słowacja</v>
      </c>
      <c r="F116" s="22">
        <f>IFERROR(__xludf.DUMMYFUNCTION("""COMPUTED_VALUE"""),35777.0)</f>
        <v>35777</v>
      </c>
      <c r="G116" s="23">
        <f>IFERROR(__xludf.DUMMYFUNCTION("""COMPUTED_VALUE"""),28.0)</f>
        <v>28</v>
      </c>
      <c r="H116" s="24">
        <f>IFERROR(__xludf.DUMMYFUNCTION("""COMPUTED_VALUE"""),1.0)</f>
        <v>1</v>
      </c>
      <c r="I116" s="12"/>
    </row>
    <row r="117">
      <c r="A117" s="19">
        <v>116.0</v>
      </c>
      <c r="B117" s="20">
        <f>IFERROR(__xludf.DUMMYFUNCTION("""COMPUTED_VALUE"""),22.0)</f>
        <v>22</v>
      </c>
      <c r="C117" s="21" t="str">
        <f>IFERROR(__xludf.DUMMYFUNCTION("""COMPUTED_VALUE"""),"Giacomo Raspadori")</f>
        <v>Giacomo Raspadori</v>
      </c>
      <c r="D117" s="21" t="str">
        <f>IFERROR(__xludf.DUMMYFUNCTION("""COMPUTED_VALUE"""),"napastnik")</f>
        <v>napastnik</v>
      </c>
      <c r="E117" s="21" t="str">
        <f>IFERROR(__xludf.DUMMYFUNCTION("""COMPUTED_VALUE"""),"Włochy")</f>
        <v>Włochy</v>
      </c>
      <c r="F117" s="22">
        <f>IFERROR(__xludf.DUMMYFUNCTION("""COMPUTED_VALUE"""),36574.0)</f>
        <v>36574</v>
      </c>
      <c r="G117" s="23">
        <f>IFERROR(__xludf.DUMMYFUNCTION("""COMPUTED_VALUE"""),25.0)</f>
        <v>25</v>
      </c>
      <c r="H117" s="24">
        <f>IFERROR(__xludf.DUMMYFUNCTION("""COMPUTED_VALUE"""),1.0)</f>
        <v>1</v>
      </c>
      <c r="I117" s="12"/>
    </row>
    <row r="118">
      <c r="A118" s="19">
        <v>117.0</v>
      </c>
      <c r="B118" s="20">
        <f>IFERROR(__xludf.DUMMYFUNCTION("""COMPUTED_VALUE"""),24.0)</f>
        <v>24</v>
      </c>
      <c r="C118" s="21" t="str">
        <f>IFERROR(__xludf.DUMMYFUNCTION("""COMPUTED_VALUE"""),"Robin Le Normand")</f>
        <v>Robin Le Normand</v>
      </c>
      <c r="D118" s="21" t="str">
        <f>IFERROR(__xludf.DUMMYFUNCTION("""COMPUTED_VALUE"""),"obrońca")</f>
        <v>obrońca</v>
      </c>
      <c r="E118" s="21" t="str">
        <f>IFERROR(__xludf.DUMMYFUNCTION("""COMPUTED_VALUE"""),"Hiszpania /Francja")</f>
        <v>Hiszpania /Francja</v>
      </c>
      <c r="F118" s="22">
        <f>IFERROR(__xludf.DUMMYFUNCTION("""COMPUTED_VALUE"""),35380.0)</f>
        <v>35380</v>
      </c>
      <c r="G118" s="23">
        <f>IFERROR(__xludf.DUMMYFUNCTION("""COMPUTED_VALUE"""),29.0)</f>
        <v>29</v>
      </c>
      <c r="H118" s="24">
        <f>IFERROR(__xludf.DUMMYFUNCTION("""COMPUTED_VALUE"""),1.0)</f>
        <v>1</v>
      </c>
      <c r="I118" s="12"/>
    </row>
    <row r="119">
      <c r="A119" s="19">
        <v>118.0</v>
      </c>
      <c r="B119" s="20">
        <f>IFERROR(__xludf.DUMMYFUNCTION("""COMPUTED_VALUE"""),2.0)</f>
        <v>2</v>
      </c>
      <c r="C119" s="21" t="str">
        <f>IFERROR(__xludf.DUMMYFUNCTION("""COMPUTED_VALUE"""),"Yan Couto")</f>
        <v>Yan Couto</v>
      </c>
      <c r="D119" s="21" t="str">
        <f>IFERROR(__xludf.DUMMYFUNCTION("""COMPUTED_VALUE"""),"obrońca")</f>
        <v>obrońca</v>
      </c>
      <c r="E119" s="21" t="str">
        <f>IFERROR(__xludf.DUMMYFUNCTION("""COMPUTED_VALUE"""),"Brazylia /Portugalia")</f>
        <v>Brazylia /Portugalia</v>
      </c>
      <c r="F119" s="22">
        <f>IFERROR(__xludf.DUMMYFUNCTION("""COMPUTED_VALUE"""),37410.0)</f>
        <v>37410</v>
      </c>
      <c r="G119" s="23">
        <f>IFERROR(__xludf.DUMMYFUNCTION("""COMPUTED_VALUE"""),23.0)</f>
        <v>23</v>
      </c>
      <c r="H119" s="24">
        <f>IFERROR(__xludf.DUMMYFUNCTION("""COMPUTED_VALUE"""),1.0)</f>
        <v>1</v>
      </c>
      <c r="I119" s="12"/>
    </row>
    <row r="120">
      <c r="A120" s="19">
        <v>119.0</v>
      </c>
      <c r="B120" s="20">
        <f>IFERROR(__xludf.DUMMYFUNCTION("""COMPUTED_VALUE"""),3.0)</f>
        <v>3</v>
      </c>
      <c r="C120" s="21" t="str">
        <f>IFERROR(__xludf.DUMMYFUNCTION("""COMPUTED_VALUE"""),"Waldemar Anton")</f>
        <v>Waldemar Anton</v>
      </c>
      <c r="D120" s="21" t="str">
        <f>IFERROR(__xludf.DUMMYFUNCTION("""COMPUTED_VALUE"""),"obrońca")</f>
        <v>obrońca</v>
      </c>
      <c r="E120" s="21" t="str">
        <f>IFERROR(__xludf.DUMMYFUNCTION("""COMPUTED_VALUE"""),"Niemcy")</f>
        <v>Niemcy</v>
      </c>
      <c r="F120" s="22">
        <f>IFERROR(__xludf.DUMMYFUNCTION("""COMPUTED_VALUE"""),35266.0)</f>
        <v>35266</v>
      </c>
      <c r="G120" s="23">
        <f>IFERROR(__xludf.DUMMYFUNCTION("""COMPUTED_VALUE"""),29.0)</f>
        <v>29</v>
      </c>
      <c r="H120" s="24">
        <f>IFERROR(__xludf.DUMMYFUNCTION("""COMPUTED_VALUE"""),1.0)</f>
        <v>1</v>
      </c>
      <c r="I120" s="12"/>
    </row>
    <row r="121">
      <c r="A121" s="19">
        <v>120.0</v>
      </c>
      <c r="B121" s="20">
        <f>IFERROR(__xludf.DUMMYFUNCTION("""COMPUTED_VALUE"""),17.0)</f>
        <v>17</v>
      </c>
      <c r="C121" s="21" t="str">
        <f>IFERROR(__xludf.DUMMYFUNCTION("""COMPUTED_VALUE"""),"Carney Chukwuemeka")</f>
        <v>Carney Chukwuemeka</v>
      </c>
      <c r="D121" s="21" t="str">
        <f>IFERROR(__xludf.DUMMYFUNCTION("""COMPUTED_VALUE"""),"pomocnik")</f>
        <v>pomocnik</v>
      </c>
      <c r="E121" s="21" t="str">
        <f>IFERROR(__xludf.DUMMYFUNCTION("""COMPUTED_VALUE"""),"Anglia /Nigeria")</f>
        <v>Anglia /Nigeria</v>
      </c>
      <c r="F121" s="22">
        <f>IFERROR(__xludf.DUMMYFUNCTION("""COMPUTED_VALUE"""),37914.0)</f>
        <v>37914</v>
      </c>
      <c r="G121" s="23">
        <f>IFERROR(__xludf.DUMMYFUNCTION("""COMPUTED_VALUE"""),22.0)</f>
        <v>22</v>
      </c>
      <c r="H121" s="24">
        <f>IFERROR(__xludf.DUMMYFUNCTION("""COMPUTED_VALUE"""),1.0)</f>
        <v>1</v>
      </c>
      <c r="I121" s="12"/>
    </row>
    <row r="122">
      <c r="A122" s="19">
        <v>121.0</v>
      </c>
      <c r="B122" s="20">
        <f>IFERROR(__xludf.DUMMYFUNCTION("""COMPUTED_VALUE"""),21.0)</f>
        <v>21</v>
      </c>
      <c r="C122" s="21" t="str">
        <f>IFERROR(__xludf.DUMMYFUNCTION("""COMPUTED_VALUE"""),"Fábio Silva")</f>
        <v>Fábio Silva</v>
      </c>
      <c r="D122" s="21" t="str">
        <f>IFERROR(__xludf.DUMMYFUNCTION("""COMPUTED_VALUE"""),"napastnik")</f>
        <v>napastnik</v>
      </c>
      <c r="E122" s="21" t="str">
        <f>IFERROR(__xludf.DUMMYFUNCTION("""COMPUTED_VALUE"""),"Portugalia")</f>
        <v>Portugalia</v>
      </c>
      <c r="F122" s="22">
        <f>IFERROR(__xludf.DUMMYFUNCTION("""COMPUTED_VALUE"""),37456.0)</f>
        <v>37456</v>
      </c>
      <c r="G122" s="23">
        <f>IFERROR(__xludf.DUMMYFUNCTION("""COMPUTED_VALUE"""),23.0)</f>
        <v>23</v>
      </c>
      <c r="H122" s="24">
        <f>IFERROR(__xludf.DUMMYFUNCTION("""COMPUTED_VALUE"""),1.0)</f>
        <v>1</v>
      </c>
      <c r="I122" s="12"/>
    </row>
    <row r="123">
      <c r="A123" s="19">
        <v>122.0</v>
      </c>
      <c r="B123" s="20">
        <f>IFERROR(__xludf.DUMMYFUNCTION("""COMPUTED_VALUE"""),9.0)</f>
        <v>9</v>
      </c>
      <c r="C123" s="21" t="str">
        <f>IFERROR(__xludf.DUMMYFUNCTION("""COMPUTED_VALUE"""),"Robert Lewandowski")</f>
        <v>Robert Lewandowski</v>
      </c>
      <c r="D123" s="21" t="str">
        <f>IFERROR(__xludf.DUMMYFUNCTION("""COMPUTED_VALUE"""),"napastnik")</f>
        <v>napastnik</v>
      </c>
      <c r="E123" s="21" t="str">
        <f>IFERROR(__xludf.DUMMYFUNCTION("""COMPUTED_VALUE"""),"Polska")</f>
        <v>Polska</v>
      </c>
      <c r="F123" s="22">
        <f>IFERROR(__xludf.DUMMYFUNCTION("""COMPUTED_VALUE"""),32376.0)</f>
        <v>32376</v>
      </c>
      <c r="G123" s="23">
        <f>IFERROR(__xludf.DUMMYFUNCTION("""COMPUTED_VALUE"""),37.0)</f>
        <v>37</v>
      </c>
      <c r="H123" s="24">
        <f>IFERROR(__xludf.DUMMYFUNCTION("""COMPUTED_VALUE"""),1.0)</f>
        <v>1</v>
      </c>
      <c r="I123" s="12"/>
    </row>
    <row r="124">
      <c r="A124" s="19">
        <v>123.0</v>
      </c>
      <c r="B124" s="20">
        <f>IFERROR(__xludf.DUMMYFUNCTION("""COMPUTED_VALUE"""),20.0)</f>
        <v>20</v>
      </c>
      <c r="C124" s="21" t="str">
        <f>IFERROR(__xludf.DUMMYFUNCTION("""COMPUTED_VALUE"""),"Dani Olmo")</f>
        <v>Dani Olmo</v>
      </c>
      <c r="D124" s="21" t="str">
        <f>IFERROR(__xludf.DUMMYFUNCTION("""COMPUTED_VALUE"""),"pomocnik")</f>
        <v>pomocnik</v>
      </c>
      <c r="E124" s="21" t="str">
        <f>IFERROR(__xludf.DUMMYFUNCTION("""COMPUTED_VALUE"""),"Hiszpania")</f>
        <v>Hiszpania</v>
      </c>
      <c r="F124" s="22">
        <f>IFERROR(__xludf.DUMMYFUNCTION("""COMPUTED_VALUE"""),35922.0)</f>
        <v>35922</v>
      </c>
      <c r="G124" s="23">
        <f>IFERROR(__xludf.DUMMYFUNCTION("""COMPUTED_VALUE"""),27.0)</f>
        <v>27</v>
      </c>
      <c r="H124" s="24">
        <f>IFERROR(__xludf.DUMMYFUNCTION("""COMPUTED_VALUE"""),1.0)</f>
        <v>1</v>
      </c>
      <c r="I124" s="12"/>
    </row>
    <row r="125">
      <c r="A125" s="19">
        <v>124.0</v>
      </c>
      <c r="B125" s="20">
        <f>IFERROR(__xludf.DUMMYFUNCTION("""COMPUTED_VALUE"""),4.0)</f>
        <v>4</v>
      </c>
      <c r="C125" s="21" t="str">
        <f>IFERROR(__xludf.DUMMYFUNCTION("""COMPUTED_VALUE"""),"Jonathan Tah")</f>
        <v>Jonathan Tah</v>
      </c>
      <c r="D125" s="21" t="str">
        <f>IFERROR(__xludf.DUMMYFUNCTION("""COMPUTED_VALUE"""),"obrońca")</f>
        <v>obrońca</v>
      </c>
      <c r="E125" s="21" t="str">
        <f>IFERROR(__xludf.DUMMYFUNCTION("""COMPUTED_VALUE"""),"Niemcy /Wybrzeże Kości Słoniowej")</f>
        <v>Niemcy /Wybrzeże Kości Słoniowej</v>
      </c>
      <c r="F125" s="22">
        <f>IFERROR(__xludf.DUMMYFUNCTION("""COMPUTED_VALUE"""),35106.0)</f>
        <v>35106</v>
      </c>
      <c r="G125" s="23">
        <f>IFERROR(__xludf.DUMMYFUNCTION("""COMPUTED_VALUE"""),29.0)</f>
        <v>29</v>
      </c>
      <c r="H125" s="24">
        <f>IFERROR(__xludf.DUMMYFUNCTION("""COMPUTED_VALUE"""),1.0)</f>
        <v>1</v>
      </c>
      <c r="I125" s="12"/>
    </row>
    <row r="126">
      <c r="A126" s="19">
        <v>125.0</v>
      </c>
      <c r="B126" s="20">
        <f>IFERROR(__xludf.DUMMYFUNCTION("""COMPUTED_VALUE"""),7.0)</f>
        <v>7</v>
      </c>
      <c r="C126" s="21" t="str">
        <f>IFERROR(__xludf.DUMMYFUNCTION("""COMPUTED_VALUE"""),"Serge Gnabry")</f>
        <v>Serge Gnabry</v>
      </c>
      <c r="D126" s="21" t="str">
        <f>IFERROR(__xludf.DUMMYFUNCTION("""COMPUTED_VALUE"""),"pomocnik")</f>
        <v>pomocnik</v>
      </c>
      <c r="E126" s="21" t="str">
        <f>IFERROR(__xludf.DUMMYFUNCTION("""COMPUTED_VALUE"""),"Niemcy /Wybrzeże Kości Słoniowej")</f>
        <v>Niemcy /Wybrzeże Kości Słoniowej</v>
      </c>
      <c r="F126" s="22">
        <f>IFERROR(__xludf.DUMMYFUNCTION("""COMPUTED_VALUE"""),34894.0)</f>
        <v>34894</v>
      </c>
      <c r="G126" s="23">
        <f>IFERROR(__xludf.DUMMYFUNCTION("""COMPUTED_VALUE"""),30.0)</f>
        <v>30</v>
      </c>
      <c r="H126" s="24">
        <f>IFERROR(__xludf.DUMMYFUNCTION("""COMPUTED_VALUE"""),1.0)</f>
        <v>1</v>
      </c>
      <c r="I126" s="12"/>
    </row>
    <row r="127">
      <c r="A127" s="19">
        <v>126.0</v>
      </c>
      <c r="B127" s="20">
        <f>IFERROR(__xludf.DUMMYFUNCTION("""COMPUTED_VALUE"""),17.0)</f>
        <v>17</v>
      </c>
      <c r="C127" s="21" t="str">
        <f>IFERROR(__xludf.DUMMYFUNCTION("""COMPUTED_VALUE"""),"Michael Olise")</f>
        <v>Michael Olise</v>
      </c>
      <c r="D127" s="21" t="str">
        <f>IFERROR(__xludf.DUMMYFUNCTION("""COMPUTED_VALUE"""),"napastnik")</f>
        <v>napastnik</v>
      </c>
      <c r="E127" s="21" t="str">
        <f>IFERROR(__xludf.DUMMYFUNCTION("""COMPUTED_VALUE"""),"Francja /Anglia")</f>
        <v>Francja /Anglia</v>
      </c>
      <c r="F127" s="22">
        <f>IFERROR(__xludf.DUMMYFUNCTION("""COMPUTED_VALUE"""),37237.0)</f>
        <v>37237</v>
      </c>
      <c r="G127" s="23">
        <f>IFERROR(__xludf.DUMMYFUNCTION("""COMPUTED_VALUE"""),24.0)</f>
        <v>24</v>
      </c>
      <c r="H127" s="24">
        <f>IFERROR(__xludf.DUMMYFUNCTION("""COMPUTED_VALUE"""),1.0)</f>
        <v>1</v>
      </c>
      <c r="I127" s="12"/>
    </row>
    <row r="128">
      <c r="A128" s="19">
        <v>127.0</v>
      </c>
      <c r="B128" s="20">
        <f>IFERROR(__xludf.DUMMYFUNCTION("""COMPUTED_VALUE"""),22.0)</f>
        <v>22</v>
      </c>
      <c r="C128" s="21" t="str">
        <f>IFERROR(__xludf.DUMMYFUNCTION("""COMPUTED_VALUE"""),"Raphaël Guerreiro")</f>
        <v>Raphaël Guerreiro</v>
      </c>
      <c r="D128" s="21" t="str">
        <f>IFERROR(__xludf.DUMMYFUNCTION("""COMPUTED_VALUE"""),"obrońca")</f>
        <v>obrońca</v>
      </c>
      <c r="E128" s="21" t="str">
        <f>IFERROR(__xludf.DUMMYFUNCTION("""COMPUTED_VALUE"""),"Portugalia /Francja")</f>
        <v>Portugalia /Francja</v>
      </c>
      <c r="F128" s="22">
        <f>IFERROR(__xludf.DUMMYFUNCTION("""COMPUTED_VALUE"""),34325.0)</f>
        <v>34325</v>
      </c>
      <c r="G128" s="23">
        <f>IFERROR(__xludf.DUMMYFUNCTION("""COMPUTED_VALUE"""),32.0)</f>
        <v>32</v>
      </c>
      <c r="H128" s="24">
        <f>IFERROR(__xludf.DUMMYFUNCTION("""COMPUTED_VALUE"""),1.0)</f>
        <v>1</v>
      </c>
      <c r="I128" s="12"/>
    </row>
    <row r="129">
      <c r="A129" s="19">
        <v>128.0</v>
      </c>
      <c r="B129" s="20">
        <f>IFERROR(__xludf.DUMMYFUNCTION("""COMPUTED_VALUE"""),5.0)</f>
        <v>5</v>
      </c>
      <c r="C129" s="21" t="str">
        <f>IFERROR(__xludf.DUMMYFUNCTION("""COMPUTED_VALUE"""),"Enzo Barrenechea")</f>
        <v>Enzo Barrenechea</v>
      </c>
      <c r="D129" s="21" t="str">
        <f>IFERROR(__xludf.DUMMYFUNCTION("""COMPUTED_VALUE"""),"pomocnik")</f>
        <v>pomocnik</v>
      </c>
      <c r="E129" s="21" t="str">
        <f>IFERROR(__xludf.DUMMYFUNCTION("""COMPUTED_VALUE"""),"Argentyna")</f>
        <v>Argentyna</v>
      </c>
      <c r="F129" s="22">
        <f>IFERROR(__xludf.DUMMYFUNCTION("""COMPUTED_VALUE"""),37033.0)</f>
        <v>37033</v>
      </c>
      <c r="G129" s="23">
        <f>IFERROR(__xludf.DUMMYFUNCTION("""COMPUTED_VALUE"""),24.0)</f>
        <v>24</v>
      </c>
      <c r="H129" s="24">
        <f>IFERROR(__xludf.DUMMYFUNCTION("""COMPUTED_VALUE"""),1.0)</f>
        <v>1</v>
      </c>
      <c r="I129" s="12"/>
    </row>
    <row r="130">
      <c r="A130" s="19">
        <v>129.0</v>
      </c>
      <c r="B130" s="20">
        <f>IFERROR(__xludf.DUMMYFUNCTION("""COMPUTED_VALUE"""),14.0)</f>
        <v>14</v>
      </c>
      <c r="C130" s="21" t="str">
        <f>IFERROR(__xludf.DUMMYFUNCTION("""COMPUTED_VALUE"""),"Vangélis Pavlídis")</f>
        <v>Vangélis Pavlídis</v>
      </c>
      <c r="D130" s="21" t="str">
        <f>IFERROR(__xludf.DUMMYFUNCTION("""COMPUTED_VALUE"""),"napastnik")</f>
        <v>napastnik</v>
      </c>
      <c r="E130" s="21" t="str">
        <f>IFERROR(__xludf.DUMMYFUNCTION("""COMPUTED_VALUE"""),"Grecja")</f>
        <v>Grecja</v>
      </c>
      <c r="F130" s="22">
        <f>IFERROR(__xludf.DUMMYFUNCTION("""COMPUTED_VALUE"""),36120.0)</f>
        <v>36120</v>
      </c>
      <c r="G130" s="23">
        <f>IFERROR(__xludf.DUMMYFUNCTION("""COMPUTED_VALUE"""),27.0)</f>
        <v>27</v>
      </c>
      <c r="H130" s="24">
        <f>IFERROR(__xludf.DUMMYFUNCTION("""COMPUTED_VALUE"""),1.0)</f>
        <v>1</v>
      </c>
      <c r="I130" s="12"/>
    </row>
    <row r="131">
      <c r="A131" s="19">
        <v>130.0</v>
      </c>
      <c r="B131" s="20">
        <f>IFERROR(__xludf.DUMMYFUNCTION("""COMPUTED_VALUE"""),20.0)</f>
        <v>20</v>
      </c>
      <c r="C131" s="21" t="str">
        <f>IFERROR(__xludf.DUMMYFUNCTION("""COMPUTED_VALUE"""),"Richard Riós")</f>
        <v>Richard Riós</v>
      </c>
      <c r="D131" s="21" t="str">
        <f>IFERROR(__xludf.DUMMYFUNCTION("""COMPUTED_VALUE"""),"pomocnik")</f>
        <v>pomocnik</v>
      </c>
      <c r="E131" s="21" t="str">
        <f>IFERROR(__xludf.DUMMYFUNCTION("""COMPUTED_VALUE"""),"Kolumbia")</f>
        <v>Kolumbia</v>
      </c>
      <c r="F131" s="22">
        <f>IFERROR(__xludf.DUMMYFUNCTION("""COMPUTED_VALUE"""),36679.0)</f>
        <v>36679</v>
      </c>
      <c r="G131" s="23">
        <f>IFERROR(__xludf.DUMMYFUNCTION("""COMPUTED_VALUE"""),25.0)</f>
        <v>25</v>
      </c>
      <c r="H131" s="24">
        <f>IFERROR(__xludf.DUMMYFUNCTION("""COMPUTED_VALUE"""),1.0)</f>
        <v>1</v>
      </c>
      <c r="I131" s="12"/>
    </row>
    <row r="132">
      <c r="A132" s="19">
        <v>131.0</v>
      </c>
      <c r="B132" s="20">
        <f>IFERROR(__xludf.DUMMYFUNCTION("""COMPUTED_VALUE"""),26.0)</f>
        <v>26</v>
      </c>
      <c r="C132" s="21" t="str">
        <f>IFERROR(__xludf.DUMMYFUNCTION("""COMPUTED_VALUE"""),"Samuel Dahl")</f>
        <v>Samuel Dahl</v>
      </c>
      <c r="D132" s="21" t="str">
        <f>IFERROR(__xludf.DUMMYFUNCTION("""COMPUTED_VALUE"""),"obrońca")</f>
        <v>obrońca</v>
      </c>
      <c r="E132" s="21" t="str">
        <f>IFERROR(__xludf.DUMMYFUNCTION("""COMPUTED_VALUE"""),"Szwecja")</f>
        <v>Szwecja</v>
      </c>
      <c r="F132" s="22">
        <f>IFERROR(__xludf.DUMMYFUNCTION("""COMPUTED_VALUE"""),37684.0)</f>
        <v>37684</v>
      </c>
      <c r="G132" s="23">
        <f>IFERROR(__xludf.DUMMYFUNCTION("""COMPUTED_VALUE"""),22.0)</f>
        <v>22</v>
      </c>
      <c r="H132" s="24">
        <f>IFERROR(__xludf.DUMMYFUNCTION("""COMPUTED_VALUE"""),1.0)</f>
        <v>1</v>
      </c>
      <c r="I132" s="12"/>
    </row>
    <row r="133">
      <c r="A133" s="19">
        <v>132.0</v>
      </c>
      <c r="B133" s="20">
        <f>IFERROR(__xludf.DUMMYFUNCTION("""COMPUTED_VALUE"""),5.0)</f>
        <v>5</v>
      </c>
      <c r="C133" s="21" t="str">
        <f>IFERROR(__xludf.DUMMYFUNCTION("""COMPUTED_VALUE"""),"Haitam Aleesami")</f>
        <v>Haitam Aleesami</v>
      </c>
      <c r="D133" s="21" t="str">
        <f>IFERROR(__xludf.DUMMYFUNCTION("""COMPUTED_VALUE"""),"obrońca")</f>
        <v>obrońca</v>
      </c>
      <c r="E133" s="21" t="str">
        <f>IFERROR(__xludf.DUMMYFUNCTION("""COMPUTED_VALUE"""),"Norwegia")</f>
        <v>Norwegia</v>
      </c>
      <c r="F133" s="22">
        <f>IFERROR(__xludf.DUMMYFUNCTION("""COMPUTED_VALUE"""),35157.0)</f>
        <v>35157</v>
      </c>
      <c r="G133" s="23">
        <f>IFERROR(__xludf.DUMMYFUNCTION("""COMPUTED_VALUE"""),29.0)</f>
        <v>29</v>
      </c>
      <c r="H133" s="24">
        <f>IFERROR(__xludf.DUMMYFUNCTION("""COMPUTED_VALUE"""),1.0)</f>
        <v>1</v>
      </c>
      <c r="I133" s="12"/>
    </row>
    <row r="134">
      <c r="A134" s="19">
        <v>133.0</v>
      </c>
      <c r="B134" s="20">
        <f>IFERROR(__xludf.DUMMYFUNCTION("""COMPUTED_VALUE"""),11.0)</f>
        <v>11</v>
      </c>
      <c r="C134" s="21" t="str">
        <f>IFERROR(__xludf.DUMMYFUNCTION("""COMPUTED_VALUE"""),"Ole Didrik Blomberg")</f>
        <v>Ole Didrik Blomberg</v>
      </c>
      <c r="D134" s="21" t="str">
        <f>IFERROR(__xludf.DUMMYFUNCTION("""COMPUTED_VALUE"""),"napastnik")</f>
        <v>napastnik</v>
      </c>
      <c r="E134" s="21" t="str">
        <f>IFERROR(__xludf.DUMMYFUNCTION("""COMPUTED_VALUE"""),"Norwegia")</f>
        <v>Norwegia</v>
      </c>
      <c r="F134" s="22">
        <f>IFERROR(__xludf.DUMMYFUNCTION("""COMPUTED_VALUE"""),36689.0)</f>
        <v>36689</v>
      </c>
      <c r="G134" s="23">
        <f>IFERROR(__xludf.DUMMYFUNCTION("""COMPUTED_VALUE"""),25.0)</f>
        <v>25</v>
      </c>
      <c r="H134" s="24">
        <f>IFERROR(__xludf.DUMMYFUNCTION("""COMPUTED_VALUE"""),1.0)</f>
        <v>1</v>
      </c>
      <c r="I134" s="12"/>
    </row>
    <row r="135">
      <c r="A135" s="19">
        <v>134.0</v>
      </c>
      <c r="B135" s="20">
        <f>IFERROR(__xludf.DUMMYFUNCTION("""COMPUTED_VALUE"""),21.0)</f>
        <v>21</v>
      </c>
      <c r="C135" s="21" t="str">
        <f>IFERROR(__xludf.DUMMYFUNCTION("""COMPUTED_VALUE"""),"Andreas Helmersen")</f>
        <v>Andreas Helmersen</v>
      </c>
      <c r="D135" s="21" t="str">
        <f>IFERROR(__xludf.DUMMYFUNCTION("""COMPUTED_VALUE"""),"napastnik")</f>
        <v>napastnik</v>
      </c>
      <c r="E135" s="21" t="str">
        <f>IFERROR(__xludf.DUMMYFUNCTION("""COMPUTED_VALUE"""),"Norwegia")</f>
        <v>Norwegia</v>
      </c>
      <c r="F135" s="22">
        <f>IFERROR(__xludf.DUMMYFUNCTION("""COMPUTED_VALUE"""),35869.0)</f>
        <v>35869</v>
      </c>
      <c r="G135" s="23">
        <f>IFERROR(__xludf.DUMMYFUNCTION("""COMPUTED_VALUE"""),27.0)</f>
        <v>27</v>
      </c>
      <c r="H135" s="24">
        <f>IFERROR(__xludf.DUMMYFUNCTION("""COMPUTED_VALUE"""),1.0)</f>
        <v>1</v>
      </c>
      <c r="I135" s="12"/>
    </row>
    <row r="136">
      <c r="A136" s="19">
        <v>135.0</v>
      </c>
      <c r="B136" s="20">
        <f>IFERROR(__xludf.DUMMYFUNCTION("""COMPUTED_VALUE"""),24.0)</f>
        <v>24</v>
      </c>
      <c r="C136" s="21" t="str">
        <f>IFERROR(__xludf.DUMMYFUNCTION("""COMPUTED_VALUE"""),"Daniel Bassi")</f>
        <v>Daniel Bassi</v>
      </c>
      <c r="D136" s="21" t="str">
        <f>IFERROR(__xludf.DUMMYFUNCTION("""COMPUTED_VALUE"""),"napastnik")</f>
        <v>napastnik</v>
      </c>
      <c r="E136" s="21" t="str">
        <f>IFERROR(__xludf.DUMMYFUNCTION("""COMPUTED_VALUE"""),"Norwegia /Anglia")</f>
        <v>Norwegia /Anglia</v>
      </c>
      <c r="F136" s="22">
        <f>IFERROR(__xludf.DUMMYFUNCTION("""COMPUTED_VALUE"""),38291.0)</f>
        <v>38291</v>
      </c>
      <c r="G136" s="23">
        <f>IFERROR(__xludf.DUMMYFUNCTION("""COMPUTED_VALUE"""),21.0)</f>
        <v>21</v>
      </c>
      <c r="H136" s="24">
        <f>IFERROR(__xludf.DUMMYFUNCTION("""COMPUTED_VALUE"""),1.0)</f>
        <v>1</v>
      </c>
      <c r="I136" s="12"/>
    </row>
    <row r="137">
      <c r="A137" s="19">
        <v>136.0</v>
      </c>
      <c r="B137" s="20">
        <f>IFERROR(__xludf.DUMMYFUNCTION("""COMPUTED_VALUE"""),8.0)</f>
        <v>8</v>
      </c>
      <c r="C137" s="21" t="str">
        <f>IFERROR(__xludf.DUMMYFUNCTION("""COMPUTED_VALUE"""),"Enzo Fernández")</f>
        <v>Enzo Fernández</v>
      </c>
      <c r="D137" s="21" t="str">
        <f>IFERROR(__xludf.DUMMYFUNCTION("""COMPUTED_VALUE"""),"pomocnik")</f>
        <v>pomocnik</v>
      </c>
      <c r="E137" s="21" t="str">
        <f>IFERROR(__xludf.DUMMYFUNCTION("""COMPUTED_VALUE"""),"Argentyna")</f>
        <v>Argentyna</v>
      </c>
      <c r="F137" s="22">
        <f>IFERROR(__xludf.DUMMYFUNCTION("""COMPUTED_VALUE"""),36908.0)</f>
        <v>36908</v>
      </c>
      <c r="G137" s="23">
        <f>IFERROR(__xludf.DUMMYFUNCTION("""COMPUTED_VALUE"""),25.0)</f>
        <v>25</v>
      </c>
      <c r="H137" s="24">
        <f>IFERROR(__xludf.DUMMYFUNCTION("""COMPUTED_VALUE"""),1.0)</f>
        <v>1</v>
      </c>
      <c r="I137" s="12"/>
    </row>
    <row r="138">
      <c r="A138" s="19">
        <v>137.0</v>
      </c>
      <c r="B138" s="20">
        <f>IFERROR(__xludf.DUMMYFUNCTION("""COMPUTED_VALUE"""),9.0)</f>
        <v>9</v>
      </c>
      <c r="C138" s="21" t="str">
        <f>IFERROR(__xludf.DUMMYFUNCTION("""COMPUTED_VALUE"""),"Liam Delap")</f>
        <v>Liam Delap</v>
      </c>
      <c r="D138" s="21" t="str">
        <f>IFERROR(__xludf.DUMMYFUNCTION("""COMPUTED_VALUE"""),"napastnik")</f>
        <v>napastnik</v>
      </c>
      <c r="E138" s="21" t="str">
        <f>IFERROR(__xludf.DUMMYFUNCTION("""COMPUTED_VALUE"""),"Anglia /Irlandia")</f>
        <v>Anglia /Irlandia</v>
      </c>
      <c r="F138" s="22">
        <f>IFERROR(__xludf.DUMMYFUNCTION("""COMPUTED_VALUE"""),37660.0)</f>
        <v>37660</v>
      </c>
      <c r="G138" s="23">
        <f>IFERROR(__xludf.DUMMYFUNCTION("""COMPUTED_VALUE"""),22.0)</f>
        <v>22</v>
      </c>
      <c r="H138" s="24">
        <f>IFERROR(__xludf.DUMMYFUNCTION("""COMPUTED_VALUE"""),1.0)</f>
        <v>1</v>
      </c>
      <c r="I138" s="12"/>
    </row>
    <row r="139">
      <c r="A139" s="19">
        <v>138.0</v>
      </c>
      <c r="B139" s="20">
        <f>IFERROR(__xludf.DUMMYFUNCTION("""COMPUTED_VALUE"""),10.0)</f>
        <v>10</v>
      </c>
      <c r="C139" s="21" t="str">
        <f>IFERROR(__xludf.DUMMYFUNCTION("""COMPUTED_VALUE"""),"Cole Palmer")</f>
        <v>Cole Palmer</v>
      </c>
      <c r="D139" s="21" t="str">
        <f>IFERROR(__xludf.DUMMYFUNCTION("""COMPUTED_VALUE"""),"pomocnik")</f>
        <v>pomocnik</v>
      </c>
      <c r="E139" s="21" t="str">
        <f>IFERROR(__xludf.DUMMYFUNCTION("""COMPUTED_VALUE"""),"Anglia /St. Kitts i Nevis")</f>
        <v>Anglia /St. Kitts i Nevis</v>
      </c>
      <c r="F139" s="22">
        <f>IFERROR(__xludf.DUMMYFUNCTION("""COMPUTED_VALUE"""),37382.0)</f>
        <v>37382</v>
      </c>
      <c r="G139" s="23">
        <f>IFERROR(__xludf.DUMMYFUNCTION("""COMPUTED_VALUE"""),23.0)</f>
        <v>23</v>
      </c>
      <c r="H139" s="24">
        <f>IFERROR(__xludf.DUMMYFUNCTION("""COMPUTED_VALUE"""),1.0)</f>
        <v>1</v>
      </c>
      <c r="I139" s="12"/>
    </row>
    <row r="140">
      <c r="A140" s="19">
        <v>139.0</v>
      </c>
      <c r="B140" s="20">
        <f>IFERROR(__xludf.DUMMYFUNCTION("""COMPUTED_VALUE"""),20.0)</f>
        <v>20</v>
      </c>
      <c r="C140" s="21" t="str">
        <f>IFERROR(__xludf.DUMMYFUNCTION("""COMPUTED_VALUE"""),"João Pedro")</f>
        <v>João Pedro</v>
      </c>
      <c r="D140" s="21" t="str">
        <f>IFERROR(__xludf.DUMMYFUNCTION("""COMPUTED_VALUE"""),"napastnik")</f>
        <v>napastnik</v>
      </c>
      <c r="E140" s="21" t="str">
        <f>IFERROR(__xludf.DUMMYFUNCTION("""COMPUTED_VALUE"""),"Brazylia")</f>
        <v>Brazylia</v>
      </c>
      <c r="F140" s="22">
        <f>IFERROR(__xludf.DUMMYFUNCTION("""COMPUTED_VALUE"""),37160.0)</f>
        <v>37160</v>
      </c>
      <c r="G140" s="23">
        <f>IFERROR(__xludf.DUMMYFUNCTION("""COMPUTED_VALUE"""),24.0)</f>
        <v>24</v>
      </c>
      <c r="H140" s="24">
        <f>IFERROR(__xludf.DUMMYFUNCTION("""COMPUTED_VALUE"""),1.0)</f>
        <v>1</v>
      </c>
      <c r="I140" s="12"/>
    </row>
    <row r="141">
      <c r="A141" s="19">
        <v>140.0</v>
      </c>
      <c r="B141" s="20">
        <f>IFERROR(__xludf.DUMMYFUNCTION("""COMPUTED_VALUE"""),32.0)</f>
        <v>32</v>
      </c>
      <c r="C141" s="21" t="str">
        <f>IFERROR(__xludf.DUMMYFUNCTION("""COMPUTED_VALUE"""),"Tyrique George")</f>
        <v>Tyrique George</v>
      </c>
      <c r="D141" s="21" t="str">
        <f>IFERROR(__xludf.DUMMYFUNCTION("""COMPUTED_VALUE"""),"napastnik")</f>
        <v>napastnik</v>
      </c>
      <c r="E141" s="21" t="str">
        <f>IFERROR(__xludf.DUMMYFUNCTION("""COMPUTED_VALUE"""),"Anglia /Nigeria")</f>
        <v>Anglia /Nigeria</v>
      </c>
      <c r="F141" s="22">
        <f>IFERROR(__xludf.DUMMYFUNCTION("""COMPUTED_VALUE"""),38752.0)</f>
        <v>38752</v>
      </c>
      <c r="G141" s="23">
        <f>IFERROR(__xludf.DUMMYFUNCTION("""COMPUTED_VALUE"""),19.0)</f>
        <v>19</v>
      </c>
      <c r="H141" s="24">
        <f>IFERROR(__xludf.DUMMYFUNCTION("""COMPUTED_VALUE"""),1.0)</f>
        <v>1</v>
      </c>
      <c r="I141" s="12"/>
    </row>
    <row r="142">
      <c r="A142" s="19">
        <v>141.0</v>
      </c>
      <c r="B142" s="20">
        <f>IFERROR(__xludf.DUMMYFUNCTION("""COMPUTED_VALUE"""),38.0)</f>
        <v>38</v>
      </c>
      <c r="C142" s="21" t="str">
        <f>IFERROR(__xludf.DUMMYFUNCTION("""COMPUTED_VALUE"""),"Marc Guiu")</f>
        <v>Marc Guiu</v>
      </c>
      <c r="D142" s="21" t="str">
        <f>IFERROR(__xludf.DUMMYFUNCTION("""COMPUTED_VALUE"""),"napastnik")</f>
        <v>napastnik</v>
      </c>
      <c r="E142" s="21" t="str">
        <f>IFERROR(__xludf.DUMMYFUNCTION("""COMPUTED_VALUE"""),"Hiszpania")</f>
        <v>Hiszpania</v>
      </c>
      <c r="F142" s="22">
        <f>IFERROR(__xludf.DUMMYFUNCTION("""COMPUTED_VALUE"""),38721.0)</f>
        <v>38721</v>
      </c>
      <c r="G142" s="23">
        <f>IFERROR(__xludf.DUMMYFUNCTION("""COMPUTED_VALUE"""),20.0)</f>
        <v>20</v>
      </c>
      <c r="H142" s="24">
        <f>IFERROR(__xludf.DUMMYFUNCTION("""COMPUTED_VALUE"""),1.0)</f>
        <v>1</v>
      </c>
      <c r="I142" s="12"/>
    </row>
    <row r="143">
      <c r="A143" s="19">
        <v>142.0</v>
      </c>
      <c r="B143" s="20">
        <f>IFERROR(__xludf.DUMMYFUNCTION("""COMPUTED_VALUE"""),49.0)</f>
        <v>49</v>
      </c>
      <c r="C143" s="21" t="str">
        <f>IFERROR(__xludf.DUMMYFUNCTION("""COMPUTED_VALUE"""),"Alejandro Garnacho")</f>
        <v>Alejandro Garnacho</v>
      </c>
      <c r="D143" s="21" t="str">
        <f>IFERROR(__xludf.DUMMYFUNCTION("""COMPUTED_VALUE"""),"napastnik")</f>
        <v>napastnik</v>
      </c>
      <c r="E143" s="21" t="str">
        <f>IFERROR(__xludf.DUMMYFUNCTION("""COMPUTED_VALUE"""),"Argentyna /Hiszpania")</f>
        <v>Argentyna /Hiszpania</v>
      </c>
      <c r="F143" s="22">
        <f>IFERROR(__xludf.DUMMYFUNCTION("""COMPUTED_VALUE"""),38169.0)</f>
        <v>38169</v>
      </c>
      <c r="G143" s="23">
        <f>IFERROR(__xludf.DUMMYFUNCTION("""COMPUTED_VALUE"""),21.0)</f>
        <v>21</v>
      </c>
      <c r="H143" s="24">
        <f>IFERROR(__xludf.DUMMYFUNCTION("""COMPUTED_VALUE"""),1.0)</f>
        <v>1</v>
      </c>
      <c r="I143" s="12"/>
    </row>
    <row r="144">
      <c r="A144" s="19">
        <v>143.0</v>
      </c>
      <c r="B144" s="20">
        <f>IFERROR(__xludf.DUMMYFUNCTION("""COMPUTED_VALUE"""),8.0)</f>
        <v>8</v>
      </c>
      <c r="C144" s="21" t="str">
        <f>IFERROR(__xludf.DUMMYFUNCTION("""COMPUTED_VALUE"""),"Christos Tzolis")</f>
        <v>Christos Tzolis</v>
      </c>
      <c r="D144" s="21" t="str">
        <f>IFERROR(__xludf.DUMMYFUNCTION("""COMPUTED_VALUE"""),"napastnik")</f>
        <v>napastnik</v>
      </c>
      <c r="E144" s="21" t="str">
        <f>IFERROR(__xludf.DUMMYFUNCTION("""COMPUTED_VALUE"""),"Grecja")</f>
        <v>Grecja</v>
      </c>
      <c r="F144" s="22">
        <f>IFERROR(__xludf.DUMMYFUNCTION("""COMPUTED_VALUE"""),37286.0)</f>
        <v>37286</v>
      </c>
      <c r="G144" s="23">
        <f>IFERROR(__xludf.DUMMYFUNCTION("""COMPUTED_VALUE"""),23.0)</f>
        <v>23</v>
      </c>
      <c r="H144" s="24">
        <f>IFERROR(__xludf.DUMMYFUNCTION("""COMPUTED_VALUE"""),1.0)</f>
        <v>1</v>
      </c>
      <c r="I144" s="12"/>
    </row>
    <row r="145">
      <c r="A145" s="19">
        <v>144.0</v>
      </c>
      <c r="B145" s="20">
        <f>IFERROR(__xludf.DUMMYFUNCTION("""COMPUTED_VALUE"""),15.0)</f>
        <v>15</v>
      </c>
      <c r="C145" s="21" t="str">
        <f>IFERROR(__xludf.DUMMYFUNCTION("""COMPUTED_VALUE"""),"Raphael Onyedika")</f>
        <v>Raphael Onyedika</v>
      </c>
      <c r="D145" s="21" t="str">
        <f>IFERROR(__xludf.DUMMYFUNCTION("""COMPUTED_VALUE"""),"pomocnik")</f>
        <v>pomocnik</v>
      </c>
      <c r="E145" s="21" t="str">
        <f>IFERROR(__xludf.DUMMYFUNCTION("""COMPUTED_VALUE"""),"Nigeria")</f>
        <v>Nigeria</v>
      </c>
      <c r="F145" s="22">
        <f>IFERROR(__xludf.DUMMYFUNCTION("""COMPUTED_VALUE"""),37000.0)</f>
        <v>37000</v>
      </c>
      <c r="G145" s="23">
        <f>IFERROR(__xludf.DUMMYFUNCTION("""COMPUTED_VALUE"""),24.0)</f>
        <v>24</v>
      </c>
      <c r="H145" s="24">
        <f>IFERROR(__xludf.DUMMYFUNCTION("""COMPUTED_VALUE"""),1.0)</f>
        <v>1</v>
      </c>
      <c r="I145" s="12"/>
    </row>
    <row r="146">
      <c r="A146" s="19">
        <v>145.0</v>
      </c>
      <c r="B146" s="20">
        <f>IFERROR(__xludf.DUMMYFUNCTION("""COMPUTED_VALUE"""),17.0)</f>
        <v>17</v>
      </c>
      <c r="C146" s="21" t="str">
        <f>IFERROR(__xludf.DUMMYFUNCTION("""COMPUTED_VALUE"""),"Romeo Vermant")</f>
        <v>Romeo Vermant</v>
      </c>
      <c r="D146" s="21" t="str">
        <f>IFERROR(__xludf.DUMMYFUNCTION("""COMPUTED_VALUE"""),"napastnik")</f>
        <v>napastnik</v>
      </c>
      <c r="E146" s="21" t="str">
        <f>IFERROR(__xludf.DUMMYFUNCTION("""COMPUTED_VALUE"""),"Belgia")</f>
        <v>Belgia</v>
      </c>
      <c r="F146" s="22">
        <f>IFERROR(__xludf.DUMMYFUNCTION("""COMPUTED_VALUE"""),38010.0)</f>
        <v>38010</v>
      </c>
      <c r="G146" s="23">
        <f>IFERROR(__xludf.DUMMYFUNCTION("""COMPUTED_VALUE"""),22.0)</f>
        <v>22</v>
      </c>
      <c r="H146" s="24">
        <f>IFERROR(__xludf.DUMMYFUNCTION("""COMPUTED_VALUE"""),1.0)</f>
        <v>1</v>
      </c>
      <c r="I146" s="12"/>
    </row>
    <row r="147">
      <c r="A147" s="19">
        <v>146.0</v>
      </c>
      <c r="B147" s="20">
        <f>IFERROR(__xludf.DUMMYFUNCTION("""COMPUTED_VALUE"""),25.0)</f>
        <v>25</v>
      </c>
      <c r="C147" s="21" t="str">
        <f>IFERROR(__xludf.DUMMYFUNCTION("""COMPUTED_VALUE"""),"Aleksandar Stanković")</f>
        <v>Aleksandar Stanković</v>
      </c>
      <c r="D147" s="21" t="str">
        <f>IFERROR(__xludf.DUMMYFUNCTION("""COMPUTED_VALUE"""),"pomocnik")</f>
        <v>pomocnik</v>
      </c>
      <c r="E147" s="21" t="str">
        <f>IFERROR(__xludf.DUMMYFUNCTION("""COMPUTED_VALUE"""),"Serbia /Włochy")</f>
        <v>Serbia /Włochy</v>
      </c>
      <c r="F147" s="22">
        <f>IFERROR(__xludf.DUMMYFUNCTION("""COMPUTED_VALUE"""),38567.0)</f>
        <v>38567</v>
      </c>
      <c r="G147" s="23">
        <f>IFERROR(__xludf.DUMMYFUNCTION("""COMPUTED_VALUE"""),20.0)</f>
        <v>20</v>
      </c>
      <c r="H147" s="24">
        <f>IFERROR(__xludf.DUMMYFUNCTION("""COMPUTED_VALUE"""),1.0)</f>
        <v>1</v>
      </c>
      <c r="I147" s="12"/>
    </row>
    <row r="148">
      <c r="A148" s="19">
        <v>147.0</v>
      </c>
      <c r="B148" s="20">
        <f>IFERROR(__xludf.DUMMYFUNCTION("""COMPUTED_VALUE"""),44.0)</f>
        <v>44</v>
      </c>
      <c r="C148" s="21" t="str">
        <f>IFERROR(__xludf.DUMMYFUNCTION("""COMPUTED_VALUE"""),"Brandon Mechele")</f>
        <v>Brandon Mechele</v>
      </c>
      <c r="D148" s="21" t="str">
        <f>IFERROR(__xludf.DUMMYFUNCTION("""COMPUTED_VALUE"""),"obrońca")</f>
        <v>obrońca</v>
      </c>
      <c r="E148" s="21" t="str">
        <f>IFERROR(__xludf.DUMMYFUNCTION("""COMPUTED_VALUE"""),"Belgia")</f>
        <v>Belgia</v>
      </c>
      <c r="F148" s="22">
        <f>IFERROR(__xludf.DUMMYFUNCTION("""COMPUTED_VALUE"""),33997.0)</f>
        <v>33997</v>
      </c>
      <c r="G148" s="23">
        <f>IFERROR(__xludf.DUMMYFUNCTION("""COMPUTED_VALUE"""),33.0)</f>
        <v>33</v>
      </c>
      <c r="H148" s="24">
        <f>IFERROR(__xludf.DUMMYFUNCTION("""COMPUTED_VALUE"""),1.0)</f>
        <v>1</v>
      </c>
      <c r="I148" s="12"/>
    </row>
    <row r="149">
      <c r="A149" s="19">
        <v>148.0</v>
      </c>
      <c r="B149" s="20">
        <f>IFERROR(__xludf.DUMMYFUNCTION("""COMPUTED_VALUE"""),67.0)</f>
        <v>67</v>
      </c>
      <c r="C149" s="21" t="str">
        <f>IFERROR(__xludf.DUMMYFUNCTION("""COMPUTED_VALUE"""),"Mamadou Diakhon")</f>
        <v>Mamadou Diakhon</v>
      </c>
      <c r="D149" s="21" t="str">
        <f>IFERROR(__xludf.DUMMYFUNCTION("""COMPUTED_VALUE"""),"napastnik")</f>
        <v>napastnik</v>
      </c>
      <c r="E149" s="21" t="str">
        <f>IFERROR(__xludf.DUMMYFUNCTION("""COMPUTED_VALUE"""),"Francja /Senegal")</f>
        <v>Francja /Senegal</v>
      </c>
      <c r="F149" s="22">
        <f>IFERROR(__xludf.DUMMYFUNCTION("""COMPUTED_VALUE"""),38617.0)</f>
        <v>38617</v>
      </c>
      <c r="G149" s="23">
        <f>IFERROR(__xludf.DUMMYFUNCTION("""COMPUTED_VALUE"""),20.0)</f>
        <v>20</v>
      </c>
      <c r="H149" s="24">
        <f>IFERROR(__xludf.DUMMYFUNCTION("""COMPUTED_VALUE"""),1.0)</f>
        <v>1</v>
      </c>
      <c r="I149" s="12"/>
    </row>
    <row r="150">
      <c r="A150" s="19">
        <v>149.0</v>
      </c>
      <c r="B150" s="20">
        <f>IFERROR(__xludf.DUMMYFUNCTION("""COMPUTED_VALUE"""),10.0)</f>
        <v>10</v>
      </c>
      <c r="C150" s="21" t="str">
        <f>IFERROR(__xludf.DUMMYFUNCTION("""COMPUTED_VALUE"""),"Mohamed Elyounoussi")</f>
        <v>Mohamed Elyounoussi</v>
      </c>
      <c r="D150" s="21" t="str">
        <f>IFERROR(__xludf.DUMMYFUNCTION("""COMPUTED_VALUE"""),"napastnik")</f>
        <v>napastnik</v>
      </c>
      <c r="E150" s="21" t="str">
        <f>IFERROR(__xludf.DUMMYFUNCTION("""COMPUTED_VALUE"""),"Norwegia")</f>
        <v>Norwegia</v>
      </c>
      <c r="F150" s="22">
        <f>IFERROR(__xludf.DUMMYFUNCTION("""COMPUTED_VALUE"""),34550.0)</f>
        <v>34550</v>
      </c>
      <c r="G150" s="23">
        <f>IFERROR(__xludf.DUMMYFUNCTION("""COMPUTED_VALUE"""),31.0)</f>
        <v>31</v>
      </c>
      <c r="H150" s="24">
        <f>IFERROR(__xludf.DUMMYFUNCTION("""COMPUTED_VALUE"""),1.0)</f>
        <v>1</v>
      </c>
      <c r="I150" s="12"/>
    </row>
    <row r="151">
      <c r="A151" s="19">
        <v>150.0</v>
      </c>
      <c r="B151" s="20">
        <f>IFERROR(__xludf.DUMMYFUNCTION("""COMPUTED_VALUE"""),14.0)</f>
        <v>14</v>
      </c>
      <c r="C151" s="21" t="str">
        <f>IFERROR(__xludf.DUMMYFUNCTION("""COMPUTED_VALUE"""),"Andreas Cornelius")</f>
        <v>Andreas Cornelius</v>
      </c>
      <c r="D151" s="21" t="str">
        <f>IFERROR(__xludf.DUMMYFUNCTION("""COMPUTED_VALUE"""),"napastnik")</f>
        <v>napastnik</v>
      </c>
      <c r="E151" s="21" t="str">
        <f>IFERROR(__xludf.DUMMYFUNCTION("""COMPUTED_VALUE"""),"Dania")</f>
        <v>Dania</v>
      </c>
      <c r="F151" s="22">
        <f>IFERROR(__xludf.DUMMYFUNCTION("""COMPUTED_VALUE"""),34044.0)</f>
        <v>34044</v>
      </c>
      <c r="G151" s="23">
        <f>IFERROR(__xludf.DUMMYFUNCTION("""COMPUTED_VALUE"""),32.0)</f>
        <v>32</v>
      </c>
      <c r="H151" s="24">
        <f>IFERROR(__xludf.DUMMYFUNCTION("""COMPUTED_VALUE"""),1.0)</f>
        <v>1</v>
      </c>
      <c r="I151" s="12"/>
    </row>
    <row r="152">
      <c r="A152" s="19">
        <v>151.0</v>
      </c>
      <c r="B152" s="20">
        <f>IFERROR(__xludf.DUMMYFUNCTION("""COMPUTED_VALUE"""),30.0)</f>
        <v>30</v>
      </c>
      <c r="C152" s="21" t="str">
        <f>IFERROR(__xludf.DUMMYFUNCTION("""COMPUTED_VALUE"""),"Elias Achouri")</f>
        <v>Elias Achouri</v>
      </c>
      <c r="D152" s="21" t="str">
        <f>IFERROR(__xludf.DUMMYFUNCTION("""COMPUTED_VALUE"""),"napastnik")</f>
        <v>napastnik</v>
      </c>
      <c r="E152" s="21" t="str">
        <f>IFERROR(__xludf.DUMMYFUNCTION("""COMPUTED_VALUE"""),"Tunezja /Francja")</f>
        <v>Tunezja /Francja</v>
      </c>
      <c r="F152" s="22">
        <f>IFERROR(__xludf.DUMMYFUNCTION("""COMPUTED_VALUE"""),36201.0)</f>
        <v>36201</v>
      </c>
      <c r="G152" s="23">
        <f>IFERROR(__xludf.DUMMYFUNCTION("""COMPUTED_VALUE"""),26.0)</f>
        <v>26</v>
      </c>
      <c r="H152" s="24">
        <f>IFERROR(__xludf.DUMMYFUNCTION("""COMPUTED_VALUE"""),1.0)</f>
        <v>1</v>
      </c>
      <c r="I152" s="12"/>
    </row>
    <row r="153">
      <c r="A153" s="19">
        <v>152.0</v>
      </c>
      <c r="B153" s="20">
        <f>IFERROR(__xludf.DUMMYFUNCTION("""COMPUTED_VALUE"""),8.0)</f>
        <v>8</v>
      </c>
      <c r="C153" s="21" t="str">
        <f>IFERROR(__xludf.DUMMYFUNCTION("""COMPUTED_VALUE"""),"Farès Chaïbi")</f>
        <v>Farès Chaïbi</v>
      </c>
      <c r="D153" s="21" t="str">
        <f>IFERROR(__xludf.DUMMYFUNCTION("""COMPUTED_VALUE"""),"pomocnik")</f>
        <v>pomocnik</v>
      </c>
      <c r="E153" s="21" t="str">
        <f>IFERROR(__xludf.DUMMYFUNCTION("""COMPUTED_VALUE"""),"Algieria /Francja")</f>
        <v>Algieria /Francja</v>
      </c>
      <c r="F153" s="22">
        <f>IFERROR(__xludf.DUMMYFUNCTION("""COMPUTED_VALUE"""),37588.0)</f>
        <v>37588</v>
      </c>
      <c r="G153" s="23">
        <f>IFERROR(__xludf.DUMMYFUNCTION("""COMPUTED_VALUE"""),23.0)</f>
        <v>23</v>
      </c>
      <c r="H153" s="24">
        <f>IFERROR(__xludf.DUMMYFUNCTION("""COMPUTED_VALUE"""),1.0)</f>
        <v>1</v>
      </c>
      <c r="I153" s="12"/>
    </row>
    <row r="154">
      <c r="A154" s="19">
        <v>153.0</v>
      </c>
      <c r="B154" s="20">
        <f>IFERROR(__xludf.DUMMYFUNCTION("""COMPUTED_VALUE"""),13.0)</f>
        <v>13</v>
      </c>
      <c r="C154" s="21" t="str">
        <f>IFERROR(__xludf.DUMMYFUNCTION("""COMPUTED_VALUE"""),"Rasmus Kristensen")</f>
        <v>Rasmus Kristensen</v>
      </c>
      <c r="D154" s="21" t="str">
        <f>IFERROR(__xludf.DUMMYFUNCTION("""COMPUTED_VALUE"""),"obrońca")</f>
        <v>obrońca</v>
      </c>
      <c r="E154" s="21" t="str">
        <f>IFERROR(__xludf.DUMMYFUNCTION("""COMPUTED_VALUE"""),"Dania")</f>
        <v>Dania</v>
      </c>
      <c r="F154" s="22">
        <f>IFERROR(__xludf.DUMMYFUNCTION("""COMPUTED_VALUE"""),35622.0)</f>
        <v>35622</v>
      </c>
      <c r="G154" s="23">
        <f>IFERROR(__xludf.DUMMYFUNCTION("""COMPUTED_VALUE"""),28.0)</f>
        <v>28</v>
      </c>
      <c r="H154" s="24">
        <f>IFERROR(__xludf.DUMMYFUNCTION("""COMPUTED_VALUE"""),1.0)</f>
        <v>1</v>
      </c>
      <c r="I154" s="12"/>
    </row>
    <row r="155">
      <c r="A155" s="19">
        <v>154.0</v>
      </c>
      <c r="B155" s="20">
        <f>IFERROR(__xludf.DUMMYFUNCTION("""COMPUTED_VALUE"""),7.0)</f>
        <v>7</v>
      </c>
      <c r="C155" s="21" t="str">
        <f>IFERROR(__xludf.DUMMYFUNCTION("""COMPUTED_VALUE"""),"Piotr Zieliński")</f>
        <v>Piotr Zieliński</v>
      </c>
      <c r="D155" s="21" t="str">
        <f>IFERROR(__xludf.DUMMYFUNCTION("""COMPUTED_VALUE"""),"pomocnik")</f>
        <v>pomocnik</v>
      </c>
      <c r="E155" s="21" t="str">
        <f>IFERROR(__xludf.DUMMYFUNCTION("""COMPUTED_VALUE"""),"Polska /Włochy")</f>
        <v>Polska /Włochy</v>
      </c>
      <c r="F155" s="22">
        <f>IFERROR(__xludf.DUMMYFUNCTION("""COMPUTED_VALUE"""),34474.0)</f>
        <v>34474</v>
      </c>
      <c r="G155" s="23">
        <f>IFERROR(__xludf.DUMMYFUNCTION("""COMPUTED_VALUE"""),31.0)</f>
        <v>31</v>
      </c>
      <c r="H155" s="24">
        <f>IFERROR(__xludf.DUMMYFUNCTION("""COMPUTED_VALUE"""),1.0)</f>
        <v>1</v>
      </c>
      <c r="I155" s="12"/>
    </row>
    <row r="156">
      <c r="A156" s="19">
        <v>155.0</v>
      </c>
      <c r="B156" s="20">
        <f>IFERROR(__xludf.DUMMYFUNCTION("""COMPUTED_VALUE"""),8.0)</f>
        <v>8</v>
      </c>
      <c r="C156" s="21" t="str">
        <f>IFERROR(__xludf.DUMMYFUNCTION("""COMPUTED_VALUE"""),"Petar Sučić")</f>
        <v>Petar Sučić</v>
      </c>
      <c r="D156" s="21" t="str">
        <f>IFERROR(__xludf.DUMMYFUNCTION("""COMPUTED_VALUE"""),"pomocnik")</f>
        <v>pomocnik</v>
      </c>
      <c r="E156" s="21" t="str">
        <f>IFERROR(__xludf.DUMMYFUNCTION("""COMPUTED_VALUE"""),"Chorwacja /Bośnia i Hercegowina")</f>
        <v>Chorwacja /Bośnia i Hercegowina</v>
      </c>
      <c r="F156" s="22">
        <f>IFERROR(__xludf.DUMMYFUNCTION("""COMPUTED_VALUE"""),37919.0)</f>
        <v>37919</v>
      </c>
      <c r="G156" s="23">
        <f>IFERROR(__xludf.DUMMYFUNCTION("""COMPUTED_VALUE"""),22.0)</f>
        <v>22</v>
      </c>
      <c r="H156" s="24">
        <f>IFERROR(__xludf.DUMMYFUNCTION("""COMPUTED_VALUE"""),1.0)</f>
        <v>1</v>
      </c>
      <c r="I156" s="12"/>
    </row>
    <row r="157">
      <c r="A157" s="19">
        <v>156.0</v>
      </c>
      <c r="B157" s="20">
        <f>IFERROR(__xludf.DUMMYFUNCTION("""COMPUTED_VALUE"""),20.0)</f>
        <v>20</v>
      </c>
      <c r="C157" s="21" t="str">
        <f>IFERROR(__xludf.DUMMYFUNCTION("""COMPUTED_VALUE"""),"Hakan Çalhanoğlu")</f>
        <v>Hakan Çalhanoğlu</v>
      </c>
      <c r="D157" s="21" t="str">
        <f>IFERROR(__xludf.DUMMYFUNCTION("""COMPUTED_VALUE"""),"pomocnik")</f>
        <v>pomocnik</v>
      </c>
      <c r="E157" s="21" t="str">
        <f>IFERROR(__xludf.DUMMYFUNCTION("""COMPUTED_VALUE"""),"Turcja /Niemcy")</f>
        <v>Turcja /Niemcy</v>
      </c>
      <c r="F157" s="22">
        <f>IFERROR(__xludf.DUMMYFUNCTION("""COMPUTED_VALUE"""),34373.0)</f>
        <v>34373</v>
      </c>
      <c r="G157" s="23">
        <f>IFERROR(__xludf.DUMMYFUNCTION("""COMPUTED_VALUE"""),31.0)</f>
        <v>31</v>
      </c>
      <c r="H157" s="24">
        <f>IFERROR(__xludf.DUMMYFUNCTION("""COMPUTED_VALUE"""),1.0)</f>
        <v>1</v>
      </c>
      <c r="I157" s="12"/>
    </row>
    <row r="158">
      <c r="A158" s="19">
        <v>157.0</v>
      </c>
      <c r="B158" s="20">
        <f>IFERROR(__xludf.DUMMYFUNCTION("""COMPUTED_VALUE"""),30.0)</f>
        <v>30</v>
      </c>
      <c r="C158" s="21" t="str">
        <f>IFERROR(__xludf.DUMMYFUNCTION("""COMPUTED_VALUE"""),"Carlos Augusto")</f>
        <v>Carlos Augusto</v>
      </c>
      <c r="D158" s="21" t="str">
        <f>IFERROR(__xludf.DUMMYFUNCTION("""COMPUTED_VALUE"""),"obrońca")</f>
        <v>obrońca</v>
      </c>
      <c r="E158" s="21" t="str">
        <f>IFERROR(__xludf.DUMMYFUNCTION("""COMPUTED_VALUE"""),"Brazylia /Włochy")</f>
        <v>Brazylia /Włochy</v>
      </c>
      <c r="F158" s="22">
        <f>IFERROR(__xludf.DUMMYFUNCTION("""COMPUTED_VALUE"""),36167.0)</f>
        <v>36167</v>
      </c>
      <c r="G158" s="23">
        <f>IFERROR(__xludf.DUMMYFUNCTION("""COMPUTED_VALUE"""),27.0)</f>
        <v>27</v>
      </c>
      <c r="H158" s="24">
        <f>IFERROR(__xludf.DUMMYFUNCTION("""COMPUTED_VALUE"""),1.0)</f>
        <v>1</v>
      </c>
      <c r="I158" s="12"/>
    </row>
    <row r="159">
      <c r="A159" s="19">
        <v>158.0</v>
      </c>
      <c r="B159" s="20">
        <f>IFERROR(__xludf.DUMMYFUNCTION("""COMPUTED_VALUE"""),94.0)</f>
        <v>94</v>
      </c>
      <c r="C159" s="21" t="str">
        <f>IFERROR(__xludf.DUMMYFUNCTION("""COMPUTED_VALUE"""),"Pio Esposito")</f>
        <v>Pio Esposito</v>
      </c>
      <c r="D159" s="21" t="str">
        <f>IFERROR(__xludf.DUMMYFUNCTION("""COMPUTED_VALUE"""),"napastnik")</f>
        <v>napastnik</v>
      </c>
      <c r="E159" s="21" t="str">
        <f>IFERROR(__xludf.DUMMYFUNCTION("""COMPUTED_VALUE"""),"Włochy")</f>
        <v>Włochy</v>
      </c>
      <c r="F159" s="22">
        <f>IFERROR(__xludf.DUMMYFUNCTION("""COMPUTED_VALUE"""),38531.0)</f>
        <v>38531</v>
      </c>
      <c r="G159" s="23">
        <f>IFERROR(__xludf.DUMMYFUNCTION("""COMPUTED_VALUE"""),20.0)</f>
        <v>20</v>
      </c>
      <c r="H159" s="24">
        <f>IFERROR(__xludf.DUMMYFUNCTION("""COMPUTED_VALUE"""),1.0)</f>
        <v>1</v>
      </c>
      <c r="I159" s="12"/>
    </row>
    <row r="160">
      <c r="A160" s="19">
        <v>159.0</v>
      </c>
      <c r="B160" s="20">
        <f>IFERROR(__xludf.DUMMYFUNCTION("""COMPUTED_VALUE"""),6.0)</f>
        <v>6</v>
      </c>
      <c r="C160" s="21" t="str">
        <f>IFERROR(__xludf.DUMMYFUNCTION("""COMPUTED_VALUE"""),"Adilet Sadybiekow")</f>
        <v>Adilet Sadybiekow</v>
      </c>
      <c r="D160" s="21" t="str">
        <f>IFERROR(__xludf.DUMMYFUNCTION("""COMPUTED_VALUE"""),"pomocnik")</f>
        <v>pomocnik</v>
      </c>
      <c r="E160" s="21" t="str">
        <f>IFERROR(__xludf.DUMMYFUNCTION("""COMPUTED_VALUE"""),"Kazachstan")</f>
        <v>Kazachstan</v>
      </c>
      <c r="F160" s="22">
        <f>IFERROR(__xludf.DUMMYFUNCTION("""COMPUTED_VALUE"""),37402.0)</f>
        <v>37402</v>
      </c>
      <c r="G160" s="23">
        <f>IFERROR(__xludf.DUMMYFUNCTION("""COMPUTED_VALUE"""),23.0)</f>
        <v>23</v>
      </c>
      <c r="H160" s="24">
        <f>IFERROR(__xludf.DUMMYFUNCTION("""COMPUTED_VALUE"""),1.0)</f>
        <v>1</v>
      </c>
      <c r="I160" s="12"/>
    </row>
    <row r="161">
      <c r="A161" s="19">
        <v>160.0</v>
      </c>
      <c r="B161" s="20">
        <f>IFERROR(__xludf.DUMMYFUNCTION("""COMPUTED_VALUE"""),9.0)</f>
        <v>9</v>
      </c>
      <c r="C161" s="21" t="str">
        <f>IFERROR(__xludf.DUMMYFUNCTION("""COMPUTED_VALUE"""),"Dastan Satpajew")</f>
        <v>Dastan Satpajew</v>
      </c>
      <c r="D161" s="21" t="str">
        <f>IFERROR(__xludf.DUMMYFUNCTION("""COMPUTED_VALUE"""),"napastnik")</f>
        <v>napastnik</v>
      </c>
      <c r="E161" s="21" t="str">
        <f>IFERROR(__xludf.DUMMYFUNCTION("""COMPUTED_VALUE"""),"Kazachstan")</f>
        <v>Kazachstan</v>
      </c>
      <c r="F161" s="22">
        <f>IFERROR(__xludf.DUMMYFUNCTION("""COMPUTED_VALUE"""),39672.0)</f>
        <v>39672</v>
      </c>
      <c r="G161" s="23">
        <f>IFERROR(__xludf.DUMMYFUNCTION("""COMPUTED_VALUE"""),17.0)</f>
        <v>17</v>
      </c>
      <c r="H161" s="24">
        <f>IFERROR(__xludf.DUMMYFUNCTION("""COMPUTED_VALUE"""),1.0)</f>
        <v>1</v>
      </c>
      <c r="I161" s="12"/>
    </row>
    <row r="162">
      <c r="A162" s="19">
        <v>161.0</v>
      </c>
      <c r="B162" s="20">
        <f>IFERROR(__xludf.DUMMYFUNCTION("""COMPUTED_VALUE"""),15.0)</f>
        <v>15</v>
      </c>
      <c r="C162" s="21" t="str">
        <f>IFERROR(__xludf.DUMMYFUNCTION("""COMPUTED_VALUE"""),"Ofri Arad")</f>
        <v>Ofri Arad</v>
      </c>
      <c r="D162" s="21" t="str">
        <f>IFERROR(__xludf.DUMMYFUNCTION("""COMPUTED_VALUE"""),"obrońca")</f>
        <v>obrońca</v>
      </c>
      <c r="E162" s="21" t="str">
        <f>IFERROR(__xludf.DUMMYFUNCTION("""COMPUTED_VALUE"""),"Izrael /Niemcy")</f>
        <v>Izrael /Niemcy</v>
      </c>
      <c r="F162" s="22">
        <f>IFERROR(__xludf.DUMMYFUNCTION("""COMPUTED_VALUE"""),36049.0)</f>
        <v>36049</v>
      </c>
      <c r="G162" s="23">
        <f>IFERROR(__xludf.DUMMYFUNCTION("""COMPUTED_VALUE"""),27.0)</f>
        <v>27</v>
      </c>
      <c r="H162" s="24">
        <f>IFERROR(__xludf.DUMMYFUNCTION("""COMPUTED_VALUE"""),1.0)</f>
        <v>1</v>
      </c>
      <c r="I162" s="12"/>
    </row>
    <row r="163">
      <c r="A163" s="19">
        <v>162.0</v>
      </c>
      <c r="B163" s="20">
        <f>IFERROR(__xludf.DUMMYFUNCTION("""COMPUTED_VALUE"""),17.0)</f>
        <v>17</v>
      </c>
      <c r="C163" s="21" t="str">
        <f>IFERROR(__xludf.DUMMYFUNCTION("""COMPUTED_VALUE"""),"Ołżas Bajbiek")</f>
        <v>Ołżas Bajbiek</v>
      </c>
      <c r="D163" s="21" t="str">
        <f>IFERROR(__xludf.DUMMYFUNCTION("""COMPUTED_VALUE"""),"pomocnik")</f>
        <v>pomocnik</v>
      </c>
      <c r="E163" s="21" t="str">
        <f>IFERROR(__xludf.DUMMYFUNCTION("""COMPUTED_VALUE"""),"Kazachstan")</f>
        <v>Kazachstan</v>
      </c>
      <c r="F163" s="22">
        <f>IFERROR(__xludf.DUMMYFUNCTION("""COMPUTED_VALUE"""),38394.0)</f>
        <v>38394</v>
      </c>
      <c r="G163" s="23">
        <f>IFERROR(__xludf.DUMMYFUNCTION("""COMPUTED_VALUE"""),20.0)</f>
        <v>20</v>
      </c>
      <c r="H163" s="24">
        <f>IFERROR(__xludf.DUMMYFUNCTION("""COMPUTED_VALUE"""),1.0)</f>
        <v>1</v>
      </c>
      <c r="I163" s="12"/>
    </row>
    <row r="164">
      <c r="A164" s="19">
        <v>163.0</v>
      </c>
      <c r="B164" s="20">
        <f>IFERROR(__xludf.DUMMYFUNCTION("""COMPUTED_VALUE"""),26.0)</f>
        <v>26</v>
      </c>
      <c r="C164" s="21" t="str">
        <f>IFERROR(__xludf.DUMMYFUNCTION("""COMPUTED_VALUE"""),"Edmilson")</f>
        <v>Edmilson</v>
      </c>
      <c r="D164" s="21" t="str">
        <f>IFERROR(__xludf.DUMMYFUNCTION("""COMPUTED_VALUE"""),"napastnik")</f>
        <v>napastnik</v>
      </c>
      <c r="E164" s="21" t="str">
        <f>IFERROR(__xludf.DUMMYFUNCTION("""COMPUTED_VALUE"""),"Brazylia")</f>
        <v>Brazylia</v>
      </c>
      <c r="F164" s="22">
        <f>IFERROR(__xludf.DUMMYFUNCTION("""COMPUTED_VALUE"""),35539.0)</f>
        <v>35539</v>
      </c>
      <c r="G164" s="23">
        <f>IFERROR(__xludf.DUMMYFUNCTION("""COMPUTED_VALUE"""),28.0)</f>
        <v>28</v>
      </c>
      <c r="H164" s="24">
        <f>IFERROR(__xludf.DUMMYFUNCTION("""COMPUTED_VALUE"""),1.0)</f>
        <v>1</v>
      </c>
      <c r="I164" s="12"/>
    </row>
    <row r="165">
      <c r="A165" s="19">
        <v>164.0</v>
      </c>
      <c r="B165" s="20">
        <f>IFERROR(__xludf.DUMMYFUNCTION("""COMPUTED_VALUE"""),4.0)</f>
        <v>4</v>
      </c>
      <c r="C165" s="21" t="str">
        <f>IFERROR(__xludf.DUMMYFUNCTION("""COMPUTED_VALUE"""),"Federico Gatti")</f>
        <v>Federico Gatti</v>
      </c>
      <c r="D165" s="21" t="str">
        <f>IFERROR(__xludf.DUMMYFUNCTION("""COMPUTED_VALUE"""),"obrońca")</f>
        <v>obrońca</v>
      </c>
      <c r="E165" s="21" t="str">
        <f>IFERROR(__xludf.DUMMYFUNCTION("""COMPUTED_VALUE"""),"Włochy")</f>
        <v>Włochy</v>
      </c>
      <c r="F165" s="22">
        <f>IFERROR(__xludf.DUMMYFUNCTION("""COMPUTED_VALUE"""),35970.0)</f>
        <v>35970</v>
      </c>
      <c r="G165" s="23">
        <f>IFERROR(__xludf.DUMMYFUNCTION("""COMPUTED_VALUE"""),27.0)</f>
        <v>27</v>
      </c>
      <c r="H165" s="24">
        <f>IFERROR(__xludf.DUMMYFUNCTION("""COMPUTED_VALUE"""),1.0)</f>
        <v>1</v>
      </c>
      <c r="I165" s="12"/>
    </row>
    <row r="166">
      <c r="A166" s="19">
        <v>165.0</v>
      </c>
      <c r="B166" s="20">
        <f>IFERROR(__xludf.DUMMYFUNCTION("""COMPUTED_VALUE"""),6.0)</f>
        <v>6</v>
      </c>
      <c r="C166" s="21" t="str">
        <f>IFERROR(__xludf.DUMMYFUNCTION("""COMPUTED_VALUE"""),"Lloyd Kelly")</f>
        <v>Lloyd Kelly</v>
      </c>
      <c r="D166" s="21" t="str">
        <f>IFERROR(__xludf.DUMMYFUNCTION("""COMPUTED_VALUE"""),"obrońca")</f>
        <v>obrońca</v>
      </c>
      <c r="E166" s="21" t="str">
        <f>IFERROR(__xludf.DUMMYFUNCTION("""COMPUTED_VALUE"""),"Anglia /Jamajka")</f>
        <v>Anglia /Jamajka</v>
      </c>
      <c r="F166" s="22">
        <f>IFERROR(__xludf.DUMMYFUNCTION("""COMPUTED_VALUE"""),36013.0)</f>
        <v>36013</v>
      </c>
      <c r="G166" s="23">
        <f>IFERROR(__xludf.DUMMYFUNCTION("""COMPUTED_VALUE"""),27.0)</f>
        <v>27</v>
      </c>
      <c r="H166" s="24">
        <f>IFERROR(__xludf.DUMMYFUNCTION("""COMPUTED_VALUE"""),1.0)</f>
        <v>1</v>
      </c>
      <c r="I166" s="12"/>
    </row>
    <row r="167">
      <c r="A167" s="19">
        <v>166.0</v>
      </c>
      <c r="B167" s="20">
        <f>IFERROR(__xludf.DUMMYFUNCTION("""COMPUTED_VALUE"""),7.0)</f>
        <v>7</v>
      </c>
      <c r="C167" s="21" t="str">
        <f>IFERROR(__xludf.DUMMYFUNCTION("""COMPUTED_VALUE"""),"Francisco Conceição")</f>
        <v>Francisco Conceição</v>
      </c>
      <c r="D167" s="21" t="str">
        <f>IFERROR(__xludf.DUMMYFUNCTION("""COMPUTED_VALUE"""),"napastnik")</f>
        <v>napastnik</v>
      </c>
      <c r="E167" s="21" t="str">
        <f>IFERROR(__xludf.DUMMYFUNCTION("""COMPUTED_VALUE"""),"Portugalia")</f>
        <v>Portugalia</v>
      </c>
      <c r="F167" s="22">
        <f>IFERROR(__xludf.DUMMYFUNCTION("""COMPUTED_VALUE"""),37604.0)</f>
        <v>37604</v>
      </c>
      <c r="G167" s="23">
        <f>IFERROR(__xludf.DUMMYFUNCTION("""COMPUTED_VALUE"""),23.0)</f>
        <v>23</v>
      </c>
      <c r="H167" s="24">
        <f>IFERROR(__xludf.DUMMYFUNCTION("""COMPUTED_VALUE"""),1.0)</f>
        <v>1</v>
      </c>
      <c r="I167" s="12"/>
    </row>
    <row r="168">
      <c r="A168" s="19">
        <v>167.0</v>
      </c>
      <c r="B168" s="20">
        <f>IFERROR(__xludf.DUMMYFUNCTION("""COMPUTED_VALUE"""),10.0)</f>
        <v>10</v>
      </c>
      <c r="C168" s="21" t="str">
        <f>IFERROR(__xludf.DUMMYFUNCTION("""COMPUTED_VALUE"""),"Kenan Yıldız")</f>
        <v>Kenan Yıldız</v>
      </c>
      <c r="D168" s="21" t="str">
        <f>IFERROR(__xludf.DUMMYFUNCTION("""COMPUTED_VALUE"""),"napastnik")</f>
        <v>napastnik</v>
      </c>
      <c r="E168" s="21" t="str">
        <f>IFERROR(__xludf.DUMMYFUNCTION("""COMPUTED_VALUE"""),"Turcja /Niemcy")</f>
        <v>Turcja /Niemcy</v>
      </c>
      <c r="F168" s="22">
        <f>IFERROR(__xludf.DUMMYFUNCTION("""COMPUTED_VALUE"""),38476.0)</f>
        <v>38476</v>
      </c>
      <c r="G168" s="23">
        <f>IFERROR(__xludf.DUMMYFUNCTION("""COMPUTED_VALUE"""),20.0)</f>
        <v>20</v>
      </c>
      <c r="H168" s="24">
        <f>IFERROR(__xludf.DUMMYFUNCTION("""COMPUTED_VALUE"""),1.0)</f>
        <v>1</v>
      </c>
      <c r="I168" s="12"/>
    </row>
    <row r="169">
      <c r="A169" s="19">
        <v>168.0</v>
      </c>
      <c r="B169" s="20">
        <f>IFERROR(__xludf.DUMMYFUNCTION("""COMPUTED_VALUE"""),19.0)</f>
        <v>19</v>
      </c>
      <c r="C169" s="21" t="str">
        <f>IFERROR(__xludf.DUMMYFUNCTION("""COMPUTED_VALUE"""),"Khéphren Thuram")</f>
        <v>Khéphren Thuram</v>
      </c>
      <c r="D169" s="21" t="str">
        <f>IFERROR(__xludf.DUMMYFUNCTION("""COMPUTED_VALUE"""),"pomocnik")</f>
        <v>pomocnik</v>
      </c>
      <c r="E169" s="21" t="str">
        <f>IFERROR(__xludf.DUMMYFUNCTION("""COMPUTED_VALUE"""),"Francja /Gwadelupa")</f>
        <v>Francja /Gwadelupa</v>
      </c>
      <c r="F169" s="22">
        <f>IFERROR(__xludf.DUMMYFUNCTION("""COMPUTED_VALUE"""),36976.0)</f>
        <v>36976</v>
      </c>
      <c r="G169" s="23">
        <f>IFERROR(__xludf.DUMMYFUNCTION("""COMPUTED_VALUE"""),24.0)</f>
        <v>24</v>
      </c>
      <c r="H169" s="24">
        <f>IFERROR(__xludf.DUMMYFUNCTION("""COMPUTED_VALUE"""),1.0)</f>
        <v>1</v>
      </c>
      <c r="I169" s="12"/>
    </row>
    <row r="170">
      <c r="A170" s="19">
        <v>169.0</v>
      </c>
      <c r="B170" s="20">
        <f>IFERROR(__xludf.DUMMYFUNCTION("""COMPUTED_VALUE"""),20.0)</f>
        <v>20</v>
      </c>
      <c r="C170" s="21" t="str">
        <f>IFERROR(__xludf.DUMMYFUNCTION("""COMPUTED_VALUE"""),"Loïs Openda")</f>
        <v>Loïs Openda</v>
      </c>
      <c r="D170" s="21" t="str">
        <f>IFERROR(__xludf.DUMMYFUNCTION("""COMPUTED_VALUE"""),"napastnik")</f>
        <v>napastnik</v>
      </c>
      <c r="E170" s="21" t="str">
        <f>IFERROR(__xludf.DUMMYFUNCTION("""COMPUTED_VALUE"""),"Belgia /Maroko")</f>
        <v>Belgia /Maroko</v>
      </c>
      <c r="F170" s="22">
        <f>IFERROR(__xludf.DUMMYFUNCTION("""COMPUTED_VALUE"""),36572.0)</f>
        <v>36572</v>
      </c>
      <c r="G170" s="23">
        <f>IFERROR(__xludf.DUMMYFUNCTION("""COMPUTED_VALUE"""),25.0)</f>
        <v>25</v>
      </c>
      <c r="H170" s="24">
        <f>IFERROR(__xludf.DUMMYFUNCTION("""COMPUTED_VALUE"""),1.0)</f>
        <v>1</v>
      </c>
      <c r="I170" s="12"/>
    </row>
    <row r="171">
      <c r="A171" s="19">
        <v>170.0</v>
      </c>
      <c r="B171" s="20">
        <f>IFERROR(__xludf.DUMMYFUNCTION("""COMPUTED_VALUE"""),35.0)</f>
        <v>35</v>
      </c>
      <c r="C171" s="21" t="str">
        <f>IFERROR(__xludf.DUMMYFUNCTION("""COMPUTED_VALUE"""),"Christian Kofane")</f>
        <v>Christian Kofane</v>
      </c>
      <c r="D171" s="21" t="str">
        <f>IFERROR(__xludf.DUMMYFUNCTION("""COMPUTED_VALUE"""),"napastnik")</f>
        <v>napastnik</v>
      </c>
      <c r="E171" s="21" t="str">
        <f>IFERROR(__xludf.DUMMYFUNCTION("""COMPUTED_VALUE"""),"Kamerun")</f>
        <v>Kamerun</v>
      </c>
      <c r="F171" s="22">
        <f>IFERROR(__xludf.DUMMYFUNCTION("""COMPUTED_VALUE"""),38924.0)</f>
        <v>38924</v>
      </c>
      <c r="G171" s="23">
        <f>IFERROR(__xludf.DUMMYFUNCTION("""COMPUTED_VALUE"""),19.0)</f>
        <v>19</v>
      </c>
      <c r="H171" s="24">
        <f>IFERROR(__xludf.DUMMYFUNCTION("""COMPUTED_VALUE"""),1.0)</f>
        <v>1</v>
      </c>
      <c r="I171" s="12"/>
    </row>
    <row r="172">
      <c r="A172" s="19">
        <v>171.0</v>
      </c>
      <c r="B172" s="20">
        <f>IFERROR(__xludf.DUMMYFUNCTION("""COMPUTED_VALUE"""),5.0)</f>
        <v>5</v>
      </c>
      <c r="C172" s="21" t="str">
        <f>IFERROR(__xludf.DUMMYFUNCTION("""COMPUTED_VALUE"""),"Ibrahima Konaté")</f>
        <v>Ibrahima Konaté</v>
      </c>
      <c r="D172" s="21" t="str">
        <f>IFERROR(__xludf.DUMMYFUNCTION("""COMPUTED_VALUE"""),"obrońca")</f>
        <v>obrońca</v>
      </c>
      <c r="E172" s="21" t="str">
        <f>IFERROR(__xludf.DUMMYFUNCTION("""COMPUTED_VALUE"""),"Francja /Mali")</f>
        <v>Francja /Mali</v>
      </c>
      <c r="F172" s="22">
        <f>IFERROR(__xludf.DUMMYFUNCTION("""COMPUTED_VALUE"""),36305.0)</f>
        <v>36305</v>
      </c>
      <c r="G172" s="23">
        <f>IFERROR(__xludf.DUMMYFUNCTION("""COMPUTED_VALUE"""),26.0)</f>
        <v>26</v>
      </c>
      <c r="H172" s="24">
        <f>IFERROR(__xludf.DUMMYFUNCTION("""COMPUTED_VALUE"""),1.0)</f>
        <v>1</v>
      </c>
      <c r="I172" s="12"/>
    </row>
    <row r="173">
      <c r="A173" s="19">
        <v>172.0</v>
      </c>
      <c r="B173" s="20">
        <f>IFERROR(__xludf.DUMMYFUNCTION("""COMPUTED_VALUE"""),10.0)</f>
        <v>10</v>
      </c>
      <c r="C173" s="21" t="str">
        <f>IFERROR(__xludf.DUMMYFUNCTION("""COMPUTED_VALUE"""),"Alexis Mac Allister")</f>
        <v>Alexis Mac Allister</v>
      </c>
      <c r="D173" s="21" t="str">
        <f>IFERROR(__xludf.DUMMYFUNCTION("""COMPUTED_VALUE"""),"pomocnik")</f>
        <v>pomocnik</v>
      </c>
      <c r="E173" s="21" t="str">
        <f>IFERROR(__xludf.DUMMYFUNCTION("""COMPUTED_VALUE"""),"Argentyna /Włochy")</f>
        <v>Argentyna /Włochy</v>
      </c>
      <c r="F173" s="22">
        <f>IFERROR(__xludf.DUMMYFUNCTION("""COMPUTED_VALUE"""),36153.0)</f>
        <v>36153</v>
      </c>
      <c r="G173" s="23">
        <f>IFERROR(__xludf.DUMMYFUNCTION("""COMPUTED_VALUE"""),27.0)</f>
        <v>27</v>
      </c>
      <c r="H173" s="24">
        <f>IFERROR(__xludf.DUMMYFUNCTION("""COMPUTED_VALUE"""),1.0)</f>
        <v>1</v>
      </c>
      <c r="I173" s="12"/>
    </row>
    <row r="174">
      <c r="A174" s="19">
        <v>173.0</v>
      </c>
      <c r="B174" s="20">
        <f>IFERROR(__xludf.DUMMYFUNCTION("""COMPUTED_VALUE"""),11.0)</f>
        <v>11</v>
      </c>
      <c r="C174" s="21" t="str">
        <f>IFERROR(__xludf.DUMMYFUNCTION("""COMPUTED_VALUE"""),"Mohamed Salah")</f>
        <v>Mohamed Salah</v>
      </c>
      <c r="D174" s="21" t="str">
        <f>IFERROR(__xludf.DUMMYFUNCTION("""COMPUTED_VALUE"""),"napastnik")</f>
        <v>napastnik</v>
      </c>
      <c r="E174" s="21" t="str">
        <f>IFERROR(__xludf.DUMMYFUNCTION("""COMPUTED_VALUE"""),"Egipt")</f>
        <v>Egipt</v>
      </c>
      <c r="F174" s="22">
        <f>IFERROR(__xludf.DUMMYFUNCTION("""COMPUTED_VALUE"""),33770.0)</f>
        <v>33770</v>
      </c>
      <c r="G174" s="23">
        <f>IFERROR(__xludf.DUMMYFUNCTION("""COMPUTED_VALUE"""),33.0)</f>
        <v>33</v>
      </c>
      <c r="H174" s="24">
        <f>IFERROR(__xludf.DUMMYFUNCTION("""COMPUTED_VALUE"""),1.0)</f>
        <v>1</v>
      </c>
      <c r="I174" s="12"/>
    </row>
    <row r="175">
      <c r="A175" s="19">
        <v>174.0</v>
      </c>
      <c r="B175" s="20">
        <f>IFERROR(__xludf.DUMMYFUNCTION("""COMPUTED_VALUE"""),22.0)</f>
        <v>22</v>
      </c>
      <c r="C175" s="21" t="str">
        <f>IFERROR(__xludf.DUMMYFUNCTION("""COMPUTED_VALUE"""),"Hugo Ekitiké")</f>
        <v>Hugo Ekitiké</v>
      </c>
      <c r="D175" s="21" t="str">
        <f>IFERROR(__xludf.DUMMYFUNCTION("""COMPUTED_VALUE"""),"napastnik")</f>
        <v>napastnik</v>
      </c>
      <c r="E175" s="21" t="str">
        <f>IFERROR(__xludf.DUMMYFUNCTION("""COMPUTED_VALUE"""),"Francja /Kamerun")</f>
        <v>Francja /Kamerun</v>
      </c>
      <c r="F175" s="22">
        <f>IFERROR(__xludf.DUMMYFUNCTION("""COMPUTED_VALUE"""),37427.0)</f>
        <v>37427</v>
      </c>
      <c r="G175" s="23">
        <f>IFERROR(__xludf.DUMMYFUNCTION("""COMPUTED_VALUE"""),23.0)</f>
        <v>23</v>
      </c>
      <c r="H175" s="24">
        <f>IFERROR(__xludf.DUMMYFUNCTION("""COMPUTED_VALUE"""),1.0)</f>
        <v>1</v>
      </c>
      <c r="I175" s="12"/>
    </row>
    <row r="176">
      <c r="A176" s="19">
        <v>175.0</v>
      </c>
      <c r="B176" s="20">
        <f>IFERROR(__xludf.DUMMYFUNCTION("""COMPUTED_VALUE"""),26.0)</f>
        <v>26</v>
      </c>
      <c r="C176" s="21" t="str">
        <f>IFERROR(__xludf.DUMMYFUNCTION("""COMPUTED_VALUE"""),"Andy Robertson")</f>
        <v>Andy Robertson</v>
      </c>
      <c r="D176" s="21" t="str">
        <f>IFERROR(__xludf.DUMMYFUNCTION("""COMPUTED_VALUE"""),"obrońca")</f>
        <v>obrońca</v>
      </c>
      <c r="E176" s="21" t="str">
        <f>IFERROR(__xludf.DUMMYFUNCTION("""COMPUTED_VALUE"""),"Szkocja")</f>
        <v>Szkocja</v>
      </c>
      <c r="F176" s="22">
        <f>IFERROR(__xludf.DUMMYFUNCTION("""COMPUTED_VALUE"""),34404.0)</f>
        <v>34404</v>
      </c>
      <c r="G176" s="23">
        <f>IFERROR(__xludf.DUMMYFUNCTION("""COMPUTED_VALUE"""),31.0)</f>
        <v>31</v>
      </c>
      <c r="H176" s="24">
        <f>IFERROR(__xludf.DUMMYFUNCTION("""COMPUTED_VALUE"""),1.0)</f>
        <v>1</v>
      </c>
      <c r="I176" s="12"/>
    </row>
    <row r="177">
      <c r="A177" s="19">
        <v>176.0</v>
      </c>
      <c r="B177" s="20">
        <f>IFERROR(__xludf.DUMMYFUNCTION("""COMPUTED_VALUE"""),11.0)</f>
        <v>11</v>
      </c>
      <c r="C177" s="21" t="str">
        <f>IFERROR(__xludf.DUMMYFUNCTION("""COMPUTED_VALUE"""),"Jérémy Doku")</f>
        <v>Jérémy Doku</v>
      </c>
      <c r="D177" s="21" t="str">
        <f>IFERROR(__xludf.DUMMYFUNCTION("""COMPUTED_VALUE"""),"napastnik")</f>
        <v>napastnik</v>
      </c>
      <c r="E177" s="21" t="str">
        <f>IFERROR(__xludf.DUMMYFUNCTION("""COMPUTED_VALUE"""),"Belgia /Ghana")</f>
        <v>Belgia /Ghana</v>
      </c>
      <c r="F177" s="22">
        <f>IFERROR(__xludf.DUMMYFUNCTION("""COMPUTED_VALUE"""),37403.0)</f>
        <v>37403</v>
      </c>
      <c r="G177" s="23">
        <f>IFERROR(__xludf.DUMMYFUNCTION("""COMPUTED_VALUE"""),23.0)</f>
        <v>23</v>
      </c>
      <c r="H177" s="24">
        <f>IFERROR(__xludf.DUMMYFUNCTION("""COMPUTED_VALUE"""),1.0)</f>
        <v>1</v>
      </c>
      <c r="I177" s="12"/>
    </row>
    <row r="178">
      <c r="A178" s="19">
        <v>177.0</v>
      </c>
      <c r="B178" s="20">
        <f>IFERROR(__xludf.DUMMYFUNCTION("""COMPUTED_VALUE"""),20.0)</f>
        <v>20</v>
      </c>
      <c r="C178" s="21" t="str">
        <f>IFERROR(__xludf.DUMMYFUNCTION("""COMPUTED_VALUE"""),"Bernardo Silva")</f>
        <v>Bernardo Silva</v>
      </c>
      <c r="D178" s="21" t="str">
        <f>IFERROR(__xludf.DUMMYFUNCTION("""COMPUTED_VALUE"""),"pomocnik")</f>
        <v>pomocnik</v>
      </c>
      <c r="E178" s="21" t="str">
        <f>IFERROR(__xludf.DUMMYFUNCTION("""COMPUTED_VALUE"""),"Portugalia")</f>
        <v>Portugalia</v>
      </c>
      <c r="F178" s="22">
        <f>IFERROR(__xludf.DUMMYFUNCTION("""COMPUTED_VALUE"""),34556.0)</f>
        <v>34556</v>
      </c>
      <c r="G178" s="23">
        <f>IFERROR(__xludf.DUMMYFUNCTION("""COMPUTED_VALUE"""),31.0)</f>
        <v>31</v>
      </c>
      <c r="H178" s="24">
        <f>IFERROR(__xludf.DUMMYFUNCTION("""COMPUTED_VALUE"""),1.0)</f>
        <v>1</v>
      </c>
      <c r="I178" s="12"/>
    </row>
    <row r="179">
      <c r="A179" s="19">
        <v>178.0</v>
      </c>
      <c r="B179" s="20">
        <f>IFERROR(__xludf.DUMMYFUNCTION("""COMPUTED_VALUE"""),33.0)</f>
        <v>33</v>
      </c>
      <c r="C179" s="21" t="str">
        <f>IFERROR(__xludf.DUMMYFUNCTION("""COMPUTED_VALUE"""),"Nico O'Reilly")</f>
        <v>Nico O'Reilly</v>
      </c>
      <c r="D179" s="21" t="str">
        <f>IFERROR(__xludf.DUMMYFUNCTION("""COMPUTED_VALUE"""),"pomocnik")</f>
        <v>pomocnik</v>
      </c>
      <c r="E179" s="21" t="str">
        <f>IFERROR(__xludf.DUMMYFUNCTION("""COMPUTED_VALUE"""),"Anglia")</f>
        <v>Anglia</v>
      </c>
      <c r="F179" s="22">
        <f>IFERROR(__xludf.DUMMYFUNCTION("""COMPUTED_VALUE"""),38432.0)</f>
        <v>38432</v>
      </c>
      <c r="G179" s="23">
        <f>IFERROR(__xludf.DUMMYFUNCTION("""COMPUTED_VALUE"""),20.0)</f>
        <v>20</v>
      </c>
      <c r="H179" s="24">
        <f>IFERROR(__xludf.DUMMYFUNCTION("""COMPUTED_VALUE"""),1.0)</f>
        <v>1</v>
      </c>
      <c r="I179" s="12"/>
    </row>
    <row r="180">
      <c r="A180" s="19">
        <v>179.0</v>
      </c>
      <c r="B180" s="20">
        <f>IFERROR(__xludf.DUMMYFUNCTION("""COMPUTED_VALUE"""),22.0)</f>
        <v>22</v>
      </c>
      <c r="C180" s="21" t="str">
        <f>IFERROR(__xludf.DUMMYFUNCTION("""COMPUTED_VALUE"""),"Timothy Weah")</f>
        <v>Timothy Weah</v>
      </c>
      <c r="D180" s="21" t="str">
        <f>IFERROR(__xludf.DUMMYFUNCTION("""COMPUTED_VALUE"""),"napastnik")</f>
        <v>napastnik</v>
      </c>
      <c r="E180" s="21" t="str">
        <f>IFERROR(__xludf.DUMMYFUNCTION("""COMPUTED_VALUE"""),"USA /Francja")</f>
        <v>USA /Francja</v>
      </c>
      <c r="F180" s="22">
        <f>IFERROR(__xludf.DUMMYFUNCTION("""COMPUTED_VALUE"""),36668.0)</f>
        <v>36668</v>
      </c>
      <c r="G180" s="23">
        <f>IFERROR(__xludf.DUMMYFUNCTION("""COMPUTED_VALUE"""),25.0)</f>
        <v>25</v>
      </c>
      <c r="H180" s="24">
        <f>IFERROR(__xludf.DUMMYFUNCTION("""COMPUTED_VALUE"""),1.0)</f>
        <v>1</v>
      </c>
      <c r="I180" s="12"/>
    </row>
    <row r="181">
      <c r="A181" s="19">
        <v>180.0</v>
      </c>
      <c r="B181" s="20">
        <f>IFERROR(__xludf.DUMMYFUNCTION("""COMPUTED_VALUE"""),3.0)</f>
        <v>3</v>
      </c>
      <c r="C181" s="21" t="str">
        <f>IFERROR(__xludf.DUMMYFUNCTION("""COMPUTED_VALUE"""),"Eric Dier")</f>
        <v>Eric Dier</v>
      </c>
      <c r="D181" s="21" t="str">
        <f>IFERROR(__xludf.DUMMYFUNCTION("""COMPUTED_VALUE"""),"obrońca")</f>
        <v>obrońca</v>
      </c>
      <c r="E181" s="21" t="str">
        <f>IFERROR(__xludf.DUMMYFUNCTION("""COMPUTED_VALUE"""),"Anglia /Portugalia")</f>
        <v>Anglia /Portugalia</v>
      </c>
      <c r="F181" s="22">
        <f>IFERROR(__xludf.DUMMYFUNCTION("""COMPUTED_VALUE"""),34349.0)</f>
        <v>34349</v>
      </c>
      <c r="G181" s="23">
        <f>IFERROR(__xludf.DUMMYFUNCTION("""COMPUTED_VALUE"""),32.0)</f>
        <v>32</v>
      </c>
      <c r="H181" s="24">
        <f>IFERROR(__xludf.DUMMYFUNCTION("""COMPUTED_VALUE"""),1.0)</f>
        <v>1</v>
      </c>
      <c r="I181" s="12"/>
    </row>
    <row r="182">
      <c r="A182" s="19">
        <v>181.0</v>
      </c>
      <c r="B182" s="20">
        <f>IFERROR(__xludf.DUMMYFUNCTION("""COMPUTED_VALUE"""),18.0)</f>
        <v>18</v>
      </c>
      <c r="C182" s="21" t="str">
        <f>IFERROR(__xludf.DUMMYFUNCTION("""COMPUTED_VALUE"""),"Takumi Minamino")</f>
        <v>Takumi Minamino</v>
      </c>
      <c r="D182" s="21" t="str">
        <f>IFERROR(__xludf.DUMMYFUNCTION("""COMPUTED_VALUE"""),"napastnik")</f>
        <v>napastnik</v>
      </c>
      <c r="E182" s="21" t="str">
        <f>IFERROR(__xludf.DUMMYFUNCTION("""COMPUTED_VALUE"""),"Japonia")</f>
        <v>Japonia</v>
      </c>
      <c r="F182" s="22">
        <f>IFERROR(__xludf.DUMMYFUNCTION("""COMPUTED_VALUE"""),34715.0)</f>
        <v>34715</v>
      </c>
      <c r="G182" s="23">
        <f>IFERROR(__xludf.DUMMYFUNCTION("""COMPUTED_VALUE"""),31.0)</f>
        <v>31</v>
      </c>
      <c r="H182" s="24">
        <f>IFERROR(__xludf.DUMMYFUNCTION("""COMPUTED_VALUE"""),1.0)</f>
        <v>1</v>
      </c>
      <c r="I182" s="12"/>
    </row>
    <row r="183">
      <c r="A183" s="19">
        <v>182.0</v>
      </c>
      <c r="B183" s="20">
        <f>IFERROR(__xludf.DUMMYFUNCTION("""COMPUTED_VALUE"""),31.0)</f>
        <v>31</v>
      </c>
      <c r="C183" s="21" t="str">
        <f>IFERROR(__xludf.DUMMYFUNCTION("""COMPUTED_VALUE"""),"Ansu Fati")</f>
        <v>Ansu Fati</v>
      </c>
      <c r="D183" s="21" t="str">
        <f>IFERROR(__xludf.DUMMYFUNCTION("""COMPUTED_VALUE"""),"napastnik")</f>
        <v>napastnik</v>
      </c>
      <c r="E183" s="21" t="str">
        <f>IFERROR(__xludf.DUMMYFUNCTION("""COMPUTED_VALUE"""),"Hiszpania /Gwinea Bissau")</f>
        <v>Hiszpania /Gwinea Bissau</v>
      </c>
      <c r="F183" s="22">
        <f>IFERROR(__xludf.DUMMYFUNCTION("""COMPUTED_VALUE"""),37560.0)</f>
        <v>37560</v>
      </c>
      <c r="G183" s="23">
        <f>IFERROR(__xludf.DUMMYFUNCTION("""COMPUTED_VALUE"""),23.0)</f>
        <v>23</v>
      </c>
      <c r="H183" s="24">
        <f>IFERROR(__xludf.DUMMYFUNCTION("""COMPUTED_VALUE"""),1.0)</f>
        <v>1</v>
      </c>
      <c r="I183" s="12"/>
    </row>
    <row r="184">
      <c r="A184" s="19">
        <v>183.0</v>
      </c>
      <c r="B184" s="20">
        <f>IFERROR(__xludf.DUMMYFUNCTION("""COMPUTED_VALUE"""),7.0)</f>
        <v>7</v>
      </c>
      <c r="C184" s="21" t="str">
        <f>IFERROR(__xludf.DUMMYFUNCTION("""COMPUTED_VALUE"""),"Joelinton")</f>
        <v>Joelinton</v>
      </c>
      <c r="D184" s="21" t="str">
        <f>IFERROR(__xludf.DUMMYFUNCTION("""COMPUTED_VALUE"""),"pomocnik")</f>
        <v>pomocnik</v>
      </c>
      <c r="E184" s="21" t="str">
        <f>IFERROR(__xludf.DUMMYFUNCTION("""COMPUTED_VALUE"""),"Brazylia")</f>
        <v>Brazylia</v>
      </c>
      <c r="F184" s="22">
        <f>IFERROR(__xludf.DUMMYFUNCTION("""COMPUTED_VALUE"""),35291.0)</f>
        <v>35291</v>
      </c>
      <c r="G184" s="23">
        <f>IFERROR(__xludf.DUMMYFUNCTION("""COMPUTED_VALUE"""),29.0)</f>
        <v>29</v>
      </c>
      <c r="H184" s="24">
        <f>IFERROR(__xludf.DUMMYFUNCTION("""COMPUTED_VALUE"""),1.0)</f>
        <v>1</v>
      </c>
      <c r="I184" s="12"/>
    </row>
    <row r="185">
      <c r="A185" s="19">
        <v>184.0</v>
      </c>
      <c r="B185" s="20">
        <f>IFERROR(__xludf.DUMMYFUNCTION("""COMPUTED_VALUE"""),9.0)</f>
        <v>9</v>
      </c>
      <c r="C185" s="21" t="str">
        <f>IFERROR(__xludf.DUMMYFUNCTION("""COMPUTED_VALUE"""),"Yoane Wissa")</f>
        <v>Yoane Wissa</v>
      </c>
      <c r="D185" s="21" t="str">
        <f>IFERROR(__xludf.DUMMYFUNCTION("""COMPUTED_VALUE"""),"pomocnik")</f>
        <v>pomocnik</v>
      </c>
      <c r="E185" s="21" t="str">
        <f>IFERROR(__xludf.DUMMYFUNCTION("""COMPUTED_VALUE"""),"Demokratyczna Republika Konga /Francja")</f>
        <v>Demokratyczna Republika Konga /Francja</v>
      </c>
      <c r="F185" s="22">
        <f>IFERROR(__xludf.DUMMYFUNCTION("""COMPUTED_VALUE"""),35311.0)</f>
        <v>35311</v>
      </c>
      <c r="G185" s="23">
        <f>IFERROR(__xludf.DUMMYFUNCTION("""COMPUTED_VALUE"""),29.0)</f>
        <v>29</v>
      </c>
      <c r="H185" s="24">
        <f>IFERROR(__xludf.DUMMYFUNCTION("""COMPUTED_VALUE"""),1.0)</f>
        <v>1</v>
      </c>
      <c r="I185" s="12"/>
    </row>
    <row r="186">
      <c r="A186" s="19">
        <v>185.0</v>
      </c>
      <c r="B186" s="20">
        <f>IFERROR(__xludf.DUMMYFUNCTION("""COMPUTED_VALUE"""),27.0)</f>
        <v>27</v>
      </c>
      <c r="C186" s="21" t="str">
        <f>IFERROR(__xludf.DUMMYFUNCTION("""COMPUTED_VALUE"""),"Nick Woltemade")</f>
        <v>Nick Woltemade</v>
      </c>
      <c r="D186" s="21" t="str">
        <f>IFERROR(__xludf.DUMMYFUNCTION("""COMPUTED_VALUE"""),"napastnik")</f>
        <v>napastnik</v>
      </c>
      <c r="E186" s="21" t="str">
        <f>IFERROR(__xludf.DUMMYFUNCTION("""COMPUTED_VALUE"""),"Niemcy")</f>
        <v>Niemcy</v>
      </c>
      <c r="F186" s="22">
        <f>IFERROR(__xludf.DUMMYFUNCTION("""COMPUTED_VALUE"""),37301.0)</f>
        <v>37301</v>
      </c>
      <c r="G186" s="23">
        <f>IFERROR(__xludf.DUMMYFUNCTION("""COMPUTED_VALUE"""),23.0)</f>
        <v>23</v>
      </c>
      <c r="H186" s="24">
        <f>IFERROR(__xludf.DUMMYFUNCTION("""COMPUTED_VALUE"""),1.0)</f>
        <v>1</v>
      </c>
      <c r="I186" s="12"/>
    </row>
    <row r="187">
      <c r="A187" s="19">
        <v>186.0</v>
      </c>
      <c r="B187" s="20">
        <f>IFERROR(__xludf.DUMMYFUNCTION("""COMPUTED_VALUE"""),33.0)</f>
        <v>33</v>
      </c>
      <c r="C187" s="21" t="str">
        <f>IFERROR(__xludf.DUMMYFUNCTION("""COMPUTED_VALUE"""),"Dan Burn")</f>
        <v>Dan Burn</v>
      </c>
      <c r="D187" s="21" t="str">
        <f>IFERROR(__xludf.DUMMYFUNCTION("""COMPUTED_VALUE"""),"obrońca")</f>
        <v>obrońca</v>
      </c>
      <c r="E187" s="21" t="str">
        <f>IFERROR(__xludf.DUMMYFUNCTION("""COMPUTED_VALUE"""),"Anglia")</f>
        <v>Anglia</v>
      </c>
      <c r="F187" s="22">
        <f>IFERROR(__xludf.DUMMYFUNCTION("""COMPUTED_VALUE"""),33733.0)</f>
        <v>33733</v>
      </c>
      <c r="G187" s="23">
        <f>IFERROR(__xludf.DUMMYFUNCTION("""COMPUTED_VALUE"""),33.0)</f>
        <v>33</v>
      </c>
      <c r="H187" s="24">
        <f>IFERROR(__xludf.DUMMYFUNCTION("""COMPUTED_VALUE"""),1.0)</f>
        <v>1</v>
      </c>
      <c r="I187" s="12"/>
    </row>
    <row r="188">
      <c r="A188" s="19">
        <v>187.0</v>
      </c>
      <c r="B188" s="20">
        <f>IFERROR(__xludf.DUMMYFUNCTION("""COMPUTED_VALUE"""),67.0)</f>
        <v>67</v>
      </c>
      <c r="C188" s="21" t="str">
        <f>IFERROR(__xludf.DUMMYFUNCTION("""COMPUTED_VALUE"""),"Lewis Miley")</f>
        <v>Lewis Miley</v>
      </c>
      <c r="D188" s="21" t="str">
        <f>IFERROR(__xludf.DUMMYFUNCTION("""COMPUTED_VALUE"""),"pomocnik")</f>
        <v>pomocnik</v>
      </c>
      <c r="E188" s="21" t="str">
        <f>IFERROR(__xludf.DUMMYFUNCTION("""COMPUTED_VALUE"""),"Anglia")</f>
        <v>Anglia</v>
      </c>
      <c r="F188" s="22">
        <f>IFERROR(__xludf.DUMMYFUNCTION("""COMPUTED_VALUE"""),38838.0)</f>
        <v>38838</v>
      </c>
      <c r="G188" s="23">
        <f>IFERROR(__xludf.DUMMYFUNCTION("""COMPUTED_VALUE"""),19.0)</f>
        <v>19</v>
      </c>
      <c r="H188" s="24">
        <f>IFERROR(__xludf.DUMMYFUNCTION("""COMPUTED_VALUE"""),1.0)</f>
        <v>1</v>
      </c>
      <c r="I188" s="12"/>
    </row>
    <row r="189">
      <c r="A189" s="19">
        <v>188.0</v>
      </c>
      <c r="B189" s="20">
        <f>IFERROR(__xludf.DUMMYFUNCTION("""COMPUTED_VALUE"""),20.0)</f>
        <v>20</v>
      </c>
      <c r="C189" s="21" t="str">
        <f>IFERROR(__xludf.DUMMYFUNCTION("""COMPUTED_VALUE"""),"Costinha")</f>
        <v>Costinha</v>
      </c>
      <c r="D189" s="21" t="str">
        <f>IFERROR(__xludf.DUMMYFUNCTION("""COMPUTED_VALUE"""),"obrońca")</f>
        <v>obrońca</v>
      </c>
      <c r="E189" s="21" t="str">
        <f>IFERROR(__xludf.DUMMYFUNCTION("""COMPUTED_VALUE"""),"Portugalia")</f>
        <v>Portugalia</v>
      </c>
      <c r="F189" s="22">
        <f>IFERROR(__xludf.DUMMYFUNCTION("""COMPUTED_VALUE"""),36611.0)</f>
        <v>36611</v>
      </c>
      <c r="G189" s="23">
        <f>IFERROR(__xludf.DUMMYFUNCTION("""COMPUTED_VALUE"""),25.0)</f>
        <v>25</v>
      </c>
      <c r="H189" s="24">
        <f>IFERROR(__xludf.DUMMYFUNCTION("""COMPUTED_VALUE"""),1.0)</f>
        <v>1</v>
      </c>
      <c r="I189" s="12"/>
    </row>
    <row r="190">
      <c r="A190" s="19">
        <v>189.0</v>
      </c>
      <c r="B190" s="20">
        <f>IFERROR(__xludf.DUMMYFUNCTION("""COMPUTED_VALUE"""),22.0)</f>
        <v>22</v>
      </c>
      <c r="C190" s="21" t="str">
        <f>IFERROR(__xludf.DUMMYFUNCTION("""COMPUTED_VALUE"""),"Chiquinnho")</f>
        <v>Chiquinnho</v>
      </c>
      <c r="D190" s="21" t="str">
        <f>IFERROR(__xludf.DUMMYFUNCTION("""COMPUTED_VALUE"""),"pomocnik")</f>
        <v>pomocnik</v>
      </c>
      <c r="E190" s="21" t="str">
        <f>IFERROR(__xludf.DUMMYFUNCTION("""COMPUTED_VALUE"""),"Portugalia")</f>
        <v>Portugalia</v>
      </c>
      <c r="F190" s="22">
        <f>IFERROR(__xludf.DUMMYFUNCTION("""COMPUTED_VALUE"""),34899.0)</f>
        <v>34899</v>
      </c>
      <c r="G190" s="23">
        <f>IFERROR(__xludf.DUMMYFUNCTION("""COMPUTED_VALUE"""),30.0)</f>
        <v>30</v>
      </c>
      <c r="H190" s="24">
        <f>IFERROR(__xludf.DUMMYFUNCTION("""COMPUTED_VALUE"""),1.0)</f>
        <v>1</v>
      </c>
      <c r="I190" s="12"/>
    </row>
    <row r="191">
      <c r="A191" s="19">
        <v>190.0</v>
      </c>
      <c r="B191" s="20">
        <f>IFERROR(__xludf.DUMMYFUNCTION("""COMPUTED_VALUE"""),4.0)</f>
        <v>4</v>
      </c>
      <c r="C191" s="21" t="str">
        <f>IFERROR(__xludf.DUMMYFUNCTION("""COMPUTED_VALUE"""),"David Luiz")</f>
        <v>David Luiz</v>
      </c>
      <c r="D191" s="21" t="str">
        <f>IFERROR(__xludf.DUMMYFUNCTION("""COMPUTED_VALUE"""),"obrońca")</f>
        <v>obrońca</v>
      </c>
      <c r="E191" s="21" t="str">
        <f>IFERROR(__xludf.DUMMYFUNCTION("""COMPUTED_VALUE"""),"Brazylia")</f>
        <v>Brazylia</v>
      </c>
      <c r="F191" s="22">
        <f>IFERROR(__xludf.DUMMYFUNCTION("""COMPUTED_VALUE"""),31889.0)</f>
        <v>31889</v>
      </c>
      <c r="G191" s="23">
        <f>IFERROR(__xludf.DUMMYFUNCTION("""COMPUTED_VALUE"""),38.0)</f>
        <v>38</v>
      </c>
      <c r="H191" s="24">
        <f>IFERROR(__xludf.DUMMYFUNCTION("""COMPUTED_VALUE"""),1.0)</f>
        <v>1</v>
      </c>
      <c r="I191" s="12"/>
    </row>
    <row r="192">
      <c r="A192" s="19">
        <v>191.0</v>
      </c>
      <c r="B192" s="20">
        <f>IFERROR(__xludf.DUMMYFUNCTION("""COMPUTED_VALUE"""),17.0)</f>
        <v>17</v>
      </c>
      <c r="C192" s="21" t="str">
        <f>IFERROR(__xludf.DUMMYFUNCTION("""COMPUTED_VALUE"""),"Mislav Oršić")</f>
        <v>Mislav Oršić</v>
      </c>
      <c r="D192" s="21" t="str">
        <f>IFERROR(__xludf.DUMMYFUNCTION("""COMPUTED_VALUE"""),"napastnik")</f>
        <v>napastnik</v>
      </c>
      <c r="E192" s="21" t="str">
        <f>IFERROR(__xludf.DUMMYFUNCTION("""COMPUTED_VALUE"""),"Chorwacja")</f>
        <v>Chorwacja</v>
      </c>
      <c r="F192" s="22">
        <f>IFERROR(__xludf.DUMMYFUNCTION("""COMPUTED_VALUE"""),33967.0)</f>
        <v>33967</v>
      </c>
      <c r="G192" s="23">
        <f>IFERROR(__xludf.DUMMYFUNCTION("""COMPUTED_VALUE"""),33.0)</f>
        <v>33</v>
      </c>
      <c r="H192" s="24">
        <f>IFERROR(__xludf.DUMMYFUNCTION("""COMPUTED_VALUE"""),1.0)</f>
        <v>1</v>
      </c>
      <c r="I192" s="12"/>
    </row>
    <row r="193">
      <c r="A193" s="19">
        <v>192.0</v>
      </c>
      <c r="B193" s="20">
        <f>IFERROR(__xludf.DUMMYFUNCTION("""COMPUTED_VALUE"""),23.0)</f>
        <v>23</v>
      </c>
      <c r="C193" s="21" t="str">
        <f>IFERROR(__xludf.DUMMYFUNCTION("""COMPUTED_VALUE"""),"Derrick Luckassen")</f>
        <v>Derrick Luckassen</v>
      </c>
      <c r="D193" s="21" t="str">
        <f>IFERROR(__xludf.DUMMYFUNCTION("""COMPUTED_VALUE"""),"obrońca")</f>
        <v>obrońca</v>
      </c>
      <c r="E193" s="21" t="str">
        <f>IFERROR(__xludf.DUMMYFUNCTION("""COMPUTED_VALUE"""),"Holandia /Ghana")</f>
        <v>Holandia /Ghana</v>
      </c>
      <c r="F193" s="22">
        <f>IFERROR(__xludf.DUMMYFUNCTION("""COMPUTED_VALUE"""),34883.0)</f>
        <v>34883</v>
      </c>
      <c r="G193" s="23">
        <f>IFERROR(__xludf.DUMMYFUNCTION("""COMPUTED_VALUE"""),30.0)</f>
        <v>30</v>
      </c>
      <c r="H193" s="24">
        <f>IFERROR(__xludf.DUMMYFUNCTION("""COMPUTED_VALUE"""),1.0)</f>
        <v>1</v>
      </c>
      <c r="I193" s="12"/>
    </row>
    <row r="194">
      <c r="A194" s="19">
        <v>193.0</v>
      </c>
      <c r="B194" s="20">
        <f>IFERROR(__xludf.DUMMYFUNCTION("""COMPUTED_VALUE"""),5.0)</f>
        <v>5</v>
      </c>
      <c r="C194" s="21" t="str">
        <f>IFERROR(__xludf.DUMMYFUNCTION("""COMPUTED_VALUE"""),"Marquinhos")</f>
        <v>Marquinhos</v>
      </c>
      <c r="D194" s="21" t="str">
        <f>IFERROR(__xludf.DUMMYFUNCTION("""COMPUTED_VALUE"""),"obrońca")</f>
        <v>obrońca</v>
      </c>
      <c r="E194" s="21" t="str">
        <f>IFERROR(__xludf.DUMMYFUNCTION("""COMPUTED_VALUE"""),"Brazylia /Portugalia")</f>
        <v>Brazylia /Portugalia</v>
      </c>
      <c r="F194" s="22">
        <f>IFERROR(__xludf.DUMMYFUNCTION("""COMPUTED_VALUE"""),34468.0)</f>
        <v>34468</v>
      </c>
      <c r="G194" s="23">
        <f>IFERROR(__xludf.DUMMYFUNCTION("""COMPUTED_VALUE"""),31.0)</f>
        <v>31</v>
      </c>
      <c r="H194" s="24">
        <f>IFERROR(__xludf.DUMMYFUNCTION("""COMPUTED_VALUE"""),1.0)</f>
        <v>1</v>
      </c>
      <c r="I194" s="12"/>
    </row>
    <row r="195">
      <c r="A195" s="19">
        <v>194.0</v>
      </c>
      <c r="B195" s="20">
        <f>IFERROR(__xludf.DUMMYFUNCTION("""COMPUTED_VALUE"""),8.0)</f>
        <v>8</v>
      </c>
      <c r="C195" s="21" t="str">
        <f>IFERROR(__xludf.DUMMYFUNCTION("""COMPUTED_VALUE"""),"Fabián Ruiz")</f>
        <v>Fabián Ruiz</v>
      </c>
      <c r="D195" s="21" t="str">
        <f>IFERROR(__xludf.DUMMYFUNCTION("""COMPUTED_VALUE"""),"pomocnik")</f>
        <v>pomocnik</v>
      </c>
      <c r="E195" s="21" t="str">
        <f>IFERROR(__xludf.DUMMYFUNCTION("""COMPUTED_VALUE"""),"Hiszpania")</f>
        <v>Hiszpania</v>
      </c>
      <c r="F195" s="22">
        <f>IFERROR(__xludf.DUMMYFUNCTION("""COMPUTED_VALUE"""),35158.0)</f>
        <v>35158</v>
      </c>
      <c r="G195" s="23">
        <f>IFERROR(__xludf.DUMMYFUNCTION("""COMPUTED_VALUE"""),29.0)</f>
        <v>29</v>
      </c>
      <c r="H195" s="24">
        <f>IFERROR(__xludf.DUMMYFUNCTION("""COMPUTED_VALUE"""),1.0)</f>
        <v>1</v>
      </c>
      <c r="I195" s="12"/>
    </row>
    <row r="196">
      <c r="A196" s="19">
        <v>195.0</v>
      </c>
      <c r="B196" s="20">
        <f>IFERROR(__xludf.DUMMYFUNCTION("""COMPUTED_VALUE"""),9.0)</f>
        <v>9</v>
      </c>
      <c r="C196" s="21" t="str">
        <f>IFERROR(__xludf.DUMMYFUNCTION("""COMPUTED_VALUE"""),"Gonçalo Ramos")</f>
        <v>Gonçalo Ramos</v>
      </c>
      <c r="D196" s="21" t="str">
        <f>IFERROR(__xludf.DUMMYFUNCTION("""COMPUTED_VALUE"""),"napastnik")</f>
        <v>napastnik</v>
      </c>
      <c r="E196" s="21" t="str">
        <f>IFERROR(__xludf.DUMMYFUNCTION("""COMPUTED_VALUE"""),"Portugalia")</f>
        <v>Portugalia</v>
      </c>
      <c r="F196" s="22">
        <f>IFERROR(__xludf.DUMMYFUNCTION("""COMPUTED_VALUE"""),37062.0)</f>
        <v>37062</v>
      </c>
      <c r="G196" s="23">
        <f>IFERROR(__xludf.DUMMYFUNCTION("""COMPUTED_VALUE"""),24.0)</f>
        <v>24</v>
      </c>
      <c r="H196" s="24">
        <f>IFERROR(__xludf.DUMMYFUNCTION("""COMPUTED_VALUE"""),1.0)</f>
        <v>1</v>
      </c>
      <c r="I196" s="12"/>
    </row>
    <row r="197">
      <c r="A197" s="19">
        <v>196.0</v>
      </c>
      <c r="B197" s="20">
        <f>IFERROR(__xludf.DUMMYFUNCTION("""COMPUTED_VALUE"""),10.0)</f>
        <v>10</v>
      </c>
      <c r="C197" s="21" t="str">
        <f>IFERROR(__xludf.DUMMYFUNCTION("""COMPUTED_VALUE"""),"Ousmane Dembélé")</f>
        <v>Ousmane Dembélé</v>
      </c>
      <c r="D197" s="21" t="str">
        <f>IFERROR(__xludf.DUMMYFUNCTION("""COMPUTED_VALUE"""),"napastnik")</f>
        <v>napastnik</v>
      </c>
      <c r="E197" s="21" t="str">
        <f>IFERROR(__xludf.DUMMYFUNCTION("""COMPUTED_VALUE"""),"Francja")</f>
        <v>Francja</v>
      </c>
      <c r="F197" s="22">
        <f>IFERROR(__xludf.DUMMYFUNCTION("""COMPUTED_VALUE"""),35565.0)</f>
        <v>35565</v>
      </c>
      <c r="G197" s="23">
        <f>IFERROR(__xludf.DUMMYFUNCTION("""COMPUTED_VALUE"""),28.0)</f>
        <v>28</v>
      </c>
      <c r="H197" s="24">
        <f>IFERROR(__xludf.DUMMYFUNCTION("""COMPUTED_VALUE"""),1.0)</f>
        <v>1</v>
      </c>
      <c r="I197" s="12"/>
    </row>
    <row r="198">
      <c r="A198" s="19">
        <v>197.0</v>
      </c>
      <c r="B198" s="20">
        <f>IFERROR(__xludf.DUMMYFUNCTION("""COMPUTED_VALUE"""),24.0)</f>
        <v>24</v>
      </c>
      <c r="C198" s="21" t="str">
        <f>IFERROR(__xludf.DUMMYFUNCTION("""COMPUTED_VALUE"""),"Senny Mayulu")</f>
        <v>Senny Mayulu</v>
      </c>
      <c r="D198" s="21" t="str">
        <f>IFERROR(__xludf.DUMMYFUNCTION("""COMPUTED_VALUE"""),"pomocnik")</f>
        <v>pomocnik</v>
      </c>
      <c r="E198" s="21" t="str">
        <f>IFERROR(__xludf.DUMMYFUNCTION("""COMPUTED_VALUE"""),"Francja /Demokratyczna Republika Konga")</f>
        <v>Francja /Demokratyczna Republika Konga</v>
      </c>
      <c r="F198" s="22">
        <f>IFERROR(__xludf.DUMMYFUNCTION("""COMPUTED_VALUE"""),38854.0)</f>
        <v>38854</v>
      </c>
      <c r="G198" s="23">
        <f>IFERROR(__xludf.DUMMYFUNCTION("""COMPUTED_VALUE"""),19.0)</f>
        <v>19</v>
      </c>
      <c r="H198" s="24">
        <f>IFERROR(__xludf.DUMMYFUNCTION("""COMPUTED_VALUE"""),1.0)</f>
        <v>1</v>
      </c>
      <c r="I198" s="12"/>
    </row>
    <row r="199">
      <c r="A199" s="19">
        <v>198.0</v>
      </c>
      <c r="B199" s="20">
        <f>IFERROR(__xludf.DUMMYFUNCTION("""COMPUTED_VALUE"""),87.0)</f>
        <v>87</v>
      </c>
      <c r="C199" s="21" t="str">
        <f>IFERROR(__xludf.DUMMYFUNCTION("""COMPUTED_VALUE"""),"João Neves")</f>
        <v>João Neves</v>
      </c>
      <c r="D199" s="21" t="str">
        <f>IFERROR(__xludf.DUMMYFUNCTION("""COMPUTED_VALUE"""),"pomocnik")</f>
        <v>pomocnik</v>
      </c>
      <c r="E199" s="21" t="str">
        <f>IFERROR(__xludf.DUMMYFUNCTION("""COMPUTED_VALUE"""),"Portugalia")</f>
        <v>Portugalia</v>
      </c>
      <c r="F199" s="22">
        <f>IFERROR(__xludf.DUMMYFUNCTION("""COMPUTED_VALUE"""),38257.0)</f>
        <v>38257</v>
      </c>
      <c r="G199" s="23">
        <f>IFERROR(__xludf.DUMMYFUNCTION("""COMPUTED_VALUE"""),21.0)</f>
        <v>21</v>
      </c>
      <c r="H199" s="24">
        <f>IFERROR(__xludf.DUMMYFUNCTION("""COMPUTED_VALUE"""),1.0)</f>
        <v>1</v>
      </c>
      <c r="I199" s="12"/>
    </row>
    <row r="200">
      <c r="A200" s="19">
        <v>199.0</v>
      </c>
      <c r="B200" s="20">
        <f>IFERROR(__xludf.DUMMYFUNCTION("""COMPUTED_VALUE"""),5.0)</f>
        <v>5</v>
      </c>
      <c r="C200" s="21" t="str">
        <f>IFERROR(__xludf.DUMMYFUNCTION("""COMPUTED_VALUE"""),"Ivan Perišić")</f>
        <v>Ivan Perišić</v>
      </c>
      <c r="D200" s="21" t="str">
        <f>IFERROR(__xludf.DUMMYFUNCTION("""COMPUTED_VALUE"""),"napastnik")</f>
        <v>napastnik</v>
      </c>
      <c r="E200" s="21" t="str">
        <f>IFERROR(__xludf.DUMMYFUNCTION("""COMPUTED_VALUE"""),"Chorwacja")</f>
        <v>Chorwacja</v>
      </c>
      <c r="F200" s="22">
        <f>IFERROR(__xludf.DUMMYFUNCTION("""COMPUTED_VALUE"""),32541.0)</f>
        <v>32541</v>
      </c>
      <c r="G200" s="23">
        <f>IFERROR(__xludf.DUMMYFUNCTION("""COMPUTED_VALUE"""),36.0)</f>
        <v>36</v>
      </c>
      <c r="H200" s="24">
        <f>IFERROR(__xludf.DUMMYFUNCTION("""COMPUTED_VALUE"""),1.0)</f>
        <v>1</v>
      </c>
      <c r="I200" s="12"/>
    </row>
    <row r="201">
      <c r="A201" s="19">
        <v>200.0</v>
      </c>
      <c r="B201" s="20">
        <f>IFERROR(__xludf.DUMMYFUNCTION("""COMPUTED_VALUE"""),7.0)</f>
        <v>7</v>
      </c>
      <c r="C201" s="21" t="str">
        <f>IFERROR(__xludf.DUMMYFUNCTION("""COMPUTED_VALUE"""),"Ruben van Bommel")</f>
        <v>Ruben van Bommel</v>
      </c>
      <c r="D201" s="21" t="str">
        <f>IFERROR(__xludf.DUMMYFUNCTION("""COMPUTED_VALUE"""),"napastnik")</f>
        <v>napastnik</v>
      </c>
      <c r="E201" s="21" t="str">
        <f>IFERROR(__xludf.DUMMYFUNCTION("""COMPUTED_VALUE"""),"Holandia")</f>
        <v>Holandia</v>
      </c>
      <c r="F201" s="22">
        <f>IFERROR(__xludf.DUMMYFUNCTION("""COMPUTED_VALUE"""),38202.0)</f>
        <v>38202</v>
      </c>
      <c r="G201" s="23">
        <f>IFERROR(__xludf.DUMMYFUNCTION("""COMPUTED_VALUE"""),21.0)</f>
        <v>21</v>
      </c>
      <c r="H201" s="24">
        <f>IFERROR(__xludf.DUMMYFUNCTION("""COMPUTED_VALUE"""),1.0)</f>
        <v>1</v>
      </c>
      <c r="I201" s="12"/>
    </row>
    <row r="202">
      <c r="A202" s="19">
        <v>201.0</v>
      </c>
      <c r="B202" s="20">
        <f>IFERROR(__xludf.DUMMYFUNCTION("""COMPUTED_VALUE"""),6.0)</f>
        <v>6</v>
      </c>
      <c r="C202" s="21" t="str">
        <f>IFERROR(__xludf.DUMMYFUNCTION("""COMPUTED_VALUE"""),"Eduardo Camavinga")</f>
        <v>Eduardo Camavinga</v>
      </c>
      <c r="D202" s="21" t="str">
        <f>IFERROR(__xludf.DUMMYFUNCTION("""COMPUTED_VALUE"""),"pomocnik")</f>
        <v>pomocnik</v>
      </c>
      <c r="E202" s="21" t="str">
        <f>IFERROR(__xludf.DUMMYFUNCTION("""COMPUTED_VALUE"""),"Francja /Demokratyczna Republika Konga")</f>
        <v>Francja /Demokratyczna Republika Konga</v>
      </c>
      <c r="F202" s="22">
        <f>IFERROR(__xludf.DUMMYFUNCTION("""COMPUTED_VALUE"""),37570.0)</f>
        <v>37570</v>
      </c>
      <c r="G202" s="23">
        <f>IFERROR(__xludf.DUMMYFUNCTION("""COMPUTED_VALUE"""),23.0)</f>
        <v>23</v>
      </c>
      <c r="H202" s="24">
        <f>IFERROR(__xludf.DUMMYFUNCTION("""COMPUTED_VALUE"""),1.0)</f>
        <v>1</v>
      </c>
      <c r="I202" s="12"/>
    </row>
    <row r="203">
      <c r="A203" s="19">
        <v>202.0</v>
      </c>
      <c r="B203" s="20">
        <f>IFERROR(__xludf.DUMMYFUNCTION("""COMPUTED_VALUE"""),7.0)</f>
        <v>7</v>
      </c>
      <c r="C203" s="21" t="str">
        <f>IFERROR(__xludf.DUMMYFUNCTION("""COMPUTED_VALUE"""),"Vinicius Junior")</f>
        <v>Vinicius Junior</v>
      </c>
      <c r="D203" s="21" t="str">
        <f>IFERROR(__xludf.DUMMYFUNCTION("""COMPUTED_VALUE"""),"napastnik")</f>
        <v>napastnik</v>
      </c>
      <c r="E203" s="21" t="str">
        <f>IFERROR(__xludf.DUMMYFUNCTION("""COMPUTED_VALUE"""),"Brazylia /Hiszpania")</f>
        <v>Brazylia /Hiszpania</v>
      </c>
      <c r="F203" s="22">
        <f>IFERROR(__xludf.DUMMYFUNCTION("""COMPUTED_VALUE"""),36719.0)</f>
        <v>36719</v>
      </c>
      <c r="G203" s="23">
        <f>IFERROR(__xludf.DUMMYFUNCTION("""COMPUTED_VALUE"""),25.0)</f>
        <v>25</v>
      </c>
      <c r="H203" s="25">
        <f>IFERROR(__xludf.DUMMYFUNCTION("""COMPUTED_VALUE"""),1.0)</f>
        <v>1</v>
      </c>
      <c r="I203" s="12"/>
    </row>
    <row r="204">
      <c r="A204" s="19">
        <v>203.0</v>
      </c>
      <c r="B204" s="20">
        <f>IFERROR(__xludf.DUMMYFUNCTION("""COMPUTED_VALUE"""),11.0)</f>
        <v>11</v>
      </c>
      <c r="C204" s="21" t="str">
        <f>IFERROR(__xludf.DUMMYFUNCTION("""COMPUTED_VALUE"""),"Rodrygo")</f>
        <v>Rodrygo</v>
      </c>
      <c r="D204" s="21" t="str">
        <f>IFERROR(__xludf.DUMMYFUNCTION("""COMPUTED_VALUE"""),"napastnik")</f>
        <v>napastnik</v>
      </c>
      <c r="E204" s="21" t="str">
        <f>IFERROR(__xludf.DUMMYFUNCTION("""COMPUTED_VALUE"""),"Brazylia /Hiszpania")</f>
        <v>Brazylia /Hiszpania</v>
      </c>
      <c r="F204" s="22">
        <f>IFERROR(__xludf.DUMMYFUNCTION("""COMPUTED_VALUE"""),36900.0)</f>
        <v>36900</v>
      </c>
      <c r="G204" s="23">
        <f>IFERROR(__xludf.DUMMYFUNCTION("""COMPUTED_VALUE"""),25.0)</f>
        <v>25</v>
      </c>
      <c r="H204" s="25">
        <f>IFERROR(__xludf.DUMMYFUNCTION("""COMPUTED_VALUE"""),1.0)</f>
        <v>1</v>
      </c>
      <c r="I204" s="12"/>
    </row>
    <row r="205">
      <c r="A205" s="19">
        <v>204.0</v>
      </c>
      <c r="B205" s="20">
        <f>IFERROR(__xludf.DUMMYFUNCTION("""COMPUTED_VALUE"""),21.0)</f>
        <v>21</v>
      </c>
      <c r="C205" s="21" t="str">
        <f>IFERROR(__xludf.DUMMYFUNCTION("""COMPUTED_VALUE"""),"Brahim Díaz")</f>
        <v>Brahim Díaz</v>
      </c>
      <c r="D205" s="21" t="str">
        <f>IFERROR(__xludf.DUMMYFUNCTION("""COMPUTED_VALUE"""),"napastnik")</f>
        <v>napastnik</v>
      </c>
      <c r="E205" s="21" t="str">
        <f>IFERROR(__xludf.DUMMYFUNCTION("""COMPUTED_VALUE"""),"Maroko /Hiszpania")</f>
        <v>Maroko /Hiszpania</v>
      </c>
      <c r="F205" s="22">
        <f>IFERROR(__xludf.DUMMYFUNCTION("""COMPUTED_VALUE"""),36375.0)</f>
        <v>36375</v>
      </c>
      <c r="G205" s="23">
        <f>IFERROR(__xludf.DUMMYFUNCTION("""COMPUTED_VALUE"""),26.0)</f>
        <v>26</v>
      </c>
      <c r="H205" s="25">
        <f>IFERROR(__xludf.DUMMYFUNCTION("""COMPUTED_VALUE"""),1.0)</f>
        <v>1</v>
      </c>
      <c r="I205" s="12"/>
    </row>
    <row r="206">
      <c r="A206" s="19">
        <v>205.0</v>
      </c>
      <c r="B206" s="20">
        <f>IFERROR(__xludf.DUMMYFUNCTION("""COMPUTED_VALUE"""),30.0)</f>
        <v>30</v>
      </c>
      <c r="C206" s="21" t="str">
        <f>IFERROR(__xludf.DUMMYFUNCTION("""COMPUTED_VALUE"""),"Franco Mastantuono")</f>
        <v>Franco Mastantuono</v>
      </c>
      <c r="D206" s="21" t="str">
        <f>IFERROR(__xludf.DUMMYFUNCTION("""COMPUTED_VALUE"""),"napastnik")</f>
        <v>napastnik</v>
      </c>
      <c r="E206" s="21" t="str">
        <f>IFERROR(__xludf.DUMMYFUNCTION("""COMPUTED_VALUE"""),"Argentyna /Włochy")</f>
        <v>Argentyna /Włochy</v>
      </c>
      <c r="F206" s="22">
        <f>IFERROR(__xludf.DUMMYFUNCTION("""COMPUTED_VALUE"""),39308.0)</f>
        <v>39308</v>
      </c>
      <c r="G206" s="23">
        <f>IFERROR(__xludf.DUMMYFUNCTION("""COMPUTED_VALUE"""),18.0)</f>
        <v>18</v>
      </c>
      <c r="H206" s="25">
        <f>IFERROR(__xludf.DUMMYFUNCTION("""COMPUTED_VALUE"""),1.0)</f>
        <v>1</v>
      </c>
      <c r="I206" s="12"/>
    </row>
    <row r="207">
      <c r="A207" s="19">
        <v>206.0</v>
      </c>
      <c r="B207" s="20">
        <f>IFERROR(__xludf.DUMMYFUNCTION("""COMPUTED_VALUE"""),9.0)</f>
        <v>9</v>
      </c>
      <c r="C207" s="21" t="str">
        <f>IFERROR(__xludf.DUMMYFUNCTION("""COMPUTED_VALUE"""),"Vasil Kušej")</f>
        <v>Vasil Kušej</v>
      </c>
      <c r="D207" s="21" t="str">
        <f>IFERROR(__xludf.DUMMYFUNCTION("""COMPUTED_VALUE"""),"napastnik")</f>
        <v>napastnik</v>
      </c>
      <c r="E207" s="21" t="str">
        <f>IFERROR(__xludf.DUMMYFUNCTION("""COMPUTED_VALUE"""),"Czechy")</f>
        <v>Czechy</v>
      </c>
      <c r="F207" s="22">
        <f>IFERROR(__xludf.DUMMYFUNCTION("""COMPUTED_VALUE"""),36670.0)</f>
        <v>36670</v>
      </c>
      <c r="G207" s="23">
        <f>IFERROR(__xludf.DUMMYFUNCTION("""COMPUTED_VALUE"""),25.0)</f>
        <v>25</v>
      </c>
      <c r="H207" s="25">
        <f>IFERROR(__xludf.DUMMYFUNCTION("""COMPUTED_VALUE"""),1.0)</f>
        <v>1</v>
      </c>
      <c r="I207" s="12"/>
    </row>
    <row r="208">
      <c r="A208" s="15"/>
      <c r="B208" s="12">
        <f>IFERROR(__xludf.DUMMYFUNCTION("""COMPUTED_VALUE"""),10.0)</f>
        <v>10</v>
      </c>
      <c r="C208" s="15" t="str">
        <f>IFERROR(__xludf.DUMMYFUNCTION("""COMPUTED_VALUE"""),"Geny Catamo")</f>
        <v>Geny Catamo</v>
      </c>
      <c r="D208" s="15" t="str">
        <f>IFERROR(__xludf.DUMMYFUNCTION("""COMPUTED_VALUE"""),"napastnik")</f>
        <v>napastnik</v>
      </c>
      <c r="E208" s="15" t="str">
        <f>IFERROR(__xludf.DUMMYFUNCTION("""COMPUTED_VALUE"""),"Mozambik")</f>
        <v>Mozambik</v>
      </c>
      <c r="F208" s="26">
        <f>IFERROR(__xludf.DUMMYFUNCTION("""COMPUTED_VALUE"""),36917.0)</f>
        <v>36917</v>
      </c>
      <c r="G208" s="27">
        <f>IFERROR(__xludf.DUMMYFUNCTION("""COMPUTED_VALUE"""),25.0)</f>
        <v>25</v>
      </c>
      <c r="H208" s="25">
        <f>IFERROR(__xludf.DUMMYFUNCTION("""COMPUTED_VALUE"""),1.0)</f>
        <v>1</v>
      </c>
      <c r="I208" s="12"/>
    </row>
    <row r="209">
      <c r="A209" s="15"/>
      <c r="B209" s="12">
        <f>IFERROR(__xludf.DUMMYFUNCTION("""COMPUTED_VALUE"""),20.0)</f>
        <v>20</v>
      </c>
      <c r="C209" s="15" t="str">
        <f>IFERROR(__xludf.DUMMYFUNCTION("""COMPUTED_VALUE"""),"Maxi Araújo")</f>
        <v>Maxi Araújo</v>
      </c>
      <c r="D209" s="15" t="str">
        <f>IFERROR(__xludf.DUMMYFUNCTION("""COMPUTED_VALUE"""),"pomocnik")</f>
        <v>pomocnik</v>
      </c>
      <c r="E209" s="15" t="str">
        <f>IFERROR(__xludf.DUMMYFUNCTION("""COMPUTED_VALUE"""),"Urugwaj")</f>
        <v>Urugwaj</v>
      </c>
      <c r="F209" s="26">
        <f>IFERROR(__xludf.DUMMYFUNCTION("""COMPUTED_VALUE"""),36571.0)</f>
        <v>36571</v>
      </c>
      <c r="G209" s="27">
        <f>IFERROR(__xludf.DUMMYFUNCTION("""COMPUTED_VALUE"""),25.0)</f>
        <v>25</v>
      </c>
      <c r="H209" s="25">
        <f>IFERROR(__xludf.DUMMYFUNCTION("""COMPUTED_VALUE"""),1.0)</f>
        <v>1</v>
      </c>
      <c r="I209" s="12"/>
    </row>
    <row r="210">
      <c r="A210" s="15"/>
      <c r="B210" s="12">
        <f>IFERROR(__xludf.DUMMYFUNCTION("""COMPUTED_VALUE"""),2.0)</f>
        <v>2</v>
      </c>
      <c r="C210" s="15" t="str">
        <f>IFERROR(__xludf.DUMMYFUNCTION("""COMPUTED_VALUE"""),"Matheus Silva")</f>
        <v>Matheus Silva</v>
      </c>
      <c r="D210" s="15" t="str">
        <f>IFERROR(__xludf.DUMMYFUNCTION("""COMPUTED_VALUE"""),"obrońca")</f>
        <v>obrońca</v>
      </c>
      <c r="E210" s="15" t="str">
        <f>IFERROR(__xludf.DUMMYFUNCTION("""COMPUTED_VALUE"""),"Brazylia")</f>
        <v>Brazylia</v>
      </c>
      <c r="F210" s="26">
        <f>IFERROR(__xludf.DUMMYFUNCTION("""COMPUTED_VALUE"""),35706.0)</f>
        <v>35706</v>
      </c>
      <c r="G210" s="27">
        <f>IFERROR(__xludf.DUMMYFUNCTION("""COMPUTED_VALUE"""),28.0)</f>
        <v>28</v>
      </c>
      <c r="H210" s="25">
        <f>IFERROR(__xludf.DUMMYFUNCTION("""COMPUTED_VALUE"""),1.0)</f>
        <v>1</v>
      </c>
      <c r="I210" s="12"/>
    </row>
    <row r="211">
      <c r="A211" s="15"/>
      <c r="B211" s="12">
        <f>IFERROR(__xludf.DUMMYFUNCTION("""COMPUTED_VALUE"""),8.0)</f>
        <v>8</v>
      </c>
      <c r="C211" s="15" t="str">
        <f>IFERROR(__xludf.DUMMYFUNCTION("""COMPUTED_VALUE"""),"Marko Janković")</f>
        <v>Marko Janković</v>
      </c>
      <c r="D211" s="15" t="str">
        <f>IFERROR(__xludf.DUMMYFUNCTION("""COMPUTED_VALUE"""),"pomocnik")</f>
        <v>pomocnik</v>
      </c>
      <c r="E211" s="15" t="str">
        <f>IFERROR(__xludf.DUMMYFUNCTION("""COMPUTED_VALUE"""),"Czarnogóra /Serbia")</f>
        <v>Czarnogóra /Serbia</v>
      </c>
      <c r="F211" s="26">
        <f>IFERROR(__xludf.DUMMYFUNCTION("""COMPUTED_VALUE"""),34889.0)</f>
        <v>34889</v>
      </c>
      <c r="G211" s="27">
        <f>IFERROR(__xludf.DUMMYFUNCTION("""COMPUTED_VALUE"""),30.0)</f>
        <v>30</v>
      </c>
      <c r="H211" s="25">
        <f>IFERROR(__xludf.DUMMYFUNCTION("""COMPUTED_VALUE"""),1.0)</f>
        <v>1</v>
      </c>
      <c r="I211" s="12"/>
    </row>
    <row r="212">
      <c r="A212" s="15"/>
      <c r="B212" s="12">
        <f>IFERROR(__xludf.DUMMYFUNCTION("""COMPUTED_VALUE"""),10.0)</f>
        <v>10</v>
      </c>
      <c r="C212" s="15" t="str">
        <f>IFERROR(__xludf.DUMMYFUNCTION("""COMPUTED_VALUE"""),"Abdellah Zoubir")</f>
        <v>Abdellah Zoubir</v>
      </c>
      <c r="D212" s="15" t="str">
        <f>IFERROR(__xludf.DUMMYFUNCTION("""COMPUTED_VALUE"""),"napastnik")</f>
        <v>napastnik</v>
      </c>
      <c r="E212" s="15" t="str">
        <f>IFERROR(__xludf.DUMMYFUNCTION("""COMPUTED_VALUE"""),"Francja /Maroko")</f>
        <v>Francja /Maroko</v>
      </c>
      <c r="F212" s="26">
        <f>IFERROR(__xludf.DUMMYFUNCTION("""COMPUTED_VALUE"""),33577.0)</f>
        <v>33577</v>
      </c>
      <c r="G212" s="27">
        <f>IFERROR(__xludf.DUMMYFUNCTION("""COMPUTED_VALUE"""),34.0)</f>
        <v>34</v>
      </c>
      <c r="H212" s="25">
        <f>IFERROR(__xludf.DUMMYFUNCTION("""COMPUTED_VALUE"""),1.0)</f>
        <v>1</v>
      </c>
      <c r="I212" s="12"/>
    </row>
    <row r="213">
      <c r="A213" s="15"/>
      <c r="B213" s="12">
        <f>IFERROR(__xludf.DUMMYFUNCTION("""COMPUTED_VALUE"""),11.0)</f>
        <v>11</v>
      </c>
      <c r="C213" s="15" t="str">
        <f>IFERROR(__xludf.DUMMYFUNCTION("""COMPUTED_VALUE"""),"Emmanuel Addai")</f>
        <v>Emmanuel Addai</v>
      </c>
      <c r="D213" s="15" t="str">
        <f>IFERROR(__xludf.DUMMYFUNCTION("""COMPUTED_VALUE"""),"napastnik")</f>
        <v>napastnik</v>
      </c>
      <c r="E213" s="15" t="str">
        <f>IFERROR(__xludf.DUMMYFUNCTION("""COMPUTED_VALUE"""),"Ghana")</f>
        <v>Ghana</v>
      </c>
      <c r="F213" s="26">
        <f>IFERROR(__xludf.DUMMYFUNCTION("""COMPUTED_VALUE"""),37104.0)</f>
        <v>37104</v>
      </c>
      <c r="G213" s="27">
        <f>IFERROR(__xludf.DUMMYFUNCTION("""COMPUTED_VALUE"""),24.0)</f>
        <v>24</v>
      </c>
      <c r="H213" s="25">
        <f>IFERROR(__xludf.DUMMYFUNCTION("""COMPUTED_VALUE"""),1.0)</f>
        <v>1</v>
      </c>
      <c r="I213" s="12"/>
    </row>
    <row r="214">
      <c r="A214" s="15"/>
      <c r="B214" s="12">
        <f>IFERROR(__xludf.DUMMYFUNCTION("""COMPUTED_VALUE"""),13.0)</f>
        <v>13</v>
      </c>
      <c r="C214" s="15" t="str">
        <f>IFERROR(__xludf.DUMMYFUNCTION("""COMPUTED_VALUE"""),"Bəhlul Mustafazadə")</f>
        <v>Bəhlul Mustafazadə</v>
      </c>
      <c r="D214" s="15" t="str">
        <f>IFERROR(__xludf.DUMMYFUNCTION("""COMPUTED_VALUE"""),"obrońca")</f>
        <v>obrońca</v>
      </c>
      <c r="E214" s="15" t="str">
        <f>IFERROR(__xludf.DUMMYFUNCTION("""COMPUTED_VALUE"""),"Azerbejdżan")</f>
        <v>Azerbejdżan</v>
      </c>
      <c r="F214" s="26">
        <f>IFERROR(__xludf.DUMMYFUNCTION("""COMPUTED_VALUE"""),35488.0)</f>
        <v>35488</v>
      </c>
      <c r="G214" s="27">
        <f>IFERROR(__xludf.DUMMYFUNCTION("""COMPUTED_VALUE"""),28.0)</f>
        <v>28</v>
      </c>
      <c r="H214" s="25">
        <f>IFERROR(__xludf.DUMMYFUNCTION("""COMPUTED_VALUE"""),1.0)</f>
        <v>1</v>
      </c>
      <c r="I214" s="12"/>
    </row>
    <row r="215">
      <c r="A215" s="15"/>
      <c r="B215" s="12">
        <f>IFERROR(__xludf.DUMMYFUNCTION("""COMPUTED_VALUE"""),21.0)</f>
        <v>21</v>
      </c>
      <c r="C215" s="15" t="str">
        <f>IFERROR(__xludf.DUMMYFUNCTION("""COMPUTED_VALUE"""),"Ołeksij Kaszczuk")</f>
        <v>Ołeksij Kaszczuk</v>
      </c>
      <c r="D215" s="15" t="str">
        <f>IFERROR(__xludf.DUMMYFUNCTION("""COMPUTED_VALUE"""),"napastnik")</f>
        <v>napastnik</v>
      </c>
      <c r="E215" s="15" t="str">
        <f>IFERROR(__xludf.DUMMYFUNCTION("""COMPUTED_VALUE"""),"Ukraina")</f>
        <v>Ukraina</v>
      </c>
      <c r="F215" s="26">
        <f>IFERROR(__xludf.DUMMYFUNCTION("""COMPUTED_VALUE"""),36706.0)</f>
        <v>36706</v>
      </c>
      <c r="G215" s="27">
        <f>IFERROR(__xludf.DUMMYFUNCTION("""COMPUTED_VALUE"""),25.0)</f>
        <v>25</v>
      </c>
      <c r="H215" s="25">
        <f>IFERROR(__xludf.DUMMYFUNCTION("""COMPUTED_VALUE"""),1.0)</f>
        <v>1</v>
      </c>
      <c r="I215" s="12"/>
    </row>
    <row r="216">
      <c r="A216" s="15"/>
      <c r="B216" s="12">
        <f>IFERROR(__xludf.DUMMYFUNCTION("""COMPUTED_VALUE"""),6.0)</f>
        <v>6</v>
      </c>
      <c r="C216" s="15" t="str">
        <f>IFERROR(__xludf.DUMMYFUNCTION("""COMPUTED_VALUE"""),"João Palhinha")</f>
        <v>João Palhinha</v>
      </c>
      <c r="D216" s="15" t="str">
        <f>IFERROR(__xludf.DUMMYFUNCTION("""COMPUTED_VALUE"""),"pomocnik")</f>
        <v>pomocnik</v>
      </c>
      <c r="E216" s="15" t="str">
        <f>IFERROR(__xludf.DUMMYFUNCTION("""COMPUTED_VALUE"""),"Portugalia")</f>
        <v>Portugalia</v>
      </c>
      <c r="F216" s="26">
        <f>IFERROR(__xludf.DUMMYFUNCTION("""COMPUTED_VALUE"""),34889.0)</f>
        <v>34889</v>
      </c>
      <c r="G216" s="27">
        <f>IFERROR(__xludf.DUMMYFUNCTION("""COMPUTED_VALUE"""),30.0)</f>
        <v>30</v>
      </c>
      <c r="H216" s="25">
        <f>IFERROR(__xludf.DUMMYFUNCTION("""COMPUTED_VALUE"""),1.0)</f>
        <v>1</v>
      </c>
      <c r="I216" s="12"/>
    </row>
    <row r="217">
      <c r="A217" s="15"/>
      <c r="B217" s="12">
        <f>IFERROR(__xludf.DUMMYFUNCTION("""COMPUTED_VALUE"""),7.0)</f>
        <v>7</v>
      </c>
      <c r="C217" s="15" t="str">
        <f>IFERROR(__xludf.DUMMYFUNCTION("""COMPUTED_VALUE"""),"Xavi Simons")</f>
        <v>Xavi Simons</v>
      </c>
      <c r="D217" s="15" t="str">
        <f>IFERROR(__xludf.DUMMYFUNCTION("""COMPUTED_VALUE"""),"pomocnik")</f>
        <v>pomocnik</v>
      </c>
      <c r="E217" s="15" t="str">
        <f>IFERROR(__xludf.DUMMYFUNCTION("""COMPUTED_VALUE"""),"Holandia /Surinam")</f>
        <v>Holandia /Surinam</v>
      </c>
      <c r="F217" s="26">
        <f>IFERROR(__xludf.DUMMYFUNCTION("""COMPUTED_VALUE"""),37732.0)</f>
        <v>37732</v>
      </c>
      <c r="G217" s="27">
        <f>IFERROR(__xludf.DUMMYFUNCTION("""COMPUTED_VALUE"""),22.0)</f>
        <v>22</v>
      </c>
      <c r="H217" s="25">
        <f>IFERROR(__xludf.DUMMYFUNCTION("""COMPUTED_VALUE"""),1.0)</f>
        <v>1</v>
      </c>
      <c r="I217" s="12"/>
    </row>
    <row r="218">
      <c r="A218" s="15"/>
      <c r="B218" s="12">
        <f>IFERROR(__xludf.DUMMYFUNCTION("""COMPUTED_VALUE"""),9.0)</f>
        <v>9</v>
      </c>
      <c r="C218" s="15" t="str">
        <f>IFERROR(__xludf.DUMMYFUNCTION("""COMPUTED_VALUE"""),"Richarlison")</f>
        <v>Richarlison</v>
      </c>
      <c r="D218" s="15" t="str">
        <f>IFERROR(__xludf.DUMMYFUNCTION("""COMPUTED_VALUE"""),"napastnik")</f>
        <v>napastnik</v>
      </c>
      <c r="E218" s="15" t="str">
        <f>IFERROR(__xludf.DUMMYFUNCTION("""COMPUTED_VALUE"""),"Brazylia")</f>
        <v>Brazylia</v>
      </c>
      <c r="F218" s="26">
        <f>IFERROR(__xludf.DUMMYFUNCTION("""COMPUTED_VALUE"""),35560.0)</f>
        <v>35560</v>
      </c>
      <c r="G218" s="27">
        <f>IFERROR(__xludf.DUMMYFUNCTION("""COMPUTED_VALUE"""),28.0)</f>
        <v>28</v>
      </c>
      <c r="H218" s="25">
        <f>IFERROR(__xludf.DUMMYFUNCTION("""COMPUTED_VALUE"""),1.0)</f>
        <v>1</v>
      </c>
      <c r="I218" s="12"/>
    </row>
    <row r="219">
      <c r="A219" s="15"/>
      <c r="B219" s="12">
        <f>IFERROR(__xludf.DUMMYFUNCTION("""COMPUTED_VALUE"""),17.0)</f>
        <v>17</v>
      </c>
      <c r="C219" s="15" t="str">
        <f>IFERROR(__xludf.DUMMYFUNCTION("""COMPUTED_VALUE"""),"Cristian Romero")</f>
        <v>Cristian Romero</v>
      </c>
      <c r="D219" s="15" t="str">
        <f>IFERROR(__xludf.DUMMYFUNCTION("""COMPUTED_VALUE"""),"obrońca")</f>
        <v>obrońca</v>
      </c>
      <c r="E219" s="15" t="str">
        <f>IFERROR(__xludf.DUMMYFUNCTION("""COMPUTED_VALUE"""),"Argentyna")</f>
        <v>Argentyna</v>
      </c>
      <c r="F219" s="26">
        <f>IFERROR(__xludf.DUMMYFUNCTION("""COMPUTED_VALUE"""),35912.0)</f>
        <v>35912</v>
      </c>
      <c r="G219" s="27">
        <f>IFERROR(__xludf.DUMMYFUNCTION("""COMPUTED_VALUE"""),27.0)</f>
        <v>27</v>
      </c>
      <c r="H219" s="25">
        <f>IFERROR(__xludf.DUMMYFUNCTION("""COMPUTED_VALUE"""),1.0)</f>
        <v>1</v>
      </c>
      <c r="I219" s="12"/>
    </row>
    <row r="220">
      <c r="A220" s="15"/>
      <c r="B220" s="12">
        <f>IFERROR(__xludf.DUMMYFUNCTION("""COMPUTED_VALUE"""),19.0)</f>
        <v>19</v>
      </c>
      <c r="C220" s="15" t="str">
        <f>IFERROR(__xludf.DUMMYFUNCTION("""COMPUTED_VALUE"""),"Dominic Solanke")</f>
        <v>Dominic Solanke</v>
      </c>
      <c r="D220" s="15" t="str">
        <f>IFERROR(__xludf.DUMMYFUNCTION("""COMPUTED_VALUE"""),"napastnik")</f>
        <v>napastnik</v>
      </c>
      <c r="E220" s="15" t="str">
        <f>IFERROR(__xludf.DUMMYFUNCTION("""COMPUTED_VALUE"""),"Anglia /Nigeria")</f>
        <v>Anglia /Nigeria</v>
      </c>
      <c r="F220" s="26">
        <f>IFERROR(__xludf.DUMMYFUNCTION("""COMPUTED_VALUE"""),35687.0)</f>
        <v>35687</v>
      </c>
      <c r="G220" s="27">
        <f>IFERROR(__xludf.DUMMYFUNCTION("""COMPUTED_VALUE"""),28.0)</f>
        <v>28</v>
      </c>
      <c r="H220" s="25">
        <f>IFERROR(__xludf.DUMMYFUNCTION("""COMPUTED_VALUE"""),1.0)</f>
        <v>1</v>
      </c>
      <c r="I220" s="12"/>
    </row>
    <row r="221">
      <c r="A221" s="15"/>
      <c r="B221" s="12">
        <f>IFERROR(__xludf.DUMMYFUNCTION("""COMPUTED_VALUE"""),20.0)</f>
        <v>20</v>
      </c>
      <c r="C221" s="15" t="str">
        <f>IFERROR(__xludf.DUMMYFUNCTION("""COMPUTED_VALUE"""),"Mohammed Kudus")</f>
        <v>Mohammed Kudus</v>
      </c>
      <c r="D221" s="15" t="str">
        <f>IFERROR(__xludf.DUMMYFUNCTION("""COMPUTED_VALUE"""),"pomocnik")</f>
        <v>pomocnik</v>
      </c>
      <c r="E221" s="15" t="str">
        <f>IFERROR(__xludf.DUMMYFUNCTION("""COMPUTED_VALUE"""),"Ghana")</f>
        <v>Ghana</v>
      </c>
      <c r="F221" s="26">
        <f>IFERROR(__xludf.DUMMYFUNCTION("""COMPUTED_VALUE"""),36740.0)</f>
        <v>36740</v>
      </c>
      <c r="G221" s="27">
        <f>IFERROR(__xludf.DUMMYFUNCTION("""COMPUTED_VALUE"""),25.0)</f>
        <v>25</v>
      </c>
      <c r="H221" s="25">
        <f>IFERROR(__xludf.DUMMYFUNCTION("""COMPUTED_VALUE"""),1.0)</f>
        <v>1</v>
      </c>
      <c r="I221" s="12"/>
    </row>
    <row r="222">
      <c r="A222" s="15"/>
      <c r="B222" s="12">
        <f>IFERROR(__xludf.DUMMYFUNCTION("""COMPUTED_VALUE"""),22.0)</f>
        <v>22</v>
      </c>
      <c r="C222" s="15" t="str">
        <f>IFERROR(__xludf.DUMMYFUNCTION("""COMPUTED_VALUE"""),"Brennan Johnson")</f>
        <v>Brennan Johnson</v>
      </c>
      <c r="D222" s="15" t="str">
        <f>IFERROR(__xludf.DUMMYFUNCTION("""COMPUTED_VALUE"""),"napastnik")</f>
        <v>napastnik</v>
      </c>
      <c r="E222" s="15" t="str">
        <f>IFERROR(__xludf.DUMMYFUNCTION("""COMPUTED_VALUE"""),"Walia /Anglia")</f>
        <v>Walia /Anglia</v>
      </c>
      <c r="F222" s="26">
        <f>IFERROR(__xludf.DUMMYFUNCTION("""COMPUTED_VALUE"""),37034.0)</f>
        <v>37034</v>
      </c>
      <c r="G222" s="27">
        <f>IFERROR(__xludf.DUMMYFUNCTION("""COMPUTED_VALUE"""),24.0)</f>
        <v>24</v>
      </c>
      <c r="H222" s="25">
        <f>IFERROR(__xludf.DUMMYFUNCTION("""COMPUTED_VALUE"""),1.0)</f>
        <v>1</v>
      </c>
      <c r="I222" s="12"/>
    </row>
    <row r="223">
      <c r="A223" s="15"/>
      <c r="B223" s="12">
        <f>IFERROR(__xludf.DUMMYFUNCTION("""COMPUTED_VALUE"""),28.0)</f>
        <v>28</v>
      </c>
      <c r="C223" s="15" t="str">
        <f>IFERROR(__xludf.DUMMYFUNCTION("""COMPUTED_VALUE"""),"Wilson Odobert")</f>
        <v>Wilson Odobert</v>
      </c>
      <c r="D223" s="15" t="str">
        <f>IFERROR(__xludf.DUMMYFUNCTION("""COMPUTED_VALUE"""),"napastnik")</f>
        <v>napastnik</v>
      </c>
      <c r="E223" s="15" t="str">
        <f>IFERROR(__xludf.DUMMYFUNCTION("""COMPUTED_VALUE"""),"Francja /Erytrea")</f>
        <v>Francja /Erytrea</v>
      </c>
      <c r="F223" s="26">
        <f>IFERROR(__xludf.DUMMYFUNCTION("""COMPUTED_VALUE"""),38319.0)</f>
        <v>38319</v>
      </c>
      <c r="G223" s="27">
        <f>IFERROR(__xludf.DUMMYFUNCTION("""COMPUTED_VALUE"""),21.0)</f>
        <v>21</v>
      </c>
      <c r="H223" s="25">
        <f>IFERROR(__xludf.DUMMYFUNCTION("""COMPUTED_VALUE"""),1.0)</f>
        <v>1</v>
      </c>
      <c r="I223" s="12"/>
    </row>
    <row r="224">
      <c r="A224" s="15"/>
      <c r="B224" s="12">
        <f>IFERROR(__xludf.DUMMYFUNCTION("""COMPUTED_VALUE"""),5.0)</f>
        <v>5</v>
      </c>
      <c r="C224" s="15" t="str">
        <f>IFERROR(__xludf.DUMMYFUNCTION("""COMPUTED_VALUE"""),"Kevin Mac Allister")</f>
        <v>Kevin Mac Allister</v>
      </c>
      <c r="D224" s="15" t="str">
        <f>IFERROR(__xludf.DUMMYFUNCTION("""COMPUTED_VALUE"""),"pomocnik")</f>
        <v>pomocnik</v>
      </c>
      <c r="E224" s="15" t="str">
        <f>IFERROR(__xludf.DUMMYFUNCTION("""COMPUTED_VALUE"""),"Argentyna /Włochy")</f>
        <v>Argentyna /Włochy</v>
      </c>
      <c r="F224" s="26">
        <f>IFERROR(__xludf.DUMMYFUNCTION("""COMPUTED_VALUE"""),35741.0)</f>
        <v>35741</v>
      </c>
      <c r="G224" s="27">
        <f>IFERROR(__xludf.DUMMYFUNCTION("""COMPUTED_VALUE"""),28.0)</f>
        <v>28</v>
      </c>
      <c r="H224" s="25">
        <f>IFERROR(__xludf.DUMMYFUNCTION("""COMPUTED_VALUE"""),1.0)</f>
        <v>1</v>
      </c>
      <c r="I224" s="12"/>
    </row>
    <row r="225">
      <c r="A225" s="15"/>
      <c r="B225" s="12">
        <f>IFERROR(__xludf.DUMMYFUNCTION("""COMPUTED_VALUE"""),10.0)</f>
        <v>10</v>
      </c>
      <c r="C225" s="15" t="str">
        <f>IFERROR(__xludf.DUMMYFUNCTION("""COMPUTED_VALUE"""),"Anouar Ait El Hadj")</f>
        <v>Anouar Ait El Hadj</v>
      </c>
      <c r="D225" s="15" t="str">
        <f>IFERROR(__xludf.DUMMYFUNCTION("""COMPUTED_VALUE"""),"pomocnik")</f>
        <v>pomocnik</v>
      </c>
      <c r="E225" s="15" t="str">
        <f>IFERROR(__xludf.DUMMYFUNCTION("""COMPUTED_VALUE"""),"Belgia /Maroko")</f>
        <v>Belgia /Maroko</v>
      </c>
      <c r="F225" s="26">
        <f>IFERROR(__xludf.DUMMYFUNCTION("""COMPUTED_VALUE"""),37366.0)</f>
        <v>37366</v>
      </c>
      <c r="G225" s="27">
        <f>IFERROR(__xludf.DUMMYFUNCTION("""COMPUTED_VALUE"""),23.0)</f>
        <v>23</v>
      </c>
      <c r="H225" s="25">
        <f>IFERROR(__xludf.DUMMYFUNCTION("""COMPUTED_VALUE"""),1.0)</f>
        <v>1</v>
      </c>
      <c r="I225" s="12"/>
    </row>
    <row r="226">
      <c r="A226" s="15"/>
      <c r="B226" s="12">
        <f>IFERROR(__xludf.DUMMYFUNCTION("""COMPUTED_VALUE"""),26.0)</f>
        <v>26</v>
      </c>
      <c r="C226" s="15" t="str">
        <f>IFERROR(__xludf.DUMMYFUNCTION("""COMPUTED_VALUE"""),"Ross Sykes")</f>
        <v>Ross Sykes</v>
      </c>
      <c r="D226" s="15" t="str">
        <f>IFERROR(__xludf.DUMMYFUNCTION("""COMPUTED_VALUE"""),"obrońca")</f>
        <v>obrońca</v>
      </c>
      <c r="E226" s="15" t="str">
        <f>IFERROR(__xludf.DUMMYFUNCTION("""COMPUTED_VALUE"""),"Anglia")</f>
        <v>Anglia</v>
      </c>
      <c r="F226" s="26">
        <f>IFERROR(__xludf.DUMMYFUNCTION("""COMPUTED_VALUE"""),36245.0)</f>
        <v>36245</v>
      </c>
      <c r="G226" s="27">
        <f>IFERROR(__xludf.DUMMYFUNCTION("""COMPUTED_VALUE"""),26.0)</f>
        <v>26</v>
      </c>
      <c r="H226" s="25">
        <f>IFERROR(__xludf.DUMMYFUNCTION("""COMPUTED_VALUE"""),1.0)</f>
        <v>1</v>
      </c>
      <c r="I226" s="12"/>
    </row>
    <row r="227">
      <c r="A227" s="15"/>
      <c r="B227" s="12">
        <f>IFERROR(__xludf.DUMMYFUNCTION("""COMPUTED_VALUE"""),9.0)</f>
        <v>9</v>
      </c>
      <c r="C227" s="15" t="str">
        <f>IFERROR(__xludf.DUMMYFUNCTION("""COMPUTED_VALUE"""),"Georges Mikautadze")</f>
        <v>Georges Mikautadze</v>
      </c>
      <c r="D227" s="15" t="str">
        <f>IFERROR(__xludf.DUMMYFUNCTION("""COMPUTED_VALUE"""),"napastnik")</f>
        <v>napastnik</v>
      </c>
      <c r="E227" s="15" t="str">
        <f>IFERROR(__xludf.DUMMYFUNCTION("""COMPUTED_VALUE"""),"Gruzja /Francja")</f>
        <v>Gruzja /Francja</v>
      </c>
      <c r="F227" s="26">
        <f>IFERROR(__xludf.DUMMYFUNCTION("""COMPUTED_VALUE"""),36830.0)</f>
        <v>36830</v>
      </c>
      <c r="G227" s="27">
        <f>IFERROR(__xludf.DUMMYFUNCTION("""COMPUTED_VALUE"""),25.0)</f>
        <v>25</v>
      </c>
      <c r="H227" s="25">
        <f>IFERROR(__xludf.DUMMYFUNCTION("""COMPUTED_VALUE"""),1.0)</f>
        <v>1</v>
      </c>
      <c r="I227" s="12"/>
    </row>
    <row r="228">
      <c r="A228" s="15"/>
      <c r="B228" s="12">
        <f>IFERROR(__xludf.DUMMYFUNCTION("""COMPUTED_VALUE"""),12.0)</f>
        <v>12</v>
      </c>
      <c r="C228" s="15" t="str">
        <f>IFERROR(__xludf.DUMMYFUNCTION("""COMPUTED_VALUE"""),"Renato Veiga")</f>
        <v>Renato Veiga</v>
      </c>
      <c r="D228" s="15" t="str">
        <f>IFERROR(__xludf.DUMMYFUNCTION("""COMPUTED_VALUE"""),"obrońca")</f>
        <v>obrońca</v>
      </c>
      <c r="E228" s="15" t="str">
        <f>IFERROR(__xludf.DUMMYFUNCTION("""COMPUTED_VALUE"""),"Portugalia /Republika Zielonego Przylądka")</f>
        <v>Portugalia /Republika Zielonego Przylądka</v>
      </c>
      <c r="F228" s="26">
        <f>IFERROR(__xludf.DUMMYFUNCTION("""COMPUTED_VALUE"""),37831.0)</f>
        <v>37831</v>
      </c>
      <c r="G228" s="27">
        <f>IFERROR(__xludf.DUMMYFUNCTION("""COMPUTED_VALUE"""),22.0)</f>
        <v>22</v>
      </c>
      <c r="H228" s="25">
        <f>IFERROR(__xludf.DUMMYFUNCTION("""COMPUTED_VALUE"""),1.0)</f>
        <v>1</v>
      </c>
      <c r="I228" s="12"/>
    </row>
    <row r="229">
      <c r="A229" s="15"/>
      <c r="B229" s="12">
        <f>IFERROR(__xludf.DUMMYFUNCTION("""COMPUTED_VALUE"""),14.0)</f>
        <v>14</v>
      </c>
      <c r="C229" s="15" t="str">
        <f>IFERROR(__xludf.DUMMYFUNCTION("""COMPUTED_VALUE"""),"Santi Comesaña")</f>
        <v>Santi Comesaña</v>
      </c>
      <c r="D229" s="15" t="str">
        <f>IFERROR(__xludf.DUMMYFUNCTION("""COMPUTED_VALUE"""),"pomocnik")</f>
        <v>pomocnik</v>
      </c>
      <c r="E229" s="15" t="str">
        <f>IFERROR(__xludf.DUMMYFUNCTION("""COMPUTED_VALUE"""),"Hiszpania")</f>
        <v>Hiszpania</v>
      </c>
      <c r="F229" s="26">
        <f>IFERROR(__xludf.DUMMYFUNCTION("""COMPUTED_VALUE"""),35343.0)</f>
        <v>35343</v>
      </c>
      <c r="G229" s="27">
        <f>IFERROR(__xludf.DUMMYFUNCTION("""COMPUTED_VALUE"""),29.0)</f>
        <v>29</v>
      </c>
      <c r="H229" s="25">
        <f>IFERROR(__xludf.DUMMYFUNCTION("""COMPUTED_VALUE"""),1.0)</f>
        <v>1</v>
      </c>
      <c r="I229" s="12"/>
    </row>
    <row r="230">
      <c r="A230" s="15"/>
      <c r="B230" s="12"/>
      <c r="C230" s="15"/>
      <c r="D230" s="15"/>
      <c r="E230" s="15"/>
      <c r="F230" s="15"/>
      <c r="G230" s="27"/>
      <c r="H230" s="25"/>
      <c r="I230" s="12"/>
    </row>
    <row r="231">
      <c r="A231" s="15"/>
      <c r="B231" s="12"/>
      <c r="C231" s="15"/>
      <c r="D231" s="15"/>
      <c r="E231" s="15"/>
      <c r="F231" s="15"/>
      <c r="G231" s="27"/>
      <c r="H231" s="25"/>
      <c r="I231" s="12"/>
    </row>
    <row r="232">
      <c r="A232" s="15"/>
      <c r="B232" s="12"/>
      <c r="C232" s="15"/>
      <c r="D232" s="15"/>
      <c r="E232" s="15"/>
      <c r="F232" s="15"/>
      <c r="G232" s="27"/>
      <c r="H232" s="25"/>
      <c r="I232" s="12"/>
    </row>
    <row r="233">
      <c r="A233" s="15"/>
      <c r="B233" s="12"/>
      <c r="C233" s="15"/>
      <c r="D233" s="15"/>
      <c r="E233" s="15"/>
      <c r="F233" s="15"/>
      <c r="G233" s="27"/>
      <c r="H233" s="25"/>
      <c r="I233" s="12"/>
    </row>
    <row r="234">
      <c r="A234" s="15"/>
      <c r="B234" s="12"/>
      <c r="C234" s="15"/>
      <c r="D234" s="15"/>
      <c r="E234" s="15"/>
      <c r="F234" s="15"/>
      <c r="G234" s="27"/>
      <c r="H234" s="25"/>
      <c r="I234" s="12"/>
    </row>
    <row r="235">
      <c r="A235" s="15"/>
      <c r="B235" s="12"/>
      <c r="C235" s="15"/>
      <c r="D235" s="15"/>
      <c r="E235" s="15"/>
      <c r="F235" s="15"/>
      <c r="G235" s="27"/>
      <c r="H235" s="25"/>
      <c r="I235" s="12"/>
    </row>
    <row r="236">
      <c r="A236" s="15"/>
      <c r="B236" s="12"/>
      <c r="C236" s="15"/>
      <c r="D236" s="15"/>
      <c r="E236" s="15"/>
      <c r="F236" s="15"/>
      <c r="G236" s="27"/>
      <c r="H236" s="25"/>
      <c r="I236" s="12"/>
    </row>
    <row r="237">
      <c r="A237" s="15"/>
      <c r="B237" s="12"/>
      <c r="C237" s="15"/>
      <c r="D237" s="15"/>
      <c r="E237" s="15"/>
      <c r="F237" s="15"/>
      <c r="G237" s="27"/>
      <c r="H237" s="25"/>
      <c r="I237" s="12"/>
    </row>
    <row r="238">
      <c r="A238" s="15"/>
      <c r="B238" s="12"/>
      <c r="C238" s="15"/>
      <c r="D238" s="15"/>
      <c r="E238" s="15"/>
      <c r="F238" s="15"/>
      <c r="G238" s="27"/>
      <c r="H238" s="25"/>
      <c r="I238" s="12"/>
    </row>
    <row r="239">
      <c r="A239" s="15"/>
      <c r="B239" s="12"/>
      <c r="C239" s="15"/>
      <c r="D239" s="15"/>
      <c r="E239" s="15"/>
      <c r="F239" s="15"/>
      <c r="G239" s="27"/>
      <c r="H239" s="25"/>
      <c r="I239" s="12"/>
    </row>
    <row r="240">
      <c r="A240" s="15"/>
      <c r="B240" s="12"/>
      <c r="C240" s="15"/>
      <c r="D240" s="15"/>
      <c r="E240" s="15"/>
      <c r="F240" s="15"/>
      <c r="G240" s="27"/>
      <c r="H240" s="25"/>
      <c r="I240" s="12"/>
    </row>
    <row r="241">
      <c r="A241" s="15"/>
      <c r="B241" s="12"/>
      <c r="C241" s="15"/>
      <c r="D241" s="15"/>
      <c r="E241" s="15"/>
      <c r="F241" s="15"/>
      <c r="G241" s="27"/>
      <c r="H241" s="25"/>
      <c r="I241" s="12"/>
    </row>
    <row r="242">
      <c r="A242" s="15"/>
      <c r="B242" s="12"/>
      <c r="C242" s="15"/>
      <c r="D242" s="15"/>
      <c r="E242" s="15"/>
      <c r="F242" s="15"/>
      <c r="G242" s="27"/>
      <c r="H242" s="25"/>
      <c r="I242" s="12"/>
    </row>
    <row r="243">
      <c r="A243" s="15"/>
      <c r="B243" s="12"/>
      <c r="C243" s="15"/>
      <c r="D243" s="15"/>
      <c r="E243" s="15"/>
      <c r="F243" s="15"/>
      <c r="G243" s="27"/>
      <c r="H243" s="25"/>
      <c r="I243" s="12"/>
    </row>
    <row r="244">
      <c r="A244" s="15"/>
      <c r="B244" s="12"/>
      <c r="C244" s="15"/>
      <c r="D244" s="15"/>
      <c r="E244" s="15"/>
      <c r="F244" s="15"/>
      <c r="G244" s="27"/>
      <c r="H244" s="25"/>
      <c r="I244" s="12"/>
    </row>
    <row r="245">
      <c r="A245" s="15"/>
      <c r="B245" s="12"/>
      <c r="C245" s="15"/>
      <c r="D245" s="15"/>
      <c r="E245" s="15"/>
      <c r="F245" s="15"/>
      <c r="G245" s="27"/>
      <c r="H245" s="25"/>
      <c r="I245" s="12"/>
    </row>
    <row r="246">
      <c r="A246" s="15"/>
      <c r="B246" s="12"/>
      <c r="C246" s="15"/>
      <c r="D246" s="15"/>
      <c r="E246" s="15"/>
      <c r="F246" s="15"/>
      <c r="G246" s="27"/>
      <c r="H246" s="25"/>
      <c r="I246" s="12"/>
    </row>
    <row r="247">
      <c r="A247" s="15"/>
      <c r="B247" s="12"/>
      <c r="C247" s="15"/>
      <c r="D247" s="15"/>
      <c r="E247" s="15"/>
      <c r="F247" s="15"/>
      <c r="G247" s="27"/>
      <c r="H247" s="25"/>
      <c r="I247" s="12"/>
    </row>
    <row r="248">
      <c r="A248" s="15"/>
      <c r="B248" s="12"/>
      <c r="C248" s="15"/>
      <c r="D248" s="15"/>
      <c r="E248" s="15"/>
      <c r="F248" s="15"/>
      <c r="G248" s="27"/>
      <c r="H248" s="25"/>
      <c r="I248" s="12"/>
    </row>
    <row r="249">
      <c r="A249" s="15"/>
      <c r="B249" s="12"/>
      <c r="C249" s="15"/>
      <c r="D249" s="15"/>
      <c r="E249" s="15"/>
      <c r="F249" s="15"/>
      <c r="G249" s="27"/>
      <c r="H249" s="25"/>
      <c r="I249" s="12"/>
    </row>
    <row r="250">
      <c r="A250" s="15"/>
      <c r="B250" s="12"/>
      <c r="C250" s="15"/>
      <c r="D250" s="15"/>
      <c r="E250" s="15"/>
      <c r="F250" s="15"/>
      <c r="G250" s="27"/>
      <c r="H250" s="25"/>
      <c r="I250" s="12"/>
    </row>
    <row r="251">
      <c r="A251" s="15"/>
      <c r="B251" s="12"/>
      <c r="C251" s="15"/>
      <c r="D251" s="15"/>
      <c r="E251" s="15"/>
      <c r="F251" s="15"/>
      <c r="G251" s="27"/>
      <c r="H251" s="25"/>
      <c r="I251" s="12"/>
    </row>
    <row r="252">
      <c r="A252" s="15"/>
      <c r="B252" s="12"/>
      <c r="C252" s="15"/>
      <c r="D252" s="15"/>
      <c r="E252" s="15"/>
      <c r="F252" s="15"/>
      <c r="G252" s="27"/>
      <c r="H252" s="25"/>
      <c r="I252" s="12"/>
    </row>
    <row r="253">
      <c r="A253" s="15"/>
      <c r="B253" s="12"/>
      <c r="C253" s="15"/>
      <c r="D253" s="15"/>
      <c r="E253" s="15"/>
      <c r="F253" s="15"/>
      <c r="G253" s="27"/>
      <c r="H253" s="25"/>
      <c r="I253" s="12"/>
    </row>
    <row r="254">
      <c r="A254" s="15"/>
      <c r="B254" s="12"/>
      <c r="C254" s="15"/>
      <c r="D254" s="15"/>
      <c r="E254" s="15"/>
      <c r="F254" s="15"/>
      <c r="G254" s="27"/>
      <c r="H254" s="25"/>
      <c r="I254" s="12"/>
    </row>
    <row r="255">
      <c r="A255" s="15"/>
      <c r="B255" s="12"/>
      <c r="C255" s="15"/>
      <c r="D255" s="15"/>
      <c r="E255" s="15"/>
      <c r="F255" s="15"/>
      <c r="G255" s="27"/>
      <c r="H255" s="25"/>
      <c r="I255" s="12"/>
    </row>
    <row r="256">
      <c r="A256" s="15"/>
      <c r="B256" s="12"/>
      <c r="C256" s="15"/>
      <c r="D256" s="15"/>
      <c r="E256" s="15"/>
      <c r="F256" s="15"/>
      <c r="G256" s="27"/>
      <c r="H256" s="25"/>
      <c r="I256" s="12"/>
    </row>
    <row r="257">
      <c r="A257" s="15"/>
      <c r="B257" s="12"/>
      <c r="C257" s="15"/>
      <c r="D257" s="15"/>
      <c r="E257" s="15"/>
      <c r="F257" s="15"/>
      <c r="G257" s="27"/>
      <c r="H257" s="25"/>
      <c r="I257" s="12"/>
    </row>
    <row r="258">
      <c r="A258" s="15"/>
      <c r="B258" s="12"/>
      <c r="C258" s="15"/>
      <c r="D258" s="15"/>
      <c r="E258" s="15"/>
      <c r="F258" s="15"/>
      <c r="G258" s="27"/>
      <c r="H258" s="25"/>
      <c r="I258" s="12"/>
    </row>
    <row r="259">
      <c r="A259" s="15"/>
      <c r="B259" s="12"/>
      <c r="C259" s="15"/>
      <c r="D259" s="15"/>
      <c r="E259" s="15"/>
      <c r="F259" s="15"/>
      <c r="G259" s="27"/>
      <c r="H259" s="25"/>
      <c r="I259" s="12"/>
    </row>
    <row r="260">
      <c r="A260" s="15"/>
      <c r="B260" s="12"/>
      <c r="C260" s="15"/>
      <c r="D260" s="15"/>
      <c r="E260" s="15"/>
      <c r="F260" s="15"/>
      <c r="G260" s="27"/>
      <c r="H260" s="25"/>
      <c r="I260" s="12"/>
    </row>
    <row r="261">
      <c r="A261" s="15"/>
      <c r="B261" s="12"/>
      <c r="C261" s="15"/>
      <c r="D261" s="15"/>
      <c r="E261" s="15"/>
      <c r="F261" s="15"/>
      <c r="G261" s="27"/>
      <c r="H261" s="25"/>
      <c r="I261" s="12"/>
    </row>
    <row r="262">
      <c r="A262" s="15"/>
      <c r="B262" s="12"/>
      <c r="C262" s="15"/>
      <c r="D262" s="15"/>
      <c r="E262" s="15"/>
      <c r="F262" s="15"/>
      <c r="G262" s="27"/>
      <c r="H262" s="25"/>
      <c r="I262" s="12"/>
    </row>
    <row r="263">
      <c r="A263" s="15"/>
      <c r="B263" s="12"/>
      <c r="C263" s="15"/>
      <c r="D263" s="15"/>
      <c r="E263" s="15"/>
      <c r="F263" s="15"/>
      <c r="G263" s="27"/>
      <c r="H263" s="25"/>
      <c r="I263" s="12"/>
    </row>
    <row r="264">
      <c r="A264" s="15"/>
      <c r="B264" s="12"/>
      <c r="C264" s="15"/>
      <c r="D264" s="15"/>
      <c r="E264" s="15"/>
      <c r="F264" s="15"/>
      <c r="G264" s="27"/>
      <c r="H264" s="25"/>
      <c r="I264" s="12"/>
    </row>
    <row r="265">
      <c r="A265" s="15"/>
      <c r="B265" s="12"/>
      <c r="C265" s="15"/>
      <c r="D265" s="15"/>
      <c r="E265" s="15"/>
      <c r="F265" s="15"/>
      <c r="G265" s="27"/>
      <c r="H265" s="25"/>
      <c r="I265" s="12"/>
    </row>
    <row r="266">
      <c r="A266" s="15"/>
      <c r="B266" s="12"/>
      <c r="C266" s="15"/>
      <c r="D266" s="15"/>
      <c r="E266" s="15"/>
      <c r="F266" s="15"/>
      <c r="G266" s="27"/>
      <c r="H266" s="25"/>
      <c r="I266" s="12"/>
    </row>
    <row r="267">
      <c r="A267" s="15"/>
      <c r="B267" s="12"/>
      <c r="C267" s="15"/>
      <c r="D267" s="15"/>
      <c r="E267" s="15"/>
      <c r="F267" s="15"/>
      <c r="G267" s="27"/>
      <c r="H267" s="25"/>
      <c r="I267" s="12"/>
    </row>
    <row r="268">
      <c r="A268" s="15"/>
      <c r="B268" s="12"/>
      <c r="C268" s="15"/>
      <c r="D268" s="15"/>
      <c r="E268" s="15"/>
      <c r="F268" s="15"/>
      <c r="G268" s="27"/>
      <c r="H268" s="25"/>
      <c r="I268" s="12"/>
    </row>
    <row r="269">
      <c r="A269" s="15"/>
      <c r="B269" s="12"/>
      <c r="C269" s="15"/>
      <c r="D269" s="15"/>
      <c r="E269" s="15"/>
      <c r="F269" s="15"/>
      <c r="G269" s="27"/>
      <c r="H269" s="25"/>
      <c r="I269" s="12"/>
    </row>
    <row r="270">
      <c r="A270" s="15"/>
      <c r="B270" s="12"/>
      <c r="C270" s="15"/>
      <c r="D270" s="15"/>
      <c r="E270" s="15"/>
      <c r="F270" s="15"/>
      <c r="G270" s="27"/>
      <c r="H270" s="25"/>
      <c r="I270" s="12"/>
    </row>
    <row r="271">
      <c r="A271" s="15"/>
      <c r="B271" s="12"/>
      <c r="C271" s="15"/>
      <c r="D271" s="15"/>
      <c r="E271" s="15"/>
      <c r="F271" s="15"/>
      <c r="G271" s="27"/>
      <c r="H271" s="25"/>
      <c r="I271" s="12"/>
    </row>
    <row r="272">
      <c r="A272" s="15"/>
      <c r="B272" s="12"/>
      <c r="C272" s="15"/>
      <c r="D272" s="15"/>
      <c r="E272" s="15"/>
      <c r="F272" s="15"/>
      <c r="G272" s="27"/>
      <c r="H272" s="25"/>
      <c r="I272" s="12"/>
    </row>
    <row r="273">
      <c r="A273" s="15"/>
      <c r="B273" s="12"/>
      <c r="C273" s="15"/>
      <c r="D273" s="15"/>
      <c r="E273" s="15"/>
      <c r="F273" s="15"/>
      <c r="G273" s="27"/>
      <c r="H273" s="25"/>
      <c r="I273" s="12"/>
    </row>
    <row r="274">
      <c r="A274" s="15"/>
      <c r="B274" s="12"/>
      <c r="C274" s="15"/>
      <c r="D274" s="15"/>
      <c r="E274" s="15"/>
      <c r="F274" s="15"/>
      <c r="G274" s="27"/>
      <c r="H274" s="25"/>
      <c r="I274" s="12"/>
    </row>
    <row r="275">
      <c r="A275" s="15"/>
      <c r="B275" s="12"/>
      <c r="C275" s="15"/>
      <c r="D275" s="15"/>
      <c r="E275" s="15"/>
      <c r="F275" s="15"/>
      <c r="G275" s="27"/>
      <c r="H275" s="25"/>
      <c r="I275" s="12"/>
    </row>
    <row r="276">
      <c r="A276" s="15"/>
      <c r="B276" s="12"/>
      <c r="C276" s="15"/>
      <c r="D276" s="15"/>
      <c r="E276" s="15"/>
      <c r="F276" s="15"/>
      <c r="G276" s="27"/>
      <c r="H276" s="25"/>
      <c r="I276" s="12"/>
    </row>
    <row r="277">
      <c r="A277" s="15"/>
      <c r="B277" s="12"/>
      <c r="C277" s="15"/>
      <c r="D277" s="15"/>
      <c r="E277" s="15"/>
      <c r="F277" s="15"/>
      <c r="G277" s="27"/>
      <c r="H277" s="25"/>
      <c r="I277" s="12"/>
    </row>
    <row r="278">
      <c r="A278" s="15"/>
      <c r="B278" s="12"/>
      <c r="C278" s="15"/>
      <c r="D278" s="15"/>
      <c r="E278" s="15"/>
      <c r="F278" s="15"/>
      <c r="G278" s="27"/>
      <c r="H278" s="25"/>
      <c r="I278" s="12"/>
    </row>
    <row r="279">
      <c r="A279" s="15"/>
      <c r="B279" s="12"/>
      <c r="C279" s="15"/>
      <c r="D279" s="15"/>
      <c r="E279" s="15"/>
      <c r="F279" s="15"/>
      <c r="G279" s="27"/>
      <c r="H279" s="25"/>
      <c r="I279" s="12"/>
    </row>
    <row r="280">
      <c r="A280" s="15"/>
      <c r="B280" s="12"/>
      <c r="C280" s="15"/>
      <c r="D280" s="15"/>
      <c r="E280" s="15"/>
      <c r="F280" s="15"/>
      <c r="G280" s="27"/>
      <c r="H280" s="25"/>
      <c r="I280" s="12"/>
    </row>
    <row r="281">
      <c r="A281" s="15"/>
      <c r="B281" s="12"/>
      <c r="C281" s="15"/>
      <c r="D281" s="15"/>
      <c r="E281" s="15"/>
      <c r="F281" s="15"/>
      <c r="G281" s="27"/>
      <c r="H281" s="25"/>
      <c r="I281" s="12"/>
    </row>
    <row r="282">
      <c r="A282" s="15"/>
      <c r="B282" s="12"/>
      <c r="C282" s="15"/>
      <c r="D282" s="15"/>
      <c r="E282" s="15"/>
      <c r="F282" s="15"/>
      <c r="G282" s="27"/>
      <c r="H282" s="25"/>
      <c r="I282" s="12"/>
    </row>
    <row r="283">
      <c r="A283" s="15"/>
      <c r="B283" s="12"/>
      <c r="C283" s="15"/>
      <c r="D283" s="15"/>
      <c r="E283" s="15"/>
      <c r="F283" s="15"/>
      <c r="G283" s="27"/>
      <c r="H283" s="25"/>
      <c r="I283" s="12"/>
    </row>
    <row r="284">
      <c r="A284" s="15"/>
      <c r="B284" s="12"/>
      <c r="C284" s="15"/>
      <c r="D284" s="15"/>
      <c r="E284" s="15"/>
      <c r="F284" s="15"/>
      <c r="G284" s="27"/>
      <c r="H284" s="25"/>
      <c r="I284" s="12"/>
    </row>
    <row r="285">
      <c r="A285" s="15"/>
      <c r="B285" s="12"/>
      <c r="C285" s="15"/>
      <c r="D285" s="15"/>
      <c r="E285" s="15"/>
      <c r="F285" s="15"/>
      <c r="G285" s="27"/>
      <c r="H285" s="25"/>
      <c r="I285" s="12"/>
    </row>
    <row r="286">
      <c r="A286" s="15"/>
      <c r="B286" s="12"/>
      <c r="C286" s="15"/>
      <c r="D286" s="15"/>
      <c r="E286" s="15"/>
      <c r="F286" s="15"/>
      <c r="G286" s="27"/>
      <c r="H286" s="25"/>
      <c r="I286" s="12"/>
    </row>
    <row r="287">
      <c r="A287" s="15"/>
      <c r="B287" s="12"/>
      <c r="C287" s="15"/>
      <c r="D287" s="15"/>
      <c r="E287" s="15"/>
      <c r="F287" s="15"/>
      <c r="G287" s="27"/>
      <c r="H287" s="25"/>
      <c r="I287" s="12"/>
    </row>
    <row r="288">
      <c r="A288" s="15"/>
      <c r="B288" s="12"/>
      <c r="C288" s="15"/>
      <c r="D288" s="15"/>
      <c r="E288" s="15"/>
      <c r="F288" s="15"/>
      <c r="G288" s="27"/>
      <c r="H288" s="25"/>
      <c r="I288" s="12"/>
    </row>
    <row r="289">
      <c r="A289" s="15"/>
      <c r="B289" s="12"/>
      <c r="C289" s="15"/>
      <c r="D289" s="15"/>
      <c r="E289" s="15"/>
      <c r="F289" s="15"/>
      <c r="G289" s="27"/>
      <c r="H289" s="25"/>
      <c r="I289" s="12"/>
    </row>
    <row r="290">
      <c r="A290" s="15"/>
      <c r="B290" s="12"/>
      <c r="C290" s="15"/>
      <c r="D290" s="15"/>
      <c r="E290" s="15"/>
      <c r="F290" s="15"/>
      <c r="G290" s="27"/>
      <c r="H290" s="25"/>
      <c r="I290" s="12"/>
    </row>
    <row r="291">
      <c r="A291" s="15"/>
      <c r="B291" s="12"/>
      <c r="C291" s="15"/>
      <c r="D291" s="15"/>
      <c r="E291" s="15"/>
      <c r="F291" s="15"/>
      <c r="G291" s="27"/>
      <c r="H291" s="25"/>
      <c r="I291" s="12"/>
    </row>
    <row r="292">
      <c r="A292" s="15"/>
      <c r="B292" s="12"/>
      <c r="C292" s="15"/>
      <c r="D292" s="15"/>
      <c r="E292" s="15"/>
      <c r="F292" s="15"/>
      <c r="G292" s="27"/>
      <c r="H292" s="25"/>
      <c r="I292" s="12"/>
    </row>
    <row r="293">
      <c r="A293" s="15"/>
      <c r="B293" s="12"/>
      <c r="C293" s="15"/>
      <c r="D293" s="15"/>
      <c r="E293" s="15"/>
      <c r="F293" s="15"/>
      <c r="G293" s="27"/>
      <c r="H293" s="25"/>
      <c r="I293" s="12"/>
    </row>
    <row r="294">
      <c r="A294" s="15"/>
      <c r="B294" s="12"/>
      <c r="C294" s="15"/>
      <c r="D294" s="15"/>
      <c r="E294" s="15"/>
      <c r="F294" s="15"/>
      <c r="G294" s="27"/>
      <c r="H294" s="25"/>
      <c r="I294" s="12"/>
    </row>
    <row r="295">
      <c r="A295" s="15"/>
      <c r="B295" s="12"/>
      <c r="C295" s="15"/>
      <c r="D295" s="15"/>
      <c r="E295" s="15"/>
      <c r="F295" s="15"/>
      <c r="G295" s="27"/>
      <c r="H295" s="25"/>
      <c r="I295" s="12"/>
    </row>
    <row r="296">
      <c r="A296" s="15"/>
      <c r="B296" s="12"/>
      <c r="C296" s="15"/>
      <c r="D296" s="15"/>
      <c r="E296" s="15"/>
      <c r="F296" s="15"/>
      <c r="G296" s="27"/>
      <c r="H296" s="25"/>
      <c r="I296" s="12"/>
    </row>
    <row r="297">
      <c r="A297" s="15"/>
      <c r="B297" s="12"/>
      <c r="C297" s="15"/>
      <c r="D297" s="15"/>
      <c r="E297" s="15"/>
      <c r="F297" s="15"/>
      <c r="G297" s="27"/>
      <c r="H297" s="25"/>
      <c r="I297" s="12"/>
    </row>
    <row r="298">
      <c r="A298" s="15"/>
      <c r="B298" s="12"/>
      <c r="C298" s="15"/>
      <c r="D298" s="15"/>
      <c r="E298" s="15"/>
      <c r="F298" s="15"/>
      <c r="G298" s="27"/>
      <c r="H298" s="25"/>
      <c r="I298" s="12"/>
    </row>
    <row r="299">
      <c r="A299" s="15"/>
      <c r="B299" s="12"/>
      <c r="C299" s="15"/>
      <c r="D299" s="15"/>
      <c r="E299" s="15"/>
      <c r="F299" s="15"/>
      <c r="G299" s="27"/>
      <c r="H299" s="25"/>
      <c r="I299" s="12"/>
    </row>
    <row r="300">
      <c r="A300" s="15"/>
      <c r="B300" s="12"/>
      <c r="C300" s="15"/>
      <c r="D300" s="15"/>
      <c r="E300" s="15"/>
      <c r="F300" s="15"/>
      <c r="G300" s="27"/>
      <c r="H300" s="25"/>
      <c r="I300" s="12"/>
    </row>
    <row r="301">
      <c r="A301" s="15"/>
      <c r="B301" s="12"/>
      <c r="C301" s="15"/>
      <c r="D301" s="15"/>
      <c r="E301" s="15"/>
      <c r="F301" s="15"/>
      <c r="G301" s="27"/>
      <c r="H301" s="25"/>
      <c r="I301" s="12"/>
    </row>
    <row r="302">
      <c r="A302" s="15"/>
      <c r="B302" s="12"/>
      <c r="C302" s="15"/>
      <c r="D302" s="15"/>
      <c r="E302" s="15"/>
      <c r="F302" s="15"/>
      <c r="G302" s="27"/>
      <c r="H302" s="25"/>
      <c r="I302" s="12"/>
    </row>
    <row r="303">
      <c r="A303" s="15"/>
      <c r="B303" s="12"/>
      <c r="C303" s="15"/>
      <c r="D303" s="15"/>
      <c r="E303" s="15"/>
      <c r="F303" s="15"/>
      <c r="G303" s="27"/>
      <c r="H303" s="25"/>
      <c r="I303" s="12"/>
    </row>
    <row r="304">
      <c r="A304" s="15"/>
      <c r="B304" s="12"/>
      <c r="C304" s="15"/>
      <c r="D304" s="15"/>
      <c r="E304" s="15"/>
      <c r="F304" s="15"/>
      <c r="G304" s="27"/>
      <c r="H304" s="25"/>
      <c r="I304" s="12"/>
    </row>
    <row r="305">
      <c r="A305" s="15"/>
      <c r="B305" s="12"/>
      <c r="C305" s="15"/>
      <c r="D305" s="15"/>
      <c r="E305" s="15"/>
      <c r="F305" s="15"/>
      <c r="G305" s="27"/>
      <c r="H305" s="25"/>
      <c r="I305" s="12"/>
    </row>
    <row r="306">
      <c r="A306" s="15"/>
      <c r="B306" s="12"/>
      <c r="C306" s="15"/>
      <c r="D306" s="15"/>
      <c r="E306" s="15"/>
      <c r="F306" s="15"/>
      <c r="G306" s="27"/>
      <c r="H306" s="25"/>
      <c r="I306" s="12"/>
    </row>
    <row r="307">
      <c r="A307" s="15"/>
      <c r="B307" s="12"/>
      <c r="C307" s="15"/>
      <c r="D307" s="15"/>
      <c r="E307" s="15"/>
      <c r="F307" s="15"/>
      <c r="G307" s="27"/>
      <c r="H307" s="25"/>
      <c r="I307" s="12"/>
    </row>
    <row r="308">
      <c r="A308" s="15"/>
      <c r="B308" s="12"/>
      <c r="C308" s="15"/>
      <c r="D308" s="15"/>
      <c r="E308" s="15"/>
      <c r="F308" s="15"/>
      <c r="G308" s="27"/>
      <c r="H308" s="25"/>
      <c r="I308" s="12"/>
    </row>
    <row r="309">
      <c r="A309" s="15"/>
      <c r="B309" s="12"/>
      <c r="C309" s="15"/>
      <c r="D309" s="15"/>
      <c r="E309" s="15"/>
      <c r="F309" s="15"/>
      <c r="G309" s="27"/>
      <c r="H309" s="25"/>
      <c r="I309" s="12"/>
    </row>
    <row r="310">
      <c r="A310" s="15"/>
      <c r="B310" s="12"/>
      <c r="C310" s="15"/>
      <c r="D310" s="15"/>
      <c r="E310" s="15"/>
      <c r="F310" s="15"/>
      <c r="G310" s="27"/>
      <c r="H310" s="25"/>
      <c r="I310" s="12"/>
    </row>
    <row r="311">
      <c r="A311" s="15"/>
      <c r="B311" s="12"/>
      <c r="C311" s="15"/>
      <c r="D311" s="15"/>
      <c r="E311" s="15"/>
      <c r="F311" s="15"/>
      <c r="G311" s="27"/>
      <c r="H311" s="25"/>
      <c r="I311" s="12"/>
    </row>
    <row r="312">
      <c r="A312" s="15"/>
      <c r="B312" s="12"/>
      <c r="C312" s="15"/>
      <c r="D312" s="15"/>
      <c r="E312" s="15"/>
      <c r="F312" s="15"/>
      <c r="G312" s="27"/>
      <c r="H312" s="25"/>
      <c r="I312" s="12"/>
    </row>
    <row r="313">
      <c r="A313" s="15"/>
      <c r="B313" s="12"/>
      <c r="C313" s="15"/>
      <c r="D313" s="15"/>
      <c r="E313" s="15"/>
      <c r="F313" s="15"/>
      <c r="G313" s="27"/>
      <c r="H313" s="25"/>
      <c r="I313" s="12"/>
    </row>
    <row r="314">
      <c r="A314" s="15"/>
      <c r="B314" s="12"/>
      <c r="C314" s="15"/>
      <c r="D314" s="15"/>
      <c r="E314" s="15"/>
      <c r="F314" s="15"/>
      <c r="G314" s="27"/>
      <c r="H314" s="25"/>
      <c r="I314" s="12"/>
    </row>
    <row r="315">
      <c r="A315" s="15"/>
      <c r="B315" s="12"/>
      <c r="C315" s="15"/>
      <c r="D315" s="15"/>
      <c r="E315" s="15"/>
      <c r="F315" s="15"/>
      <c r="G315" s="27"/>
      <c r="H315" s="25"/>
      <c r="I315" s="12"/>
    </row>
    <row r="316">
      <c r="A316" s="15"/>
      <c r="B316" s="12"/>
      <c r="C316" s="15"/>
      <c r="D316" s="15"/>
      <c r="E316" s="15"/>
      <c r="F316" s="15"/>
      <c r="G316" s="27"/>
      <c r="H316" s="25"/>
      <c r="I316" s="12"/>
    </row>
    <row r="317">
      <c r="A317" s="15"/>
      <c r="B317" s="12"/>
      <c r="C317" s="15"/>
      <c r="D317" s="15"/>
      <c r="E317" s="15"/>
      <c r="F317" s="15"/>
      <c r="G317" s="27"/>
      <c r="H317" s="25"/>
      <c r="I317" s="12"/>
    </row>
    <row r="318">
      <c r="A318" s="15"/>
      <c r="B318" s="12"/>
      <c r="C318" s="15"/>
      <c r="D318" s="15"/>
      <c r="E318" s="15"/>
      <c r="F318" s="15"/>
      <c r="G318" s="27"/>
      <c r="H318" s="25"/>
      <c r="I318" s="12"/>
    </row>
    <row r="319">
      <c r="A319" s="15"/>
      <c r="B319" s="12"/>
      <c r="C319" s="15"/>
      <c r="D319" s="15"/>
      <c r="E319" s="15"/>
      <c r="F319" s="15"/>
      <c r="G319" s="27"/>
      <c r="H319" s="25"/>
      <c r="I319" s="12"/>
    </row>
    <row r="320">
      <c r="A320" s="15"/>
      <c r="B320" s="12"/>
      <c r="C320" s="15"/>
      <c r="D320" s="15"/>
      <c r="E320" s="15"/>
      <c r="F320" s="15"/>
      <c r="G320" s="27"/>
      <c r="H320" s="25"/>
      <c r="I320" s="12"/>
    </row>
    <row r="321">
      <c r="A321" s="15"/>
      <c r="B321" s="12"/>
      <c r="C321" s="15"/>
      <c r="D321" s="15"/>
      <c r="E321" s="15"/>
      <c r="F321" s="15"/>
      <c r="G321" s="27"/>
      <c r="H321" s="25"/>
      <c r="I321" s="12"/>
    </row>
    <row r="322">
      <c r="A322" s="15"/>
      <c r="B322" s="12"/>
      <c r="C322" s="15"/>
      <c r="D322" s="15"/>
      <c r="E322" s="15"/>
      <c r="F322" s="15"/>
      <c r="G322" s="27"/>
      <c r="H322" s="25"/>
      <c r="I322" s="12"/>
    </row>
    <row r="323">
      <c r="A323" s="15"/>
      <c r="B323" s="12"/>
      <c r="C323" s="15"/>
      <c r="D323" s="15"/>
      <c r="E323" s="15"/>
      <c r="F323" s="15"/>
      <c r="G323" s="27"/>
      <c r="H323" s="25"/>
      <c r="I323" s="12"/>
    </row>
    <row r="324">
      <c r="A324" s="15"/>
      <c r="B324" s="12"/>
      <c r="C324" s="15"/>
      <c r="D324" s="15"/>
      <c r="E324" s="15"/>
      <c r="F324" s="15"/>
      <c r="G324" s="27"/>
      <c r="H324" s="25"/>
      <c r="I324" s="12"/>
    </row>
    <row r="325">
      <c r="A325" s="15"/>
      <c r="B325" s="12"/>
      <c r="C325" s="15"/>
      <c r="D325" s="15"/>
      <c r="E325" s="15"/>
      <c r="F325" s="15"/>
      <c r="G325" s="27"/>
      <c r="H325" s="25"/>
      <c r="I325" s="12"/>
    </row>
    <row r="326">
      <c r="A326" s="15"/>
      <c r="B326" s="12"/>
      <c r="C326" s="15"/>
      <c r="D326" s="15"/>
      <c r="E326" s="15"/>
      <c r="F326" s="15"/>
      <c r="G326" s="27"/>
      <c r="H326" s="25"/>
      <c r="I326" s="12"/>
    </row>
    <row r="327">
      <c r="A327" s="15"/>
      <c r="B327" s="12"/>
      <c r="C327" s="15"/>
      <c r="D327" s="15"/>
      <c r="E327" s="15"/>
      <c r="F327" s="15"/>
      <c r="G327" s="27"/>
      <c r="H327" s="25"/>
      <c r="I327" s="12"/>
    </row>
    <row r="328">
      <c r="A328" s="15"/>
      <c r="B328" s="12"/>
      <c r="C328" s="15"/>
      <c r="D328" s="15"/>
      <c r="E328" s="15"/>
      <c r="F328" s="15"/>
      <c r="G328" s="27"/>
      <c r="H328" s="25"/>
      <c r="I328" s="12"/>
    </row>
    <row r="329">
      <c r="A329" s="15"/>
      <c r="B329" s="12"/>
      <c r="C329" s="15"/>
      <c r="D329" s="15"/>
      <c r="E329" s="15"/>
      <c r="F329" s="15"/>
      <c r="G329" s="27"/>
      <c r="H329" s="25"/>
      <c r="I329" s="12"/>
    </row>
    <row r="330">
      <c r="A330" s="15"/>
      <c r="B330" s="12"/>
      <c r="C330" s="15"/>
      <c r="D330" s="15"/>
      <c r="E330" s="15"/>
      <c r="F330" s="15"/>
      <c r="G330" s="27"/>
      <c r="H330" s="25"/>
      <c r="I330" s="12"/>
    </row>
    <row r="331">
      <c r="A331" s="15"/>
      <c r="B331" s="12"/>
      <c r="C331" s="15"/>
      <c r="D331" s="15"/>
      <c r="E331" s="15"/>
      <c r="F331" s="15"/>
      <c r="G331" s="27"/>
      <c r="H331" s="25"/>
      <c r="I331" s="12"/>
    </row>
    <row r="332">
      <c r="A332" s="15"/>
      <c r="B332" s="12"/>
      <c r="C332" s="15"/>
      <c r="D332" s="15"/>
      <c r="E332" s="15"/>
      <c r="F332" s="15"/>
      <c r="G332" s="27"/>
      <c r="H332" s="25"/>
      <c r="I332" s="12"/>
    </row>
    <row r="333">
      <c r="A333" s="15"/>
      <c r="B333" s="12"/>
      <c r="C333" s="15"/>
      <c r="D333" s="15"/>
      <c r="E333" s="15"/>
      <c r="F333" s="15"/>
      <c r="G333" s="27"/>
      <c r="H333" s="25"/>
      <c r="I333" s="12"/>
    </row>
    <row r="334">
      <c r="A334" s="15"/>
      <c r="B334" s="12"/>
      <c r="C334" s="15"/>
      <c r="D334" s="15"/>
      <c r="E334" s="15"/>
      <c r="F334" s="15"/>
      <c r="G334" s="27"/>
      <c r="H334" s="25"/>
      <c r="I334" s="12"/>
    </row>
    <row r="335">
      <c r="A335" s="15"/>
      <c r="B335" s="12"/>
      <c r="C335" s="15"/>
      <c r="D335" s="15"/>
      <c r="E335" s="15"/>
      <c r="F335" s="15"/>
      <c r="G335" s="27"/>
      <c r="H335" s="25"/>
      <c r="I335" s="12"/>
    </row>
    <row r="336">
      <c r="A336" s="15"/>
      <c r="B336" s="12"/>
      <c r="C336" s="15"/>
      <c r="D336" s="15"/>
      <c r="E336" s="15"/>
      <c r="F336" s="15"/>
      <c r="G336" s="27"/>
      <c r="H336" s="25"/>
      <c r="I336" s="12"/>
    </row>
    <row r="337">
      <c r="A337" s="15"/>
      <c r="B337" s="12"/>
      <c r="C337" s="15"/>
      <c r="D337" s="15"/>
      <c r="E337" s="15"/>
      <c r="F337" s="15"/>
      <c r="G337" s="27"/>
      <c r="H337" s="25"/>
      <c r="I337" s="12"/>
    </row>
    <row r="338">
      <c r="A338" s="15"/>
      <c r="B338" s="12"/>
      <c r="C338" s="15"/>
      <c r="D338" s="15"/>
      <c r="E338" s="15"/>
      <c r="F338" s="15"/>
      <c r="G338" s="27"/>
      <c r="H338" s="25"/>
      <c r="I338" s="12"/>
    </row>
    <row r="339">
      <c r="A339" s="15"/>
      <c r="B339" s="12"/>
      <c r="C339" s="15"/>
      <c r="D339" s="15"/>
      <c r="E339" s="15"/>
      <c r="F339" s="15"/>
      <c r="G339" s="27"/>
      <c r="H339" s="25"/>
      <c r="I339" s="12"/>
    </row>
    <row r="340">
      <c r="A340" s="15"/>
      <c r="B340" s="12"/>
      <c r="C340" s="15"/>
      <c r="D340" s="15"/>
      <c r="E340" s="15"/>
      <c r="F340" s="15"/>
      <c r="G340" s="27"/>
      <c r="H340" s="25"/>
      <c r="I340" s="12"/>
    </row>
    <row r="341">
      <c r="A341" s="15"/>
      <c r="B341" s="12"/>
      <c r="C341" s="15"/>
      <c r="D341" s="15"/>
      <c r="E341" s="15"/>
      <c r="F341" s="15"/>
      <c r="G341" s="27"/>
      <c r="H341" s="25"/>
      <c r="I341" s="12"/>
    </row>
    <row r="342">
      <c r="A342" s="15"/>
      <c r="B342" s="12"/>
      <c r="C342" s="15"/>
      <c r="D342" s="15"/>
      <c r="E342" s="15"/>
      <c r="F342" s="15"/>
      <c r="G342" s="27"/>
      <c r="H342" s="25"/>
      <c r="I342" s="12"/>
    </row>
    <row r="343">
      <c r="A343" s="15"/>
      <c r="B343" s="12"/>
      <c r="C343" s="15"/>
      <c r="D343" s="15"/>
      <c r="E343" s="15"/>
      <c r="F343" s="15"/>
      <c r="G343" s="27"/>
      <c r="H343" s="25"/>
      <c r="I343" s="12"/>
    </row>
    <row r="344">
      <c r="A344" s="15"/>
      <c r="B344" s="12"/>
      <c r="C344" s="15"/>
      <c r="D344" s="15"/>
      <c r="E344" s="15"/>
      <c r="F344" s="15"/>
      <c r="G344" s="27"/>
      <c r="H344" s="25"/>
      <c r="I344" s="12"/>
    </row>
    <row r="345">
      <c r="A345" s="15"/>
      <c r="B345" s="12"/>
      <c r="C345" s="15"/>
      <c r="D345" s="15"/>
      <c r="E345" s="15"/>
      <c r="F345" s="15"/>
      <c r="G345" s="27"/>
      <c r="H345" s="25"/>
      <c r="I345" s="12"/>
    </row>
    <row r="346">
      <c r="A346" s="15"/>
      <c r="B346" s="12"/>
      <c r="C346" s="15"/>
      <c r="D346" s="15"/>
      <c r="E346" s="15"/>
      <c r="F346" s="15"/>
      <c r="G346" s="27"/>
      <c r="H346" s="25"/>
      <c r="I346" s="12"/>
    </row>
    <row r="347">
      <c r="A347" s="15"/>
      <c r="B347" s="12"/>
      <c r="C347" s="15"/>
      <c r="D347" s="15"/>
      <c r="E347" s="15"/>
      <c r="F347" s="15"/>
      <c r="G347" s="27"/>
      <c r="H347" s="25"/>
      <c r="I347" s="12"/>
    </row>
    <row r="348">
      <c r="A348" s="15"/>
      <c r="B348" s="12"/>
      <c r="C348" s="15"/>
      <c r="D348" s="15"/>
      <c r="E348" s="15"/>
      <c r="F348" s="15"/>
      <c r="G348" s="27"/>
      <c r="H348" s="25"/>
      <c r="I348" s="12"/>
    </row>
    <row r="349">
      <c r="A349" s="15"/>
      <c r="B349" s="12"/>
      <c r="C349" s="15"/>
      <c r="D349" s="15"/>
      <c r="E349" s="15"/>
      <c r="F349" s="15"/>
      <c r="G349" s="27"/>
      <c r="H349" s="25"/>
      <c r="I349" s="12"/>
    </row>
    <row r="350">
      <c r="A350" s="15"/>
      <c r="B350" s="12"/>
      <c r="C350" s="15"/>
      <c r="D350" s="15"/>
      <c r="E350" s="15"/>
      <c r="F350" s="15"/>
      <c r="G350" s="27"/>
      <c r="H350" s="25"/>
      <c r="I350" s="12"/>
    </row>
    <row r="351">
      <c r="A351" s="15"/>
      <c r="B351" s="12"/>
      <c r="C351" s="15"/>
      <c r="D351" s="15"/>
      <c r="E351" s="15"/>
      <c r="F351" s="15"/>
      <c r="G351" s="27"/>
      <c r="H351" s="25"/>
      <c r="I351" s="12"/>
    </row>
    <row r="352">
      <c r="A352" s="15"/>
      <c r="B352" s="12"/>
      <c r="C352" s="15"/>
      <c r="D352" s="15"/>
      <c r="E352" s="15"/>
      <c r="F352" s="15"/>
      <c r="G352" s="27"/>
      <c r="H352" s="25"/>
      <c r="I352" s="12"/>
    </row>
    <row r="353">
      <c r="A353" s="15"/>
      <c r="B353" s="12"/>
      <c r="C353" s="15"/>
      <c r="D353" s="15"/>
      <c r="E353" s="15"/>
      <c r="F353" s="15"/>
      <c r="G353" s="27"/>
      <c r="H353" s="25"/>
      <c r="I353" s="12"/>
    </row>
    <row r="354">
      <c r="A354" s="15"/>
      <c r="B354" s="12"/>
      <c r="C354" s="15"/>
      <c r="D354" s="15"/>
      <c r="E354" s="15"/>
      <c r="F354" s="15"/>
      <c r="G354" s="27"/>
      <c r="H354" s="25"/>
      <c r="I354" s="12"/>
    </row>
    <row r="355">
      <c r="A355" s="15"/>
      <c r="B355" s="12"/>
      <c r="C355" s="15"/>
      <c r="D355" s="15"/>
      <c r="E355" s="15"/>
      <c r="F355" s="15"/>
      <c r="G355" s="27"/>
      <c r="H355" s="25"/>
      <c r="I355" s="12"/>
    </row>
    <row r="356">
      <c r="A356" s="15"/>
      <c r="B356" s="12"/>
      <c r="C356" s="15"/>
      <c r="D356" s="15"/>
      <c r="E356" s="15"/>
      <c r="F356" s="15"/>
      <c r="G356" s="27"/>
      <c r="H356" s="25"/>
      <c r="I356" s="12"/>
    </row>
    <row r="357">
      <c r="A357" s="15"/>
      <c r="B357" s="12"/>
      <c r="C357" s="15"/>
      <c r="D357" s="15"/>
      <c r="E357" s="15"/>
      <c r="F357" s="15"/>
      <c r="G357" s="27"/>
      <c r="H357" s="25"/>
      <c r="I357" s="12"/>
    </row>
    <row r="358">
      <c r="A358" s="15"/>
      <c r="B358" s="12"/>
      <c r="C358" s="15"/>
      <c r="D358" s="15"/>
      <c r="E358" s="15"/>
      <c r="F358" s="15"/>
      <c r="G358" s="27"/>
      <c r="H358" s="25"/>
      <c r="I358" s="12"/>
    </row>
    <row r="359">
      <c r="A359" s="15"/>
      <c r="B359" s="12"/>
      <c r="C359" s="15"/>
      <c r="D359" s="15"/>
      <c r="E359" s="15"/>
      <c r="F359" s="15"/>
      <c r="G359" s="27"/>
      <c r="H359" s="25"/>
      <c r="I359" s="12"/>
    </row>
    <row r="360">
      <c r="A360" s="15"/>
      <c r="B360" s="12"/>
      <c r="C360" s="15"/>
      <c r="D360" s="15"/>
      <c r="E360" s="15"/>
      <c r="F360" s="15"/>
      <c r="G360" s="27"/>
      <c r="H360" s="25"/>
      <c r="I360" s="12"/>
    </row>
    <row r="361">
      <c r="A361" s="15"/>
      <c r="B361" s="12"/>
      <c r="C361" s="15"/>
      <c r="D361" s="15"/>
      <c r="E361" s="15"/>
      <c r="F361" s="15"/>
      <c r="G361" s="27"/>
      <c r="H361" s="25"/>
      <c r="I361" s="12"/>
    </row>
    <row r="362">
      <c r="A362" s="15"/>
      <c r="B362" s="12"/>
      <c r="C362" s="15"/>
      <c r="D362" s="15"/>
      <c r="E362" s="15"/>
      <c r="F362" s="15"/>
      <c r="G362" s="27"/>
      <c r="H362" s="25"/>
      <c r="I362" s="12"/>
    </row>
    <row r="363">
      <c r="A363" s="15"/>
      <c r="B363" s="12"/>
      <c r="C363" s="15"/>
      <c r="D363" s="15"/>
      <c r="E363" s="15"/>
      <c r="F363" s="15"/>
      <c r="G363" s="27"/>
      <c r="H363" s="25"/>
      <c r="I363" s="12"/>
    </row>
    <row r="364">
      <c r="A364" s="15"/>
      <c r="B364" s="12"/>
      <c r="C364" s="15"/>
      <c r="D364" s="15"/>
      <c r="E364" s="15"/>
      <c r="F364" s="15"/>
      <c r="G364" s="27"/>
      <c r="H364" s="25"/>
      <c r="I364" s="12"/>
    </row>
    <row r="365">
      <c r="A365" s="15"/>
      <c r="B365" s="12"/>
      <c r="C365" s="15"/>
      <c r="D365" s="15"/>
      <c r="E365" s="15"/>
      <c r="F365" s="15"/>
      <c r="G365" s="27"/>
      <c r="H365" s="25"/>
      <c r="I365" s="12"/>
    </row>
    <row r="366">
      <c r="A366" s="15"/>
      <c r="B366" s="12"/>
      <c r="C366" s="15"/>
      <c r="D366" s="15"/>
      <c r="E366" s="15"/>
      <c r="F366" s="15"/>
      <c r="G366" s="27"/>
      <c r="H366" s="25"/>
      <c r="I366" s="12"/>
    </row>
    <row r="367">
      <c r="A367" s="15"/>
      <c r="B367" s="12"/>
      <c r="C367" s="15"/>
      <c r="D367" s="15"/>
      <c r="E367" s="15"/>
      <c r="F367" s="15"/>
      <c r="G367" s="27"/>
      <c r="H367" s="25"/>
      <c r="I367" s="12"/>
    </row>
    <row r="368">
      <c r="A368" s="15"/>
      <c r="B368" s="12"/>
      <c r="C368" s="15"/>
      <c r="D368" s="15"/>
      <c r="E368" s="15"/>
      <c r="F368" s="15"/>
      <c r="G368" s="27"/>
      <c r="H368" s="25"/>
      <c r="I368" s="12"/>
    </row>
    <row r="369">
      <c r="A369" s="15"/>
      <c r="B369" s="12"/>
      <c r="C369" s="15"/>
      <c r="D369" s="15"/>
      <c r="E369" s="15"/>
      <c r="F369" s="15"/>
      <c r="G369" s="27"/>
      <c r="H369" s="25"/>
      <c r="I369" s="12"/>
    </row>
    <row r="370">
      <c r="A370" s="15"/>
      <c r="B370" s="12"/>
      <c r="C370" s="15"/>
      <c r="D370" s="15"/>
      <c r="E370" s="15"/>
      <c r="F370" s="15"/>
      <c r="G370" s="27"/>
      <c r="H370" s="25"/>
      <c r="I370" s="12"/>
    </row>
    <row r="371">
      <c r="A371" s="15"/>
      <c r="B371" s="12"/>
      <c r="C371" s="15"/>
      <c r="D371" s="15"/>
      <c r="E371" s="15"/>
      <c r="F371" s="15"/>
      <c r="G371" s="27"/>
      <c r="H371" s="25"/>
      <c r="I371" s="12"/>
    </row>
    <row r="372">
      <c r="A372" s="15"/>
      <c r="B372" s="12"/>
      <c r="C372" s="15"/>
      <c r="D372" s="15"/>
      <c r="E372" s="15"/>
      <c r="F372" s="15"/>
      <c r="G372" s="27"/>
      <c r="H372" s="25"/>
      <c r="I372" s="12"/>
    </row>
    <row r="373">
      <c r="A373" s="15"/>
      <c r="B373" s="12"/>
      <c r="C373" s="15"/>
      <c r="D373" s="15"/>
      <c r="E373" s="15"/>
      <c r="F373" s="15"/>
      <c r="G373" s="27"/>
      <c r="H373" s="25"/>
      <c r="I373" s="12"/>
    </row>
    <row r="374">
      <c r="A374" s="15"/>
      <c r="B374" s="12"/>
      <c r="C374" s="15"/>
      <c r="D374" s="15"/>
      <c r="E374" s="15"/>
      <c r="F374" s="15"/>
      <c r="G374" s="27"/>
      <c r="H374" s="25"/>
      <c r="I374" s="12"/>
    </row>
    <row r="375">
      <c r="A375" s="15"/>
      <c r="B375" s="12"/>
      <c r="C375" s="15"/>
      <c r="D375" s="15"/>
      <c r="E375" s="15"/>
      <c r="F375" s="15"/>
      <c r="G375" s="27"/>
      <c r="H375" s="25"/>
      <c r="I375" s="12"/>
    </row>
    <row r="376">
      <c r="A376" s="15"/>
      <c r="B376" s="12"/>
      <c r="C376" s="15"/>
      <c r="D376" s="15"/>
      <c r="E376" s="15"/>
      <c r="F376" s="15"/>
      <c r="G376" s="27"/>
      <c r="H376" s="25"/>
      <c r="I376" s="12"/>
    </row>
    <row r="377">
      <c r="A377" s="15"/>
      <c r="B377" s="12"/>
      <c r="C377" s="15"/>
      <c r="D377" s="15"/>
      <c r="E377" s="15"/>
      <c r="F377" s="15"/>
      <c r="G377" s="27"/>
      <c r="H377" s="25"/>
      <c r="I377" s="12"/>
    </row>
    <row r="378">
      <c r="A378" s="15"/>
      <c r="B378" s="12"/>
      <c r="C378" s="15"/>
      <c r="D378" s="15"/>
      <c r="E378" s="15"/>
      <c r="F378" s="15"/>
      <c r="G378" s="27"/>
      <c r="H378" s="25"/>
      <c r="I378" s="12"/>
    </row>
    <row r="379">
      <c r="A379" s="15"/>
      <c r="B379" s="12"/>
      <c r="C379" s="15"/>
      <c r="D379" s="15"/>
      <c r="E379" s="15"/>
      <c r="F379" s="15"/>
      <c r="G379" s="27"/>
      <c r="H379" s="25"/>
      <c r="I379" s="12"/>
    </row>
    <row r="380">
      <c r="A380" s="15"/>
      <c r="B380" s="12"/>
      <c r="C380" s="15"/>
      <c r="D380" s="15"/>
      <c r="E380" s="15"/>
      <c r="F380" s="15"/>
      <c r="G380" s="27"/>
      <c r="H380" s="25"/>
      <c r="I380" s="12"/>
    </row>
    <row r="381">
      <c r="A381" s="15"/>
      <c r="B381" s="12"/>
      <c r="C381" s="15"/>
      <c r="D381" s="15"/>
      <c r="E381" s="15"/>
      <c r="F381" s="15"/>
      <c r="G381" s="27"/>
      <c r="H381" s="25"/>
      <c r="I381" s="12"/>
    </row>
    <row r="382">
      <c r="A382" s="15"/>
      <c r="B382" s="12"/>
      <c r="C382" s="15"/>
      <c r="D382" s="15"/>
      <c r="E382" s="15"/>
      <c r="F382" s="15"/>
      <c r="G382" s="27"/>
      <c r="H382" s="25"/>
      <c r="I382" s="12"/>
    </row>
    <row r="383">
      <c r="A383" s="15"/>
      <c r="B383" s="12"/>
      <c r="C383" s="15"/>
      <c r="D383" s="15"/>
      <c r="E383" s="15"/>
      <c r="F383" s="15"/>
      <c r="G383" s="27"/>
      <c r="H383" s="25"/>
      <c r="I383" s="12"/>
    </row>
    <row r="384">
      <c r="A384" s="15"/>
      <c r="B384" s="12"/>
      <c r="C384" s="15"/>
      <c r="D384" s="15"/>
      <c r="E384" s="15"/>
      <c r="F384" s="15"/>
      <c r="G384" s="27"/>
      <c r="H384" s="25"/>
      <c r="I384" s="12"/>
    </row>
    <row r="385">
      <c r="A385" s="15"/>
      <c r="B385" s="12"/>
      <c r="C385" s="15"/>
      <c r="D385" s="15"/>
      <c r="E385" s="15"/>
      <c r="F385" s="15"/>
      <c r="G385" s="27"/>
      <c r="H385" s="25"/>
      <c r="I385" s="12"/>
    </row>
    <row r="386">
      <c r="A386" s="15"/>
      <c r="B386" s="12"/>
      <c r="C386" s="15"/>
      <c r="D386" s="15"/>
      <c r="E386" s="15"/>
      <c r="F386" s="15"/>
      <c r="G386" s="27"/>
      <c r="H386" s="25"/>
      <c r="I386" s="12"/>
    </row>
    <row r="387">
      <c r="A387" s="15"/>
      <c r="B387" s="12"/>
      <c r="C387" s="15"/>
      <c r="D387" s="15"/>
      <c r="E387" s="15"/>
      <c r="F387" s="15"/>
      <c r="G387" s="27"/>
      <c r="H387" s="25"/>
      <c r="I387" s="12"/>
    </row>
    <row r="388">
      <c r="A388" s="15"/>
      <c r="B388" s="12"/>
      <c r="C388" s="15"/>
      <c r="D388" s="15"/>
      <c r="E388" s="15"/>
      <c r="F388" s="15"/>
      <c r="G388" s="27"/>
      <c r="H388" s="25"/>
      <c r="I388" s="12"/>
    </row>
    <row r="389">
      <c r="A389" s="15"/>
      <c r="B389" s="12"/>
      <c r="C389" s="15"/>
      <c r="D389" s="15"/>
      <c r="E389" s="15"/>
      <c r="F389" s="15"/>
      <c r="G389" s="27"/>
      <c r="H389" s="25"/>
      <c r="I389" s="12"/>
    </row>
    <row r="390">
      <c r="A390" s="15"/>
      <c r="B390" s="12"/>
      <c r="C390" s="15"/>
      <c r="D390" s="15"/>
      <c r="E390" s="15"/>
      <c r="F390" s="15"/>
      <c r="G390" s="27"/>
      <c r="H390" s="25"/>
      <c r="I390" s="12"/>
    </row>
    <row r="391">
      <c r="A391" s="15"/>
      <c r="B391" s="12"/>
      <c r="C391" s="15"/>
      <c r="D391" s="15"/>
      <c r="E391" s="15"/>
      <c r="F391" s="15"/>
      <c r="G391" s="27"/>
      <c r="H391" s="25"/>
      <c r="I391" s="12"/>
    </row>
    <row r="392">
      <c r="A392" s="15"/>
      <c r="B392" s="12"/>
      <c r="C392" s="15"/>
      <c r="D392" s="15"/>
      <c r="E392" s="15"/>
      <c r="F392" s="15"/>
      <c r="G392" s="27"/>
      <c r="H392" s="25"/>
      <c r="I392" s="12"/>
    </row>
    <row r="393">
      <c r="A393" s="15"/>
      <c r="B393" s="12"/>
      <c r="C393" s="15"/>
      <c r="D393" s="15"/>
      <c r="E393" s="15"/>
      <c r="F393" s="15"/>
      <c r="G393" s="27"/>
      <c r="H393" s="25"/>
      <c r="I393" s="12"/>
    </row>
    <row r="394">
      <c r="A394" s="15"/>
      <c r="B394" s="12"/>
      <c r="C394" s="15"/>
      <c r="D394" s="15"/>
      <c r="E394" s="15"/>
      <c r="F394" s="15"/>
      <c r="G394" s="27"/>
      <c r="H394" s="25"/>
      <c r="I394" s="12"/>
    </row>
    <row r="395">
      <c r="A395" s="15"/>
      <c r="B395" s="12"/>
      <c r="C395" s="15"/>
      <c r="D395" s="15"/>
      <c r="E395" s="15"/>
      <c r="F395" s="15"/>
      <c r="G395" s="27"/>
      <c r="H395" s="25"/>
      <c r="I395" s="12"/>
    </row>
    <row r="396">
      <c r="A396" s="15"/>
      <c r="B396" s="12"/>
      <c r="C396" s="15"/>
      <c r="D396" s="15"/>
      <c r="E396" s="15"/>
      <c r="F396" s="15"/>
      <c r="G396" s="27"/>
      <c r="H396" s="25"/>
      <c r="I396" s="12"/>
    </row>
    <row r="397">
      <c r="A397" s="15"/>
      <c r="B397" s="12"/>
      <c r="C397" s="15"/>
      <c r="D397" s="15"/>
      <c r="E397" s="15"/>
      <c r="F397" s="15"/>
      <c r="G397" s="27"/>
      <c r="H397" s="25"/>
      <c r="I397" s="12"/>
    </row>
    <row r="398">
      <c r="A398" s="15"/>
      <c r="B398" s="12"/>
      <c r="C398" s="15"/>
      <c r="D398" s="15"/>
      <c r="E398" s="15"/>
      <c r="F398" s="15"/>
      <c r="G398" s="27"/>
      <c r="H398" s="25"/>
      <c r="I398" s="12"/>
    </row>
    <row r="399">
      <c r="A399" s="15"/>
      <c r="B399" s="12"/>
      <c r="C399" s="15"/>
      <c r="D399" s="15"/>
      <c r="E399" s="15"/>
      <c r="F399" s="15"/>
      <c r="G399" s="27"/>
      <c r="H399" s="25"/>
      <c r="I399" s="12"/>
    </row>
    <row r="400">
      <c r="A400" s="15"/>
      <c r="B400" s="12"/>
      <c r="C400" s="15"/>
      <c r="D400" s="15"/>
      <c r="E400" s="15"/>
      <c r="F400" s="15"/>
      <c r="G400" s="27"/>
      <c r="H400" s="25"/>
      <c r="I400" s="12"/>
    </row>
    <row r="401">
      <c r="A401" s="15"/>
      <c r="B401" s="12"/>
      <c r="C401" s="15"/>
      <c r="D401" s="15"/>
      <c r="E401" s="15"/>
      <c r="F401" s="15"/>
      <c r="G401" s="27"/>
      <c r="H401" s="25"/>
      <c r="I401" s="12"/>
    </row>
    <row r="402">
      <c r="A402" s="15"/>
      <c r="B402" s="12"/>
      <c r="C402" s="15"/>
      <c r="D402" s="15"/>
      <c r="E402" s="15"/>
      <c r="F402" s="15"/>
      <c r="G402" s="27"/>
      <c r="H402" s="25"/>
      <c r="I402" s="12"/>
    </row>
    <row r="403">
      <c r="A403" s="15"/>
      <c r="B403" s="12"/>
      <c r="C403" s="15"/>
      <c r="D403" s="15"/>
      <c r="E403" s="15"/>
      <c r="F403" s="15"/>
      <c r="G403" s="27"/>
      <c r="H403" s="25"/>
      <c r="I403" s="12"/>
    </row>
    <row r="404">
      <c r="A404" s="15"/>
      <c r="B404" s="12"/>
      <c r="C404" s="15"/>
      <c r="D404" s="15"/>
      <c r="E404" s="15"/>
      <c r="F404" s="15"/>
      <c r="G404" s="27"/>
      <c r="H404" s="25"/>
      <c r="I404" s="12"/>
    </row>
    <row r="405">
      <c r="A405" s="15"/>
      <c r="B405" s="12"/>
      <c r="C405" s="15"/>
      <c r="D405" s="15"/>
      <c r="E405" s="15"/>
      <c r="F405" s="15"/>
      <c r="G405" s="27"/>
      <c r="H405" s="25"/>
      <c r="I405" s="12"/>
    </row>
    <row r="406">
      <c r="A406" s="15"/>
      <c r="B406" s="12"/>
      <c r="C406" s="15"/>
      <c r="D406" s="15"/>
      <c r="E406" s="15"/>
      <c r="F406" s="15"/>
      <c r="G406" s="27"/>
      <c r="H406" s="25"/>
      <c r="I406" s="12"/>
    </row>
    <row r="407">
      <c r="A407" s="15"/>
      <c r="B407" s="12"/>
      <c r="C407" s="15"/>
      <c r="D407" s="15"/>
      <c r="E407" s="15"/>
      <c r="F407" s="15"/>
      <c r="G407" s="27"/>
      <c r="H407" s="25"/>
      <c r="I407" s="12"/>
    </row>
    <row r="408">
      <c r="A408" s="15"/>
      <c r="B408" s="12"/>
      <c r="C408" s="15"/>
      <c r="D408" s="15"/>
      <c r="E408" s="15"/>
      <c r="F408" s="15"/>
      <c r="G408" s="27"/>
      <c r="H408" s="25"/>
      <c r="I408" s="12"/>
    </row>
    <row r="409">
      <c r="A409" s="15"/>
      <c r="B409" s="12"/>
      <c r="C409" s="15"/>
      <c r="D409" s="15"/>
      <c r="E409" s="15"/>
      <c r="F409" s="15"/>
      <c r="G409" s="27"/>
      <c r="H409" s="25"/>
      <c r="I409" s="12"/>
    </row>
    <row r="410">
      <c r="A410" s="15"/>
      <c r="B410" s="12"/>
      <c r="C410" s="15"/>
      <c r="D410" s="15"/>
      <c r="E410" s="15"/>
      <c r="F410" s="15"/>
      <c r="G410" s="27"/>
      <c r="H410" s="25"/>
      <c r="I410" s="12"/>
    </row>
    <row r="411">
      <c r="A411" s="15"/>
      <c r="B411" s="12"/>
      <c r="C411" s="15"/>
      <c r="D411" s="15"/>
      <c r="E411" s="15"/>
      <c r="F411" s="15"/>
      <c r="G411" s="27"/>
      <c r="H411" s="25"/>
      <c r="I411" s="12"/>
    </row>
    <row r="412">
      <c r="A412" s="15"/>
      <c r="B412" s="12"/>
      <c r="C412" s="15"/>
      <c r="D412" s="15"/>
      <c r="E412" s="15"/>
      <c r="F412" s="15"/>
      <c r="G412" s="27"/>
      <c r="H412" s="25"/>
      <c r="I412" s="12"/>
    </row>
    <row r="413">
      <c r="A413" s="15"/>
      <c r="B413" s="12"/>
      <c r="C413" s="15"/>
      <c r="D413" s="15"/>
      <c r="E413" s="15"/>
      <c r="F413" s="15"/>
      <c r="G413" s="27"/>
      <c r="H413" s="25"/>
      <c r="I413" s="12"/>
    </row>
    <row r="414">
      <c r="A414" s="15"/>
      <c r="B414" s="12"/>
      <c r="C414" s="15"/>
      <c r="D414" s="15"/>
      <c r="E414" s="15"/>
      <c r="F414" s="15"/>
      <c r="G414" s="27"/>
      <c r="H414" s="25"/>
      <c r="I414" s="12"/>
    </row>
    <row r="415">
      <c r="A415" s="15"/>
      <c r="B415" s="12"/>
      <c r="C415" s="15"/>
      <c r="D415" s="15"/>
      <c r="E415" s="15"/>
      <c r="F415" s="15"/>
      <c r="G415" s="27"/>
      <c r="H415" s="25"/>
      <c r="I415" s="12"/>
    </row>
    <row r="416">
      <c r="A416" s="15"/>
      <c r="B416" s="12"/>
      <c r="C416" s="15"/>
      <c r="D416" s="15"/>
      <c r="E416" s="15"/>
      <c r="F416" s="15"/>
      <c r="G416" s="27"/>
      <c r="H416" s="25"/>
      <c r="I416" s="12"/>
    </row>
    <row r="417">
      <c r="A417" s="15"/>
      <c r="B417" s="12"/>
      <c r="C417" s="15"/>
      <c r="D417" s="15"/>
      <c r="E417" s="15"/>
      <c r="F417" s="15"/>
      <c r="G417" s="27"/>
      <c r="H417" s="25"/>
      <c r="I417" s="12"/>
    </row>
    <row r="418">
      <c r="A418" s="15"/>
      <c r="B418" s="12"/>
      <c r="C418" s="15"/>
      <c r="D418" s="15"/>
      <c r="E418" s="15"/>
      <c r="F418" s="15"/>
      <c r="G418" s="27"/>
      <c r="H418" s="25"/>
      <c r="I418" s="12"/>
    </row>
    <row r="419">
      <c r="A419" s="15"/>
      <c r="B419" s="12"/>
      <c r="C419" s="15"/>
      <c r="D419" s="15"/>
      <c r="E419" s="15"/>
      <c r="F419" s="15"/>
      <c r="G419" s="27"/>
      <c r="H419" s="25"/>
      <c r="I419" s="12"/>
    </row>
    <row r="420">
      <c r="A420" s="15"/>
      <c r="B420" s="12"/>
      <c r="C420" s="15"/>
      <c r="D420" s="15"/>
      <c r="E420" s="15"/>
      <c r="F420" s="15"/>
      <c r="G420" s="27"/>
      <c r="H420" s="25"/>
      <c r="I420" s="12"/>
    </row>
    <row r="421">
      <c r="A421" s="15"/>
      <c r="B421" s="12"/>
      <c r="C421" s="15"/>
      <c r="D421" s="15"/>
      <c r="E421" s="15"/>
      <c r="F421" s="15"/>
      <c r="G421" s="27"/>
      <c r="H421" s="25"/>
      <c r="I421" s="12"/>
    </row>
    <row r="422">
      <c r="A422" s="15"/>
      <c r="B422" s="12"/>
      <c r="C422" s="15"/>
      <c r="D422" s="15"/>
      <c r="E422" s="15"/>
      <c r="F422" s="15"/>
      <c r="G422" s="27"/>
      <c r="H422" s="25"/>
      <c r="I422" s="12"/>
    </row>
    <row r="423">
      <c r="A423" s="15"/>
      <c r="B423" s="12"/>
      <c r="C423" s="15"/>
      <c r="D423" s="15"/>
      <c r="E423" s="15"/>
      <c r="F423" s="15"/>
      <c r="G423" s="27"/>
      <c r="H423" s="25"/>
      <c r="I423" s="12"/>
    </row>
    <row r="424">
      <c r="A424" s="15"/>
      <c r="B424" s="12"/>
      <c r="C424" s="15"/>
      <c r="D424" s="15"/>
      <c r="E424" s="15"/>
      <c r="F424" s="15"/>
      <c r="G424" s="27"/>
      <c r="H424" s="25"/>
      <c r="I424" s="12"/>
    </row>
    <row r="425">
      <c r="A425" s="15"/>
      <c r="B425" s="12"/>
      <c r="C425" s="15"/>
      <c r="D425" s="15"/>
      <c r="E425" s="15"/>
      <c r="F425" s="15"/>
      <c r="G425" s="27"/>
      <c r="H425" s="25"/>
      <c r="I425" s="12"/>
    </row>
    <row r="426">
      <c r="A426" s="15"/>
      <c r="B426" s="12"/>
      <c r="C426" s="15"/>
      <c r="D426" s="15"/>
      <c r="E426" s="15"/>
      <c r="F426" s="15"/>
      <c r="G426" s="27"/>
      <c r="H426" s="25"/>
      <c r="I426" s="12"/>
    </row>
    <row r="427">
      <c r="A427" s="15"/>
      <c r="B427" s="12"/>
      <c r="C427" s="15"/>
      <c r="D427" s="15"/>
      <c r="E427" s="15"/>
      <c r="F427" s="15"/>
      <c r="G427" s="27"/>
      <c r="H427" s="25"/>
      <c r="I427" s="12"/>
    </row>
    <row r="428">
      <c r="A428" s="15"/>
      <c r="B428" s="12"/>
      <c r="C428" s="15"/>
      <c r="D428" s="15"/>
      <c r="E428" s="15"/>
      <c r="F428" s="15"/>
      <c r="G428" s="27"/>
      <c r="H428" s="25"/>
      <c r="I428" s="12"/>
    </row>
    <row r="429">
      <c r="A429" s="15"/>
      <c r="B429" s="12"/>
      <c r="C429" s="15"/>
      <c r="D429" s="15"/>
      <c r="E429" s="15"/>
      <c r="F429" s="15"/>
      <c r="G429" s="27"/>
      <c r="H429" s="25"/>
      <c r="I429" s="12"/>
    </row>
    <row r="430">
      <c r="A430" s="15"/>
      <c r="B430" s="12"/>
      <c r="C430" s="15"/>
      <c r="D430" s="15"/>
      <c r="E430" s="15"/>
      <c r="F430" s="15"/>
      <c r="G430" s="27"/>
      <c r="H430" s="25"/>
      <c r="I430" s="12"/>
    </row>
    <row r="431">
      <c r="A431" s="15"/>
      <c r="B431" s="12"/>
      <c r="C431" s="15"/>
      <c r="D431" s="15"/>
      <c r="E431" s="15"/>
      <c r="F431" s="15"/>
      <c r="G431" s="27"/>
      <c r="H431" s="25"/>
      <c r="I431" s="12"/>
    </row>
    <row r="432">
      <c r="A432" s="15"/>
      <c r="B432" s="12"/>
      <c r="C432" s="15"/>
      <c r="D432" s="15"/>
      <c r="E432" s="15"/>
      <c r="F432" s="15"/>
      <c r="G432" s="27"/>
      <c r="H432" s="25"/>
      <c r="I432" s="12"/>
    </row>
    <row r="433">
      <c r="A433" s="15"/>
      <c r="B433" s="12"/>
      <c r="C433" s="15"/>
      <c r="D433" s="15"/>
      <c r="E433" s="15"/>
      <c r="F433" s="15"/>
      <c r="G433" s="27"/>
      <c r="H433" s="25"/>
      <c r="I433" s="12"/>
    </row>
    <row r="434">
      <c r="A434" s="15"/>
      <c r="B434" s="12"/>
      <c r="C434" s="15"/>
      <c r="D434" s="15"/>
      <c r="E434" s="15"/>
      <c r="F434" s="15"/>
      <c r="G434" s="27"/>
      <c r="H434" s="25"/>
      <c r="I434" s="12"/>
    </row>
    <row r="435">
      <c r="A435" s="15"/>
      <c r="B435" s="12"/>
      <c r="C435" s="15"/>
      <c r="D435" s="15"/>
      <c r="E435" s="15"/>
      <c r="F435" s="15"/>
      <c r="G435" s="27"/>
      <c r="H435" s="25"/>
      <c r="I435" s="12"/>
    </row>
    <row r="436">
      <c r="A436" s="15"/>
      <c r="B436" s="12"/>
      <c r="C436" s="15"/>
      <c r="D436" s="15"/>
      <c r="E436" s="15"/>
      <c r="F436" s="15"/>
      <c r="G436" s="27"/>
      <c r="H436" s="25"/>
      <c r="I436" s="12"/>
    </row>
    <row r="437">
      <c r="A437" s="15"/>
      <c r="B437" s="12"/>
      <c r="C437" s="15"/>
      <c r="D437" s="15"/>
      <c r="E437" s="15"/>
      <c r="F437" s="15"/>
      <c r="G437" s="27"/>
      <c r="H437" s="25"/>
      <c r="I437" s="12"/>
    </row>
    <row r="438">
      <c r="A438" s="15"/>
      <c r="B438" s="12"/>
      <c r="C438" s="15"/>
      <c r="D438" s="15"/>
      <c r="E438" s="15"/>
      <c r="F438" s="15"/>
      <c r="G438" s="27"/>
      <c r="H438" s="25"/>
      <c r="I438" s="12"/>
    </row>
    <row r="439">
      <c r="A439" s="15"/>
      <c r="B439" s="12"/>
      <c r="C439" s="15"/>
      <c r="D439" s="15"/>
      <c r="E439" s="15"/>
      <c r="F439" s="15"/>
      <c r="G439" s="27"/>
      <c r="H439" s="25"/>
      <c r="I439" s="12"/>
    </row>
    <row r="440">
      <c r="A440" s="15"/>
      <c r="B440" s="12"/>
      <c r="C440" s="15"/>
      <c r="D440" s="15"/>
      <c r="E440" s="15"/>
      <c r="F440" s="15"/>
      <c r="G440" s="27"/>
      <c r="H440" s="25"/>
      <c r="I440" s="12"/>
    </row>
    <row r="441">
      <c r="A441" s="15"/>
      <c r="B441" s="12"/>
      <c r="C441" s="15"/>
      <c r="D441" s="15"/>
      <c r="E441" s="15"/>
      <c r="F441" s="15"/>
      <c r="G441" s="27"/>
      <c r="H441" s="25"/>
      <c r="I441" s="12"/>
    </row>
    <row r="442">
      <c r="A442" s="15"/>
      <c r="B442" s="12"/>
      <c r="C442" s="15"/>
      <c r="D442" s="15"/>
      <c r="E442" s="15"/>
      <c r="F442" s="15"/>
      <c r="G442" s="27"/>
      <c r="H442" s="25"/>
      <c r="I442" s="12"/>
    </row>
    <row r="443">
      <c r="A443" s="15"/>
      <c r="B443" s="12"/>
      <c r="C443" s="15"/>
      <c r="D443" s="15"/>
      <c r="E443" s="15"/>
      <c r="F443" s="15"/>
      <c r="G443" s="27"/>
      <c r="H443" s="25"/>
      <c r="I443" s="12"/>
    </row>
    <row r="444">
      <c r="A444" s="15"/>
      <c r="B444" s="12"/>
      <c r="C444" s="15"/>
      <c r="D444" s="15"/>
      <c r="E444" s="15"/>
      <c r="F444" s="15"/>
      <c r="G444" s="27"/>
      <c r="H444" s="25"/>
      <c r="I444" s="12"/>
    </row>
    <row r="445">
      <c r="A445" s="15"/>
      <c r="B445" s="12"/>
      <c r="C445" s="15"/>
      <c r="D445" s="15"/>
      <c r="E445" s="15"/>
      <c r="F445" s="15"/>
      <c r="G445" s="27"/>
      <c r="H445" s="25"/>
      <c r="I445" s="12"/>
    </row>
    <row r="446">
      <c r="A446" s="15"/>
      <c r="B446" s="12"/>
      <c r="C446" s="15"/>
      <c r="D446" s="15"/>
      <c r="E446" s="15"/>
      <c r="F446" s="15"/>
      <c r="G446" s="27"/>
      <c r="H446" s="25"/>
      <c r="I446" s="12"/>
    </row>
    <row r="447">
      <c r="A447" s="15"/>
      <c r="B447" s="12"/>
      <c r="C447" s="15"/>
      <c r="D447" s="15"/>
      <c r="E447" s="15"/>
      <c r="F447" s="15"/>
      <c r="G447" s="27"/>
      <c r="H447" s="25"/>
      <c r="I447" s="12"/>
    </row>
    <row r="448">
      <c r="A448" s="15"/>
      <c r="B448" s="12"/>
      <c r="C448" s="15"/>
      <c r="D448" s="15"/>
      <c r="E448" s="15"/>
      <c r="F448" s="15"/>
      <c r="G448" s="27"/>
      <c r="H448" s="25"/>
      <c r="I448" s="12"/>
    </row>
    <row r="449">
      <c r="A449" s="15"/>
      <c r="B449" s="12"/>
      <c r="C449" s="15"/>
      <c r="D449" s="15"/>
      <c r="E449" s="15"/>
      <c r="F449" s="15"/>
      <c r="G449" s="27"/>
      <c r="H449" s="25"/>
      <c r="I449" s="12"/>
    </row>
    <row r="450">
      <c r="A450" s="15"/>
      <c r="B450" s="12"/>
      <c r="C450" s="15"/>
      <c r="D450" s="15"/>
      <c r="E450" s="15"/>
      <c r="F450" s="15"/>
      <c r="G450" s="27"/>
      <c r="H450" s="25"/>
      <c r="I450" s="12"/>
    </row>
    <row r="451">
      <c r="A451" s="15"/>
      <c r="B451" s="12"/>
      <c r="C451" s="15"/>
      <c r="D451" s="15"/>
      <c r="E451" s="15"/>
      <c r="F451" s="15"/>
      <c r="G451" s="27"/>
      <c r="H451" s="25"/>
      <c r="I451" s="12"/>
    </row>
    <row r="452">
      <c r="A452" s="15"/>
      <c r="B452" s="12"/>
      <c r="C452" s="15"/>
      <c r="D452" s="15"/>
      <c r="E452" s="15"/>
      <c r="F452" s="15"/>
      <c r="G452" s="27"/>
      <c r="H452" s="25"/>
      <c r="I452" s="12"/>
    </row>
    <row r="453">
      <c r="A453" s="15"/>
      <c r="B453" s="12"/>
      <c r="C453" s="15"/>
      <c r="D453" s="15"/>
      <c r="E453" s="15"/>
      <c r="F453" s="15"/>
      <c r="G453" s="27"/>
      <c r="H453" s="25"/>
      <c r="I453" s="12"/>
    </row>
    <row r="454">
      <c r="A454" s="15"/>
      <c r="B454" s="12"/>
      <c r="C454" s="15"/>
      <c r="D454" s="15"/>
      <c r="E454" s="15"/>
      <c r="F454" s="15"/>
      <c r="G454" s="27"/>
      <c r="H454" s="25"/>
      <c r="I454" s="12"/>
    </row>
    <row r="455">
      <c r="A455" s="15"/>
      <c r="B455" s="12"/>
      <c r="C455" s="15"/>
      <c r="D455" s="15"/>
      <c r="E455" s="15"/>
      <c r="F455" s="15"/>
      <c r="G455" s="27"/>
      <c r="H455" s="25"/>
      <c r="I455" s="12"/>
    </row>
    <row r="456">
      <c r="A456" s="15"/>
      <c r="B456" s="12"/>
      <c r="C456" s="15"/>
      <c r="D456" s="15"/>
      <c r="E456" s="15"/>
      <c r="F456" s="15"/>
      <c r="G456" s="27"/>
      <c r="H456" s="25"/>
      <c r="I456" s="12"/>
    </row>
    <row r="457">
      <c r="A457" s="15"/>
      <c r="B457" s="12"/>
      <c r="C457" s="15"/>
      <c r="D457" s="15"/>
      <c r="E457" s="15"/>
      <c r="F457" s="15"/>
      <c r="G457" s="27"/>
      <c r="H457" s="25"/>
      <c r="I457" s="12"/>
    </row>
    <row r="458">
      <c r="A458" s="15"/>
      <c r="B458" s="12"/>
      <c r="C458" s="15"/>
      <c r="D458" s="15"/>
      <c r="E458" s="15"/>
      <c r="F458" s="15"/>
      <c r="G458" s="27"/>
      <c r="H458" s="25"/>
      <c r="I458" s="12"/>
    </row>
    <row r="459">
      <c r="A459" s="15"/>
      <c r="B459" s="12"/>
      <c r="C459" s="15"/>
      <c r="D459" s="15"/>
      <c r="E459" s="15"/>
      <c r="F459" s="15"/>
      <c r="G459" s="27"/>
      <c r="H459" s="25"/>
      <c r="I459" s="12"/>
    </row>
    <row r="460">
      <c r="A460" s="15"/>
      <c r="B460" s="12"/>
      <c r="C460" s="15"/>
      <c r="D460" s="15"/>
      <c r="E460" s="15"/>
      <c r="F460" s="15"/>
      <c r="G460" s="27"/>
      <c r="H460" s="25"/>
      <c r="I460" s="12"/>
    </row>
    <row r="461">
      <c r="A461" s="15"/>
      <c r="B461" s="12"/>
      <c r="C461" s="15"/>
      <c r="D461" s="15"/>
      <c r="E461" s="15"/>
      <c r="F461" s="15"/>
      <c r="G461" s="27"/>
      <c r="H461" s="25"/>
      <c r="I461" s="12"/>
    </row>
    <row r="462">
      <c r="A462" s="15"/>
      <c r="B462" s="12"/>
      <c r="C462" s="15"/>
      <c r="D462" s="15"/>
      <c r="E462" s="15"/>
      <c r="F462" s="15"/>
      <c r="G462" s="27"/>
      <c r="H462" s="25"/>
      <c r="I462" s="12"/>
    </row>
    <row r="463">
      <c r="A463" s="15"/>
      <c r="B463" s="12"/>
      <c r="C463" s="15"/>
      <c r="D463" s="15"/>
      <c r="E463" s="15"/>
      <c r="F463" s="15"/>
      <c r="G463" s="27"/>
      <c r="H463" s="25"/>
      <c r="I463" s="12"/>
    </row>
    <row r="464">
      <c r="A464" s="15"/>
      <c r="B464" s="12"/>
      <c r="C464" s="15"/>
      <c r="D464" s="15"/>
      <c r="E464" s="15"/>
      <c r="F464" s="15"/>
      <c r="G464" s="27"/>
      <c r="H464" s="25"/>
      <c r="I464" s="12"/>
    </row>
    <row r="465">
      <c r="A465" s="15"/>
      <c r="B465" s="12"/>
      <c r="C465" s="15"/>
      <c r="D465" s="15"/>
      <c r="E465" s="15"/>
      <c r="F465" s="15"/>
      <c r="G465" s="27"/>
      <c r="H465" s="25"/>
      <c r="I465" s="12"/>
    </row>
    <row r="466">
      <c r="A466" s="15"/>
      <c r="B466" s="12"/>
      <c r="C466" s="15"/>
      <c r="D466" s="15"/>
      <c r="E466" s="15"/>
      <c r="F466" s="15"/>
      <c r="G466" s="27"/>
      <c r="H466" s="25"/>
      <c r="I466" s="12"/>
    </row>
    <row r="467">
      <c r="A467" s="15"/>
      <c r="B467" s="12"/>
      <c r="C467" s="15"/>
      <c r="D467" s="15"/>
      <c r="E467" s="15"/>
      <c r="F467" s="15"/>
      <c r="G467" s="27"/>
      <c r="H467" s="25"/>
      <c r="I467" s="12"/>
    </row>
    <row r="468">
      <c r="A468" s="15"/>
      <c r="B468" s="12"/>
      <c r="C468" s="15"/>
      <c r="D468" s="15"/>
      <c r="E468" s="15"/>
      <c r="F468" s="15"/>
      <c r="G468" s="27"/>
      <c r="H468" s="25"/>
      <c r="I468" s="12"/>
    </row>
    <row r="469">
      <c r="A469" s="15"/>
      <c r="B469" s="12"/>
      <c r="C469" s="15"/>
      <c r="D469" s="15"/>
      <c r="E469" s="15"/>
      <c r="F469" s="15"/>
      <c r="G469" s="27"/>
      <c r="H469" s="25"/>
      <c r="I469" s="12"/>
    </row>
    <row r="470">
      <c r="A470" s="15"/>
      <c r="B470" s="12"/>
      <c r="C470" s="15"/>
      <c r="D470" s="15"/>
      <c r="E470" s="15"/>
      <c r="F470" s="15"/>
      <c r="G470" s="27"/>
      <c r="H470" s="25"/>
      <c r="I470" s="12"/>
    </row>
    <row r="471">
      <c r="A471" s="15"/>
      <c r="B471" s="12"/>
      <c r="C471" s="15"/>
      <c r="D471" s="15"/>
      <c r="E471" s="15"/>
      <c r="F471" s="15"/>
      <c r="G471" s="27"/>
      <c r="H471" s="25"/>
      <c r="I471" s="12"/>
    </row>
    <row r="472">
      <c r="A472" s="15"/>
      <c r="B472" s="12"/>
      <c r="C472" s="15"/>
      <c r="D472" s="15"/>
      <c r="E472" s="15"/>
      <c r="F472" s="15"/>
      <c r="G472" s="27"/>
      <c r="H472" s="25"/>
      <c r="I472" s="12"/>
    </row>
    <row r="473">
      <c r="A473" s="15"/>
      <c r="B473" s="12"/>
      <c r="C473" s="15"/>
      <c r="D473" s="15"/>
      <c r="E473" s="15"/>
      <c r="F473" s="15"/>
      <c r="G473" s="27"/>
      <c r="H473" s="25"/>
      <c r="I473" s="12"/>
    </row>
    <row r="474">
      <c r="A474" s="15"/>
      <c r="B474" s="12"/>
      <c r="C474" s="15"/>
      <c r="D474" s="15"/>
      <c r="E474" s="15"/>
      <c r="F474" s="15"/>
      <c r="G474" s="27"/>
      <c r="H474" s="25"/>
      <c r="I474" s="12"/>
    </row>
    <row r="475">
      <c r="A475" s="15"/>
      <c r="B475" s="12"/>
      <c r="C475" s="15"/>
      <c r="D475" s="15"/>
      <c r="E475" s="15"/>
      <c r="F475" s="15"/>
      <c r="G475" s="27"/>
      <c r="H475" s="25"/>
      <c r="I475" s="12"/>
    </row>
    <row r="476">
      <c r="A476" s="15"/>
      <c r="B476" s="12"/>
      <c r="C476" s="15"/>
      <c r="D476" s="15"/>
      <c r="E476" s="15"/>
      <c r="F476" s="15"/>
      <c r="G476" s="27"/>
      <c r="H476" s="25"/>
      <c r="I476" s="12"/>
    </row>
    <row r="477">
      <c r="A477" s="15"/>
      <c r="B477" s="12"/>
      <c r="C477" s="15"/>
      <c r="D477" s="15"/>
      <c r="E477" s="15"/>
      <c r="F477" s="15"/>
      <c r="G477" s="27"/>
      <c r="H477" s="25"/>
      <c r="I477" s="12"/>
    </row>
    <row r="478">
      <c r="A478" s="15"/>
      <c r="B478" s="12"/>
      <c r="C478" s="15"/>
      <c r="D478" s="15"/>
      <c r="E478" s="15"/>
      <c r="F478" s="15"/>
      <c r="G478" s="27"/>
      <c r="H478" s="25"/>
      <c r="I478" s="12"/>
    </row>
    <row r="479">
      <c r="A479" s="15"/>
      <c r="B479" s="12"/>
      <c r="C479" s="15"/>
      <c r="D479" s="15"/>
      <c r="E479" s="15"/>
      <c r="F479" s="15"/>
      <c r="G479" s="27"/>
      <c r="H479" s="25"/>
      <c r="I479" s="12"/>
    </row>
    <row r="480">
      <c r="A480" s="15"/>
      <c r="B480" s="12"/>
      <c r="C480" s="15"/>
      <c r="D480" s="15"/>
      <c r="E480" s="15"/>
      <c r="F480" s="15"/>
      <c r="G480" s="27"/>
      <c r="H480" s="25"/>
      <c r="I480" s="12"/>
    </row>
    <row r="481">
      <c r="A481" s="15"/>
      <c r="B481" s="12"/>
      <c r="C481" s="15"/>
      <c r="D481" s="15"/>
      <c r="E481" s="15"/>
      <c r="F481" s="15"/>
      <c r="G481" s="27"/>
      <c r="H481" s="25"/>
      <c r="I481" s="12"/>
    </row>
    <row r="482">
      <c r="A482" s="15"/>
      <c r="B482" s="12"/>
      <c r="C482" s="15"/>
      <c r="D482" s="15"/>
      <c r="E482" s="15"/>
      <c r="F482" s="15"/>
      <c r="G482" s="27"/>
      <c r="H482" s="25"/>
      <c r="I482" s="12"/>
    </row>
    <row r="483">
      <c r="A483" s="15"/>
      <c r="B483" s="12"/>
      <c r="C483" s="15"/>
      <c r="D483" s="15"/>
      <c r="E483" s="15"/>
      <c r="F483" s="15"/>
      <c r="G483" s="27"/>
      <c r="H483" s="25"/>
      <c r="I483" s="12"/>
    </row>
    <row r="484">
      <c r="A484" s="15"/>
      <c r="B484" s="12"/>
      <c r="C484" s="15"/>
      <c r="D484" s="15"/>
      <c r="E484" s="15"/>
      <c r="F484" s="15"/>
      <c r="G484" s="27"/>
      <c r="H484" s="25"/>
      <c r="I484" s="12"/>
    </row>
    <row r="485">
      <c r="A485" s="15"/>
      <c r="B485" s="12"/>
      <c r="C485" s="15"/>
      <c r="D485" s="15"/>
      <c r="E485" s="15"/>
      <c r="F485" s="15"/>
      <c r="G485" s="27"/>
      <c r="H485" s="25"/>
      <c r="I485" s="12"/>
    </row>
    <row r="486">
      <c r="A486" s="15"/>
      <c r="B486" s="12"/>
      <c r="C486" s="15"/>
      <c r="D486" s="15"/>
      <c r="E486" s="15"/>
      <c r="F486" s="15"/>
      <c r="G486" s="27"/>
      <c r="H486" s="25"/>
      <c r="I486" s="12"/>
    </row>
    <row r="487">
      <c r="A487" s="15"/>
      <c r="B487" s="12"/>
      <c r="C487" s="15"/>
      <c r="D487" s="15"/>
      <c r="E487" s="15"/>
      <c r="F487" s="15"/>
      <c r="G487" s="27"/>
      <c r="H487" s="25"/>
      <c r="I487" s="12"/>
    </row>
    <row r="488">
      <c r="A488" s="15"/>
      <c r="B488" s="12"/>
      <c r="C488" s="15"/>
      <c r="D488" s="15"/>
      <c r="E488" s="15"/>
      <c r="F488" s="15"/>
      <c r="G488" s="27"/>
      <c r="H488" s="25"/>
      <c r="I488" s="12"/>
    </row>
    <row r="489">
      <c r="A489" s="15"/>
      <c r="B489" s="12"/>
      <c r="C489" s="15"/>
      <c r="D489" s="15"/>
      <c r="E489" s="15"/>
      <c r="F489" s="15"/>
      <c r="G489" s="27"/>
      <c r="H489" s="25"/>
      <c r="I489" s="12"/>
    </row>
    <row r="490">
      <c r="A490" s="15"/>
      <c r="B490" s="12"/>
      <c r="C490" s="15"/>
      <c r="D490" s="15"/>
      <c r="E490" s="15"/>
      <c r="F490" s="15"/>
      <c r="G490" s="27"/>
      <c r="H490" s="25"/>
      <c r="I490" s="12"/>
    </row>
    <row r="491">
      <c r="A491" s="15"/>
      <c r="B491" s="12"/>
      <c r="C491" s="15"/>
      <c r="D491" s="15"/>
      <c r="E491" s="15"/>
      <c r="F491" s="15"/>
      <c r="G491" s="27"/>
      <c r="H491" s="25"/>
      <c r="I491" s="12"/>
    </row>
    <row r="492">
      <c r="A492" s="15"/>
      <c r="B492" s="12"/>
      <c r="C492" s="15"/>
      <c r="D492" s="15"/>
      <c r="E492" s="15"/>
      <c r="F492" s="15"/>
      <c r="G492" s="27"/>
      <c r="H492" s="25"/>
      <c r="I492" s="12"/>
    </row>
    <row r="493">
      <c r="A493" s="15"/>
      <c r="B493" s="12"/>
      <c r="C493" s="15"/>
      <c r="D493" s="15"/>
      <c r="E493" s="15"/>
      <c r="F493" s="15"/>
      <c r="G493" s="27"/>
      <c r="H493" s="25"/>
      <c r="I493" s="12"/>
    </row>
    <row r="494">
      <c r="A494" s="15"/>
      <c r="B494" s="12"/>
      <c r="C494" s="15"/>
      <c r="D494" s="15"/>
      <c r="E494" s="15"/>
      <c r="F494" s="15"/>
      <c r="G494" s="27"/>
      <c r="H494" s="25"/>
      <c r="I494" s="12"/>
    </row>
    <row r="495">
      <c r="A495" s="15"/>
      <c r="B495" s="12"/>
      <c r="C495" s="15"/>
      <c r="D495" s="15"/>
      <c r="E495" s="15"/>
      <c r="F495" s="15"/>
      <c r="G495" s="27"/>
      <c r="H495" s="25"/>
      <c r="I495" s="12"/>
    </row>
    <row r="496">
      <c r="A496" s="15"/>
      <c r="B496" s="12"/>
      <c r="C496" s="15"/>
      <c r="D496" s="15"/>
      <c r="E496" s="15"/>
      <c r="F496" s="15"/>
      <c r="G496" s="27"/>
      <c r="H496" s="25"/>
      <c r="I496" s="12"/>
    </row>
    <row r="497">
      <c r="A497" s="15"/>
      <c r="B497" s="12"/>
      <c r="C497" s="15"/>
      <c r="D497" s="15"/>
      <c r="E497" s="15"/>
      <c r="F497" s="15"/>
      <c r="G497" s="27"/>
      <c r="H497" s="25"/>
      <c r="I497" s="12"/>
    </row>
    <row r="498">
      <c r="A498" s="15"/>
      <c r="B498" s="12"/>
      <c r="C498" s="15"/>
      <c r="D498" s="15"/>
      <c r="E498" s="15"/>
      <c r="F498" s="15"/>
      <c r="G498" s="27"/>
      <c r="H498" s="25"/>
      <c r="I498" s="12"/>
    </row>
    <row r="499">
      <c r="A499" s="15"/>
      <c r="B499" s="12"/>
      <c r="C499" s="15"/>
      <c r="D499" s="15"/>
      <c r="E499" s="15"/>
      <c r="F499" s="15"/>
      <c r="G499" s="27"/>
      <c r="H499" s="25"/>
      <c r="I499" s="12"/>
    </row>
    <row r="500">
      <c r="A500" s="15"/>
      <c r="B500" s="12"/>
      <c r="C500" s="15"/>
      <c r="D500" s="15"/>
      <c r="E500" s="15"/>
      <c r="F500" s="15"/>
      <c r="G500" s="27"/>
      <c r="H500" s="25"/>
      <c r="I500" s="12"/>
    </row>
    <row r="501">
      <c r="A501" s="15"/>
      <c r="B501" s="12"/>
      <c r="C501" s="15"/>
      <c r="D501" s="15"/>
      <c r="E501" s="15"/>
      <c r="F501" s="15"/>
      <c r="G501" s="27"/>
      <c r="H501" s="25"/>
      <c r="I501" s="12"/>
    </row>
    <row r="502">
      <c r="A502" s="15"/>
      <c r="B502" s="12"/>
      <c r="C502" s="15"/>
      <c r="D502" s="15"/>
      <c r="E502" s="15"/>
      <c r="F502" s="15"/>
      <c r="G502" s="27"/>
      <c r="H502" s="25"/>
      <c r="I502" s="12"/>
    </row>
    <row r="503">
      <c r="A503" s="15"/>
      <c r="B503" s="12"/>
      <c r="C503" s="15"/>
      <c r="D503" s="15"/>
      <c r="E503" s="15"/>
      <c r="F503" s="15"/>
      <c r="G503" s="27"/>
      <c r="H503" s="25"/>
      <c r="I503" s="12"/>
    </row>
    <row r="504">
      <c r="A504" s="15"/>
      <c r="B504" s="12"/>
      <c r="C504" s="15"/>
      <c r="D504" s="15"/>
      <c r="E504" s="15"/>
      <c r="F504" s="15"/>
      <c r="G504" s="27"/>
      <c r="H504" s="25"/>
      <c r="I504" s="12"/>
    </row>
    <row r="505">
      <c r="A505" s="15"/>
      <c r="B505" s="12"/>
      <c r="C505" s="15"/>
      <c r="D505" s="15"/>
      <c r="E505" s="15"/>
      <c r="F505" s="15"/>
      <c r="G505" s="27"/>
      <c r="H505" s="25"/>
      <c r="I505" s="12"/>
    </row>
    <row r="506">
      <c r="A506" s="15"/>
      <c r="B506" s="12"/>
      <c r="C506" s="15"/>
      <c r="D506" s="15"/>
      <c r="E506" s="15"/>
      <c r="F506" s="15"/>
      <c r="G506" s="27"/>
      <c r="H506" s="25"/>
      <c r="I506" s="12"/>
    </row>
    <row r="507">
      <c r="A507" s="15"/>
      <c r="B507" s="12"/>
      <c r="C507" s="15"/>
      <c r="D507" s="15"/>
      <c r="E507" s="15"/>
      <c r="F507" s="15"/>
      <c r="G507" s="27"/>
      <c r="H507" s="25"/>
      <c r="I507" s="12"/>
    </row>
    <row r="508">
      <c r="A508" s="15"/>
      <c r="B508" s="12"/>
      <c r="C508" s="15"/>
      <c r="D508" s="15"/>
      <c r="E508" s="15"/>
      <c r="F508" s="15"/>
      <c r="G508" s="27"/>
      <c r="H508" s="25"/>
      <c r="I508" s="12"/>
    </row>
    <row r="509">
      <c r="A509" s="15"/>
      <c r="B509" s="12"/>
      <c r="C509" s="15"/>
      <c r="D509" s="15"/>
      <c r="E509" s="15"/>
      <c r="F509" s="15"/>
      <c r="G509" s="27"/>
      <c r="H509" s="25"/>
      <c r="I509" s="12"/>
    </row>
    <row r="510">
      <c r="A510" s="15"/>
      <c r="B510" s="12"/>
      <c r="C510" s="15"/>
      <c r="D510" s="15"/>
      <c r="E510" s="15"/>
      <c r="F510" s="15"/>
      <c r="G510" s="27"/>
      <c r="H510" s="25"/>
      <c r="I510" s="12"/>
    </row>
    <row r="511">
      <c r="A511" s="15"/>
      <c r="B511" s="12"/>
      <c r="C511" s="15"/>
      <c r="D511" s="15"/>
      <c r="E511" s="15"/>
      <c r="F511" s="15"/>
      <c r="G511" s="27"/>
      <c r="H511" s="25"/>
      <c r="I511" s="12"/>
    </row>
    <row r="512">
      <c r="A512" s="15"/>
      <c r="B512" s="12"/>
      <c r="C512" s="15"/>
      <c r="D512" s="15"/>
      <c r="E512" s="15"/>
      <c r="F512" s="15"/>
      <c r="G512" s="27"/>
      <c r="H512" s="25"/>
      <c r="I512" s="12"/>
    </row>
    <row r="513">
      <c r="A513" s="15"/>
      <c r="B513" s="12"/>
      <c r="C513" s="15"/>
      <c r="D513" s="15"/>
      <c r="E513" s="15"/>
      <c r="F513" s="15"/>
      <c r="G513" s="27"/>
      <c r="H513" s="25"/>
      <c r="I513" s="12"/>
    </row>
    <row r="514">
      <c r="A514" s="15"/>
      <c r="B514" s="12"/>
      <c r="C514" s="15"/>
      <c r="D514" s="15"/>
      <c r="E514" s="15"/>
      <c r="F514" s="15"/>
      <c r="G514" s="27"/>
      <c r="H514" s="25"/>
      <c r="I514" s="12"/>
    </row>
    <row r="515">
      <c r="A515" s="15"/>
      <c r="B515" s="12"/>
      <c r="C515" s="15"/>
      <c r="D515" s="15"/>
      <c r="E515" s="15"/>
      <c r="F515" s="15"/>
      <c r="G515" s="27"/>
      <c r="H515" s="25"/>
      <c r="I515" s="12"/>
    </row>
    <row r="516">
      <c r="A516" s="15"/>
      <c r="B516" s="12"/>
      <c r="C516" s="15"/>
      <c r="D516" s="15"/>
      <c r="E516" s="15"/>
      <c r="F516" s="15"/>
      <c r="G516" s="27"/>
      <c r="H516" s="25"/>
      <c r="I516" s="12"/>
    </row>
    <row r="517">
      <c r="A517" s="15"/>
      <c r="B517" s="12"/>
      <c r="C517" s="15"/>
      <c r="D517" s="15"/>
      <c r="E517" s="15"/>
      <c r="F517" s="15"/>
      <c r="G517" s="27"/>
      <c r="H517" s="25"/>
      <c r="I517" s="12"/>
    </row>
    <row r="518">
      <c r="A518" s="15"/>
      <c r="B518" s="12"/>
      <c r="C518" s="15"/>
      <c r="D518" s="15"/>
      <c r="E518" s="15"/>
      <c r="F518" s="15"/>
      <c r="G518" s="27"/>
      <c r="H518" s="25"/>
      <c r="I518" s="12"/>
    </row>
    <row r="519">
      <c r="A519" s="15"/>
      <c r="B519" s="12"/>
      <c r="C519" s="15"/>
      <c r="D519" s="15"/>
      <c r="E519" s="15"/>
      <c r="F519" s="15"/>
      <c r="G519" s="27"/>
      <c r="H519" s="25"/>
      <c r="I519" s="12"/>
    </row>
    <row r="520">
      <c r="A520" s="15"/>
      <c r="B520" s="12"/>
      <c r="C520" s="15"/>
      <c r="D520" s="15"/>
      <c r="E520" s="15"/>
      <c r="F520" s="15"/>
      <c r="G520" s="27"/>
      <c r="H520" s="25"/>
      <c r="I520" s="12"/>
    </row>
    <row r="521">
      <c r="A521" s="15"/>
      <c r="B521" s="12"/>
      <c r="C521" s="15"/>
      <c r="D521" s="15"/>
      <c r="E521" s="15"/>
      <c r="F521" s="15"/>
      <c r="G521" s="27"/>
      <c r="H521" s="25"/>
      <c r="I521" s="12"/>
    </row>
    <row r="522">
      <c r="A522" s="15"/>
      <c r="B522" s="12"/>
      <c r="C522" s="15"/>
      <c r="D522" s="15"/>
      <c r="E522" s="15"/>
      <c r="F522" s="15"/>
      <c r="G522" s="27"/>
      <c r="H522" s="25"/>
      <c r="I522" s="12"/>
    </row>
    <row r="523">
      <c r="A523" s="15"/>
      <c r="B523" s="12"/>
      <c r="C523" s="15"/>
      <c r="D523" s="15"/>
      <c r="E523" s="15"/>
      <c r="F523" s="15"/>
      <c r="G523" s="27"/>
      <c r="H523" s="25"/>
      <c r="I523" s="12"/>
    </row>
    <row r="524">
      <c r="A524" s="15"/>
      <c r="B524" s="12"/>
      <c r="C524" s="15"/>
      <c r="D524" s="15"/>
      <c r="E524" s="15"/>
      <c r="F524" s="15"/>
      <c r="G524" s="27"/>
      <c r="H524" s="25"/>
      <c r="I524" s="12"/>
    </row>
    <row r="525">
      <c r="A525" s="15"/>
      <c r="B525" s="12"/>
      <c r="C525" s="15"/>
      <c r="D525" s="15"/>
      <c r="E525" s="15"/>
      <c r="F525" s="15"/>
      <c r="G525" s="27"/>
      <c r="H525" s="25"/>
      <c r="I525" s="12"/>
    </row>
    <row r="526">
      <c r="A526" s="15"/>
      <c r="B526" s="12"/>
      <c r="C526" s="15"/>
      <c r="D526" s="15"/>
      <c r="E526" s="15"/>
      <c r="F526" s="15"/>
      <c r="G526" s="27"/>
      <c r="H526" s="25"/>
      <c r="I526" s="12"/>
    </row>
    <row r="527">
      <c r="A527" s="15"/>
      <c r="B527" s="12"/>
      <c r="C527" s="15"/>
      <c r="D527" s="15"/>
      <c r="E527" s="15"/>
      <c r="F527" s="15"/>
      <c r="G527" s="27"/>
      <c r="H527" s="25"/>
      <c r="I527" s="12"/>
    </row>
    <row r="528">
      <c r="A528" s="15"/>
      <c r="B528" s="12"/>
      <c r="C528" s="15"/>
      <c r="D528" s="15"/>
      <c r="E528" s="15"/>
      <c r="F528" s="15"/>
      <c r="G528" s="27"/>
      <c r="H528" s="25"/>
      <c r="I528" s="12"/>
    </row>
    <row r="529">
      <c r="A529" s="15"/>
      <c r="B529" s="12"/>
      <c r="C529" s="15"/>
      <c r="D529" s="15"/>
      <c r="E529" s="15"/>
      <c r="F529" s="15"/>
      <c r="G529" s="27"/>
      <c r="H529" s="25"/>
      <c r="I529" s="12"/>
    </row>
    <row r="530">
      <c r="A530" s="15"/>
      <c r="B530" s="12"/>
      <c r="C530" s="15"/>
      <c r="D530" s="15"/>
      <c r="E530" s="15"/>
      <c r="F530" s="15"/>
      <c r="G530" s="27"/>
      <c r="H530" s="25"/>
      <c r="I530" s="12"/>
    </row>
    <row r="531">
      <c r="A531" s="15"/>
      <c r="B531" s="12"/>
      <c r="C531" s="15"/>
      <c r="D531" s="15"/>
      <c r="E531" s="15"/>
      <c r="F531" s="15"/>
      <c r="G531" s="27"/>
      <c r="H531" s="25"/>
      <c r="I531" s="12"/>
    </row>
    <row r="532">
      <c r="A532" s="15"/>
      <c r="B532" s="12"/>
      <c r="C532" s="15"/>
      <c r="D532" s="15"/>
      <c r="E532" s="15"/>
      <c r="F532" s="15"/>
      <c r="G532" s="27"/>
      <c r="H532" s="25"/>
      <c r="I532" s="12"/>
    </row>
    <row r="533">
      <c r="A533" s="15"/>
      <c r="B533" s="12"/>
      <c r="C533" s="15"/>
      <c r="D533" s="15"/>
      <c r="E533" s="15"/>
      <c r="F533" s="15"/>
      <c r="G533" s="27"/>
      <c r="H533" s="25"/>
      <c r="I533" s="12"/>
    </row>
    <row r="534">
      <c r="A534" s="15"/>
      <c r="B534" s="12"/>
      <c r="C534" s="15"/>
      <c r="D534" s="15"/>
      <c r="E534" s="15"/>
      <c r="F534" s="15"/>
      <c r="G534" s="27"/>
      <c r="H534" s="25"/>
      <c r="I534" s="12"/>
    </row>
    <row r="535">
      <c r="A535" s="15"/>
      <c r="B535" s="12"/>
      <c r="C535" s="15"/>
      <c r="D535" s="15"/>
      <c r="E535" s="15"/>
      <c r="F535" s="15"/>
      <c r="G535" s="27"/>
      <c r="H535" s="25"/>
      <c r="I535" s="12"/>
    </row>
    <row r="536">
      <c r="A536" s="15"/>
      <c r="B536" s="12"/>
      <c r="C536" s="15"/>
      <c r="D536" s="15"/>
      <c r="E536" s="15"/>
      <c r="F536" s="15"/>
      <c r="G536" s="27"/>
      <c r="H536" s="25"/>
      <c r="I536" s="12"/>
    </row>
    <row r="537">
      <c r="A537" s="15"/>
      <c r="B537" s="12"/>
      <c r="C537" s="15"/>
      <c r="D537" s="15"/>
      <c r="E537" s="15"/>
      <c r="F537" s="15"/>
      <c r="G537" s="27"/>
      <c r="H537" s="25"/>
      <c r="I537" s="12"/>
    </row>
    <row r="538">
      <c r="A538" s="15"/>
      <c r="B538" s="12"/>
      <c r="C538" s="15"/>
      <c r="D538" s="15"/>
      <c r="E538" s="15"/>
      <c r="F538" s="15"/>
      <c r="G538" s="27"/>
      <c r="H538" s="25"/>
      <c r="I538" s="12"/>
    </row>
    <row r="539">
      <c r="A539" s="15"/>
      <c r="B539" s="12"/>
      <c r="C539" s="15"/>
      <c r="D539" s="15"/>
      <c r="E539" s="15"/>
      <c r="F539" s="15"/>
      <c r="G539" s="27"/>
      <c r="H539" s="25"/>
      <c r="I539" s="12"/>
    </row>
    <row r="540">
      <c r="A540" s="15"/>
      <c r="B540" s="12"/>
      <c r="C540" s="15"/>
      <c r="D540" s="15"/>
      <c r="E540" s="15"/>
      <c r="F540" s="15"/>
      <c r="G540" s="27"/>
      <c r="H540" s="25"/>
      <c r="I540" s="12"/>
    </row>
    <row r="541">
      <c r="A541" s="15"/>
      <c r="B541" s="12"/>
      <c r="C541" s="15"/>
      <c r="D541" s="15"/>
      <c r="E541" s="15"/>
      <c r="F541" s="15"/>
      <c r="G541" s="27"/>
      <c r="H541" s="25"/>
      <c r="I541" s="12"/>
    </row>
    <row r="542">
      <c r="A542" s="15"/>
      <c r="B542" s="12"/>
      <c r="C542" s="15"/>
      <c r="D542" s="15"/>
      <c r="E542" s="15"/>
      <c r="F542" s="15"/>
      <c r="G542" s="27"/>
      <c r="H542" s="25"/>
      <c r="I542" s="12"/>
    </row>
    <row r="543">
      <c r="A543" s="15"/>
      <c r="B543" s="12"/>
      <c r="C543" s="15"/>
      <c r="D543" s="15"/>
      <c r="E543" s="15"/>
      <c r="F543" s="15"/>
      <c r="G543" s="27"/>
      <c r="H543" s="25"/>
      <c r="I543" s="12"/>
    </row>
    <row r="544">
      <c r="A544" s="15"/>
      <c r="B544" s="12"/>
      <c r="C544" s="15"/>
      <c r="D544" s="15"/>
      <c r="E544" s="15"/>
      <c r="F544" s="15"/>
      <c r="G544" s="27"/>
      <c r="H544" s="25"/>
      <c r="I544" s="12"/>
    </row>
    <row r="545">
      <c r="A545" s="15"/>
      <c r="B545" s="12"/>
      <c r="C545" s="15"/>
      <c r="D545" s="15"/>
      <c r="E545" s="15"/>
      <c r="F545" s="15"/>
      <c r="G545" s="27"/>
      <c r="H545" s="25"/>
      <c r="I545" s="12"/>
    </row>
    <row r="546">
      <c r="A546" s="15"/>
      <c r="B546" s="12"/>
      <c r="C546" s="15"/>
      <c r="D546" s="15"/>
      <c r="E546" s="15"/>
      <c r="F546" s="15"/>
      <c r="G546" s="27"/>
      <c r="H546" s="25"/>
      <c r="I546" s="12"/>
    </row>
    <row r="547">
      <c r="A547" s="15"/>
      <c r="B547" s="12"/>
      <c r="C547" s="15"/>
      <c r="D547" s="15"/>
      <c r="E547" s="15"/>
      <c r="F547" s="15"/>
      <c r="G547" s="27"/>
      <c r="H547" s="25"/>
      <c r="I547" s="12"/>
    </row>
    <row r="548">
      <c r="A548" s="15"/>
      <c r="B548" s="12"/>
      <c r="C548" s="15"/>
      <c r="D548" s="15"/>
      <c r="E548" s="15"/>
      <c r="F548" s="15"/>
      <c r="G548" s="27"/>
      <c r="H548" s="25"/>
      <c r="I548" s="12"/>
    </row>
    <row r="549">
      <c r="A549" s="15"/>
      <c r="B549" s="12"/>
      <c r="C549" s="15"/>
      <c r="D549" s="15"/>
      <c r="E549" s="15"/>
      <c r="F549" s="15"/>
      <c r="G549" s="27"/>
      <c r="H549" s="25"/>
      <c r="I549" s="12"/>
    </row>
    <row r="550">
      <c r="A550" s="15"/>
      <c r="B550" s="12"/>
      <c r="C550" s="15"/>
      <c r="D550" s="15"/>
      <c r="E550" s="15"/>
      <c r="F550" s="15"/>
      <c r="G550" s="27"/>
      <c r="H550" s="25"/>
      <c r="I550" s="12"/>
    </row>
    <row r="551">
      <c r="A551" s="15"/>
      <c r="B551" s="12"/>
      <c r="C551" s="15"/>
      <c r="D551" s="15"/>
      <c r="E551" s="15"/>
      <c r="F551" s="15"/>
      <c r="G551" s="27"/>
      <c r="H551" s="25"/>
      <c r="I551" s="12"/>
    </row>
    <row r="552">
      <c r="A552" s="15"/>
      <c r="B552" s="12"/>
      <c r="C552" s="15"/>
      <c r="D552" s="15"/>
      <c r="E552" s="15"/>
      <c r="F552" s="15"/>
      <c r="G552" s="27"/>
      <c r="H552" s="25"/>
      <c r="I552" s="12"/>
    </row>
    <row r="553">
      <c r="A553" s="15"/>
      <c r="B553" s="12"/>
      <c r="C553" s="15"/>
      <c r="D553" s="15"/>
      <c r="E553" s="15"/>
      <c r="F553" s="15"/>
      <c r="G553" s="27"/>
      <c r="H553" s="25"/>
      <c r="I553" s="12"/>
    </row>
    <row r="554">
      <c r="A554" s="15"/>
      <c r="B554" s="12"/>
      <c r="C554" s="15"/>
      <c r="D554" s="15"/>
      <c r="E554" s="15"/>
      <c r="F554" s="15"/>
      <c r="G554" s="27"/>
      <c r="H554" s="25"/>
      <c r="I554" s="12"/>
    </row>
    <row r="555">
      <c r="A555" s="15"/>
      <c r="B555" s="12"/>
      <c r="C555" s="15"/>
      <c r="D555" s="15"/>
      <c r="E555" s="15"/>
      <c r="F555" s="15"/>
      <c r="G555" s="27"/>
      <c r="H555" s="25"/>
      <c r="I555" s="12"/>
    </row>
    <row r="556">
      <c r="A556" s="15"/>
      <c r="B556" s="12"/>
      <c r="C556" s="15"/>
      <c r="D556" s="15"/>
      <c r="E556" s="15"/>
      <c r="F556" s="15"/>
      <c r="G556" s="27"/>
      <c r="H556" s="25"/>
      <c r="I556" s="12"/>
    </row>
    <row r="557">
      <c r="A557" s="15"/>
      <c r="B557" s="12"/>
      <c r="C557" s="15"/>
      <c r="D557" s="15"/>
      <c r="E557" s="15"/>
      <c r="F557" s="15"/>
      <c r="G557" s="27"/>
      <c r="H557" s="25"/>
      <c r="I557" s="12"/>
    </row>
    <row r="558">
      <c r="A558" s="15"/>
      <c r="B558" s="12"/>
      <c r="C558" s="15"/>
      <c r="D558" s="15"/>
      <c r="E558" s="15"/>
      <c r="F558" s="15"/>
      <c r="G558" s="27"/>
      <c r="H558" s="25"/>
      <c r="I558" s="12"/>
    </row>
    <row r="559">
      <c r="A559" s="15"/>
      <c r="B559" s="12"/>
      <c r="C559" s="15"/>
      <c r="D559" s="15"/>
      <c r="E559" s="15"/>
      <c r="F559" s="15"/>
      <c r="G559" s="27"/>
      <c r="H559" s="25"/>
      <c r="I559" s="12"/>
    </row>
    <row r="560">
      <c r="A560" s="15"/>
      <c r="B560" s="12"/>
      <c r="C560" s="15"/>
      <c r="D560" s="15"/>
      <c r="E560" s="15"/>
      <c r="F560" s="15"/>
      <c r="G560" s="27"/>
      <c r="H560" s="25"/>
      <c r="I560" s="12"/>
    </row>
    <row r="561">
      <c r="A561" s="15"/>
      <c r="B561" s="12"/>
      <c r="C561" s="15"/>
      <c r="D561" s="15"/>
      <c r="E561" s="15"/>
      <c r="F561" s="15"/>
      <c r="G561" s="27"/>
      <c r="H561" s="25"/>
      <c r="I561" s="12"/>
    </row>
    <row r="562">
      <c r="A562" s="15"/>
      <c r="B562" s="12"/>
      <c r="C562" s="15"/>
      <c r="D562" s="15"/>
      <c r="E562" s="15"/>
      <c r="F562" s="15"/>
      <c r="G562" s="27"/>
      <c r="H562" s="25"/>
      <c r="I562" s="12"/>
    </row>
    <row r="563">
      <c r="A563" s="15"/>
      <c r="B563" s="12"/>
      <c r="C563" s="15"/>
      <c r="D563" s="15"/>
      <c r="E563" s="15"/>
      <c r="F563" s="15"/>
      <c r="G563" s="27"/>
      <c r="H563" s="25"/>
      <c r="I563" s="12"/>
    </row>
    <row r="564">
      <c r="A564" s="15"/>
      <c r="B564" s="12"/>
      <c r="C564" s="15"/>
      <c r="D564" s="15"/>
      <c r="E564" s="15"/>
      <c r="F564" s="15"/>
      <c r="G564" s="27"/>
      <c r="H564" s="25"/>
      <c r="I564" s="12"/>
    </row>
    <row r="565">
      <c r="A565" s="15"/>
      <c r="B565" s="12"/>
      <c r="C565" s="15"/>
      <c r="D565" s="15"/>
      <c r="E565" s="15"/>
      <c r="F565" s="15"/>
      <c r="G565" s="27"/>
      <c r="H565" s="25"/>
      <c r="I565" s="12"/>
    </row>
    <row r="566">
      <c r="A566" s="15"/>
      <c r="B566" s="12"/>
      <c r="C566" s="15"/>
      <c r="D566" s="15"/>
      <c r="E566" s="15"/>
      <c r="F566" s="15"/>
      <c r="G566" s="27"/>
      <c r="H566" s="25"/>
      <c r="I566" s="12"/>
    </row>
    <row r="567">
      <c r="A567" s="15"/>
      <c r="B567" s="12"/>
      <c r="C567" s="15"/>
      <c r="D567" s="15"/>
      <c r="E567" s="15"/>
      <c r="F567" s="15"/>
      <c r="G567" s="27"/>
      <c r="H567" s="25"/>
      <c r="I567" s="12"/>
    </row>
    <row r="568">
      <c r="A568" s="15"/>
      <c r="B568" s="12"/>
      <c r="C568" s="15"/>
      <c r="D568" s="15"/>
      <c r="E568" s="15"/>
      <c r="F568" s="15"/>
      <c r="G568" s="27"/>
      <c r="H568" s="25"/>
      <c r="I568" s="12"/>
    </row>
    <row r="569">
      <c r="A569" s="15"/>
      <c r="B569" s="12"/>
      <c r="C569" s="15"/>
      <c r="D569" s="15"/>
      <c r="E569" s="15"/>
      <c r="F569" s="15"/>
      <c r="G569" s="27"/>
      <c r="H569" s="25"/>
      <c r="I569" s="12"/>
    </row>
    <row r="570">
      <c r="A570" s="15"/>
      <c r="B570" s="12"/>
      <c r="C570" s="15"/>
      <c r="D570" s="15"/>
      <c r="E570" s="15"/>
      <c r="F570" s="15"/>
      <c r="G570" s="27"/>
      <c r="H570" s="25"/>
      <c r="I570" s="12"/>
    </row>
    <row r="571">
      <c r="A571" s="15"/>
      <c r="B571" s="12"/>
      <c r="C571" s="15"/>
      <c r="D571" s="15"/>
      <c r="E571" s="15"/>
      <c r="F571" s="15"/>
      <c r="G571" s="27"/>
      <c r="H571" s="25"/>
      <c r="I571" s="12"/>
    </row>
    <row r="572">
      <c r="A572" s="15"/>
      <c r="B572" s="12"/>
      <c r="C572" s="15"/>
      <c r="D572" s="15"/>
      <c r="E572" s="15"/>
      <c r="F572" s="15"/>
      <c r="G572" s="27"/>
      <c r="H572" s="25"/>
      <c r="I572" s="12"/>
    </row>
    <row r="573">
      <c r="A573" s="15"/>
      <c r="B573" s="12"/>
      <c r="C573" s="15"/>
      <c r="D573" s="15"/>
      <c r="E573" s="15"/>
      <c r="F573" s="15"/>
      <c r="G573" s="27"/>
      <c r="H573" s="25"/>
      <c r="I573" s="12"/>
    </row>
    <row r="574">
      <c r="A574" s="15"/>
      <c r="B574" s="12"/>
      <c r="C574" s="15"/>
      <c r="D574" s="15"/>
      <c r="E574" s="15"/>
      <c r="F574" s="15"/>
      <c r="G574" s="27"/>
      <c r="H574" s="25"/>
      <c r="I574" s="12"/>
    </row>
    <row r="575">
      <c r="A575" s="15"/>
      <c r="B575" s="12"/>
      <c r="C575" s="15"/>
      <c r="D575" s="15"/>
      <c r="E575" s="15"/>
      <c r="F575" s="15"/>
      <c r="G575" s="27"/>
      <c r="H575" s="25"/>
      <c r="I575" s="12"/>
    </row>
    <row r="576">
      <c r="A576" s="15"/>
      <c r="B576" s="12"/>
      <c r="C576" s="15"/>
      <c r="D576" s="15"/>
      <c r="E576" s="15"/>
      <c r="F576" s="15"/>
      <c r="G576" s="27"/>
      <c r="H576" s="25"/>
      <c r="I576" s="12"/>
    </row>
    <row r="577">
      <c r="A577" s="15"/>
      <c r="B577" s="12"/>
      <c r="C577" s="15"/>
      <c r="D577" s="15"/>
      <c r="E577" s="15"/>
      <c r="F577" s="15"/>
      <c r="G577" s="27"/>
      <c r="H577" s="25"/>
      <c r="I577" s="12"/>
    </row>
    <row r="578">
      <c r="A578" s="15"/>
      <c r="B578" s="12"/>
      <c r="C578" s="15"/>
      <c r="D578" s="15"/>
      <c r="E578" s="15"/>
      <c r="F578" s="15"/>
      <c r="G578" s="27"/>
      <c r="H578" s="25"/>
      <c r="I578" s="12"/>
    </row>
    <row r="579">
      <c r="A579" s="15"/>
      <c r="B579" s="12"/>
      <c r="C579" s="15"/>
      <c r="D579" s="15"/>
      <c r="E579" s="15"/>
      <c r="F579" s="15"/>
      <c r="G579" s="27"/>
      <c r="H579" s="25"/>
      <c r="I579" s="12"/>
    </row>
    <row r="580">
      <c r="A580" s="15"/>
      <c r="B580" s="12"/>
      <c r="C580" s="15"/>
      <c r="D580" s="15"/>
      <c r="E580" s="15"/>
      <c r="F580" s="15"/>
      <c r="G580" s="27"/>
      <c r="H580" s="25"/>
      <c r="I580" s="12"/>
    </row>
    <row r="581">
      <c r="A581" s="15"/>
      <c r="B581" s="12"/>
      <c r="C581" s="15"/>
      <c r="D581" s="15"/>
      <c r="E581" s="15"/>
      <c r="F581" s="15"/>
      <c r="G581" s="27"/>
      <c r="H581" s="25"/>
      <c r="I581" s="12"/>
    </row>
    <row r="582">
      <c r="A582" s="15"/>
      <c r="B582" s="12"/>
      <c r="C582" s="15"/>
      <c r="D582" s="15"/>
      <c r="E582" s="15"/>
      <c r="F582" s="15"/>
      <c r="G582" s="27"/>
      <c r="H582" s="25"/>
      <c r="I582" s="12"/>
    </row>
    <row r="583">
      <c r="A583" s="15"/>
      <c r="B583" s="12"/>
      <c r="C583" s="15"/>
      <c r="D583" s="15"/>
      <c r="E583" s="15"/>
      <c r="F583" s="15"/>
      <c r="G583" s="27"/>
      <c r="H583" s="25"/>
      <c r="I583" s="12"/>
    </row>
    <row r="584">
      <c r="A584" s="15"/>
      <c r="B584" s="12"/>
      <c r="C584" s="15"/>
      <c r="D584" s="15"/>
      <c r="E584" s="15"/>
      <c r="F584" s="15"/>
      <c r="G584" s="27"/>
      <c r="H584" s="25"/>
      <c r="I584" s="12"/>
    </row>
    <row r="585">
      <c r="A585" s="15"/>
      <c r="B585" s="12"/>
      <c r="C585" s="15"/>
      <c r="D585" s="15"/>
      <c r="E585" s="15"/>
      <c r="F585" s="15"/>
      <c r="G585" s="27"/>
      <c r="H585" s="25"/>
      <c r="I585" s="12"/>
    </row>
    <row r="586">
      <c r="A586" s="15"/>
      <c r="B586" s="12"/>
      <c r="C586" s="15"/>
      <c r="D586" s="15"/>
      <c r="E586" s="15"/>
      <c r="F586" s="15"/>
      <c r="G586" s="27"/>
      <c r="H586" s="25"/>
      <c r="I586" s="12"/>
    </row>
    <row r="587">
      <c r="A587" s="15"/>
      <c r="B587" s="12"/>
      <c r="C587" s="15"/>
      <c r="D587" s="15"/>
      <c r="E587" s="15"/>
      <c r="F587" s="15"/>
      <c r="G587" s="27"/>
      <c r="H587" s="25"/>
      <c r="I587" s="12"/>
    </row>
    <row r="588">
      <c r="A588" s="15"/>
      <c r="B588" s="12"/>
      <c r="C588" s="15"/>
      <c r="D588" s="15"/>
      <c r="E588" s="15"/>
      <c r="F588" s="15"/>
      <c r="G588" s="27"/>
      <c r="H588" s="25"/>
      <c r="I588" s="12"/>
    </row>
    <row r="589">
      <c r="A589" s="15"/>
      <c r="B589" s="12"/>
      <c r="C589" s="15"/>
      <c r="D589" s="15"/>
      <c r="E589" s="15"/>
      <c r="F589" s="15"/>
      <c r="G589" s="27"/>
      <c r="H589" s="25"/>
      <c r="I589" s="12"/>
    </row>
    <row r="590">
      <c r="A590" s="15"/>
      <c r="B590" s="12"/>
      <c r="C590" s="15"/>
      <c r="D590" s="15"/>
      <c r="E590" s="15"/>
      <c r="F590" s="15"/>
      <c r="G590" s="27"/>
      <c r="H590" s="25"/>
      <c r="I590" s="12"/>
    </row>
    <row r="591">
      <c r="A591" s="15"/>
      <c r="B591" s="12"/>
      <c r="C591" s="15"/>
      <c r="D591" s="15"/>
      <c r="E591" s="15"/>
      <c r="F591" s="15"/>
      <c r="G591" s="27"/>
      <c r="H591" s="25"/>
      <c r="I591" s="12"/>
    </row>
    <row r="592">
      <c r="A592" s="15"/>
      <c r="B592" s="12"/>
      <c r="C592" s="15"/>
      <c r="D592" s="15"/>
      <c r="E592" s="15"/>
      <c r="F592" s="15"/>
      <c r="G592" s="27"/>
      <c r="H592" s="25"/>
      <c r="I592" s="12"/>
    </row>
    <row r="593">
      <c r="A593" s="15"/>
      <c r="B593" s="12"/>
      <c r="C593" s="15"/>
      <c r="D593" s="15"/>
      <c r="E593" s="15"/>
      <c r="F593" s="15"/>
      <c r="G593" s="27"/>
      <c r="H593" s="25"/>
      <c r="I593" s="12"/>
    </row>
    <row r="594">
      <c r="A594" s="15"/>
      <c r="B594" s="12"/>
      <c r="C594" s="15"/>
      <c r="D594" s="15"/>
      <c r="E594" s="15"/>
      <c r="F594" s="15"/>
      <c r="G594" s="27"/>
      <c r="H594" s="25"/>
      <c r="I594" s="12"/>
    </row>
    <row r="595">
      <c r="A595" s="15"/>
      <c r="B595" s="12"/>
      <c r="C595" s="15"/>
      <c r="D595" s="15"/>
      <c r="E595" s="15"/>
      <c r="F595" s="15"/>
      <c r="G595" s="27"/>
      <c r="H595" s="25"/>
      <c r="I595" s="12"/>
    </row>
    <row r="596">
      <c r="A596" s="15"/>
      <c r="B596" s="12"/>
      <c r="C596" s="15"/>
      <c r="D596" s="15"/>
      <c r="E596" s="15"/>
      <c r="F596" s="15"/>
      <c r="G596" s="27"/>
      <c r="H596" s="25"/>
      <c r="I596" s="12"/>
    </row>
    <row r="597">
      <c r="A597" s="15"/>
      <c r="B597" s="12"/>
      <c r="C597" s="15"/>
      <c r="D597" s="15"/>
      <c r="E597" s="15"/>
      <c r="F597" s="15"/>
      <c r="G597" s="27"/>
      <c r="H597" s="25"/>
      <c r="I597" s="12"/>
    </row>
    <row r="598">
      <c r="A598" s="15"/>
      <c r="B598" s="12"/>
      <c r="C598" s="15"/>
      <c r="D598" s="15"/>
      <c r="E598" s="15"/>
      <c r="F598" s="15"/>
      <c r="G598" s="27"/>
      <c r="H598" s="25"/>
      <c r="I598" s="12"/>
    </row>
    <row r="599">
      <c r="A599" s="15"/>
      <c r="B599" s="12"/>
      <c r="C599" s="15"/>
      <c r="D599" s="15"/>
      <c r="E599" s="15"/>
      <c r="F599" s="15"/>
      <c r="G599" s="27"/>
      <c r="H599" s="25"/>
      <c r="I599" s="12"/>
    </row>
    <row r="600">
      <c r="A600" s="15"/>
      <c r="B600" s="12"/>
      <c r="C600" s="15"/>
      <c r="D600" s="15"/>
      <c r="E600" s="15"/>
      <c r="F600" s="15"/>
      <c r="G600" s="27"/>
      <c r="H600" s="25"/>
      <c r="I600" s="12"/>
    </row>
    <row r="601">
      <c r="A601" s="15"/>
      <c r="B601" s="12"/>
      <c r="C601" s="15"/>
      <c r="D601" s="15"/>
      <c r="E601" s="15"/>
      <c r="F601" s="15"/>
      <c r="G601" s="27"/>
      <c r="H601" s="25"/>
      <c r="I601" s="12"/>
    </row>
    <row r="602">
      <c r="A602" s="15"/>
      <c r="B602" s="12"/>
      <c r="C602" s="15"/>
      <c r="D602" s="15"/>
      <c r="E602" s="15"/>
      <c r="F602" s="15"/>
      <c r="G602" s="27"/>
      <c r="H602" s="25"/>
      <c r="I602" s="12"/>
    </row>
    <row r="603">
      <c r="A603" s="15"/>
      <c r="B603" s="12"/>
      <c r="C603" s="15"/>
      <c r="D603" s="15"/>
      <c r="E603" s="15"/>
      <c r="F603" s="15"/>
      <c r="G603" s="27"/>
      <c r="H603" s="25"/>
      <c r="I603" s="12"/>
    </row>
    <row r="604">
      <c r="A604" s="15"/>
      <c r="B604" s="12"/>
      <c r="C604" s="15"/>
      <c r="D604" s="15"/>
      <c r="E604" s="15"/>
      <c r="F604" s="15"/>
      <c r="G604" s="27"/>
      <c r="H604" s="25"/>
      <c r="I604" s="12"/>
    </row>
    <row r="605">
      <c r="A605" s="15"/>
      <c r="B605" s="12"/>
      <c r="C605" s="15"/>
      <c r="D605" s="15"/>
      <c r="E605" s="15"/>
      <c r="F605" s="15"/>
      <c r="G605" s="27"/>
      <c r="H605" s="25"/>
      <c r="I605" s="12"/>
    </row>
    <row r="606">
      <c r="A606" s="15"/>
      <c r="B606" s="12"/>
      <c r="C606" s="15"/>
      <c r="D606" s="15"/>
      <c r="E606" s="15"/>
      <c r="F606" s="15"/>
      <c r="G606" s="27"/>
      <c r="H606" s="25"/>
      <c r="I606" s="12"/>
    </row>
    <row r="607">
      <c r="A607" s="15"/>
      <c r="B607" s="12"/>
      <c r="C607" s="15"/>
      <c r="D607" s="15"/>
      <c r="E607" s="15"/>
      <c r="F607" s="15"/>
      <c r="G607" s="27"/>
      <c r="H607" s="25"/>
      <c r="I607" s="12"/>
    </row>
    <row r="608">
      <c r="A608" s="15"/>
      <c r="B608" s="12"/>
      <c r="C608" s="15"/>
      <c r="D608" s="15"/>
      <c r="E608" s="15"/>
      <c r="F608" s="15"/>
      <c r="G608" s="27"/>
      <c r="H608" s="25"/>
      <c r="I608" s="12"/>
    </row>
    <row r="609">
      <c r="A609" s="15"/>
      <c r="B609" s="12"/>
      <c r="C609" s="15"/>
      <c r="D609" s="15"/>
      <c r="E609" s="15"/>
      <c r="F609" s="15"/>
      <c r="G609" s="27"/>
      <c r="H609" s="25"/>
      <c r="I609" s="12"/>
    </row>
    <row r="610">
      <c r="A610" s="15"/>
      <c r="B610" s="12"/>
      <c r="C610" s="15"/>
      <c r="D610" s="15"/>
      <c r="E610" s="15"/>
      <c r="F610" s="15"/>
      <c r="G610" s="27"/>
      <c r="H610" s="25"/>
      <c r="I610" s="12"/>
    </row>
    <row r="611">
      <c r="A611" s="15"/>
      <c r="B611" s="12"/>
      <c r="C611" s="15"/>
      <c r="D611" s="15"/>
      <c r="E611" s="15"/>
      <c r="F611" s="15"/>
      <c r="G611" s="27"/>
      <c r="H611" s="25"/>
      <c r="I611" s="12"/>
    </row>
    <row r="612">
      <c r="A612" s="15"/>
      <c r="B612" s="12"/>
      <c r="C612" s="15"/>
      <c r="D612" s="15"/>
      <c r="E612" s="15"/>
      <c r="F612" s="15"/>
      <c r="G612" s="27"/>
      <c r="H612" s="25"/>
      <c r="I612" s="12"/>
    </row>
    <row r="613">
      <c r="A613" s="15"/>
      <c r="B613" s="12"/>
      <c r="C613" s="15"/>
      <c r="D613" s="15"/>
      <c r="E613" s="15"/>
      <c r="F613" s="15"/>
      <c r="G613" s="27"/>
      <c r="H613" s="25"/>
      <c r="I613" s="12"/>
    </row>
    <row r="614">
      <c r="A614" s="15"/>
      <c r="B614" s="12"/>
      <c r="C614" s="15"/>
      <c r="D614" s="15"/>
      <c r="E614" s="15"/>
      <c r="F614" s="15"/>
      <c r="G614" s="27"/>
      <c r="H614" s="25"/>
      <c r="I614" s="12"/>
    </row>
    <row r="615">
      <c r="A615" s="15"/>
      <c r="B615" s="12"/>
      <c r="C615" s="15"/>
      <c r="D615" s="15"/>
      <c r="E615" s="15"/>
      <c r="F615" s="15"/>
      <c r="G615" s="27"/>
      <c r="H615" s="25"/>
      <c r="I615" s="12"/>
    </row>
    <row r="616">
      <c r="A616" s="15"/>
      <c r="B616" s="12"/>
      <c r="C616" s="15"/>
      <c r="D616" s="15"/>
      <c r="E616" s="15"/>
      <c r="F616" s="15"/>
      <c r="G616" s="27"/>
      <c r="H616" s="25"/>
      <c r="I616" s="12"/>
    </row>
    <row r="617">
      <c r="A617" s="15"/>
      <c r="B617" s="12"/>
      <c r="C617" s="15"/>
      <c r="D617" s="15"/>
      <c r="E617" s="15"/>
      <c r="F617" s="15"/>
      <c r="G617" s="27"/>
      <c r="H617" s="25"/>
      <c r="I617" s="12"/>
    </row>
    <row r="618">
      <c r="A618" s="15"/>
      <c r="B618" s="12"/>
      <c r="C618" s="15"/>
      <c r="D618" s="15"/>
      <c r="E618" s="15"/>
      <c r="F618" s="15"/>
      <c r="G618" s="27"/>
      <c r="H618" s="25"/>
      <c r="I618" s="12"/>
    </row>
    <row r="619">
      <c r="A619" s="15"/>
      <c r="B619" s="12"/>
      <c r="C619" s="15"/>
      <c r="D619" s="15"/>
      <c r="E619" s="15"/>
      <c r="F619" s="15"/>
      <c r="G619" s="27"/>
      <c r="H619" s="25"/>
      <c r="I619" s="12"/>
    </row>
    <row r="620">
      <c r="A620" s="15"/>
      <c r="B620" s="12"/>
      <c r="C620" s="15"/>
      <c r="D620" s="15"/>
      <c r="E620" s="15"/>
      <c r="F620" s="15"/>
      <c r="G620" s="27"/>
      <c r="H620" s="25"/>
      <c r="I620" s="12"/>
    </row>
    <row r="621">
      <c r="A621" s="15"/>
      <c r="B621" s="12"/>
      <c r="C621" s="15"/>
      <c r="D621" s="15"/>
      <c r="E621" s="15"/>
      <c r="F621" s="15"/>
      <c r="G621" s="27"/>
      <c r="H621" s="25"/>
      <c r="I621" s="12"/>
    </row>
    <row r="622">
      <c r="A622" s="15"/>
      <c r="B622" s="12"/>
      <c r="C622" s="15"/>
      <c r="D622" s="15"/>
      <c r="E622" s="15"/>
      <c r="F622" s="15"/>
      <c r="G622" s="27"/>
      <c r="H622" s="25"/>
      <c r="I622" s="12"/>
    </row>
    <row r="623">
      <c r="A623" s="15"/>
      <c r="B623" s="12"/>
      <c r="C623" s="15"/>
      <c r="D623" s="15"/>
      <c r="E623" s="15"/>
      <c r="F623" s="15"/>
      <c r="G623" s="27"/>
      <c r="H623" s="25"/>
      <c r="I623" s="12"/>
    </row>
    <row r="624">
      <c r="A624" s="15"/>
      <c r="B624" s="12"/>
      <c r="C624" s="15"/>
      <c r="D624" s="15"/>
      <c r="E624" s="15"/>
      <c r="F624" s="15"/>
      <c r="G624" s="27"/>
      <c r="H624" s="25"/>
      <c r="I624" s="12"/>
    </row>
    <row r="625">
      <c r="A625" s="15"/>
      <c r="B625" s="12"/>
      <c r="C625" s="15"/>
      <c r="D625" s="15"/>
      <c r="E625" s="15"/>
      <c r="F625" s="15"/>
      <c r="G625" s="27"/>
      <c r="H625" s="25"/>
      <c r="I625" s="12"/>
    </row>
    <row r="626">
      <c r="A626" s="15"/>
      <c r="B626" s="12"/>
      <c r="C626" s="15"/>
      <c r="D626" s="15"/>
      <c r="E626" s="15"/>
      <c r="F626" s="15"/>
      <c r="G626" s="27"/>
      <c r="H626" s="25"/>
      <c r="I626" s="12"/>
    </row>
    <row r="627">
      <c r="A627" s="15"/>
      <c r="B627" s="12"/>
      <c r="C627" s="15"/>
      <c r="D627" s="15"/>
      <c r="E627" s="15"/>
      <c r="F627" s="15"/>
      <c r="G627" s="27"/>
      <c r="H627" s="25"/>
      <c r="I627" s="12"/>
    </row>
    <row r="628">
      <c r="A628" s="15"/>
      <c r="B628" s="12"/>
      <c r="C628" s="15"/>
      <c r="D628" s="15"/>
      <c r="E628" s="15"/>
      <c r="F628" s="15"/>
      <c r="G628" s="27"/>
      <c r="H628" s="25"/>
      <c r="I628" s="12"/>
    </row>
    <row r="629">
      <c r="A629" s="15"/>
      <c r="B629" s="12"/>
      <c r="C629" s="15"/>
      <c r="D629" s="15"/>
      <c r="E629" s="15"/>
      <c r="F629" s="15"/>
      <c r="G629" s="27"/>
      <c r="H629" s="25"/>
      <c r="I629" s="12"/>
    </row>
    <row r="630">
      <c r="A630" s="15"/>
      <c r="B630" s="12"/>
      <c r="C630" s="15"/>
      <c r="D630" s="15"/>
      <c r="E630" s="15"/>
      <c r="F630" s="15"/>
      <c r="G630" s="27"/>
      <c r="H630" s="25"/>
      <c r="I630" s="12"/>
    </row>
    <row r="631">
      <c r="A631" s="15"/>
      <c r="B631" s="12"/>
      <c r="C631" s="15"/>
      <c r="D631" s="15"/>
      <c r="E631" s="15"/>
      <c r="F631" s="15"/>
      <c r="G631" s="27"/>
      <c r="H631" s="25"/>
      <c r="I631" s="12"/>
    </row>
    <row r="632">
      <c r="A632" s="15"/>
      <c r="B632" s="12"/>
      <c r="C632" s="15"/>
      <c r="D632" s="15"/>
      <c r="E632" s="15"/>
      <c r="F632" s="15"/>
      <c r="G632" s="27"/>
      <c r="H632" s="25"/>
      <c r="I632" s="12"/>
    </row>
    <row r="633">
      <c r="A633" s="15"/>
      <c r="B633" s="12"/>
      <c r="C633" s="15"/>
      <c r="D633" s="15"/>
      <c r="E633" s="15"/>
      <c r="F633" s="15"/>
      <c r="G633" s="27"/>
      <c r="H633" s="25"/>
      <c r="I633" s="12"/>
    </row>
    <row r="634">
      <c r="A634" s="15"/>
      <c r="B634" s="12"/>
      <c r="C634" s="15"/>
      <c r="D634" s="15"/>
      <c r="E634" s="15"/>
      <c r="F634" s="15"/>
      <c r="G634" s="27"/>
      <c r="H634" s="25"/>
      <c r="I634" s="12"/>
    </row>
    <row r="635">
      <c r="A635" s="15"/>
      <c r="B635" s="12"/>
      <c r="C635" s="15"/>
      <c r="D635" s="15"/>
      <c r="E635" s="15"/>
      <c r="F635" s="15"/>
      <c r="G635" s="27"/>
      <c r="H635" s="25"/>
      <c r="I635" s="12"/>
    </row>
    <row r="636">
      <c r="A636" s="15"/>
      <c r="B636" s="12"/>
      <c r="C636" s="15"/>
      <c r="D636" s="15"/>
      <c r="E636" s="15"/>
      <c r="F636" s="15"/>
      <c r="G636" s="27"/>
      <c r="H636" s="25"/>
      <c r="I636" s="12"/>
    </row>
    <row r="637">
      <c r="A637" s="15"/>
      <c r="B637" s="12"/>
      <c r="C637" s="15"/>
      <c r="D637" s="15"/>
      <c r="E637" s="15"/>
      <c r="F637" s="15"/>
      <c r="G637" s="27"/>
      <c r="H637" s="25"/>
      <c r="I637" s="12"/>
    </row>
    <row r="638">
      <c r="A638" s="15"/>
      <c r="B638" s="12"/>
      <c r="C638" s="15"/>
      <c r="D638" s="15"/>
      <c r="E638" s="15"/>
      <c r="F638" s="15"/>
      <c r="G638" s="27"/>
      <c r="H638" s="25"/>
      <c r="I638" s="12"/>
    </row>
    <row r="639">
      <c r="A639" s="15"/>
      <c r="B639" s="12"/>
      <c r="C639" s="15"/>
      <c r="D639" s="15"/>
      <c r="E639" s="15"/>
      <c r="F639" s="15"/>
      <c r="G639" s="27"/>
      <c r="H639" s="25"/>
      <c r="I639" s="12"/>
    </row>
    <row r="640">
      <c r="A640" s="15"/>
      <c r="B640" s="12"/>
      <c r="C640" s="15"/>
      <c r="D640" s="15"/>
      <c r="E640" s="15"/>
      <c r="F640" s="15"/>
      <c r="G640" s="27"/>
      <c r="H640" s="25"/>
      <c r="I640" s="12"/>
    </row>
    <row r="641">
      <c r="A641" s="15"/>
      <c r="B641" s="12"/>
      <c r="C641" s="15"/>
      <c r="D641" s="15"/>
      <c r="E641" s="15"/>
      <c r="F641" s="15"/>
      <c r="G641" s="27"/>
      <c r="H641" s="25"/>
      <c r="I641" s="12"/>
    </row>
    <row r="642">
      <c r="A642" s="15"/>
      <c r="B642" s="12"/>
      <c r="C642" s="15"/>
      <c r="D642" s="15"/>
      <c r="E642" s="15"/>
      <c r="F642" s="15"/>
      <c r="G642" s="27"/>
      <c r="H642" s="25"/>
      <c r="I642" s="12"/>
    </row>
    <row r="643">
      <c r="A643" s="15"/>
      <c r="B643" s="12"/>
      <c r="C643" s="15"/>
      <c r="D643" s="15"/>
      <c r="E643" s="15"/>
      <c r="F643" s="15"/>
      <c r="G643" s="27"/>
      <c r="H643" s="25"/>
      <c r="I643" s="12"/>
    </row>
    <row r="644">
      <c r="A644" s="15"/>
      <c r="B644" s="12"/>
      <c r="C644" s="15"/>
      <c r="D644" s="15"/>
      <c r="E644" s="15"/>
      <c r="F644" s="15"/>
      <c r="G644" s="27"/>
      <c r="H644" s="25"/>
      <c r="I644" s="12"/>
    </row>
    <row r="645">
      <c r="A645" s="15"/>
      <c r="B645" s="12"/>
      <c r="C645" s="15"/>
      <c r="D645" s="15"/>
      <c r="E645" s="15"/>
      <c r="F645" s="15"/>
      <c r="G645" s="27"/>
      <c r="H645" s="25"/>
      <c r="I645" s="12"/>
    </row>
    <row r="646">
      <c r="A646" s="15"/>
      <c r="B646" s="12"/>
      <c r="C646" s="15"/>
      <c r="D646" s="15"/>
      <c r="E646" s="15"/>
      <c r="F646" s="15"/>
      <c r="G646" s="27"/>
      <c r="H646" s="25"/>
      <c r="I646" s="12"/>
    </row>
    <row r="647">
      <c r="A647" s="15"/>
      <c r="B647" s="12"/>
      <c r="C647" s="15"/>
      <c r="D647" s="15"/>
      <c r="E647" s="15"/>
      <c r="F647" s="15"/>
      <c r="G647" s="27"/>
      <c r="H647" s="25"/>
      <c r="I647" s="12"/>
    </row>
    <row r="648">
      <c r="A648" s="15"/>
      <c r="B648" s="12"/>
      <c r="C648" s="15"/>
      <c r="D648" s="15"/>
      <c r="E648" s="15"/>
      <c r="F648" s="15"/>
      <c r="G648" s="27"/>
      <c r="H648" s="25"/>
      <c r="I648" s="12"/>
    </row>
    <row r="649">
      <c r="A649" s="15"/>
      <c r="B649" s="12"/>
      <c r="C649" s="15"/>
      <c r="D649" s="15"/>
      <c r="E649" s="15"/>
      <c r="F649" s="15"/>
      <c r="G649" s="27"/>
      <c r="H649" s="25"/>
      <c r="I649" s="12"/>
    </row>
    <row r="650">
      <c r="A650" s="15"/>
      <c r="B650" s="12"/>
      <c r="C650" s="15"/>
      <c r="D650" s="15"/>
      <c r="E650" s="15"/>
      <c r="F650" s="15"/>
      <c r="G650" s="27"/>
      <c r="H650" s="25"/>
      <c r="I650" s="12"/>
    </row>
    <row r="651">
      <c r="A651" s="15"/>
      <c r="B651" s="12"/>
      <c r="C651" s="15"/>
      <c r="D651" s="15"/>
      <c r="E651" s="15"/>
      <c r="F651" s="15"/>
      <c r="G651" s="27"/>
      <c r="H651" s="25"/>
      <c r="I651" s="12"/>
    </row>
    <row r="652">
      <c r="A652" s="15"/>
      <c r="B652" s="12"/>
      <c r="C652" s="15"/>
      <c r="D652" s="15"/>
      <c r="E652" s="15"/>
      <c r="F652" s="15"/>
      <c r="G652" s="27"/>
      <c r="H652" s="25"/>
      <c r="I652" s="12"/>
    </row>
    <row r="653">
      <c r="A653" s="15"/>
      <c r="B653" s="12"/>
      <c r="C653" s="15"/>
      <c r="D653" s="15"/>
      <c r="E653" s="15"/>
      <c r="F653" s="15"/>
      <c r="G653" s="27"/>
      <c r="H653" s="25"/>
      <c r="I653" s="12"/>
    </row>
    <row r="654">
      <c r="A654" s="15"/>
      <c r="B654" s="12"/>
      <c r="C654" s="15"/>
      <c r="D654" s="15"/>
      <c r="E654" s="15"/>
      <c r="F654" s="15"/>
      <c r="G654" s="27"/>
      <c r="H654" s="25"/>
      <c r="I654" s="12"/>
    </row>
    <row r="655">
      <c r="A655" s="15"/>
      <c r="B655" s="12"/>
      <c r="C655" s="15"/>
      <c r="D655" s="15"/>
      <c r="E655" s="15"/>
      <c r="F655" s="15"/>
      <c r="G655" s="27"/>
      <c r="H655" s="25"/>
      <c r="I655" s="12"/>
    </row>
    <row r="656">
      <c r="A656" s="15"/>
      <c r="B656" s="12"/>
      <c r="C656" s="15"/>
      <c r="D656" s="15"/>
      <c r="E656" s="15"/>
      <c r="F656" s="15"/>
      <c r="G656" s="27"/>
      <c r="H656" s="25"/>
      <c r="I656" s="12"/>
    </row>
    <row r="657">
      <c r="A657" s="15"/>
      <c r="B657" s="12"/>
      <c r="C657" s="15"/>
      <c r="D657" s="15"/>
      <c r="E657" s="15"/>
      <c r="F657" s="15"/>
      <c r="G657" s="27"/>
      <c r="H657" s="25"/>
      <c r="I657" s="12"/>
    </row>
    <row r="658">
      <c r="A658" s="15"/>
      <c r="B658" s="12"/>
      <c r="C658" s="15"/>
      <c r="D658" s="15"/>
      <c r="E658" s="15"/>
      <c r="F658" s="15"/>
      <c r="G658" s="27"/>
      <c r="H658" s="25"/>
      <c r="I658" s="12"/>
    </row>
    <row r="659">
      <c r="A659" s="15"/>
      <c r="B659" s="12"/>
      <c r="C659" s="15"/>
      <c r="D659" s="15"/>
      <c r="E659" s="15"/>
      <c r="F659" s="15"/>
      <c r="G659" s="27"/>
      <c r="H659" s="25"/>
      <c r="I659" s="12"/>
    </row>
    <row r="660">
      <c r="A660" s="15"/>
      <c r="B660" s="12"/>
      <c r="C660" s="15"/>
      <c r="D660" s="15"/>
      <c r="E660" s="15"/>
      <c r="F660" s="15"/>
      <c r="G660" s="27"/>
      <c r="H660" s="25"/>
      <c r="I660" s="12"/>
    </row>
    <row r="661">
      <c r="A661" s="15"/>
      <c r="B661" s="12"/>
      <c r="C661" s="15"/>
      <c r="D661" s="15"/>
      <c r="E661" s="15"/>
      <c r="F661" s="15"/>
      <c r="G661" s="27"/>
      <c r="H661" s="25"/>
      <c r="I661" s="12"/>
    </row>
    <row r="662">
      <c r="A662" s="15"/>
      <c r="B662" s="12"/>
      <c r="C662" s="15"/>
      <c r="D662" s="15"/>
      <c r="E662" s="15"/>
      <c r="F662" s="15"/>
      <c r="G662" s="27"/>
      <c r="H662" s="25"/>
      <c r="I662" s="12"/>
    </row>
    <row r="663">
      <c r="A663" s="15"/>
      <c r="B663" s="12"/>
      <c r="C663" s="15"/>
      <c r="D663" s="15"/>
      <c r="E663" s="15"/>
      <c r="F663" s="15"/>
      <c r="G663" s="27"/>
      <c r="H663" s="25"/>
      <c r="I663" s="12"/>
    </row>
    <row r="664">
      <c r="A664" s="15"/>
      <c r="B664" s="12"/>
      <c r="C664" s="15"/>
      <c r="D664" s="15"/>
      <c r="E664" s="15"/>
      <c r="F664" s="15"/>
      <c r="G664" s="27"/>
      <c r="H664" s="25"/>
      <c r="I664" s="12"/>
    </row>
    <row r="665">
      <c r="A665" s="15"/>
      <c r="B665" s="12"/>
      <c r="C665" s="15"/>
      <c r="D665" s="15"/>
      <c r="E665" s="15"/>
      <c r="F665" s="15"/>
      <c r="G665" s="27"/>
      <c r="H665" s="25"/>
      <c r="I665" s="12"/>
    </row>
    <row r="666">
      <c r="A666" s="15"/>
      <c r="B666" s="12"/>
      <c r="C666" s="15"/>
      <c r="D666" s="15"/>
      <c r="E666" s="15"/>
      <c r="F666" s="15"/>
      <c r="G666" s="27"/>
      <c r="H666" s="25"/>
      <c r="I666" s="12"/>
    </row>
    <row r="667">
      <c r="A667" s="15"/>
      <c r="B667" s="12"/>
      <c r="C667" s="15"/>
      <c r="D667" s="15"/>
      <c r="E667" s="15"/>
      <c r="F667" s="15"/>
      <c r="G667" s="27"/>
      <c r="H667" s="25"/>
      <c r="I667" s="12"/>
    </row>
    <row r="668">
      <c r="A668" s="15"/>
      <c r="B668" s="12"/>
      <c r="C668" s="15"/>
      <c r="D668" s="15"/>
      <c r="E668" s="15"/>
      <c r="F668" s="15"/>
      <c r="G668" s="27"/>
      <c r="H668" s="25"/>
      <c r="I668" s="12"/>
    </row>
    <row r="669">
      <c r="A669" s="15"/>
      <c r="B669" s="12"/>
      <c r="C669" s="15"/>
      <c r="D669" s="15"/>
      <c r="E669" s="15"/>
      <c r="F669" s="15"/>
      <c r="G669" s="27"/>
      <c r="H669" s="25"/>
      <c r="I669" s="12"/>
    </row>
    <row r="670">
      <c r="A670" s="15"/>
      <c r="B670" s="12"/>
      <c r="C670" s="15"/>
      <c r="D670" s="15"/>
      <c r="E670" s="15"/>
      <c r="F670" s="15"/>
      <c r="G670" s="27"/>
      <c r="H670" s="25"/>
      <c r="I670" s="12"/>
    </row>
    <row r="671">
      <c r="A671" s="15"/>
      <c r="B671" s="12"/>
      <c r="C671" s="15"/>
      <c r="D671" s="15"/>
      <c r="E671" s="15"/>
      <c r="F671" s="15"/>
      <c r="G671" s="27"/>
      <c r="H671" s="25"/>
      <c r="I671" s="12"/>
    </row>
    <row r="672">
      <c r="A672" s="15"/>
      <c r="B672" s="12"/>
      <c r="C672" s="15"/>
      <c r="D672" s="15"/>
      <c r="E672" s="15"/>
      <c r="F672" s="15"/>
      <c r="G672" s="27"/>
      <c r="H672" s="25"/>
      <c r="I672" s="12"/>
    </row>
    <row r="673">
      <c r="A673" s="15"/>
      <c r="B673" s="12"/>
      <c r="C673" s="15"/>
      <c r="D673" s="15"/>
      <c r="E673" s="15"/>
      <c r="F673" s="15"/>
      <c r="G673" s="27"/>
      <c r="H673" s="25"/>
      <c r="I673" s="12"/>
    </row>
    <row r="674">
      <c r="A674" s="15"/>
      <c r="B674" s="12"/>
      <c r="C674" s="15"/>
      <c r="D674" s="15"/>
      <c r="E674" s="15"/>
      <c r="F674" s="15"/>
      <c r="G674" s="27"/>
      <c r="H674" s="25"/>
      <c r="I674" s="12"/>
    </row>
    <row r="675">
      <c r="A675" s="15"/>
      <c r="B675" s="12"/>
      <c r="C675" s="15"/>
      <c r="D675" s="15"/>
      <c r="E675" s="15"/>
      <c r="F675" s="15"/>
      <c r="G675" s="27"/>
      <c r="H675" s="25"/>
      <c r="I675" s="12"/>
    </row>
    <row r="676">
      <c r="A676" s="15"/>
      <c r="B676" s="12"/>
      <c r="C676" s="15"/>
      <c r="D676" s="15"/>
      <c r="E676" s="15"/>
      <c r="F676" s="15"/>
      <c r="G676" s="27"/>
      <c r="H676" s="25"/>
      <c r="I676" s="12"/>
    </row>
    <row r="677">
      <c r="A677" s="15"/>
      <c r="B677" s="12"/>
      <c r="C677" s="15"/>
      <c r="D677" s="15"/>
      <c r="E677" s="15"/>
      <c r="F677" s="15"/>
      <c r="G677" s="27"/>
      <c r="H677" s="25"/>
      <c r="I677" s="12"/>
    </row>
    <row r="678">
      <c r="A678" s="15"/>
      <c r="B678" s="12"/>
      <c r="C678" s="15"/>
      <c r="D678" s="15"/>
      <c r="E678" s="15"/>
      <c r="F678" s="15"/>
      <c r="G678" s="27"/>
      <c r="H678" s="25"/>
      <c r="I678" s="12"/>
    </row>
    <row r="679">
      <c r="A679" s="15"/>
      <c r="B679" s="12"/>
      <c r="C679" s="15"/>
      <c r="D679" s="15"/>
      <c r="E679" s="15"/>
      <c r="F679" s="15"/>
      <c r="G679" s="27"/>
      <c r="H679" s="25"/>
      <c r="I679" s="12"/>
    </row>
    <row r="680">
      <c r="A680" s="15"/>
      <c r="B680" s="12"/>
      <c r="C680" s="15"/>
      <c r="D680" s="15"/>
      <c r="E680" s="15"/>
      <c r="F680" s="15"/>
      <c r="G680" s="27"/>
      <c r="H680" s="25"/>
      <c r="I680" s="12"/>
    </row>
    <row r="681">
      <c r="A681" s="15"/>
      <c r="B681" s="12"/>
      <c r="C681" s="15"/>
      <c r="D681" s="15"/>
      <c r="E681" s="15"/>
      <c r="F681" s="15"/>
      <c r="G681" s="27"/>
      <c r="H681" s="25"/>
      <c r="I681" s="12"/>
    </row>
    <row r="682">
      <c r="A682" s="15"/>
      <c r="B682" s="12"/>
      <c r="C682" s="15"/>
      <c r="D682" s="15"/>
      <c r="E682" s="15"/>
      <c r="F682" s="15"/>
      <c r="G682" s="27"/>
      <c r="H682" s="25"/>
      <c r="I682" s="12"/>
    </row>
    <row r="683">
      <c r="A683" s="15"/>
      <c r="B683" s="12"/>
      <c r="C683" s="15"/>
      <c r="D683" s="15"/>
      <c r="E683" s="15"/>
      <c r="F683" s="15"/>
      <c r="G683" s="27"/>
      <c r="H683" s="25"/>
      <c r="I683" s="12"/>
    </row>
    <row r="684">
      <c r="A684" s="15"/>
      <c r="B684" s="12"/>
      <c r="C684" s="15"/>
      <c r="D684" s="15"/>
      <c r="E684" s="15"/>
      <c r="F684" s="15"/>
      <c r="G684" s="27"/>
      <c r="H684" s="25"/>
      <c r="I684" s="12"/>
    </row>
    <row r="685">
      <c r="A685" s="15"/>
      <c r="B685" s="12"/>
      <c r="C685" s="15"/>
      <c r="D685" s="15"/>
      <c r="E685" s="15"/>
      <c r="F685" s="15"/>
      <c r="G685" s="27"/>
      <c r="H685" s="25"/>
      <c r="I685" s="12"/>
    </row>
    <row r="686">
      <c r="A686" s="15"/>
      <c r="B686" s="12"/>
      <c r="C686" s="15"/>
      <c r="D686" s="15"/>
      <c r="E686" s="15"/>
      <c r="F686" s="15"/>
      <c r="G686" s="27"/>
      <c r="H686" s="25"/>
      <c r="I686" s="12"/>
    </row>
    <row r="687">
      <c r="A687" s="15"/>
      <c r="B687" s="12"/>
      <c r="C687" s="15"/>
      <c r="D687" s="15"/>
      <c r="E687" s="15"/>
      <c r="F687" s="15"/>
      <c r="G687" s="27"/>
      <c r="H687" s="25"/>
      <c r="I687" s="12"/>
    </row>
    <row r="688">
      <c r="A688" s="15"/>
      <c r="B688" s="12"/>
      <c r="C688" s="15"/>
      <c r="D688" s="15"/>
      <c r="E688" s="15"/>
      <c r="F688" s="15"/>
      <c r="G688" s="27"/>
      <c r="H688" s="25"/>
      <c r="I688" s="12"/>
    </row>
    <row r="689">
      <c r="A689" s="15"/>
      <c r="B689" s="12"/>
      <c r="C689" s="15"/>
      <c r="D689" s="15"/>
      <c r="E689" s="15"/>
      <c r="F689" s="15"/>
      <c r="G689" s="27"/>
      <c r="H689" s="25"/>
      <c r="I689" s="12"/>
    </row>
    <row r="690">
      <c r="A690" s="15"/>
      <c r="B690" s="12"/>
      <c r="C690" s="15"/>
      <c r="D690" s="15"/>
      <c r="E690" s="15"/>
      <c r="F690" s="15"/>
      <c r="G690" s="27"/>
      <c r="H690" s="25"/>
      <c r="I690" s="12"/>
    </row>
    <row r="691">
      <c r="A691" s="15"/>
      <c r="B691" s="12"/>
      <c r="C691" s="15"/>
      <c r="D691" s="15"/>
      <c r="E691" s="15"/>
      <c r="F691" s="15"/>
      <c r="G691" s="27"/>
      <c r="H691" s="25"/>
      <c r="I691" s="12"/>
    </row>
    <row r="692">
      <c r="A692" s="15"/>
      <c r="B692" s="12"/>
      <c r="C692" s="15"/>
      <c r="D692" s="15"/>
      <c r="E692" s="15"/>
      <c r="F692" s="15"/>
      <c r="G692" s="27"/>
      <c r="H692" s="25"/>
      <c r="I692" s="12"/>
    </row>
    <row r="693">
      <c r="A693" s="15"/>
      <c r="B693" s="12"/>
      <c r="C693" s="15"/>
      <c r="D693" s="15"/>
      <c r="E693" s="15"/>
      <c r="F693" s="15"/>
      <c r="G693" s="27"/>
      <c r="H693" s="25"/>
      <c r="I693" s="12"/>
    </row>
    <row r="694">
      <c r="A694" s="15"/>
      <c r="B694" s="12"/>
      <c r="C694" s="15"/>
      <c r="D694" s="15"/>
      <c r="E694" s="15"/>
      <c r="F694" s="15"/>
      <c r="G694" s="27"/>
      <c r="H694" s="25"/>
      <c r="I694" s="12"/>
    </row>
    <row r="695">
      <c r="A695" s="15"/>
      <c r="B695" s="12"/>
      <c r="C695" s="15"/>
      <c r="D695" s="15"/>
      <c r="E695" s="15"/>
      <c r="F695" s="15"/>
      <c r="G695" s="27"/>
      <c r="H695" s="25"/>
      <c r="I695" s="12"/>
    </row>
    <row r="696">
      <c r="A696" s="15"/>
      <c r="B696" s="12"/>
      <c r="C696" s="15"/>
      <c r="D696" s="15"/>
      <c r="E696" s="15"/>
      <c r="F696" s="15"/>
      <c r="G696" s="27"/>
      <c r="H696" s="25"/>
      <c r="I696" s="12"/>
    </row>
    <row r="697">
      <c r="A697" s="15"/>
      <c r="B697" s="12"/>
      <c r="C697" s="15"/>
      <c r="D697" s="15"/>
      <c r="E697" s="15"/>
      <c r="F697" s="15"/>
      <c r="G697" s="27"/>
      <c r="H697" s="25"/>
      <c r="I697" s="12"/>
    </row>
    <row r="698">
      <c r="A698" s="15"/>
      <c r="B698" s="12"/>
      <c r="C698" s="15"/>
      <c r="D698" s="15"/>
      <c r="E698" s="15"/>
      <c r="F698" s="15"/>
      <c r="G698" s="27"/>
      <c r="H698" s="25"/>
      <c r="I698" s="12"/>
    </row>
    <row r="699">
      <c r="A699" s="15"/>
      <c r="B699" s="12"/>
      <c r="C699" s="15"/>
      <c r="D699" s="15"/>
      <c r="E699" s="15"/>
      <c r="F699" s="15"/>
      <c r="G699" s="27"/>
      <c r="H699" s="25"/>
      <c r="I699" s="12"/>
    </row>
    <row r="700">
      <c r="A700" s="15"/>
      <c r="B700" s="12"/>
      <c r="C700" s="15"/>
      <c r="D700" s="15"/>
      <c r="E700" s="15"/>
      <c r="F700" s="15"/>
      <c r="G700" s="27"/>
      <c r="H700" s="25"/>
      <c r="I700" s="12"/>
    </row>
    <row r="701">
      <c r="A701" s="15"/>
      <c r="B701" s="12"/>
      <c r="C701" s="15"/>
      <c r="D701" s="15"/>
      <c r="E701" s="15"/>
      <c r="F701" s="15"/>
      <c r="G701" s="27"/>
      <c r="H701" s="25"/>
      <c r="I701" s="12"/>
    </row>
    <row r="702">
      <c r="A702" s="15"/>
      <c r="B702" s="12"/>
      <c r="C702" s="15"/>
      <c r="D702" s="15"/>
      <c r="E702" s="15"/>
      <c r="F702" s="15"/>
      <c r="G702" s="27"/>
      <c r="H702" s="25"/>
      <c r="I702" s="12"/>
    </row>
    <row r="703">
      <c r="A703" s="15"/>
      <c r="B703" s="12"/>
      <c r="C703" s="15"/>
      <c r="D703" s="15"/>
      <c r="E703" s="15"/>
      <c r="F703" s="15"/>
      <c r="G703" s="27"/>
      <c r="H703" s="25"/>
      <c r="I703" s="12"/>
    </row>
    <row r="704">
      <c r="A704" s="15"/>
      <c r="B704" s="12"/>
      <c r="C704" s="15"/>
      <c r="D704" s="15"/>
      <c r="E704" s="15"/>
      <c r="F704" s="15"/>
      <c r="G704" s="27"/>
      <c r="H704" s="25"/>
      <c r="I704" s="12"/>
    </row>
    <row r="705">
      <c r="A705" s="15"/>
      <c r="B705" s="12"/>
      <c r="C705" s="15"/>
      <c r="D705" s="15"/>
      <c r="E705" s="15"/>
      <c r="F705" s="15"/>
      <c r="G705" s="27"/>
      <c r="H705" s="25"/>
      <c r="I705" s="12"/>
    </row>
    <row r="706">
      <c r="A706" s="15"/>
      <c r="B706" s="12"/>
      <c r="C706" s="15"/>
      <c r="D706" s="15"/>
      <c r="E706" s="15"/>
      <c r="F706" s="15"/>
      <c r="G706" s="27"/>
      <c r="H706" s="25"/>
      <c r="I706" s="12"/>
    </row>
    <row r="707">
      <c r="A707" s="15"/>
      <c r="B707" s="12"/>
      <c r="C707" s="15"/>
      <c r="D707" s="15"/>
      <c r="E707" s="15"/>
      <c r="F707" s="15"/>
      <c r="G707" s="27"/>
      <c r="H707" s="25"/>
      <c r="I707" s="12"/>
    </row>
    <row r="708">
      <c r="A708" s="15"/>
      <c r="B708" s="12"/>
      <c r="C708" s="15"/>
      <c r="D708" s="15"/>
      <c r="E708" s="15"/>
      <c r="F708" s="15"/>
      <c r="G708" s="27"/>
      <c r="H708" s="25"/>
      <c r="I708" s="12"/>
    </row>
    <row r="709">
      <c r="A709" s="15"/>
      <c r="B709" s="12"/>
      <c r="C709" s="15"/>
      <c r="D709" s="15"/>
      <c r="E709" s="15"/>
      <c r="F709" s="15"/>
      <c r="G709" s="27"/>
      <c r="H709" s="25"/>
      <c r="I709" s="12"/>
    </row>
    <row r="710">
      <c r="A710" s="15"/>
      <c r="B710" s="12"/>
      <c r="C710" s="15"/>
      <c r="D710" s="15"/>
      <c r="E710" s="15"/>
      <c r="F710" s="15"/>
      <c r="G710" s="27"/>
      <c r="H710" s="25"/>
      <c r="I710" s="12"/>
    </row>
    <row r="711">
      <c r="A711" s="15"/>
      <c r="B711" s="12"/>
      <c r="C711" s="15"/>
      <c r="D711" s="15"/>
      <c r="E711" s="15"/>
      <c r="F711" s="15"/>
      <c r="G711" s="27"/>
      <c r="H711" s="25"/>
      <c r="I711" s="12"/>
    </row>
    <row r="712">
      <c r="A712" s="15"/>
      <c r="B712" s="12"/>
      <c r="C712" s="15"/>
      <c r="D712" s="15"/>
      <c r="E712" s="15"/>
      <c r="F712" s="15"/>
      <c r="G712" s="27"/>
      <c r="H712" s="25"/>
      <c r="I712" s="12"/>
    </row>
    <row r="713">
      <c r="A713" s="15"/>
      <c r="B713" s="12"/>
      <c r="C713" s="15"/>
      <c r="D713" s="15"/>
      <c r="E713" s="15"/>
      <c r="F713" s="15"/>
      <c r="G713" s="27"/>
      <c r="H713" s="25"/>
      <c r="I713" s="12"/>
    </row>
    <row r="714">
      <c r="A714" s="15"/>
      <c r="B714" s="12"/>
      <c r="C714" s="15"/>
      <c r="D714" s="15"/>
      <c r="E714" s="15"/>
      <c r="F714" s="15"/>
      <c r="G714" s="27"/>
      <c r="H714" s="25"/>
      <c r="I714" s="12"/>
    </row>
    <row r="715">
      <c r="A715" s="15"/>
      <c r="B715" s="12"/>
      <c r="C715" s="15"/>
      <c r="D715" s="15"/>
      <c r="E715" s="15"/>
      <c r="F715" s="15"/>
      <c r="G715" s="27"/>
      <c r="H715" s="25"/>
      <c r="I715" s="12"/>
    </row>
    <row r="716">
      <c r="A716" s="15"/>
      <c r="B716" s="12"/>
      <c r="C716" s="15"/>
      <c r="D716" s="15"/>
      <c r="E716" s="15"/>
      <c r="F716" s="15"/>
      <c r="G716" s="27"/>
      <c r="H716" s="25"/>
      <c r="I716" s="12"/>
    </row>
    <row r="717">
      <c r="A717" s="15"/>
      <c r="B717" s="12"/>
      <c r="C717" s="15"/>
      <c r="D717" s="15"/>
      <c r="E717" s="15"/>
      <c r="F717" s="15"/>
      <c r="G717" s="27"/>
      <c r="H717" s="25"/>
      <c r="I717" s="12"/>
    </row>
    <row r="718">
      <c r="A718" s="15"/>
      <c r="B718" s="12"/>
      <c r="C718" s="15"/>
      <c r="D718" s="15"/>
      <c r="E718" s="15"/>
      <c r="F718" s="15"/>
      <c r="G718" s="27"/>
      <c r="H718" s="25"/>
      <c r="I718" s="12"/>
    </row>
    <row r="719">
      <c r="A719" s="15"/>
      <c r="B719" s="12"/>
      <c r="C719" s="15"/>
      <c r="D719" s="15"/>
      <c r="E719" s="15"/>
      <c r="F719" s="15"/>
      <c r="G719" s="27"/>
      <c r="H719" s="25"/>
      <c r="I719" s="12"/>
    </row>
    <row r="720">
      <c r="A720" s="15"/>
      <c r="B720" s="12"/>
      <c r="C720" s="15"/>
      <c r="D720" s="15"/>
      <c r="E720" s="15"/>
      <c r="F720" s="15"/>
      <c r="G720" s="27"/>
      <c r="H720" s="25"/>
      <c r="I720" s="12"/>
    </row>
    <row r="721">
      <c r="A721" s="15"/>
      <c r="B721" s="12"/>
      <c r="C721" s="15"/>
      <c r="D721" s="15"/>
      <c r="E721" s="15"/>
      <c r="F721" s="15"/>
      <c r="G721" s="27"/>
      <c r="H721" s="25"/>
      <c r="I721" s="12"/>
    </row>
    <row r="722">
      <c r="A722" s="15"/>
      <c r="B722" s="12"/>
      <c r="C722" s="15"/>
      <c r="D722" s="15"/>
      <c r="E722" s="15"/>
      <c r="F722" s="15"/>
      <c r="G722" s="27"/>
      <c r="H722" s="25"/>
      <c r="I722" s="12"/>
    </row>
    <row r="723">
      <c r="A723" s="15"/>
      <c r="B723" s="12"/>
      <c r="C723" s="15"/>
      <c r="D723" s="15"/>
      <c r="E723" s="15"/>
      <c r="F723" s="15"/>
      <c r="G723" s="27"/>
      <c r="H723" s="25"/>
      <c r="I723" s="12"/>
    </row>
    <row r="724">
      <c r="A724" s="15"/>
      <c r="B724" s="12"/>
      <c r="C724" s="15"/>
      <c r="D724" s="15"/>
      <c r="E724" s="15"/>
      <c r="F724" s="15"/>
      <c r="G724" s="27"/>
      <c r="H724" s="25"/>
      <c r="I724" s="12"/>
    </row>
    <row r="725">
      <c r="A725" s="15"/>
      <c r="B725" s="12"/>
      <c r="C725" s="15"/>
      <c r="D725" s="15"/>
      <c r="E725" s="15"/>
      <c r="F725" s="15"/>
      <c r="G725" s="27"/>
      <c r="H725" s="25"/>
      <c r="I725" s="12"/>
    </row>
    <row r="726">
      <c r="A726" s="15"/>
      <c r="B726" s="12"/>
      <c r="C726" s="15"/>
      <c r="D726" s="15"/>
      <c r="E726" s="15"/>
      <c r="F726" s="15"/>
      <c r="G726" s="27"/>
      <c r="H726" s="25"/>
      <c r="I726" s="12"/>
    </row>
    <row r="727">
      <c r="A727" s="15"/>
      <c r="B727" s="12"/>
      <c r="C727" s="15"/>
      <c r="D727" s="15"/>
      <c r="E727" s="15"/>
      <c r="F727" s="15"/>
      <c r="G727" s="27"/>
      <c r="H727" s="25"/>
      <c r="I727" s="12"/>
    </row>
    <row r="728">
      <c r="A728" s="15"/>
      <c r="B728" s="12"/>
      <c r="C728" s="15"/>
      <c r="D728" s="15"/>
      <c r="E728" s="15"/>
      <c r="F728" s="15"/>
      <c r="G728" s="27"/>
      <c r="H728" s="25"/>
      <c r="I728" s="12"/>
    </row>
    <row r="729">
      <c r="A729" s="15"/>
      <c r="B729" s="12"/>
      <c r="C729" s="15"/>
      <c r="D729" s="15"/>
      <c r="E729" s="15"/>
      <c r="F729" s="15"/>
      <c r="G729" s="27"/>
      <c r="H729" s="25"/>
      <c r="I729" s="12"/>
    </row>
    <row r="730">
      <c r="A730" s="15"/>
      <c r="B730" s="12"/>
      <c r="C730" s="15"/>
      <c r="D730" s="15"/>
      <c r="E730" s="15"/>
      <c r="F730" s="15"/>
      <c r="G730" s="27"/>
      <c r="H730" s="25"/>
      <c r="I730" s="12"/>
    </row>
    <row r="731">
      <c r="A731" s="15"/>
      <c r="B731" s="12"/>
      <c r="C731" s="15"/>
      <c r="D731" s="15"/>
      <c r="E731" s="15"/>
      <c r="F731" s="15"/>
      <c r="G731" s="27"/>
      <c r="H731" s="25"/>
      <c r="I731" s="12"/>
    </row>
    <row r="732">
      <c r="A732" s="15"/>
      <c r="B732" s="12"/>
      <c r="C732" s="15"/>
      <c r="D732" s="15"/>
      <c r="E732" s="15"/>
      <c r="F732" s="15"/>
      <c r="G732" s="27"/>
      <c r="H732" s="25"/>
      <c r="I732" s="12"/>
    </row>
    <row r="733">
      <c r="A733" s="15"/>
      <c r="B733" s="12"/>
      <c r="C733" s="15"/>
      <c r="D733" s="15"/>
      <c r="E733" s="15"/>
      <c r="F733" s="15"/>
      <c r="G733" s="27"/>
      <c r="H733" s="25"/>
      <c r="I733" s="12"/>
    </row>
    <row r="734">
      <c r="A734" s="15"/>
      <c r="B734" s="12"/>
      <c r="C734" s="15"/>
      <c r="D734" s="15"/>
      <c r="E734" s="15"/>
      <c r="F734" s="15"/>
      <c r="G734" s="27"/>
      <c r="H734" s="25"/>
      <c r="I734" s="12"/>
    </row>
    <row r="735">
      <c r="A735" s="15"/>
      <c r="B735" s="12"/>
      <c r="C735" s="15"/>
      <c r="D735" s="15"/>
      <c r="E735" s="15"/>
      <c r="F735" s="15"/>
      <c r="G735" s="27"/>
      <c r="H735" s="25"/>
      <c r="I735" s="12"/>
    </row>
    <row r="736">
      <c r="A736" s="15"/>
      <c r="B736" s="12"/>
      <c r="C736" s="15"/>
      <c r="D736" s="15"/>
      <c r="E736" s="15"/>
      <c r="F736" s="15"/>
      <c r="G736" s="27"/>
      <c r="H736" s="25"/>
      <c r="I736" s="12"/>
    </row>
    <row r="737">
      <c r="A737" s="15"/>
      <c r="B737" s="12"/>
      <c r="C737" s="15"/>
      <c r="D737" s="15"/>
      <c r="E737" s="15"/>
      <c r="F737" s="15"/>
      <c r="G737" s="27"/>
      <c r="H737" s="25"/>
      <c r="I737" s="12"/>
    </row>
    <row r="738">
      <c r="A738" s="15"/>
      <c r="B738" s="12"/>
      <c r="C738" s="15"/>
      <c r="D738" s="15"/>
      <c r="E738" s="15"/>
      <c r="F738" s="15"/>
      <c r="G738" s="27"/>
      <c r="H738" s="25"/>
      <c r="I738" s="12"/>
    </row>
    <row r="739">
      <c r="A739" s="15"/>
      <c r="B739" s="12"/>
      <c r="C739" s="15"/>
      <c r="D739" s="15"/>
      <c r="E739" s="15"/>
      <c r="F739" s="15"/>
      <c r="G739" s="27"/>
      <c r="H739" s="25"/>
      <c r="I739" s="12"/>
    </row>
    <row r="740">
      <c r="A740" s="15"/>
      <c r="B740" s="12"/>
      <c r="C740" s="15"/>
      <c r="D740" s="15"/>
      <c r="E740" s="15"/>
      <c r="F740" s="15"/>
      <c r="G740" s="27"/>
      <c r="H740" s="25"/>
      <c r="I740" s="12"/>
    </row>
    <row r="741">
      <c r="A741" s="15"/>
      <c r="B741" s="12"/>
      <c r="C741" s="15"/>
      <c r="D741" s="15"/>
      <c r="E741" s="15"/>
      <c r="F741" s="15"/>
      <c r="G741" s="27"/>
      <c r="H741" s="25"/>
      <c r="I741" s="12"/>
    </row>
    <row r="742">
      <c r="A742" s="15"/>
      <c r="B742" s="12"/>
      <c r="C742" s="15"/>
      <c r="D742" s="15"/>
      <c r="E742" s="15"/>
      <c r="F742" s="15"/>
      <c r="G742" s="27"/>
      <c r="H742" s="25"/>
      <c r="I742" s="12"/>
    </row>
    <row r="743">
      <c r="A743" s="15"/>
      <c r="B743" s="12"/>
      <c r="C743" s="15"/>
      <c r="D743" s="15"/>
      <c r="E743" s="15"/>
      <c r="F743" s="15"/>
      <c r="G743" s="27"/>
      <c r="H743" s="25"/>
      <c r="I743" s="12"/>
    </row>
    <row r="744">
      <c r="A744" s="15"/>
      <c r="B744" s="12"/>
      <c r="C744" s="15"/>
      <c r="D744" s="15"/>
      <c r="E744" s="15"/>
      <c r="F744" s="15"/>
      <c r="G744" s="27"/>
      <c r="H744" s="25"/>
      <c r="I744" s="12"/>
    </row>
    <row r="745">
      <c r="A745" s="15"/>
      <c r="B745" s="12"/>
      <c r="C745" s="15"/>
      <c r="D745" s="15"/>
      <c r="E745" s="15"/>
      <c r="F745" s="15"/>
      <c r="G745" s="27"/>
      <c r="H745" s="25"/>
      <c r="I745" s="12"/>
    </row>
    <row r="746">
      <c r="A746" s="15"/>
      <c r="B746" s="12"/>
      <c r="C746" s="15"/>
      <c r="D746" s="15"/>
      <c r="E746" s="15"/>
      <c r="F746" s="15"/>
      <c r="G746" s="27"/>
      <c r="H746" s="25"/>
      <c r="I746" s="12"/>
    </row>
    <row r="747">
      <c r="A747" s="15"/>
      <c r="B747" s="12"/>
      <c r="C747" s="15"/>
      <c r="D747" s="15"/>
      <c r="E747" s="15"/>
      <c r="F747" s="15"/>
      <c r="G747" s="27"/>
      <c r="H747" s="25"/>
      <c r="I747" s="12"/>
    </row>
    <row r="748">
      <c r="A748" s="15"/>
      <c r="B748" s="12"/>
      <c r="C748" s="15"/>
      <c r="D748" s="15"/>
      <c r="E748" s="15"/>
      <c r="F748" s="15"/>
      <c r="G748" s="27"/>
      <c r="H748" s="25"/>
      <c r="I748" s="12"/>
    </row>
    <row r="749">
      <c r="A749" s="15"/>
      <c r="B749" s="12"/>
      <c r="C749" s="15"/>
      <c r="D749" s="15"/>
      <c r="E749" s="15"/>
      <c r="F749" s="15"/>
      <c r="G749" s="27"/>
      <c r="H749" s="25"/>
      <c r="I749" s="12"/>
    </row>
    <row r="750">
      <c r="A750" s="15"/>
      <c r="B750" s="12"/>
      <c r="C750" s="15"/>
      <c r="D750" s="15"/>
      <c r="E750" s="15"/>
      <c r="F750" s="15"/>
      <c r="G750" s="27"/>
      <c r="H750" s="25"/>
      <c r="I750" s="12"/>
    </row>
    <row r="751">
      <c r="A751" s="15"/>
      <c r="B751" s="12"/>
      <c r="C751" s="15"/>
      <c r="D751" s="15"/>
      <c r="E751" s="15"/>
      <c r="F751" s="15"/>
      <c r="G751" s="27"/>
      <c r="H751" s="25"/>
      <c r="I751" s="12"/>
    </row>
    <row r="752">
      <c r="A752" s="15"/>
      <c r="B752" s="12"/>
      <c r="C752" s="15"/>
      <c r="D752" s="15"/>
      <c r="E752" s="15"/>
      <c r="F752" s="15"/>
      <c r="G752" s="27"/>
      <c r="H752" s="25"/>
      <c r="I752" s="12"/>
    </row>
    <row r="753">
      <c r="A753" s="15"/>
      <c r="B753" s="12"/>
      <c r="C753" s="15"/>
      <c r="D753" s="15"/>
      <c r="E753" s="15"/>
      <c r="F753" s="15"/>
      <c r="G753" s="27"/>
      <c r="H753" s="25"/>
      <c r="I753" s="12"/>
    </row>
    <row r="754">
      <c r="A754" s="15"/>
      <c r="B754" s="12"/>
      <c r="C754" s="15"/>
      <c r="D754" s="15"/>
      <c r="E754" s="15"/>
      <c r="F754" s="15"/>
      <c r="G754" s="27"/>
      <c r="H754" s="25"/>
      <c r="I754" s="12"/>
    </row>
    <row r="755">
      <c r="A755" s="15"/>
      <c r="B755" s="12"/>
      <c r="C755" s="15"/>
      <c r="D755" s="15"/>
      <c r="E755" s="15"/>
      <c r="F755" s="15"/>
      <c r="G755" s="27"/>
      <c r="H755" s="25"/>
      <c r="I755" s="12"/>
    </row>
    <row r="756">
      <c r="A756" s="15"/>
      <c r="B756" s="12"/>
      <c r="C756" s="15"/>
      <c r="D756" s="15"/>
      <c r="E756" s="15"/>
      <c r="F756" s="15"/>
      <c r="G756" s="27"/>
      <c r="H756" s="25"/>
      <c r="I756" s="12"/>
    </row>
    <row r="757">
      <c r="A757" s="15"/>
      <c r="B757" s="12"/>
      <c r="C757" s="15"/>
      <c r="D757" s="15"/>
      <c r="E757" s="15"/>
      <c r="F757" s="15"/>
      <c r="G757" s="27"/>
      <c r="H757" s="25"/>
      <c r="I757" s="12"/>
    </row>
    <row r="758">
      <c r="A758" s="15"/>
      <c r="B758" s="12"/>
      <c r="C758" s="15"/>
      <c r="D758" s="15"/>
      <c r="E758" s="15"/>
      <c r="F758" s="15"/>
      <c r="G758" s="27"/>
      <c r="H758" s="25"/>
      <c r="I758" s="12"/>
    </row>
    <row r="759">
      <c r="A759" s="15"/>
      <c r="B759" s="12"/>
      <c r="C759" s="15"/>
      <c r="D759" s="15"/>
      <c r="E759" s="15"/>
      <c r="F759" s="15"/>
      <c r="G759" s="27"/>
      <c r="H759" s="25"/>
      <c r="I759" s="12"/>
    </row>
    <row r="760">
      <c r="A760" s="15"/>
      <c r="B760" s="12"/>
      <c r="C760" s="15"/>
      <c r="D760" s="15"/>
      <c r="E760" s="15"/>
      <c r="F760" s="15"/>
      <c r="G760" s="27"/>
      <c r="H760" s="25"/>
      <c r="I760" s="12"/>
    </row>
    <row r="761">
      <c r="A761" s="15"/>
      <c r="B761" s="12"/>
      <c r="C761" s="15"/>
      <c r="D761" s="15"/>
      <c r="E761" s="15"/>
      <c r="F761" s="15"/>
      <c r="G761" s="27"/>
      <c r="H761" s="25"/>
      <c r="I761" s="12"/>
    </row>
    <row r="762">
      <c r="A762" s="15"/>
      <c r="B762" s="12"/>
      <c r="C762" s="15"/>
      <c r="D762" s="15"/>
      <c r="E762" s="15"/>
      <c r="F762" s="15"/>
      <c r="G762" s="27"/>
      <c r="H762" s="25"/>
      <c r="I762" s="12"/>
    </row>
    <row r="763">
      <c r="A763" s="15"/>
      <c r="B763" s="12"/>
      <c r="C763" s="15"/>
      <c r="D763" s="15"/>
      <c r="E763" s="15"/>
      <c r="F763" s="15"/>
      <c r="G763" s="27"/>
      <c r="H763" s="25"/>
      <c r="I763" s="12"/>
    </row>
    <row r="764">
      <c r="A764" s="15"/>
      <c r="B764" s="12"/>
      <c r="C764" s="15"/>
      <c r="D764" s="15"/>
      <c r="E764" s="15"/>
      <c r="F764" s="15"/>
      <c r="G764" s="27"/>
      <c r="H764" s="25"/>
      <c r="I764" s="12"/>
    </row>
    <row r="765">
      <c r="A765" s="15"/>
      <c r="B765" s="12"/>
      <c r="C765" s="15"/>
      <c r="D765" s="15"/>
      <c r="E765" s="15"/>
      <c r="F765" s="15"/>
      <c r="G765" s="27"/>
      <c r="H765" s="25"/>
      <c r="I765" s="12"/>
    </row>
    <row r="766">
      <c r="A766" s="15"/>
      <c r="B766" s="12"/>
      <c r="C766" s="15"/>
      <c r="D766" s="15"/>
      <c r="E766" s="15"/>
      <c r="F766" s="15"/>
      <c r="G766" s="27"/>
      <c r="H766" s="25"/>
      <c r="I766" s="12"/>
    </row>
    <row r="767">
      <c r="A767" s="15"/>
      <c r="B767" s="12"/>
      <c r="C767" s="15"/>
      <c r="D767" s="15"/>
      <c r="E767" s="15"/>
      <c r="F767" s="15"/>
      <c r="G767" s="27"/>
      <c r="H767" s="25"/>
      <c r="I767" s="12"/>
    </row>
    <row r="768">
      <c r="A768" s="15"/>
      <c r="B768" s="12"/>
      <c r="C768" s="15"/>
      <c r="D768" s="15"/>
      <c r="E768" s="15"/>
      <c r="F768" s="15"/>
      <c r="G768" s="27"/>
      <c r="H768" s="25"/>
      <c r="I768" s="12"/>
    </row>
    <row r="769">
      <c r="A769" s="15"/>
      <c r="B769" s="12"/>
      <c r="C769" s="15"/>
      <c r="D769" s="15"/>
      <c r="E769" s="15"/>
      <c r="F769" s="15"/>
      <c r="G769" s="27"/>
      <c r="H769" s="25"/>
      <c r="I769" s="12"/>
    </row>
    <row r="770">
      <c r="A770" s="15"/>
      <c r="B770" s="12"/>
      <c r="C770" s="15"/>
      <c r="D770" s="15"/>
      <c r="E770" s="15"/>
      <c r="F770" s="15"/>
      <c r="G770" s="27"/>
      <c r="H770" s="25"/>
      <c r="I770" s="12"/>
    </row>
    <row r="771">
      <c r="A771" s="15"/>
      <c r="B771" s="12"/>
      <c r="C771" s="15"/>
      <c r="D771" s="15"/>
      <c r="E771" s="15"/>
      <c r="F771" s="15"/>
      <c r="G771" s="27"/>
      <c r="H771" s="25"/>
      <c r="I771" s="12"/>
    </row>
    <row r="772">
      <c r="A772" s="15"/>
      <c r="B772" s="12"/>
      <c r="C772" s="15"/>
      <c r="D772" s="15"/>
      <c r="E772" s="15"/>
      <c r="F772" s="15"/>
      <c r="G772" s="27"/>
      <c r="H772" s="25"/>
      <c r="I772" s="12"/>
    </row>
    <row r="773">
      <c r="A773" s="15"/>
      <c r="B773" s="12"/>
      <c r="C773" s="15"/>
      <c r="D773" s="15"/>
      <c r="E773" s="15"/>
      <c r="F773" s="15"/>
      <c r="G773" s="27"/>
      <c r="H773" s="25"/>
      <c r="I773" s="12"/>
    </row>
    <row r="774">
      <c r="A774" s="15"/>
      <c r="B774" s="12"/>
      <c r="C774" s="15"/>
      <c r="D774" s="15"/>
      <c r="E774" s="15"/>
      <c r="F774" s="15"/>
      <c r="G774" s="27"/>
      <c r="H774" s="25"/>
      <c r="I774" s="12"/>
    </row>
    <row r="775">
      <c r="A775" s="15"/>
      <c r="B775" s="12"/>
      <c r="C775" s="15"/>
      <c r="D775" s="15"/>
      <c r="E775" s="15"/>
      <c r="F775" s="15"/>
      <c r="G775" s="27"/>
      <c r="H775" s="25"/>
      <c r="I775" s="12"/>
    </row>
    <row r="776">
      <c r="A776" s="15"/>
      <c r="B776" s="12"/>
      <c r="C776" s="15"/>
      <c r="D776" s="15"/>
      <c r="E776" s="15"/>
      <c r="F776" s="15"/>
      <c r="G776" s="27"/>
      <c r="H776" s="25"/>
      <c r="I776" s="12"/>
    </row>
    <row r="777">
      <c r="A777" s="15"/>
      <c r="B777" s="12"/>
      <c r="C777" s="15"/>
      <c r="D777" s="15"/>
      <c r="E777" s="15"/>
      <c r="F777" s="15"/>
      <c r="G777" s="27"/>
      <c r="H777" s="25"/>
      <c r="I777" s="12"/>
    </row>
    <row r="778">
      <c r="A778" s="15"/>
      <c r="B778" s="12"/>
      <c r="C778" s="15"/>
      <c r="D778" s="15"/>
      <c r="E778" s="15"/>
      <c r="F778" s="15"/>
      <c r="G778" s="27"/>
      <c r="H778" s="25"/>
      <c r="I778" s="12"/>
    </row>
    <row r="779">
      <c r="A779" s="15"/>
      <c r="B779" s="12"/>
      <c r="C779" s="15"/>
      <c r="D779" s="15"/>
      <c r="E779" s="15"/>
      <c r="F779" s="15"/>
      <c r="G779" s="27"/>
      <c r="H779" s="25"/>
      <c r="I779" s="12"/>
    </row>
    <row r="780">
      <c r="A780" s="15"/>
      <c r="B780" s="12"/>
      <c r="C780" s="15"/>
      <c r="D780" s="15"/>
      <c r="E780" s="15"/>
      <c r="F780" s="15"/>
      <c r="G780" s="27"/>
      <c r="H780" s="25"/>
      <c r="I780" s="12"/>
    </row>
    <row r="781">
      <c r="A781" s="15"/>
      <c r="B781" s="12"/>
      <c r="C781" s="15"/>
      <c r="D781" s="15"/>
      <c r="E781" s="15"/>
      <c r="F781" s="15"/>
      <c r="G781" s="27"/>
      <c r="H781" s="25"/>
      <c r="I781" s="12"/>
    </row>
    <row r="782">
      <c r="A782" s="15"/>
      <c r="B782" s="12"/>
      <c r="C782" s="15"/>
      <c r="D782" s="15"/>
      <c r="E782" s="15"/>
      <c r="F782" s="15"/>
      <c r="G782" s="27"/>
      <c r="H782" s="25"/>
      <c r="I782" s="12"/>
    </row>
    <row r="783">
      <c r="A783" s="15"/>
      <c r="B783" s="12"/>
      <c r="C783" s="15"/>
      <c r="D783" s="15"/>
      <c r="E783" s="15"/>
      <c r="F783" s="15"/>
      <c r="G783" s="27"/>
      <c r="H783" s="25"/>
      <c r="I783" s="12"/>
    </row>
    <row r="784">
      <c r="A784" s="15"/>
      <c r="B784" s="12"/>
      <c r="C784" s="15"/>
      <c r="D784" s="15"/>
      <c r="E784" s="15"/>
      <c r="F784" s="15"/>
      <c r="G784" s="27"/>
      <c r="H784" s="25"/>
      <c r="I784" s="12"/>
    </row>
    <row r="785">
      <c r="A785" s="15"/>
      <c r="B785" s="12"/>
      <c r="C785" s="15"/>
      <c r="D785" s="15"/>
      <c r="E785" s="15"/>
      <c r="F785" s="15"/>
      <c r="G785" s="27"/>
      <c r="H785" s="25"/>
      <c r="I785" s="12"/>
    </row>
    <row r="786">
      <c r="A786" s="15"/>
      <c r="B786" s="12"/>
      <c r="C786" s="15"/>
      <c r="D786" s="15"/>
      <c r="E786" s="15"/>
      <c r="F786" s="15"/>
      <c r="G786" s="27"/>
      <c r="H786" s="25"/>
      <c r="I786" s="12"/>
    </row>
    <row r="787">
      <c r="A787" s="15"/>
      <c r="B787" s="12"/>
      <c r="C787" s="15"/>
      <c r="D787" s="15"/>
      <c r="E787" s="15"/>
      <c r="F787" s="15"/>
      <c r="G787" s="27"/>
      <c r="H787" s="25"/>
      <c r="I787" s="12"/>
    </row>
    <row r="788">
      <c r="A788" s="15"/>
      <c r="B788" s="12"/>
      <c r="C788" s="15"/>
      <c r="D788" s="15"/>
      <c r="E788" s="15"/>
      <c r="F788" s="15"/>
      <c r="G788" s="27"/>
      <c r="H788" s="25"/>
      <c r="I788" s="12"/>
    </row>
    <row r="789">
      <c r="A789" s="15"/>
      <c r="B789" s="12"/>
      <c r="C789" s="15"/>
      <c r="D789" s="15"/>
      <c r="E789" s="15"/>
      <c r="F789" s="15"/>
      <c r="G789" s="27"/>
      <c r="H789" s="25"/>
      <c r="I789" s="12"/>
    </row>
    <row r="790">
      <c r="A790" s="15"/>
      <c r="B790" s="12"/>
      <c r="C790" s="15"/>
      <c r="D790" s="15"/>
      <c r="E790" s="15"/>
      <c r="F790" s="15"/>
      <c r="G790" s="27"/>
      <c r="H790" s="25"/>
      <c r="I790" s="12"/>
    </row>
    <row r="791">
      <c r="A791" s="15"/>
      <c r="B791" s="12"/>
      <c r="C791" s="15"/>
      <c r="D791" s="15"/>
      <c r="E791" s="15"/>
      <c r="F791" s="15"/>
      <c r="G791" s="27"/>
      <c r="H791" s="25"/>
      <c r="I791" s="12"/>
    </row>
    <row r="792">
      <c r="A792" s="15"/>
      <c r="B792" s="12"/>
      <c r="C792" s="15"/>
      <c r="D792" s="15"/>
      <c r="E792" s="15"/>
      <c r="F792" s="15"/>
      <c r="G792" s="27"/>
      <c r="H792" s="25"/>
      <c r="I792" s="12"/>
    </row>
    <row r="793">
      <c r="A793" s="15"/>
      <c r="B793" s="12"/>
      <c r="C793" s="15"/>
      <c r="D793" s="15"/>
      <c r="E793" s="15"/>
      <c r="F793" s="15"/>
      <c r="G793" s="27"/>
      <c r="H793" s="25"/>
      <c r="I793" s="12"/>
    </row>
    <row r="794">
      <c r="A794" s="15"/>
      <c r="B794" s="12"/>
      <c r="C794" s="15"/>
      <c r="D794" s="15"/>
      <c r="E794" s="15"/>
      <c r="F794" s="15"/>
      <c r="G794" s="27"/>
      <c r="H794" s="25"/>
      <c r="I794" s="12"/>
    </row>
    <row r="795">
      <c r="A795" s="15"/>
      <c r="B795" s="12"/>
      <c r="C795" s="15"/>
      <c r="D795" s="15"/>
      <c r="E795" s="15"/>
      <c r="F795" s="15"/>
      <c r="G795" s="27"/>
      <c r="H795" s="25"/>
      <c r="I795" s="12"/>
    </row>
    <row r="796">
      <c r="A796" s="15"/>
      <c r="B796" s="12"/>
      <c r="C796" s="15"/>
      <c r="D796" s="15"/>
      <c r="E796" s="15"/>
      <c r="F796" s="15"/>
      <c r="G796" s="27"/>
      <c r="H796" s="25"/>
      <c r="I796" s="12"/>
    </row>
    <row r="797">
      <c r="A797" s="15"/>
      <c r="B797" s="12"/>
      <c r="C797" s="15"/>
      <c r="D797" s="15"/>
      <c r="E797" s="15"/>
      <c r="F797" s="15"/>
      <c r="G797" s="27"/>
      <c r="H797" s="25"/>
      <c r="I797" s="12"/>
    </row>
    <row r="798">
      <c r="A798" s="15"/>
      <c r="B798" s="12"/>
      <c r="C798" s="15"/>
      <c r="D798" s="15"/>
      <c r="E798" s="15"/>
      <c r="F798" s="15"/>
      <c r="G798" s="27"/>
      <c r="H798" s="25"/>
      <c r="I798" s="12"/>
    </row>
    <row r="799">
      <c r="A799" s="15"/>
      <c r="B799" s="12"/>
      <c r="C799" s="15"/>
      <c r="D799" s="15"/>
      <c r="E799" s="15"/>
      <c r="F799" s="15"/>
      <c r="G799" s="27"/>
      <c r="H799" s="25"/>
      <c r="I799" s="12"/>
    </row>
    <row r="800">
      <c r="A800" s="15"/>
      <c r="B800" s="12"/>
      <c r="C800" s="15"/>
      <c r="D800" s="15"/>
      <c r="E800" s="15"/>
      <c r="F800" s="15"/>
      <c r="G800" s="27"/>
      <c r="H800" s="25"/>
      <c r="I800" s="12"/>
    </row>
    <row r="801">
      <c r="A801" s="15"/>
      <c r="B801" s="12"/>
      <c r="C801" s="15"/>
      <c r="D801" s="15"/>
      <c r="E801" s="15"/>
      <c r="F801" s="15"/>
      <c r="G801" s="27"/>
      <c r="H801" s="25"/>
      <c r="I801" s="12"/>
    </row>
    <row r="802">
      <c r="A802" s="15"/>
      <c r="B802" s="12"/>
      <c r="C802" s="15"/>
      <c r="D802" s="15"/>
      <c r="E802" s="15"/>
      <c r="F802" s="15"/>
      <c r="G802" s="27"/>
      <c r="H802" s="25"/>
      <c r="I802" s="12"/>
    </row>
    <row r="803">
      <c r="A803" s="15"/>
      <c r="B803" s="12"/>
      <c r="C803" s="15"/>
      <c r="D803" s="15"/>
      <c r="E803" s="15"/>
      <c r="F803" s="15"/>
      <c r="G803" s="27"/>
      <c r="H803" s="25"/>
      <c r="I803" s="12"/>
    </row>
    <row r="804">
      <c r="A804" s="15"/>
      <c r="B804" s="12"/>
      <c r="C804" s="15"/>
      <c r="D804" s="15"/>
      <c r="E804" s="15"/>
      <c r="F804" s="15"/>
      <c r="G804" s="27"/>
      <c r="H804" s="25"/>
      <c r="I804" s="12"/>
    </row>
    <row r="805">
      <c r="A805" s="15"/>
      <c r="B805" s="12"/>
      <c r="C805" s="15"/>
      <c r="D805" s="15"/>
      <c r="E805" s="15"/>
      <c r="F805" s="15"/>
      <c r="G805" s="27"/>
      <c r="H805" s="25"/>
      <c r="I805" s="12"/>
    </row>
    <row r="806">
      <c r="A806" s="15"/>
      <c r="B806" s="12"/>
      <c r="C806" s="15"/>
      <c r="D806" s="15"/>
      <c r="E806" s="15"/>
      <c r="F806" s="15"/>
      <c r="G806" s="27"/>
      <c r="H806" s="25"/>
      <c r="I806" s="12"/>
    </row>
    <row r="807">
      <c r="A807" s="15"/>
      <c r="B807" s="12"/>
      <c r="C807" s="15"/>
      <c r="D807" s="15"/>
      <c r="E807" s="15"/>
      <c r="F807" s="15"/>
      <c r="G807" s="27"/>
      <c r="H807" s="25"/>
      <c r="I807" s="12"/>
    </row>
    <row r="808">
      <c r="A808" s="15"/>
      <c r="B808" s="12"/>
      <c r="C808" s="15"/>
      <c r="D808" s="15"/>
      <c r="E808" s="15"/>
      <c r="F808" s="15"/>
      <c r="G808" s="27"/>
      <c r="H808" s="25"/>
      <c r="I808" s="12"/>
    </row>
    <row r="809">
      <c r="A809" s="15"/>
      <c r="B809" s="12"/>
      <c r="C809" s="15"/>
      <c r="D809" s="15"/>
      <c r="E809" s="15"/>
      <c r="F809" s="15"/>
      <c r="G809" s="27"/>
      <c r="H809" s="25"/>
      <c r="I809" s="12"/>
    </row>
    <row r="810">
      <c r="A810" s="15"/>
      <c r="B810" s="12"/>
      <c r="C810" s="15"/>
      <c r="D810" s="15"/>
      <c r="E810" s="15"/>
      <c r="F810" s="15"/>
      <c r="G810" s="27"/>
      <c r="H810" s="25"/>
      <c r="I810" s="12"/>
    </row>
    <row r="811">
      <c r="A811" s="15"/>
      <c r="B811" s="12"/>
      <c r="C811" s="15"/>
      <c r="D811" s="15"/>
      <c r="E811" s="15"/>
      <c r="F811" s="15"/>
      <c r="G811" s="27"/>
      <c r="H811" s="25"/>
      <c r="I811" s="12"/>
    </row>
    <row r="812">
      <c r="A812" s="15"/>
      <c r="B812" s="12"/>
      <c r="C812" s="15"/>
      <c r="D812" s="15"/>
      <c r="E812" s="15"/>
      <c r="F812" s="15"/>
      <c r="G812" s="27"/>
      <c r="H812" s="25"/>
      <c r="I812" s="12"/>
    </row>
    <row r="813">
      <c r="A813" s="15"/>
      <c r="B813" s="12"/>
      <c r="C813" s="15"/>
      <c r="D813" s="15"/>
      <c r="E813" s="15"/>
      <c r="F813" s="15"/>
      <c r="G813" s="27"/>
      <c r="H813" s="25"/>
      <c r="I813" s="12"/>
    </row>
    <row r="814">
      <c r="A814" s="15"/>
      <c r="B814" s="12"/>
      <c r="C814" s="15"/>
      <c r="D814" s="15"/>
      <c r="E814" s="15"/>
      <c r="F814" s="15"/>
      <c r="G814" s="27"/>
      <c r="H814" s="25"/>
      <c r="I814" s="12"/>
    </row>
    <row r="815">
      <c r="A815" s="15"/>
      <c r="B815" s="12"/>
      <c r="C815" s="15"/>
      <c r="D815" s="15"/>
      <c r="E815" s="15"/>
      <c r="F815" s="15"/>
      <c r="G815" s="27"/>
      <c r="H815" s="25"/>
      <c r="I815" s="12"/>
    </row>
    <row r="816">
      <c r="A816" s="15"/>
      <c r="B816" s="12"/>
      <c r="C816" s="15"/>
      <c r="D816" s="15"/>
      <c r="E816" s="15"/>
      <c r="F816" s="15"/>
      <c r="G816" s="27"/>
      <c r="H816" s="25"/>
      <c r="I816" s="12"/>
    </row>
    <row r="817">
      <c r="A817" s="15"/>
      <c r="B817" s="12"/>
      <c r="C817" s="15"/>
      <c r="D817" s="15"/>
      <c r="E817" s="15"/>
      <c r="F817" s="15"/>
      <c r="G817" s="27"/>
      <c r="H817" s="25"/>
      <c r="I817" s="12"/>
    </row>
    <row r="818">
      <c r="A818" s="15"/>
      <c r="B818" s="12"/>
      <c r="C818" s="15"/>
      <c r="D818" s="15"/>
      <c r="E818" s="15"/>
      <c r="F818" s="15"/>
      <c r="G818" s="27"/>
      <c r="H818" s="25"/>
      <c r="I818" s="12"/>
    </row>
    <row r="819">
      <c r="A819" s="15"/>
      <c r="B819" s="12"/>
      <c r="C819" s="15"/>
      <c r="D819" s="15"/>
      <c r="E819" s="15"/>
      <c r="F819" s="15"/>
      <c r="G819" s="27"/>
      <c r="H819" s="25"/>
      <c r="I819" s="12"/>
    </row>
    <row r="820">
      <c r="A820" s="15"/>
      <c r="B820" s="12"/>
      <c r="C820" s="15"/>
      <c r="D820" s="15"/>
      <c r="E820" s="15"/>
      <c r="F820" s="15"/>
      <c r="G820" s="27"/>
      <c r="H820" s="25"/>
      <c r="I820" s="12"/>
    </row>
    <row r="821">
      <c r="A821" s="15"/>
      <c r="B821" s="12"/>
      <c r="C821" s="15"/>
      <c r="D821" s="15"/>
      <c r="E821" s="15"/>
      <c r="F821" s="15"/>
      <c r="G821" s="27"/>
      <c r="H821" s="25"/>
      <c r="I821" s="12"/>
    </row>
    <row r="822">
      <c r="A822" s="15"/>
      <c r="B822" s="12"/>
      <c r="C822" s="15"/>
      <c r="D822" s="15"/>
      <c r="E822" s="15"/>
      <c r="F822" s="15"/>
      <c r="G822" s="27"/>
      <c r="H822" s="25"/>
      <c r="I822" s="12"/>
    </row>
    <row r="823">
      <c r="A823" s="15"/>
      <c r="B823" s="12"/>
      <c r="C823" s="15"/>
      <c r="D823" s="15"/>
      <c r="E823" s="15"/>
      <c r="F823" s="15"/>
      <c r="G823" s="27"/>
      <c r="H823" s="25"/>
      <c r="I823" s="12"/>
    </row>
    <row r="824">
      <c r="A824" s="15"/>
      <c r="B824" s="12"/>
      <c r="C824" s="15"/>
      <c r="D824" s="15"/>
      <c r="E824" s="15"/>
      <c r="F824" s="15"/>
      <c r="G824" s="27"/>
      <c r="H824" s="25"/>
      <c r="I824" s="12"/>
    </row>
    <row r="825">
      <c r="A825" s="15"/>
      <c r="B825" s="12"/>
      <c r="C825" s="15"/>
      <c r="D825" s="15"/>
      <c r="E825" s="15"/>
      <c r="F825" s="15"/>
      <c r="G825" s="27"/>
      <c r="H825" s="25"/>
      <c r="I825" s="12"/>
    </row>
    <row r="826">
      <c r="A826" s="15"/>
      <c r="B826" s="12"/>
      <c r="C826" s="15"/>
      <c r="D826" s="15"/>
      <c r="E826" s="15"/>
      <c r="F826" s="15"/>
      <c r="G826" s="27"/>
      <c r="H826" s="25"/>
      <c r="I826" s="12"/>
    </row>
    <row r="827">
      <c r="A827" s="15"/>
      <c r="B827" s="12"/>
      <c r="C827" s="15"/>
      <c r="D827" s="15"/>
      <c r="E827" s="15"/>
      <c r="F827" s="15"/>
      <c r="G827" s="27"/>
      <c r="H827" s="25"/>
      <c r="I827" s="12"/>
    </row>
    <row r="828">
      <c r="A828" s="15"/>
      <c r="B828" s="12"/>
      <c r="C828" s="15"/>
      <c r="D828" s="15"/>
      <c r="E828" s="15"/>
      <c r="F828" s="15"/>
      <c r="G828" s="27"/>
      <c r="H828" s="25"/>
      <c r="I828" s="12"/>
    </row>
    <row r="829">
      <c r="A829" s="15"/>
      <c r="B829" s="12"/>
      <c r="C829" s="15"/>
      <c r="D829" s="15"/>
      <c r="E829" s="15"/>
      <c r="F829" s="15"/>
      <c r="G829" s="27"/>
      <c r="H829" s="25"/>
      <c r="I829" s="12"/>
    </row>
    <row r="830">
      <c r="A830" s="15"/>
      <c r="B830" s="12"/>
      <c r="C830" s="15"/>
      <c r="D830" s="15"/>
      <c r="E830" s="15"/>
      <c r="F830" s="15"/>
      <c r="G830" s="27"/>
      <c r="H830" s="25"/>
      <c r="I830" s="12"/>
    </row>
    <row r="831">
      <c r="A831" s="15"/>
      <c r="B831" s="12"/>
      <c r="C831" s="15"/>
      <c r="D831" s="15"/>
      <c r="E831" s="15"/>
      <c r="F831" s="15"/>
      <c r="G831" s="27"/>
      <c r="H831" s="25"/>
      <c r="I831" s="12"/>
    </row>
    <row r="832">
      <c r="A832" s="15"/>
      <c r="B832" s="12"/>
      <c r="C832" s="15"/>
      <c r="D832" s="15"/>
      <c r="E832" s="15"/>
      <c r="F832" s="15"/>
      <c r="G832" s="27"/>
      <c r="H832" s="25"/>
      <c r="I832" s="12"/>
    </row>
    <row r="833">
      <c r="A833" s="15"/>
      <c r="B833" s="12"/>
      <c r="C833" s="15"/>
      <c r="D833" s="15"/>
      <c r="E833" s="15"/>
      <c r="F833" s="15"/>
      <c r="G833" s="27"/>
      <c r="H833" s="25"/>
      <c r="I833" s="12"/>
    </row>
    <row r="834">
      <c r="A834" s="15"/>
      <c r="B834" s="12"/>
      <c r="C834" s="15"/>
      <c r="D834" s="15"/>
      <c r="E834" s="15"/>
      <c r="F834" s="15"/>
      <c r="G834" s="27"/>
      <c r="H834" s="25"/>
      <c r="I834" s="12"/>
    </row>
    <row r="835">
      <c r="A835" s="15"/>
      <c r="B835" s="12"/>
      <c r="C835" s="15"/>
      <c r="D835" s="15"/>
      <c r="E835" s="15"/>
      <c r="F835" s="15"/>
      <c r="G835" s="27"/>
      <c r="H835" s="25"/>
      <c r="I835" s="12"/>
    </row>
    <row r="836">
      <c r="A836" s="15"/>
      <c r="B836" s="12"/>
      <c r="C836" s="15"/>
      <c r="D836" s="15"/>
      <c r="E836" s="15"/>
      <c r="F836" s="15"/>
      <c r="G836" s="27"/>
      <c r="H836" s="25"/>
      <c r="I836" s="12"/>
    </row>
    <row r="837">
      <c r="A837" s="15"/>
      <c r="B837" s="12"/>
      <c r="C837" s="15"/>
      <c r="D837" s="15"/>
      <c r="E837" s="15"/>
      <c r="F837" s="15"/>
      <c r="G837" s="27"/>
      <c r="H837" s="25"/>
      <c r="I837" s="12"/>
    </row>
    <row r="838">
      <c r="A838" s="15"/>
      <c r="B838" s="12"/>
      <c r="C838" s="15"/>
      <c r="D838" s="15"/>
      <c r="E838" s="15"/>
      <c r="F838" s="15"/>
      <c r="G838" s="27"/>
      <c r="H838" s="25"/>
      <c r="I838" s="12"/>
    </row>
    <row r="839">
      <c r="A839" s="15"/>
      <c r="B839" s="12"/>
      <c r="C839" s="15"/>
      <c r="D839" s="15"/>
      <c r="E839" s="15"/>
      <c r="F839" s="15"/>
      <c r="G839" s="27"/>
      <c r="H839" s="25"/>
      <c r="I839" s="12"/>
    </row>
    <row r="840">
      <c r="A840" s="15"/>
      <c r="B840" s="12"/>
      <c r="C840" s="15"/>
      <c r="D840" s="15"/>
      <c r="E840" s="15"/>
      <c r="F840" s="15"/>
      <c r="G840" s="27"/>
      <c r="H840" s="25"/>
      <c r="I840" s="12"/>
    </row>
    <row r="841">
      <c r="A841" s="15"/>
      <c r="B841" s="12"/>
      <c r="C841" s="15"/>
      <c r="D841" s="15"/>
      <c r="E841" s="15"/>
      <c r="F841" s="15"/>
      <c r="G841" s="27"/>
      <c r="H841" s="25"/>
      <c r="I841" s="12"/>
    </row>
    <row r="842">
      <c r="A842" s="15"/>
      <c r="B842" s="12"/>
      <c r="C842" s="15"/>
      <c r="D842" s="15"/>
      <c r="E842" s="15"/>
      <c r="F842" s="15"/>
      <c r="G842" s="27"/>
      <c r="H842" s="25"/>
      <c r="I842" s="12"/>
    </row>
    <row r="843">
      <c r="A843" s="15"/>
      <c r="B843" s="12"/>
      <c r="C843" s="15"/>
      <c r="D843" s="15"/>
      <c r="E843" s="15"/>
      <c r="F843" s="15"/>
      <c r="G843" s="27"/>
      <c r="H843" s="25"/>
      <c r="I843" s="12"/>
    </row>
    <row r="844">
      <c r="A844" s="15"/>
      <c r="B844" s="12"/>
      <c r="C844" s="15"/>
      <c r="D844" s="15"/>
      <c r="E844" s="15"/>
      <c r="F844" s="15"/>
      <c r="G844" s="27"/>
      <c r="H844" s="25"/>
      <c r="I844" s="12"/>
    </row>
    <row r="845">
      <c r="A845" s="15"/>
      <c r="B845" s="12"/>
      <c r="C845" s="15"/>
      <c r="D845" s="15"/>
      <c r="E845" s="15"/>
      <c r="F845" s="15"/>
      <c r="G845" s="27"/>
      <c r="H845" s="25"/>
      <c r="I845" s="12"/>
    </row>
    <row r="846">
      <c r="A846" s="15"/>
      <c r="B846" s="12"/>
      <c r="C846" s="15"/>
      <c r="D846" s="15"/>
      <c r="E846" s="15"/>
      <c r="F846" s="15"/>
      <c r="G846" s="27"/>
      <c r="H846" s="25"/>
      <c r="I846" s="12"/>
    </row>
    <row r="847">
      <c r="A847" s="15"/>
      <c r="B847" s="12"/>
      <c r="C847" s="15"/>
      <c r="D847" s="15"/>
      <c r="E847" s="15"/>
      <c r="F847" s="15"/>
      <c r="G847" s="27"/>
      <c r="H847" s="25"/>
      <c r="I847" s="12"/>
    </row>
    <row r="848">
      <c r="A848" s="15"/>
      <c r="B848" s="12"/>
      <c r="C848" s="15"/>
      <c r="D848" s="15"/>
      <c r="E848" s="15"/>
      <c r="F848" s="15"/>
      <c r="G848" s="27"/>
      <c r="H848" s="25"/>
      <c r="I848" s="12"/>
    </row>
    <row r="849">
      <c r="A849" s="15"/>
      <c r="B849" s="12"/>
      <c r="C849" s="15"/>
      <c r="D849" s="15"/>
      <c r="E849" s="15"/>
      <c r="F849" s="15"/>
      <c r="G849" s="27"/>
      <c r="H849" s="25"/>
      <c r="I849" s="12"/>
    </row>
    <row r="850">
      <c r="A850" s="15"/>
      <c r="B850" s="12"/>
      <c r="C850" s="15"/>
      <c r="D850" s="15"/>
      <c r="E850" s="15"/>
      <c r="F850" s="15"/>
      <c r="G850" s="27"/>
      <c r="H850" s="25"/>
      <c r="I850" s="12"/>
    </row>
    <row r="851">
      <c r="A851" s="15"/>
      <c r="B851" s="12"/>
      <c r="C851" s="15"/>
      <c r="D851" s="15"/>
      <c r="E851" s="15"/>
      <c r="F851" s="15"/>
      <c r="G851" s="27"/>
      <c r="H851" s="25"/>
      <c r="I851" s="12"/>
    </row>
    <row r="852">
      <c r="A852" s="15"/>
      <c r="B852" s="12"/>
      <c r="C852" s="15"/>
      <c r="D852" s="15"/>
      <c r="E852" s="15"/>
      <c r="F852" s="15"/>
      <c r="G852" s="27"/>
      <c r="H852" s="25"/>
      <c r="I852" s="12"/>
    </row>
    <row r="853">
      <c r="A853" s="15"/>
      <c r="B853" s="12"/>
      <c r="C853" s="15"/>
      <c r="D853" s="15"/>
      <c r="E853" s="15"/>
      <c r="F853" s="15"/>
      <c r="G853" s="27"/>
      <c r="H853" s="25"/>
      <c r="I853" s="12"/>
    </row>
    <row r="854">
      <c r="A854" s="15"/>
      <c r="B854" s="12"/>
      <c r="C854" s="15"/>
      <c r="D854" s="15"/>
      <c r="E854" s="15"/>
      <c r="F854" s="15"/>
      <c r="G854" s="27"/>
      <c r="H854" s="25"/>
      <c r="I854" s="12"/>
    </row>
    <row r="855">
      <c r="A855" s="15"/>
      <c r="B855" s="12"/>
      <c r="C855" s="15"/>
      <c r="D855" s="15"/>
      <c r="E855" s="15"/>
      <c r="F855" s="15"/>
      <c r="G855" s="27"/>
      <c r="H855" s="25"/>
      <c r="I855" s="12"/>
    </row>
    <row r="856">
      <c r="A856" s="15"/>
      <c r="B856" s="12"/>
      <c r="C856" s="15"/>
      <c r="D856" s="15"/>
      <c r="E856" s="15"/>
      <c r="F856" s="15"/>
      <c r="G856" s="27"/>
      <c r="H856" s="25"/>
      <c r="I856" s="12"/>
    </row>
    <row r="857">
      <c r="A857" s="15"/>
      <c r="B857" s="12"/>
      <c r="C857" s="15"/>
      <c r="D857" s="15"/>
      <c r="E857" s="15"/>
      <c r="F857" s="15"/>
      <c r="G857" s="27"/>
      <c r="H857" s="25"/>
      <c r="I857" s="12"/>
    </row>
    <row r="858">
      <c r="A858" s="15"/>
      <c r="B858" s="12"/>
      <c r="C858" s="15"/>
      <c r="D858" s="15"/>
      <c r="E858" s="15"/>
      <c r="F858" s="15"/>
      <c r="G858" s="27"/>
      <c r="H858" s="25"/>
      <c r="I858" s="12"/>
    </row>
    <row r="859">
      <c r="A859" s="15"/>
      <c r="B859" s="12"/>
      <c r="C859" s="15"/>
      <c r="D859" s="15"/>
      <c r="E859" s="15"/>
      <c r="F859" s="15"/>
      <c r="G859" s="27"/>
      <c r="H859" s="25"/>
      <c r="I859" s="12"/>
    </row>
    <row r="860">
      <c r="A860" s="15"/>
      <c r="B860" s="12"/>
      <c r="C860" s="15"/>
      <c r="D860" s="15"/>
      <c r="E860" s="15"/>
      <c r="F860" s="15"/>
      <c r="G860" s="27"/>
      <c r="H860" s="25"/>
      <c r="I860" s="12"/>
    </row>
    <row r="861">
      <c r="A861" s="15"/>
      <c r="B861" s="12"/>
      <c r="C861" s="15"/>
      <c r="D861" s="15"/>
      <c r="E861" s="15"/>
      <c r="F861" s="15"/>
      <c r="G861" s="27"/>
      <c r="H861" s="25"/>
      <c r="I861" s="12"/>
    </row>
    <row r="862">
      <c r="A862" s="15"/>
      <c r="B862" s="12"/>
      <c r="C862" s="15"/>
      <c r="D862" s="15"/>
      <c r="E862" s="15"/>
      <c r="F862" s="15"/>
      <c r="G862" s="27"/>
      <c r="H862" s="25"/>
      <c r="I862" s="12"/>
    </row>
    <row r="863">
      <c r="A863" s="15"/>
      <c r="B863" s="12"/>
      <c r="C863" s="15"/>
      <c r="D863" s="15"/>
      <c r="E863" s="15"/>
      <c r="F863" s="15"/>
      <c r="G863" s="27"/>
      <c r="H863" s="25"/>
      <c r="I863" s="12"/>
    </row>
    <row r="864">
      <c r="A864" s="15"/>
      <c r="B864" s="12"/>
      <c r="C864" s="15"/>
      <c r="D864" s="15"/>
      <c r="E864" s="15"/>
      <c r="F864" s="15"/>
      <c r="G864" s="27"/>
      <c r="H864" s="25"/>
      <c r="I864" s="12"/>
    </row>
    <row r="865">
      <c r="A865" s="15"/>
      <c r="B865" s="12"/>
      <c r="C865" s="15"/>
      <c r="D865" s="15"/>
      <c r="E865" s="15"/>
      <c r="F865" s="15"/>
      <c r="G865" s="27"/>
      <c r="H865" s="25"/>
      <c r="I865" s="12"/>
    </row>
    <row r="866">
      <c r="A866" s="15"/>
      <c r="B866" s="12"/>
      <c r="C866" s="15"/>
      <c r="D866" s="15"/>
      <c r="E866" s="15"/>
      <c r="F866" s="15"/>
      <c r="G866" s="27"/>
      <c r="H866" s="25"/>
      <c r="I866" s="12"/>
    </row>
    <row r="867">
      <c r="A867" s="15"/>
      <c r="B867" s="12"/>
      <c r="C867" s="15"/>
      <c r="D867" s="15"/>
      <c r="E867" s="15"/>
      <c r="F867" s="15"/>
      <c r="G867" s="27"/>
      <c r="H867" s="25"/>
      <c r="I867" s="12"/>
    </row>
    <row r="868">
      <c r="A868" s="15"/>
      <c r="B868" s="12"/>
      <c r="C868" s="15"/>
      <c r="D868" s="15"/>
      <c r="E868" s="15"/>
      <c r="F868" s="15"/>
      <c r="G868" s="27"/>
      <c r="H868" s="25"/>
      <c r="I868" s="12"/>
    </row>
    <row r="869">
      <c r="A869" s="15"/>
      <c r="B869" s="12"/>
      <c r="C869" s="15"/>
      <c r="D869" s="15"/>
      <c r="E869" s="15"/>
      <c r="F869" s="15"/>
      <c r="G869" s="27"/>
      <c r="H869" s="25"/>
      <c r="I869" s="12"/>
    </row>
    <row r="870">
      <c r="A870" s="15"/>
      <c r="B870" s="12"/>
      <c r="C870" s="15"/>
      <c r="D870" s="15"/>
      <c r="E870" s="15"/>
      <c r="F870" s="15"/>
      <c r="G870" s="27"/>
      <c r="H870" s="25"/>
      <c r="I870" s="12"/>
    </row>
    <row r="871">
      <c r="A871" s="15"/>
      <c r="B871" s="12"/>
      <c r="C871" s="15"/>
      <c r="D871" s="15"/>
      <c r="E871" s="15"/>
      <c r="F871" s="15"/>
      <c r="G871" s="27"/>
      <c r="H871" s="25"/>
      <c r="I871" s="12"/>
    </row>
    <row r="872">
      <c r="A872" s="15"/>
      <c r="B872" s="12"/>
      <c r="C872" s="15"/>
      <c r="D872" s="15"/>
      <c r="E872" s="15"/>
      <c r="F872" s="15"/>
      <c r="G872" s="27"/>
      <c r="H872" s="25"/>
      <c r="I872" s="12"/>
    </row>
    <row r="873">
      <c r="A873" s="15"/>
      <c r="B873" s="12"/>
      <c r="C873" s="15"/>
      <c r="D873" s="15"/>
      <c r="E873" s="15"/>
      <c r="F873" s="15"/>
      <c r="G873" s="27"/>
      <c r="H873" s="25"/>
      <c r="I873" s="12"/>
    </row>
    <row r="874">
      <c r="A874" s="15"/>
      <c r="B874" s="12"/>
      <c r="C874" s="15"/>
      <c r="D874" s="15"/>
      <c r="E874" s="15"/>
      <c r="F874" s="15"/>
      <c r="G874" s="27"/>
      <c r="H874" s="25"/>
      <c r="I874" s="12"/>
    </row>
    <row r="875">
      <c r="A875" s="15"/>
      <c r="B875" s="12"/>
      <c r="C875" s="15"/>
      <c r="D875" s="15"/>
      <c r="E875" s="15"/>
      <c r="F875" s="15"/>
      <c r="G875" s="27"/>
      <c r="H875" s="25"/>
      <c r="I875" s="12"/>
    </row>
    <row r="876">
      <c r="A876" s="15"/>
      <c r="B876" s="12"/>
      <c r="C876" s="15"/>
      <c r="D876" s="15"/>
      <c r="E876" s="15"/>
      <c r="F876" s="15"/>
      <c r="G876" s="27"/>
      <c r="H876" s="25"/>
      <c r="I876" s="12"/>
    </row>
    <row r="877">
      <c r="A877" s="15"/>
      <c r="B877" s="12"/>
      <c r="C877" s="15"/>
      <c r="D877" s="15"/>
      <c r="E877" s="15"/>
      <c r="F877" s="15"/>
      <c r="G877" s="27"/>
      <c r="H877" s="25"/>
      <c r="I877" s="12"/>
    </row>
    <row r="878">
      <c r="A878" s="15"/>
      <c r="B878" s="12"/>
      <c r="C878" s="15"/>
      <c r="D878" s="15"/>
      <c r="E878" s="15"/>
      <c r="F878" s="15"/>
      <c r="G878" s="27"/>
      <c r="H878" s="25"/>
      <c r="I878" s="12"/>
    </row>
    <row r="879">
      <c r="A879" s="15"/>
      <c r="B879" s="12"/>
      <c r="C879" s="15"/>
      <c r="D879" s="15"/>
      <c r="E879" s="15"/>
      <c r="F879" s="15"/>
      <c r="G879" s="27"/>
      <c r="H879" s="25"/>
      <c r="I879" s="12"/>
    </row>
    <row r="880">
      <c r="A880" s="15"/>
      <c r="B880" s="12"/>
      <c r="C880" s="15"/>
      <c r="D880" s="15"/>
      <c r="E880" s="15"/>
      <c r="F880" s="15"/>
      <c r="G880" s="27"/>
      <c r="H880" s="25"/>
      <c r="I880" s="12"/>
    </row>
    <row r="881">
      <c r="A881" s="15"/>
      <c r="B881" s="12"/>
      <c r="C881" s="15"/>
      <c r="D881" s="15"/>
      <c r="E881" s="15"/>
      <c r="F881" s="15"/>
      <c r="G881" s="27"/>
      <c r="H881" s="25"/>
      <c r="I881" s="12"/>
    </row>
    <row r="882">
      <c r="A882" s="15"/>
      <c r="B882" s="12"/>
      <c r="C882" s="15"/>
      <c r="D882" s="15"/>
      <c r="E882" s="15"/>
      <c r="F882" s="15"/>
      <c r="G882" s="27"/>
      <c r="H882" s="25"/>
      <c r="I882" s="12"/>
    </row>
    <row r="883">
      <c r="A883" s="15"/>
      <c r="B883" s="12"/>
      <c r="C883" s="15"/>
      <c r="D883" s="15"/>
      <c r="E883" s="15"/>
      <c r="F883" s="15"/>
      <c r="G883" s="27"/>
      <c r="H883" s="25"/>
      <c r="I883" s="12"/>
    </row>
    <row r="884">
      <c r="A884" s="15"/>
      <c r="B884" s="12"/>
      <c r="C884" s="15"/>
      <c r="D884" s="15"/>
      <c r="E884" s="15"/>
      <c r="F884" s="15"/>
      <c r="G884" s="27"/>
      <c r="H884" s="25"/>
      <c r="I884" s="12"/>
    </row>
    <row r="885">
      <c r="A885" s="15"/>
      <c r="B885" s="12"/>
      <c r="C885" s="15"/>
      <c r="D885" s="15"/>
      <c r="E885" s="15"/>
      <c r="F885" s="15"/>
      <c r="G885" s="27"/>
      <c r="H885" s="25"/>
      <c r="I885" s="12"/>
    </row>
    <row r="886">
      <c r="A886" s="15"/>
      <c r="B886" s="12"/>
      <c r="C886" s="15"/>
      <c r="D886" s="15"/>
      <c r="E886" s="15"/>
      <c r="F886" s="15"/>
      <c r="G886" s="27"/>
      <c r="H886" s="25"/>
      <c r="I886" s="12"/>
    </row>
    <row r="887">
      <c r="A887" s="15"/>
      <c r="B887" s="12"/>
      <c r="C887" s="15"/>
      <c r="D887" s="15"/>
      <c r="E887" s="15"/>
      <c r="F887" s="15"/>
      <c r="G887" s="27"/>
      <c r="H887" s="25"/>
      <c r="I887" s="12"/>
    </row>
    <row r="888">
      <c r="A888" s="15"/>
      <c r="B888" s="12"/>
      <c r="C888" s="15"/>
      <c r="D888" s="15"/>
      <c r="E888" s="15"/>
      <c r="F888" s="15"/>
      <c r="G888" s="27"/>
      <c r="H888" s="25"/>
      <c r="I888" s="12"/>
    </row>
    <row r="889">
      <c r="A889" s="15"/>
      <c r="B889" s="12"/>
      <c r="C889" s="15"/>
      <c r="D889" s="15"/>
      <c r="E889" s="15"/>
      <c r="F889" s="15"/>
      <c r="G889" s="27"/>
      <c r="H889" s="25"/>
      <c r="I889" s="12"/>
    </row>
    <row r="890">
      <c r="A890" s="15"/>
      <c r="B890" s="12"/>
      <c r="C890" s="15"/>
      <c r="D890" s="15"/>
      <c r="E890" s="15"/>
      <c r="F890" s="15"/>
      <c r="G890" s="27"/>
      <c r="H890" s="25"/>
      <c r="I890" s="12"/>
    </row>
    <row r="891">
      <c r="A891" s="15"/>
      <c r="B891" s="12"/>
      <c r="C891" s="15"/>
      <c r="D891" s="15"/>
      <c r="E891" s="15"/>
      <c r="F891" s="15"/>
      <c r="G891" s="27"/>
      <c r="H891" s="25"/>
      <c r="I891" s="12"/>
    </row>
    <row r="892">
      <c r="A892" s="15"/>
      <c r="B892" s="12"/>
      <c r="C892" s="15"/>
      <c r="D892" s="15"/>
      <c r="E892" s="15"/>
      <c r="F892" s="15"/>
      <c r="G892" s="27"/>
      <c r="H892" s="25"/>
      <c r="I892" s="12"/>
    </row>
    <row r="893">
      <c r="A893" s="15"/>
      <c r="B893" s="12"/>
      <c r="C893" s="15"/>
      <c r="D893" s="15"/>
      <c r="E893" s="15"/>
      <c r="F893" s="15"/>
      <c r="G893" s="27"/>
      <c r="H893" s="25"/>
      <c r="I893" s="12"/>
    </row>
    <row r="894">
      <c r="A894" s="15"/>
      <c r="B894" s="12"/>
      <c r="C894" s="15"/>
      <c r="D894" s="15"/>
      <c r="E894" s="15"/>
      <c r="F894" s="15"/>
      <c r="G894" s="27"/>
      <c r="H894" s="25"/>
      <c r="I894" s="12"/>
    </row>
    <row r="895">
      <c r="A895" s="15"/>
      <c r="B895" s="12"/>
      <c r="C895" s="15"/>
      <c r="D895" s="15"/>
      <c r="E895" s="15"/>
      <c r="F895" s="15"/>
      <c r="G895" s="27"/>
      <c r="H895" s="25"/>
      <c r="I895" s="12"/>
    </row>
    <row r="896">
      <c r="A896" s="15"/>
      <c r="B896" s="12"/>
      <c r="C896" s="15"/>
      <c r="D896" s="15"/>
      <c r="E896" s="15"/>
      <c r="F896" s="15"/>
      <c r="G896" s="27"/>
      <c r="H896" s="25"/>
      <c r="I896" s="12"/>
    </row>
    <row r="897">
      <c r="A897" s="15"/>
      <c r="B897" s="12"/>
      <c r="C897" s="15"/>
      <c r="D897" s="15"/>
      <c r="E897" s="15"/>
      <c r="F897" s="15"/>
      <c r="G897" s="27"/>
      <c r="H897" s="25"/>
      <c r="I897" s="12"/>
    </row>
    <row r="898">
      <c r="A898" s="15"/>
      <c r="B898" s="12"/>
      <c r="C898" s="15"/>
      <c r="D898" s="15"/>
      <c r="E898" s="15"/>
      <c r="F898" s="15"/>
      <c r="G898" s="27"/>
      <c r="H898" s="25"/>
      <c r="I898" s="12"/>
    </row>
    <row r="899">
      <c r="A899" s="15"/>
      <c r="B899" s="12"/>
      <c r="C899" s="15"/>
      <c r="D899" s="15"/>
      <c r="E899" s="15"/>
      <c r="F899" s="15"/>
      <c r="G899" s="27"/>
      <c r="H899" s="25"/>
      <c r="I899" s="12"/>
    </row>
    <row r="900">
      <c r="A900" s="15"/>
      <c r="B900" s="12"/>
      <c r="C900" s="15"/>
      <c r="D900" s="15"/>
      <c r="E900" s="15"/>
      <c r="F900" s="15"/>
      <c r="G900" s="27"/>
      <c r="H900" s="25"/>
      <c r="I900" s="12"/>
    </row>
    <row r="901">
      <c r="A901" s="15"/>
      <c r="B901" s="12"/>
      <c r="C901" s="15"/>
      <c r="D901" s="15"/>
      <c r="E901" s="15"/>
      <c r="F901" s="15"/>
      <c r="G901" s="27"/>
      <c r="H901" s="25"/>
      <c r="I901" s="12"/>
    </row>
    <row r="902">
      <c r="A902" s="15"/>
      <c r="B902" s="12"/>
      <c r="C902" s="15"/>
      <c r="D902" s="15"/>
      <c r="E902" s="15"/>
      <c r="F902" s="15"/>
      <c r="G902" s="27"/>
      <c r="H902" s="25"/>
      <c r="I902" s="12"/>
    </row>
    <row r="903">
      <c r="A903" s="15"/>
      <c r="B903" s="12"/>
      <c r="C903" s="15"/>
      <c r="D903" s="15"/>
      <c r="E903" s="15"/>
      <c r="F903" s="15"/>
      <c r="G903" s="27"/>
      <c r="H903" s="25"/>
      <c r="I903" s="12"/>
    </row>
    <row r="904">
      <c r="A904" s="15"/>
      <c r="B904" s="12"/>
      <c r="C904" s="15"/>
      <c r="D904" s="15"/>
      <c r="E904" s="15"/>
      <c r="F904" s="15"/>
      <c r="G904" s="27"/>
      <c r="H904" s="25"/>
      <c r="I904" s="12"/>
    </row>
    <row r="905">
      <c r="A905" s="15"/>
      <c r="B905" s="12"/>
      <c r="C905" s="15"/>
      <c r="D905" s="15"/>
      <c r="E905" s="15"/>
      <c r="F905" s="15"/>
      <c r="G905" s="27"/>
      <c r="H905" s="25"/>
      <c r="I905" s="12"/>
    </row>
    <row r="906">
      <c r="A906" s="15"/>
      <c r="B906" s="12"/>
      <c r="C906" s="15"/>
      <c r="D906" s="15"/>
      <c r="E906" s="15"/>
      <c r="F906" s="15"/>
      <c r="G906" s="27"/>
      <c r="H906" s="25"/>
      <c r="I906" s="12"/>
    </row>
    <row r="907">
      <c r="A907" s="15"/>
      <c r="B907" s="12"/>
      <c r="C907" s="15"/>
      <c r="D907" s="15"/>
      <c r="E907" s="15"/>
      <c r="F907" s="15"/>
      <c r="G907" s="27"/>
      <c r="H907" s="25"/>
      <c r="I907" s="12"/>
    </row>
    <row r="908">
      <c r="A908" s="15"/>
      <c r="B908" s="12"/>
      <c r="C908" s="15"/>
      <c r="D908" s="15"/>
      <c r="E908" s="15"/>
      <c r="F908" s="15"/>
      <c r="G908" s="27"/>
      <c r="H908" s="25"/>
      <c r="I908" s="12"/>
    </row>
    <row r="909">
      <c r="A909" s="15"/>
      <c r="B909" s="12"/>
      <c r="C909" s="15"/>
      <c r="D909" s="15"/>
      <c r="E909" s="15"/>
      <c r="F909" s="15"/>
      <c r="G909" s="27"/>
      <c r="H909" s="25"/>
      <c r="I909" s="12"/>
    </row>
    <row r="910">
      <c r="A910" s="15"/>
      <c r="B910" s="12"/>
      <c r="C910" s="15"/>
      <c r="D910" s="15"/>
      <c r="E910" s="15"/>
      <c r="F910" s="15"/>
      <c r="G910" s="27"/>
      <c r="H910" s="25"/>
      <c r="I910" s="12"/>
    </row>
    <row r="911">
      <c r="A911" s="15"/>
      <c r="B911" s="12"/>
      <c r="C911" s="15"/>
      <c r="D911" s="15"/>
      <c r="E911" s="15"/>
      <c r="F911" s="15"/>
      <c r="G911" s="27"/>
      <c r="H911" s="25"/>
      <c r="I911" s="12"/>
    </row>
    <row r="912">
      <c r="A912" s="15"/>
      <c r="B912" s="12"/>
      <c r="C912" s="15"/>
      <c r="D912" s="15"/>
      <c r="E912" s="15"/>
      <c r="F912" s="15"/>
      <c r="G912" s="27"/>
      <c r="H912" s="25"/>
      <c r="I912" s="12"/>
    </row>
    <row r="913">
      <c r="A913" s="15"/>
      <c r="B913" s="12"/>
      <c r="C913" s="15"/>
      <c r="D913" s="15"/>
      <c r="E913" s="15"/>
      <c r="F913" s="15"/>
      <c r="G913" s="27"/>
      <c r="H913" s="25"/>
      <c r="I913" s="12"/>
    </row>
    <row r="914">
      <c r="A914" s="15"/>
      <c r="B914" s="12"/>
      <c r="C914" s="15"/>
      <c r="D914" s="15"/>
      <c r="E914" s="15"/>
      <c r="F914" s="15"/>
      <c r="G914" s="27"/>
      <c r="H914" s="25"/>
      <c r="I914" s="12"/>
    </row>
    <row r="915">
      <c r="A915" s="15"/>
      <c r="B915" s="12"/>
      <c r="C915" s="15"/>
      <c r="D915" s="15"/>
      <c r="E915" s="15"/>
      <c r="F915" s="15"/>
      <c r="G915" s="27"/>
      <c r="H915" s="25"/>
      <c r="I915" s="12"/>
    </row>
    <row r="916">
      <c r="A916" s="15"/>
      <c r="B916" s="12"/>
      <c r="C916" s="15"/>
      <c r="D916" s="15"/>
      <c r="E916" s="15"/>
      <c r="F916" s="15"/>
      <c r="G916" s="27"/>
      <c r="H916" s="25"/>
      <c r="I916" s="12"/>
    </row>
    <row r="917">
      <c r="A917" s="15"/>
      <c r="B917" s="12"/>
      <c r="C917" s="15"/>
      <c r="D917" s="15"/>
      <c r="E917" s="15"/>
      <c r="F917" s="15"/>
      <c r="G917" s="27"/>
      <c r="H917" s="25"/>
      <c r="I917" s="12"/>
    </row>
    <row r="918">
      <c r="A918" s="15"/>
      <c r="B918" s="12"/>
      <c r="C918" s="15"/>
      <c r="D918" s="15"/>
      <c r="E918" s="15"/>
      <c r="F918" s="15"/>
      <c r="G918" s="27"/>
      <c r="H918" s="25"/>
      <c r="I918" s="12"/>
    </row>
    <row r="919">
      <c r="A919" s="15"/>
      <c r="B919" s="12"/>
      <c r="C919" s="15"/>
      <c r="D919" s="15"/>
      <c r="E919" s="15"/>
      <c r="F919" s="15"/>
      <c r="G919" s="27"/>
      <c r="H919" s="25"/>
      <c r="I919" s="12"/>
    </row>
    <row r="920">
      <c r="A920" s="15"/>
      <c r="B920" s="12"/>
      <c r="C920" s="15"/>
      <c r="D920" s="15"/>
      <c r="E920" s="15"/>
      <c r="F920" s="15"/>
      <c r="G920" s="27"/>
      <c r="H920" s="25"/>
      <c r="I920" s="12"/>
    </row>
    <row r="921">
      <c r="A921" s="15"/>
      <c r="B921" s="12"/>
      <c r="C921" s="15"/>
      <c r="D921" s="15"/>
      <c r="E921" s="15"/>
      <c r="F921" s="15"/>
      <c r="G921" s="27"/>
      <c r="H921" s="25"/>
      <c r="I921" s="12"/>
    </row>
    <row r="922">
      <c r="A922" s="15"/>
      <c r="B922" s="12"/>
      <c r="C922" s="15"/>
      <c r="D922" s="15"/>
      <c r="E922" s="15"/>
      <c r="F922" s="15"/>
      <c r="G922" s="27"/>
      <c r="H922" s="25"/>
      <c r="I922" s="12"/>
    </row>
    <row r="923">
      <c r="A923" s="15"/>
      <c r="B923" s="12"/>
      <c r="C923" s="15"/>
      <c r="D923" s="15"/>
      <c r="E923" s="15"/>
      <c r="F923" s="15"/>
      <c r="G923" s="27"/>
      <c r="H923" s="25"/>
      <c r="I923" s="12"/>
    </row>
    <row r="924">
      <c r="A924" s="15"/>
      <c r="B924" s="12"/>
      <c r="C924" s="15"/>
      <c r="D924" s="15"/>
      <c r="E924" s="15"/>
      <c r="F924" s="15"/>
      <c r="G924" s="27"/>
      <c r="H924" s="25"/>
      <c r="I924" s="12"/>
    </row>
    <row r="925">
      <c r="A925" s="15"/>
      <c r="B925" s="12"/>
      <c r="C925" s="15"/>
      <c r="D925" s="15"/>
      <c r="E925" s="15"/>
      <c r="F925" s="15"/>
      <c r="G925" s="27"/>
      <c r="H925" s="25"/>
      <c r="I925" s="12"/>
    </row>
    <row r="926">
      <c r="A926" s="15"/>
      <c r="B926" s="12"/>
      <c r="C926" s="15"/>
      <c r="D926" s="15"/>
      <c r="E926" s="15"/>
      <c r="F926" s="15"/>
      <c r="G926" s="27"/>
      <c r="H926" s="25"/>
      <c r="I926" s="12"/>
    </row>
    <row r="927">
      <c r="A927" s="15"/>
      <c r="B927" s="12"/>
      <c r="C927" s="15"/>
      <c r="D927" s="15"/>
      <c r="E927" s="15"/>
      <c r="F927" s="15"/>
      <c r="G927" s="27"/>
      <c r="H927" s="25"/>
      <c r="I927" s="12"/>
    </row>
    <row r="928">
      <c r="A928" s="15"/>
      <c r="B928" s="12"/>
      <c r="C928" s="15"/>
      <c r="D928" s="15"/>
      <c r="E928" s="15"/>
      <c r="F928" s="15"/>
      <c r="G928" s="27"/>
      <c r="H928" s="25"/>
      <c r="I928" s="12"/>
    </row>
    <row r="929">
      <c r="A929" s="15"/>
      <c r="B929" s="12"/>
      <c r="C929" s="15"/>
      <c r="D929" s="15"/>
      <c r="E929" s="15"/>
      <c r="F929" s="15"/>
      <c r="G929" s="27"/>
      <c r="H929" s="25"/>
      <c r="I929" s="12"/>
    </row>
    <row r="930">
      <c r="A930" s="15"/>
      <c r="B930" s="12"/>
      <c r="C930" s="15"/>
      <c r="D930" s="15"/>
      <c r="E930" s="15"/>
      <c r="F930" s="15"/>
      <c r="G930" s="27"/>
      <c r="H930" s="25"/>
      <c r="I930" s="12"/>
    </row>
    <row r="931">
      <c r="A931" s="15"/>
      <c r="B931" s="12"/>
      <c r="C931" s="15"/>
      <c r="D931" s="15"/>
      <c r="E931" s="15"/>
      <c r="F931" s="15"/>
      <c r="G931" s="27"/>
      <c r="H931" s="25"/>
      <c r="I931" s="12"/>
    </row>
    <row r="932">
      <c r="A932" s="15"/>
      <c r="B932" s="12"/>
      <c r="C932" s="15"/>
      <c r="D932" s="15"/>
      <c r="E932" s="15"/>
      <c r="F932" s="15"/>
      <c r="G932" s="27"/>
      <c r="H932" s="25"/>
      <c r="I932" s="12"/>
    </row>
    <row r="933">
      <c r="A933" s="15"/>
      <c r="B933" s="12"/>
      <c r="C933" s="15"/>
      <c r="D933" s="15"/>
      <c r="E933" s="15"/>
      <c r="F933" s="15"/>
      <c r="G933" s="27"/>
      <c r="H933" s="25"/>
      <c r="I933" s="12"/>
    </row>
    <row r="934">
      <c r="A934" s="15"/>
      <c r="B934" s="12"/>
      <c r="C934" s="15"/>
      <c r="D934" s="15"/>
      <c r="E934" s="15"/>
      <c r="F934" s="15"/>
      <c r="G934" s="27"/>
      <c r="H934" s="25"/>
      <c r="I934" s="12"/>
    </row>
    <row r="935">
      <c r="A935" s="15"/>
      <c r="B935" s="12"/>
      <c r="C935" s="15"/>
      <c r="D935" s="15"/>
      <c r="E935" s="15"/>
      <c r="F935" s="15"/>
      <c r="G935" s="27"/>
      <c r="H935" s="25"/>
      <c r="I935" s="12"/>
    </row>
    <row r="936">
      <c r="A936" s="15"/>
      <c r="B936" s="12"/>
      <c r="C936" s="15"/>
      <c r="D936" s="15"/>
      <c r="E936" s="15"/>
      <c r="F936" s="15"/>
      <c r="G936" s="27"/>
      <c r="H936" s="25"/>
      <c r="I936" s="12"/>
    </row>
    <row r="937">
      <c r="A937" s="15"/>
      <c r="B937" s="12"/>
      <c r="C937" s="15"/>
      <c r="D937" s="15"/>
      <c r="E937" s="15"/>
      <c r="F937" s="15"/>
      <c r="G937" s="27"/>
      <c r="H937" s="25"/>
      <c r="I937" s="12"/>
    </row>
    <row r="938">
      <c r="A938" s="15"/>
      <c r="B938" s="12"/>
      <c r="C938" s="15"/>
      <c r="D938" s="15"/>
      <c r="E938" s="15"/>
      <c r="F938" s="15"/>
      <c r="G938" s="27"/>
      <c r="H938" s="25"/>
      <c r="I938" s="12"/>
    </row>
    <row r="939">
      <c r="A939" s="15"/>
      <c r="B939" s="12"/>
      <c r="C939" s="15"/>
      <c r="D939" s="15"/>
      <c r="E939" s="15"/>
      <c r="F939" s="15"/>
      <c r="G939" s="27"/>
      <c r="H939" s="25"/>
      <c r="I939" s="12"/>
    </row>
    <row r="940">
      <c r="A940" s="15"/>
      <c r="B940" s="12"/>
      <c r="C940" s="15"/>
      <c r="D940" s="15"/>
      <c r="E940" s="15"/>
      <c r="F940" s="15"/>
      <c r="G940" s="27"/>
      <c r="H940" s="25"/>
      <c r="I940" s="12"/>
    </row>
    <row r="941">
      <c r="A941" s="15"/>
      <c r="B941" s="12"/>
      <c r="C941" s="15"/>
      <c r="D941" s="15"/>
      <c r="E941" s="15"/>
      <c r="F941" s="15"/>
      <c r="G941" s="27"/>
      <c r="H941" s="25"/>
      <c r="I941" s="12"/>
    </row>
    <row r="942">
      <c r="A942" s="15"/>
      <c r="B942" s="12"/>
      <c r="C942" s="15"/>
      <c r="D942" s="15"/>
      <c r="E942" s="15"/>
      <c r="F942" s="15"/>
      <c r="G942" s="27"/>
      <c r="H942" s="25"/>
      <c r="I942" s="12"/>
    </row>
    <row r="943">
      <c r="A943" s="15"/>
      <c r="B943" s="12"/>
      <c r="C943" s="15"/>
      <c r="D943" s="15"/>
      <c r="E943" s="15"/>
      <c r="F943" s="15"/>
      <c r="G943" s="27"/>
      <c r="H943" s="25"/>
      <c r="I943" s="12"/>
    </row>
    <row r="944">
      <c r="A944" s="15"/>
      <c r="B944" s="12"/>
      <c r="C944" s="15"/>
      <c r="D944" s="15"/>
      <c r="E944" s="15"/>
      <c r="F944" s="15"/>
      <c r="G944" s="27"/>
      <c r="H944" s="25"/>
      <c r="I944" s="12"/>
    </row>
    <row r="945">
      <c r="A945" s="15"/>
      <c r="B945" s="12"/>
      <c r="C945" s="15"/>
      <c r="D945" s="15"/>
      <c r="E945" s="15"/>
      <c r="F945" s="15"/>
      <c r="G945" s="27"/>
      <c r="H945" s="25"/>
      <c r="I945" s="12"/>
    </row>
    <row r="946">
      <c r="A946" s="15"/>
      <c r="B946" s="12"/>
      <c r="C946" s="15"/>
      <c r="D946" s="15"/>
      <c r="E946" s="15"/>
      <c r="F946" s="15"/>
      <c r="G946" s="27"/>
      <c r="H946" s="25"/>
      <c r="I946" s="12"/>
    </row>
    <row r="947">
      <c r="A947" s="15"/>
      <c r="B947" s="12"/>
      <c r="C947" s="15"/>
      <c r="D947" s="15"/>
      <c r="E947" s="15"/>
      <c r="F947" s="15"/>
      <c r="G947" s="27"/>
      <c r="H947" s="25"/>
      <c r="I947" s="12"/>
    </row>
    <row r="948">
      <c r="A948" s="15"/>
      <c r="B948" s="12"/>
      <c r="C948" s="15"/>
      <c r="D948" s="15"/>
      <c r="E948" s="15"/>
      <c r="F948" s="15"/>
      <c r="G948" s="27"/>
      <c r="H948" s="25"/>
      <c r="I948" s="12"/>
    </row>
    <row r="949">
      <c r="A949" s="15"/>
      <c r="B949" s="12"/>
      <c r="C949" s="15"/>
      <c r="D949" s="15"/>
      <c r="E949" s="15"/>
      <c r="F949" s="15"/>
      <c r="G949" s="27"/>
      <c r="H949" s="25"/>
      <c r="I949" s="12"/>
    </row>
    <row r="950">
      <c r="A950" s="15"/>
      <c r="B950" s="12"/>
      <c r="C950" s="15"/>
      <c r="D950" s="15"/>
      <c r="E950" s="15"/>
      <c r="F950" s="15"/>
      <c r="G950" s="27"/>
      <c r="H950" s="25"/>
      <c r="I950" s="12"/>
    </row>
    <row r="951">
      <c r="A951" s="15"/>
      <c r="B951" s="12"/>
      <c r="C951" s="15"/>
      <c r="D951" s="15"/>
      <c r="E951" s="15"/>
      <c r="F951" s="15"/>
      <c r="G951" s="27"/>
      <c r="H951" s="25"/>
      <c r="I951" s="12"/>
    </row>
    <row r="952">
      <c r="A952" s="15"/>
      <c r="B952" s="12"/>
      <c r="C952" s="15"/>
      <c r="D952" s="15"/>
      <c r="E952" s="15"/>
      <c r="F952" s="15"/>
      <c r="G952" s="27"/>
      <c r="H952" s="25"/>
      <c r="I952" s="12"/>
    </row>
    <row r="953">
      <c r="A953" s="15"/>
      <c r="B953" s="12"/>
      <c r="C953" s="15"/>
      <c r="D953" s="15"/>
      <c r="E953" s="15"/>
      <c r="F953" s="15"/>
      <c r="G953" s="27"/>
      <c r="H953" s="25"/>
      <c r="I953" s="12"/>
    </row>
    <row r="954">
      <c r="A954" s="15"/>
      <c r="B954" s="12"/>
      <c r="C954" s="15"/>
      <c r="D954" s="15"/>
      <c r="E954" s="15"/>
      <c r="F954" s="15"/>
      <c r="G954" s="27"/>
      <c r="H954" s="25"/>
      <c r="I954" s="12"/>
    </row>
    <row r="955">
      <c r="A955" s="15"/>
      <c r="B955" s="12"/>
      <c r="C955" s="15"/>
      <c r="D955" s="15"/>
      <c r="E955" s="15"/>
      <c r="F955" s="15"/>
      <c r="G955" s="27"/>
      <c r="H955" s="25"/>
      <c r="I955" s="12"/>
    </row>
    <row r="956">
      <c r="A956" s="15"/>
      <c r="B956" s="12"/>
      <c r="C956" s="15"/>
      <c r="D956" s="15"/>
      <c r="E956" s="15"/>
      <c r="F956" s="15"/>
      <c r="G956" s="27"/>
      <c r="H956" s="25"/>
      <c r="I956" s="12"/>
    </row>
    <row r="957">
      <c r="A957" s="15"/>
      <c r="B957" s="12"/>
      <c r="C957" s="15"/>
      <c r="D957" s="15"/>
      <c r="E957" s="15"/>
      <c r="F957" s="15"/>
      <c r="G957" s="27"/>
      <c r="H957" s="25"/>
      <c r="I957" s="12"/>
    </row>
    <row r="958">
      <c r="A958" s="15"/>
      <c r="B958" s="12"/>
      <c r="C958" s="15"/>
      <c r="D958" s="15"/>
      <c r="E958" s="15"/>
      <c r="F958" s="15"/>
      <c r="G958" s="27"/>
      <c r="H958" s="25"/>
      <c r="I958" s="12"/>
    </row>
    <row r="959">
      <c r="A959" s="15"/>
      <c r="B959" s="12"/>
      <c r="C959" s="15"/>
      <c r="D959" s="15"/>
      <c r="E959" s="15"/>
      <c r="F959" s="15"/>
      <c r="G959" s="27"/>
      <c r="H959" s="25"/>
      <c r="I959" s="12"/>
    </row>
    <row r="960">
      <c r="A960" s="15"/>
      <c r="B960" s="12"/>
      <c r="C960" s="15"/>
      <c r="D960" s="15"/>
      <c r="E960" s="15"/>
      <c r="F960" s="15"/>
      <c r="G960" s="27"/>
      <c r="H960" s="25"/>
      <c r="I960" s="12"/>
    </row>
    <row r="961">
      <c r="A961" s="15"/>
      <c r="B961" s="12"/>
      <c r="C961" s="15"/>
      <c r="D961" s="15"/>
      <c r="E961" s="15"/>
      <c r="F961" s="15"/>
      <c r="G961" s="27"/>
      <c r="H961" s="25"/>
      <c r="I961" s="12"/>
    </row>
    <row r="962">
      <c r="A962" s="15"/>
      <c r="B962" s="12"/>
      <c r="C962" s="15"/>
      <c r="D962" s="15"/>
      <c r="E962" s="15"/>
      <c r="F962" s="15"/>
      <c r="G962" s="27"/>
      <c r="H962" s="25"/>
      <c r="I962" s="12"/>
    </row>
    <row r="963">
      <c r="A963" s="15"/>
      <c r="B963" s="12"/>
      <c r="C963" s="15"/>
      <c r="D963" s="15"/>
      <c r="E963" s="15"/>
      <c r="F963" s="15"/>
      <c r="G963" s="27"/>
      <c r="H963" s="25"/>
      <c r="I963" s="12"/>
    </row>
    <row r="964">
      <c r="A964" s="15"/>
      <c r="B964" s="12"/>
      <c r="C964" s="15"/>
      <c r="D964" s="15"/>
      <c r="E964" s="15"/>
      <c r="F964" s="15"/>
      <c r="G964" s="27"/>
      <c r="H964" s="25"/>
      <c r="I964" s="12"/>
    </row>
    <row r="965">
      <c r="A965" s="15"/>
      <c r="B965" s="12"/>
      <c r="C965" s="15"/>
      <c r="D965" s="15"/>
      <c r="E965" s="15"/>
      <c r="F965" s="15"/>
      <c r="G965" s="27"/>
      <c r="H965" s="25"/>
      <c r="I965" s="12"/>
    </row>
    <row r="966">
      <c r="A966" s="15"/>
      <c r="B966" s="12"/>
      <c r="C966" s="15"/>
      <c r="D966" s="15"/>
      <c r="E966" s="15"/>
      <c r="F966" s="15"/>
      <c r="G966" s="27"/>
      <c r="H966" s="25"/>
      <c r="I966" s="12"/>
    </row>
    <row r="967">
      <c r="A967" s="15"/>
      <c r="B967" s="12"/>
      <c r="C967" s="15"/>
      <c r="D967" s="15"/>
      <c r="E967" s="15"/>
      <c r="F967" s="15"/>
      <c r="G967" s="27"/>
      <c r="H967" s="25"/>
      <c r="I967" s="12"/>
    </row>
    <row r="968">
      <c r="A968" s="15"/>
      <c r="B968" s="12"/>
      <c r="C968" s="15"/>
      <c r="D968" s="15"/>
      <c r="E968" s="15"/>
      <c r="F968" s="15"/>
      <c r="G968" s="27"/>
      <c r="H968" s="25"/>
      <c r="I968" s="12"/>
    </row>
    <row r="969">
      <c r="A969" s="15"/>
      <c r="B969" s="12"/>
      <c r="C969" s="15"/>
      <c r="D969" s="15"/>
      <c r="E969" s="15"/>
      <c r="F969" s="15"/>
      <c r="G969" s="27"/>
      <c r="H969" s="25"/>
      <c r="I969" s="12"/>
    </row>
    <row r="970">
      <c r="A970" s="15"/>
      <c r="B970" s="12"/>
      <c r="C970" s="15"/>
      <c r="D970" s="15"/>
      <c r="E970" s="15"/>
      <c r="F970" s="15"/>
      <c r="G970" s="27"/>
      <c r="H970" s="25"/>
      <c r="I970" s="12"/>
    </row>
    <row r="971">
      <c r="A971" s="15"/>
      <c r="B971" s="12"/>
      <c r="C971" s="15"/>
      <c r="D971" s="15"/>
      <c r="E971" s="15"/>
      <c r="F971" s="15"/>
      <c r="G971" s="27"/>
      <c r="H971" s="25"/>
      <c r="I971" s="12"/>
    </row>
    <row r="972">
      <c r="A972" s="15"/>
      <c r="B972" s="12"/>
      <c r="C972" s="15"/>
      <c r="D972" s="15"/>
      <c r="E972" s="15"/>
      <c r="F972" s="15"/>
      <c r="G972" s="27"/>
      <c r="H972" s="25"/>
      <c r="I972" s="12"/>
    </row>
    <row r="973">
      <c r="A973" s="15"/>
      <c r="B973" s="12"/>
      <c r="C973" s="15"/>
      <c r="D973" s="15"/>
      <c r="E973" s="15"/>
      <c r="F973" s="15"/>
      <c r="G973" s="27"/>
      <c r="H973" s="25"/>
      <c r="I973" s="12"/>
    </row>
    <row r="974">
      <c r="A974" s="15"/>
      <c r="B974" s="12"/>
      <c r="C974" s="15"/>
      <c r="D974" s="15"/>
      <c r="E974" s="15"/>
      <c r="F974" s="15"/>
      <c r="G974" s="27"/>
      <c r="H974" s="25"/>
      <c r="I974" s="12"/>
    </row>
    <row r="975">
      <c r="A975" s="15"/>
      <c r="B975" s="12"/>
      <c r="C975" s="15"/>
      <c r="D975" s="15"/>
      <c r="E975" s="15"/>
      <c r="F975" s="15"/>
      <c r="G975" s="27"/>
      <c r="H975" s="25"/>
      <c r="I975" s="12"/>
    </row>
    <row r="976">
      <c r="A976" s="15"/>
      <c r="B976" s="12"/>
      <c r="C976" s="15"/>
      <c r="D976" s="15"/>
      <c r="E976" s="15"/>
      <c r="F976" s="15"/>
      <c r="G976" s="27"/>
      <c r="H976" s="25"/>
      <c r="I976" s="12"/>
    </row>
    <row r="977">
      <c r="A977" s="15"/>
      <c r="B977" s="12"/>
      <c r="C977" s="15"/>
      <c r="D977" s="15"/>
      <c r="E977" s="15"/>
      <c r="F977" s="15"/>
      <c r="G977" s="27"/>
      <c r="H977" s="25"/>
      <c r="I977" s="12"/>
    </row>
    <row r="978">
      <c r="A978" s="15"/>
      <c r="B978" s="12"/>
      <c r="C978" s="15"/>
      <c r="D978" s="15"/>
      <c r="E978" s="15"/>
      <c r="F978" s="15"/>
      <c r="G978" s="27"/>
      <c r="H978" s="25"/>
      <c r="I978" s="12"/>
    </row>
    <row r="979">
      <c r="A979" s="15"/>
      <c r="B979" s="12"/>
      <c r="C979" s="15"/>
      <c r="D979" s="15"/>
      <c r="E979" s="15"/>
      <c r="F979" s="15"/>
      <c r="G979" s="27"/>
      <c r="H979" s="25"/>
      <c r="I979" s="12"/>
    </row>
    <row r="980">
      <c r="A980" s="15"/>
      <c r="B980" s="12"/>
      <c r="C980" s="15"/>
      <c r="D980" s="15"/>
      <c r="E980" s="15"/>
      <c r="F980" s="15"/>
      <c r="G980" s="27"/>
      <c r="H980" s="25"/>
      <c r="I980" s="12"/>
    </row>
    <row r="981">
      <c r="A981" s="15"/>
      <c r="B981" s="12"/>
      <c r="C981" s="15"/>
      <c r="D981" s="15"/>
      <c r="E981" s="15"/>
      <c r="F981" s="15"/>
      <c r="G981" s="27"/>
      <c r="H981" s="25"/>
      <c r="I981" s="12"/>
    </row>
    <row r="982">
      <c r="A982" s="15"/>
      <c r="B982" s="12"/>
      <c r="C982" s="15"/>
      <c r="D982" s="15"/>
      <c r="E982" s="15"/>
      <c r="F982" s="15"/>
      <c r="G982" s="27"/>
      <c r="H982" s="25"/>
      <c r="I982" s="12"/>
    </row>
    <row r="983">
      <c r="A983" s="15"/>
      <c r="B983" s="12"/>
      <c r="C983" s="15"/>
      <c r="D983" s="15"/>
      <c r="E983" s="15"/>
      <c r="F983" s="15"/>
      <c r="G983" s="27"/>
      <c r="H983" s="25"/>
      <c r="I983" s="12"/>
    </row>
    <row r="984">
      <c r="A984" s="15"/>
      <c r="B984" s="12"/>
      <c r="C984" s="15"/>
      <c r="D984" s="15"/>
      <c r="E984" s="15"/>
      <c r="F984" s="15"/>
      <c r="G984" s="27"/>
      <c r="H984" s="25"/>
      <c r="I984" s="12"/>
    </row>
    <row r="985">
      <c r="A985" s="15"/>
      <c r="B985" s="12"/>
      <c r="C985" s="15"/>
      <c r="D985" s="15"/>
      <c r="E985" s="15"/>
      <c r="F985" s="15"/>
      <c r="G985" s="27"/>
      <c r="H985" s="25"/>
      <c r="I985" s="12"/>
    </row>
    <row r="986">
      <c r="A986" s="15"/>
      <c r="B986" s="12"/>
      <c r="C986" s="15"/>
      <c r="D986" s="15"/>
      <c r="E986" s="15"/>
      <c r="F986" s="15"/>
      <c r="G986" s="27"/>
      <c r="H986" s="25"/>
      <c r="I986" s="12"/>
    </row>
    <row r="987">
      <c r="A987" s="15"/>
      <c r="B987" s="12"/>
      <c r="C987" s="15"/>
      <c r="D987" s="15"/>
      <c r="E987" s="15"/>
      <c r="F987" s="15"/>
      <c r="G987" s="27"/>
      <c r="H987" s="25"/>
      <c r="I987" s="12"/>
    </row>
    <row r="988">
      <c r="A988" s="15"/>
      <c r="B988" s="12"/>
      <c r="C988" s="15"/>
      <c r="D988" s="15"/>
      <c r="E988" s="15"/>
      <c r="F988" s="15"/>
      <c r="G988" s="27"/>
      <c r="H988" s="25"/>
      <c r="I988" s="12"/>
    </row>
    <row r="989">
      <c r="A989" s="15"/>
      <c r="B989" s="12"/>
      <c r="C989" s="15"/>
      <c r="D989" s="15"/>
      <c r="E989" s="15"/>
      <c r="F989" s="15"/>
      <c r="G989" s="27"/>
      <c r="H989" s="25"/>
      <c r="I989" s="12"/>
    </row>
    <row r="990">
      <c r="A990" s="15"/>
      <c r="B990" s="12"/>
      <c r="C990" s="15"/>
      <c r="D990" s="15"/>
      <c r="E990" s="15"/>
      <c r="F990" s="15"/>
      <c r="G990" s="27"/>
      <c r="H990" s="25"/>
      <c r="I990" s="12"/>
    </row>
    <row r="991">
      <c r="A991" s="15"/>
      <c r="B991" s="12"/>
      <c r="C991" s="15"/>
      <c r="D991" s="15"/>
      <c r="E991" s="15"/>
      <c r="F991" s="15"/>
      <c r="G991" s="27"/>
      <c r="H991" s="25"/>
      <c r="I991" s="12"/>
    </row>
    <row r="992">
      <c r="A992" s="15"/>
      <c r="B992" s="12"/>
      <c r="C992" s="15"/>
      <c r="D992" s="15"/>
      <c r="E992" s="15"/>
      <c r="F992" s="15"/>
      <c r="G992" s="27"/>
      <c r="H992" s="25"/>
      <c r="I992" s="12"/>
    </row>
    <row r="993">
      <c r="A993" s="15"/>
      <c r="B993" s="12"/>
      <c r="C993" s="15"/>
      <c r="D993" s="15"/>
      <c r="E993" s="15"/>
      <c r="F993" s="15"/>
      <c r="G993" s="27"/>
      <c r="H993" s="25"/>
      <c r="I993" s="12"/>
    </row>
    <row r="994">
      <c r="A994" s="15"/>
      <c r="B994" s="12"/>
      <c r="C994" s="15"/>
      <c r="D994" s="15"/>
      <c r="E994" s="15"/>
      <c r="F994" s="15"/>
      <c r="G994" s="27"/>
      <c r="H994" s="25"/>
      <c r="I994" s="12"/>
    </row>
    <row r="995">
      <c r="A995" s="15"/>
      <c r="B995" s="12"/>
      <c r="C995" s="15"/>
      <c r="D995" s="15"/>
      <c r="E995" s="15"/>
      <c r="F995" s="15"/>
      <c r="G995" s="27"/>
      <c r="H995" s="25"/>
      <c r="I995" s="12"/>
    </row>
    <row r="996">
      <c r="A996" s="15"/>
      <c r="B996" s="12"/>
      <c r="C996" s="15"/>
      <c r="D996" s="15"/>
      <c r="E996" s="15"/>
      <c r="F996" s="15"/>
      <c r="G996" s="27"/>
      <c r="H996" s="25"/>
      <c r="I996" s="12"/>
    </row>
    <row r="997">
      <c r="A997" s="15"/>
      <c r="B997" s="12"/>
      <c r="C997" s="15"/>
      <c r="D997" s="15"/>
      <c r="E997" s="15"/>
      <c r="F997" s="15"/>
      <c r="G997" s="27"/>
      <c r="H997" s="25"/>
      <c r="I997" s="12"/>
    </row>
    <row r="998">
      <c r="A998" s="15"/>
      <c r="B998" s="12"/>
      <c r="C998" s="15"/>
      <c r="D998" s="15"/>
      <c r="E998" s="15"/>
      <c r="F998" s="15"/>
      <c r="G998" s="27"/>
      <c r="H998" s="25"/>
      <c r="I998" s="12"/>
    </row>
    <row r="999">
      <c r="A999" s="15"/>
      <c r="B999" s="12"/>
      <c r="C999" s="15"/>
      <c r="D999" s="15"/>
      <c r="E999" s="15"/>
      <c r="F999" s="15"/>
      <c r="G999" s="27"/>
      <c r="H999" s="25"/>
      <c r="I999" s="12"/>
    </row>
    <row r="1000">
      <c r="A1000" s="15"/>
      <c r="B1000" s="12"/>
      <c r="C1000" s="15"/>
      <c r="D1000" s="15"/>
      <c r="E1000" s="15"/>
      <c r="F1000" s="15"/>
      <c r="G1000" s="27"/>
      <c r="H1000" s="25"/>
      <c r="I1000" s="12"/>
    </row>
    <row r="1001">
      <c r="A1001" s="15"/>
      <c r="B1001" s="12"/>
      <c r="C1001" s="15"/>
      <c r="D1001" s="15"/>
      <c r="E1001" s="15"/>
      <c r="F1001" s="15"/>
      <c r="G1001" s="27"/>
      <c r="H1001" s="25"/>
      <c r="I1001" s="12"/>
    </row>
  </sheetData>
  <conditionalFormatting sqref="H2:H1001">
    <cfRule type="colorScale" priority="1">
      <colorScale>
        <cfvo type="formula" val="0"/>
        <cfvo type="percentile" val="50"/>
        <cfvo type="max"/>
        <color rgb="FFEA4335"/>
        <color rgb="FFFFD666"/>
        <color rgb="FF34A85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20.38"/>
    <col customWidth="1" min="3" max="3" width="16.25"/>
    <col customWidth="1" min="4" max="4" width="32.75"/>
    <col customWidth="1" min="5" max="5" width="9.25"/>
    <col customWidth="1" min="6" max="6" width="38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6" width="17.75"/>
  </cols>
  <sheetData>
    <row r="1" ht="22.5" customHeight="1">
      <c r="A1" s="28" t="s">
        <v>55</v>
      </c>
      <c r="B1" s="29" t="s">
        <v>49</v>
      </c>
      <c r="C1" s="29" t="s">
        <v>50</v>
      </c>
      <c r="D1" s="30" t="s">
        <v>56</v>
      </c>
      <c r="E1" s="31" t="s">
        <v>57</v>
      </c>
      <c r="F1" s="32" t="s">
        <v>52</v>
      </c>
      <c r="G1" s="33" t="s">
        <v>53</v>
      </c>
      <c r="H1" s="31" t="s">
        <v>4</v>
      </c>
      <c r="I1" s="31" t="s">
        <v>58</v>
      </c>
      <c r="J1" s="31" t="s">
        <v>59</v>
      </c>
      <c r="K1" s="31" t="s">
        <v>60</v>
      </c>
      <c r="L1" s="31" t="s">
        <v>61</v>
      </c>
      <c r="M1" s="31" t="s">
        <v>62</v>
      </c>
      <c r="N1" s="31" t="s">
        <v>63</v>
      </c>
      <c r="O1" s="34" t="s">
        <v>64</v>
      </c>
      <c r="P1" s="31" t="s">
        <v>65</v>
      </c>
    </row>
    <row r="2" ht="22.5" customHeight="1">
      <c r="A2" s="35">
        <v>1.0</v>
      </c>
      <c r="B2" s="36" t="s">
        <v>66</v>
      </c>
      <c r="C2" s="37" t="s">
        <v>67</v>
      </c>
      <c r="D2" s="38" t="s">
        <v>68</v>
      </c>
      <c r="E2" s="39" t="str">
        <f>IMAGE("https://flagcdn.com/w320/cz.png")</f>
        <v/>
      </c>
      <c r="F2" s="40">
        <v>37095.0</v>
      </c>
      <c r="G2" s="41">
        <f t="shared" ref="G2:G48" si="1">DATEDIF(F2,TODAY(),"Y")</f>
        <v>24</v>
      </c>
      <c r="H2" s="42">
        <f>1+1+1+1+1</f>
        <v>5</v>
      </c>
      <c r="I2" s="42">
        <f>90+90+90+90+90</f>
        <v>450</v>
      </c>
      <c r="J2" s="42"/>
      <c r="K2" s="42"/>
      <c r="L2" s="42"/>
      <c r="M2" s="42"/>
      <c r="N2" s="42"/>
      <c r="O2" s="42">
        <f t="shared" ref="O2:O35" si="3">J2+K2</f>
        <v>0</v>
      </c>
      <c r="P2" s="42"/>
    </row>
    <row r="3" ht="22.5" customHeight="1">
      <c r="A3" s="35">
        <v>2.0</v>
      </c>
      <c r="B3" s="43" t="s">
        <v>69</v>
      </c>
      <c r="C3" s="37" t="s">
        <v>70</v>
      </c>
      <c r="D3" s="38" t="s">
        <v>71</v>
      </c>
      <c r="E3" s="39" t="str">
        <f>IMAGE("https://flagcdn.com/w320/br.png")</f>
        <v/>
      </c>
      <c r="F3" s="40">
        <v>36619.0</v>
      </c>
      <c r="G3" s="41">
        <f t="shared" si="1"/>
        <v>25</v>
      </c>
      <c r="H3" s="44">
        <f>1+1+1</f>
        <v>3</v>
      </c>
      <c r="I3" s="44">
        <f>90+83+90</f>
        <v>263</v>
      </c>
      <c r="J3" s="42"/>
      <c r="K3" s="42">
        <f t="shared" ref="K3:L3" si="2">1</f>
        <v>1</v>
      </c>
      <c r="L3" s="42">
        <f t="shared" si="2"/>
        <v>1</v>
      </c>
      <c r="M3" s="42"/>
      <c r="N3" s="42"/>
      <c r="O3" s="42">
        <f t="shared" si="3"/>
        <v>1</v>
      </c>
      <c r="P3" s="42"/>
    </row>
    <row r="4" ht="22.5" customHeight="1">
      <c r="A4" s="35">
        <v>3.0</v>
      </c>
      <c r="B4" s="36" t="s">
        <v>72</v>
      </c>
      <c r="C4" s="37" t="s">
        <v>70</v>
      </c>
      <c r="D4" s="38" t="s">
        <v>73</v>
      </c>
      <c r="E4" s="39" t="str">
        <f>IMAGE("https://flagcdn.com/w320/dk.png")</f>
        <v/>
      </c>
      <c r="F4" s="40">
        <v>37579.0</v>
      </c>
      <c r="G4" s="41">
        <f t="shared" si="1"/>
        <v>23</v>
      </c>
      <c r="H4" s="42">
        <f t="shared" ref="H4:H5" si="5">1+1+1+1+1+1</f>
        <v>6</v>
      </c>
      <c r="I4" s="42">
        <f>90+36+7+90+90+90</f>
        <v>403</v>
      </c>
      <c r="J4" s="42">
        <f t="shared" ref="J4:K4" si="4">1</f>
        <v>1</v>
      </c>
      <c r="K4" s="42">
        <f t="shared" si="4"/>
        <v>1</v>
      </c>
      <c r="L4" s="42">
        <f>1+1</f>
        <v>2</v>
      </c>
      <c r="M4" s="42"/>
      <c r="N4" s="42"/>
      <c r="O4" s="42">
        <f t="shared" si="3"/>
        <v>2</v>
      </c>
      <c r="P4" s="42"/>
    </row>
    <row r="5" ht="22.5" customHeight="1">
      <c r="A5" s="35">
        <v>4.0</v>
      </c>
      <c r="B5" s="36" t="s">
        <v>74</v>
      </c>
      <c r="C5" s="37" t="s">
        <v>70</v>
      </c>
      <c r="D5" s="38" t="s">
        <v>75</v>
      </c>
      <c r="E5" s="39" t="str">
        <f>IMAGE("https://flagcdn.com/w320/jp.png")</f>
        <v/>
      </c>
      <c r="F5" s="40">
        <v>35457.0</v>
      </c>
      <c r="G5" s="41">
        <f t="shared" si="1"/>
        <v>29</v>
      </c>
      <c r="H5" s="42">
        <f t="shared" si="5"/>
        <v>6</v>
      </c>
      <c r="I5" s="42">
        <f>83+90+90+90+64+37</f>
        <v>454</v>
      </c>
      <c r="J5" s="42"/>
      <c r="K5" s="42"/>
      <c r="L5" s="42">
        <f t="shared" ref="L5:L6" si="6">1</f>
        <v>1</v>
      </c>
      <c r="M5" s="42"/>
      <c r="N5" s="42"/>
      <c r="O5" s="42">
        <f t="shared" si="3"/>
        <v>0</v>
      </c>
      <c r="P5" s="42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ht="22.5" customHeight="1">
      <c r="A6" s="35">
        <v>5.0</v>
      </c>
      <c r="B6" s="36" t="s">
        <v>76</v>
      </c>
      <c r="C6" s="37" t="s">
        <v>70</v>
      </c>
      <c r="D6" s="38" t="s">
        <v>77</v>
      </c>
      <c r="E6" s="39" t="str">
        <f t="shared" ref="E6:E7" si="7">IMAGE("https://flagcdn.com/w320/nl.png")</f>
        <v/>
      </c>
      <c r="F6" s="40">
        <v>36492.0</v>
      </c>
      <c r="G6" s="41">
        <f t="shared" si="1"/>
        <v>26</v>
      </c>
      <c r="H6" s="42">
        <f>1+1+1+1+1</f>
        <v>5</v>
      </c>
      <c r="I6" s="42">
        <f>90+54+45+59+83</f>
        <v>331</v>
      </c>
      <c r="J6" s="42"/>
      <c r="K6" s="42"/>
      <c r="L6" s="42">
        <f t="shared" si="6"/>
        <v>1</v>
      </c>
      <c r="M6" s="42"/>
      <c r="N6" s="42"/>
      <c r="O6" s="42">
        <f t="shared" si="3"/>
        <v>0</v>
      </c>
      <c r="P6" s="42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ht="22.5" customHeight="1">
      <c r="A7" s="35">
        <v>6.0</v>
      </c>
      <c r="B7" s="36" t="s">
        <v>78</v>
      </c>
      <c r="C7" s="37" t="s">
        <v>79</v>
      </c>
      <c r="D7" s="38" t="s">
        <v>80</v>
      </c>
      <c r="E7" s="39" t="str">
        <f t="shared" si="7"/>
        <v/>
      </c>
      <c r="F7" s="40">
        <v>37851.0</v>
      </c>
      <c r="G7" s="41">
        <f t="shared" si="1"/>
        <v>22</v>
      </c>
      <c r="H7" s="42">
        <f>1+1+1+1+1+1+1</f>
        <v>7</v>
      </c>
      <c r="I7" s="42">
        <f>75+22+12+69+82+26+53</f>
        <v>339</v>
      </c>
      <c r="J7" s="42"/>
      <c r="K7" s="42"/>
      <c r="L7" s="42"/>
      <c r="M7" s="42"/>
      <c r="N7" s="42"/>
      <c r="O7" s="42">
        <f t="shared" si="3"/>
        <v>0</v>
      </c>
      <c r="P7" s="42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ht="22.5" customHeight="1">
      <c r="A8" s="35">
        <v>7.0</v>
      </c>
      <c r="B8" s="36" t="s">
        <v>81</v>
      </c>
      <c r="C8" s="37" t="s">
        <v>82</v>
      </c>
      <c r="D8" s="38" t="s">
        <v>83</v>
      </c>
      <c r="E8" s="39" t="str">
        <f>IMAGE("https://flagcdn.com/w320/es.png")</f>
        <v/>
      </c>
      <c r="F8" s="40">
        <v>37595.0</v>
      </c>
      <c r="G8" s="41">
        <f t="shared" si="1"/>
        <v>23</v>
      </c>
      <c r="H8" s="42">
        <f>1+1+1+1+1</f>
        <v>5</v>
      </c>
      <c r="I8" s="42">
        <f>15+7+90+8+75</f>
        <v>195</v>
      </c>
      <c r="J8" s="42"/>
      <c r="K8" s="42"/>
      <c r="L8" s="42"/>
      <c r="M8" s="42"/>
      <c r="N8" s="42"/>
      <c r="O8" s="42">
        <f t="shared" si="3"/>
        <v>0</v>
      </c>
      <c r="P8" s="42"/>
    </row>
    <row r="9" ht="22.5" customHeight="1">
      <c r="A9" s="35">
        <v>8.0</v>
      </c>
      <c r="B9" s="36" t="s">
        <v>84</v>
      </c>
      <c r="C9" s="37" t="s">
        <v>79</v>
      </c>
      <c r="D9" s="38" t="s">
        <v>80</v>
      </c>
      <c r="E9" s="39" t="str">
        <f>IMAGE("https://flagcdn.com/w320/nl.png")</f>
        <v/>
      </c>
      <c r="F9" s="40">
        <v>37392.0</v>
      </c>
      <c r="G9" s="41">
        <f t="shared" si="1"/>
        <v>23</v>
      </c>
      <c r="H9" s="42">
        <f t="shared" ref="H9:H10" si="8">1+1+1+1</f>
        <v>4</v>
      </c>
      <c r="I9" s="42">
        <f>62+90+14+90</f>
        <v>256</v>
      </c>
      <c r="J9" s="42"/>
      <c r="K9" s="42"/>
      <c r="L9" s="42"/>
      <c r="M9" s="42">
        <f>1</f>
        <v>1</v>
      </c>
      <c r="N9" s="42"/>
      <c r="O9" s="42">
        <f t="shared" si="3"/>
        <v>0</v>
      </c>
      <c r="P9" s="42"/>
    </row>
    <row r="10" ht="22.5" customHeight="1">
      <c r="A10" s="35">
        <v>9.0</v>
      </c>
      <c r="B10" s="36" t="s">
        <v>85</v>
      </c>
      <c r="C10" s="37" t="s">
        <v>82</v>
      </c>
      <c r="D10" s="38" t="s">
        <v>73</v>
      </c>
      <c r="E10" s="39" t="str">
        <f>IMAGE("https://flagcdn.com/w320/dk.png")</f>
        <v/>
      </c>
      <c r="F10" s="40">
        <v>35709.0</v>
      </c>
      <c r="G10" s="41">
        <f t="shared" si="1"/>
        <v>28</v>
      </c>
      <c r="H10" s="42">
        <f t="shared" si="8"/>
        <v>4</v>
      </c>
      <c r="I10" s="42">
        <f>28+17+64+70</f>
        <v>179</v>
      </c>
      <c r="J10" s="42">
        <f>1</f>
        <v>1</v>
      </c>
      <c r="K10" s="42"/>
      <c r="L10" s="42"/>
      <c r="M10" s="42"/>
      <c r="N10" s="42"/>
      <c r="O10" s="42">
        <f t="shared" si="3"/>
        <v>1</v>
      </c>
      <c r="P10" s="42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ht="22.5" customHeight="1">
      <c r="A11" s="35">
        <v>10.0</v>
      </c>
      <c r="B11" s="36" t="s">
        <v>86</v>
      </c>
      <c r="C11" s="37" t="s">
        <v>79</v>
      </c>
      <c r="D11" s="38" t="s">
        <v>87</v>
      </c>
      <c r="E11" s="39" t="str">
        <f>IMAGE("https://flagcdn.com/w320/il.png")</f>
        <v/>
      </c>
      <c r="F11" s="40">
        <v>38078.0</v>
      </c>
      <c r="G11" s="41">
        <f t="shared" si="1"/>
        <v>21</v>
      </c>
      <c r="H11" s="42">
        <f t="shared" ref="H11:H12" si="9">1+1+1+1+1+1+1</f>
        <v>7</v>
      </c>
      <c r="I11" s="42">
        <f>15+90+22+90+17+90+83</f>
        <v>407</v>
      </c>
      <c r="J11" s="42">
        <f>2+1</f>
        <v>3</v>
      </c>
      <c r="K11" s="42"/>
      <c r="L11" s="42"/>
      <c r="M11" s="42"/>
      <c r="N11" s="42"/>
      <c r="O11" s="42">
        <f t="shared" si="3"/>
        <v>3</v>
      </c>
      <c r="P11" s="42"/>
    </row>
    <row r="12" ht="22.5" customHeight="1">
      <c r="A12" s="46">
        <v>11.0</v>
      </c>
      <c r="B12" s="47" t="s">
        <v>88</v>
      </c>
      <c r="C12" s="48" t="s">
        <v>82</v>
      </c>
      <c r="D12" s="49" t="s">
        <v>89</v>
      </c>
      <c r="E12" s="50" t="str">
        <f>IMAGE("https://flagcdn.com/w320/be.png")</f>
        <v/>
      </c>
      <c r="F12" s="51">
        <v>38510.0</v>
      </c>
      <c r="G12" s="52">
        <f t="shared" si="1"/>
        <v>20</v>
      </c>
      <c r="H12" s="53">
        <f t="shared" si="9"/>
        <v>7</v>
      </c>
      <c r="I12" s="53">
        <f>75+83+83+69+73+15+90</f>
        <v>488</v>
      </c>
      <c r="J12" s="53"/>
      <c r="K12" s="53">
        <f>1</f>
        <v>1</v>
      </c>
      <c r="L12" s="53"/>
      <c r="M12" s="53"/>
      <c r="N12" s="53"/>
      <c r="O12" s="42">
        <f t="shared" si="3"/>
        <v>1</v>
      </c>
      <c r="P12" s="53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22.5" customHeight="1">
      <c r="A13" s="35">
        <v>12.0</v>
      </c>
      <c r="B13" s="36" t="s">
        <v>90</v>
      </c>
      <c r="C13" s="37" t="s">
        <v>67</v>
      </c>
      <c r="D13" s="38" t="s">
        <v>91</v>
      </c>
      <c r="E13" s="39" t="str">
        <f t="shared" ref="E13:E14" si="10">IMAGE("https://flagcdn.com/w320/nl.png")</f>
        <v/>
      </c>
      <c r="F13" s="40">
        <v>38845.0</v>
      </c>
      <c r="G13" s="41">
        <f t="shared" si="1"/>
        <v>19</v>
      </c>
      <c r="H13" s="44">
        <v>0.0</v>
      </c>
      <c r="I13" s="44">
        <v>0.0</v>
      </c>
      <c r="J13" s="42"/>
      <c r="K13" s="42"/>
      <c r="L13" s="42"/>
      <c r="M13" s="42"/>
      <c r="N13" s="42"/>
      <c r="O13" s="42">
        <f t="shared" si="3"/>
        <v>0</v>
      </c>
      <c r="P13" s="42"/>
    </row>
    <row r="14" ht="22.5" customHeight="1">
      <c r="A14" s="35">
        <v>15.0</v>
      </c>
      <c r="B14" s="36" t="s">
        <v>92</v>
      </c>
      <c r="C14" s="37" t="s">
        <v>70</v>
      </c>
      <c r="D14" s="38" t="s">
        <v>80</v>
      </c>
      <c r="E14" s="39" t="str">
        <f t="shared" si="10"/>
        <v/>
      </c>
      <c r="F14" s="40">
        <v>37697.0</v>
      </c>
      <c r="G14" s="41">
        <f t="shared" si="1"/>
        <v>22</v>
      </c>
      <c r="H14" s="42">
        <f>1+1+1+1+1+1+1</f>
        <v>7</v>
      </c>
      <c r="I14" s="42">
        <f>90+54+90+90+90+90+90</f>
        <v>594</v>
      </c>
      <c r="J14" s="42"/>
      <c r="K14" s="42"/>
      <c r="L14" s="42">
        <f>1+1</f>
        <v>2</v>
      </c>
      <c r="M14" s="42"/>
      <c r="N14" s="42"/>
      <c r="O14" s="42">
        <f t="shared" si="3"/>
        <v>0</v>
      </c>
      <c r="P14" s="42"/>
    </row>
    <row r="15" ht="22.5" customHeight="1">
      <c r="A15" s="35">
        <v>16.0</v>
      </c>
      <c r="B15" s="36" t="s">
        <v>93</v>
      </c>
      <c r="C15" s="37" t="s">
        <v>79</v>
      </c>
      <c r="D15" s="38" t="s">
        <v>94</v>
      </c>
      <c r="E15" s="39" t="str">
        <f>IMAGE("https://flagcdn.com/w320/gb-eng.png")</f>
        <v/>
      </c>
      <c r="F15" s="40">
        <v>38243.0</v>
      </c>
      <c r="G15" s="41">
        <f t="shared" si="1"/>
        <v>21</v>
      </c>
      <c r="H15" s="42">
        <f t="shared" ref="H15:H16" si="11">1+1+1</f>
        <v>3</v>
      </c>
      <c r="I15" s="42">
        <f>28+78+12</f>
        <v>118</v>
      </c>
      <c r="J15" s="42"/>
      <c r="K15" s="42"/>
      <c r="L15" s="42">
        <f>1</f>
        <v>1</v>
      </c>
      <c r="M15" s="42"/>
      <c r="N15" s="42"/>
      <c r="O15" s="42">
        <f t="shared" si="3"/>
        <v>0</v>
      </c>
      <c r="P15" s="42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22.5" customHeight="1">
      <c r="A16" s="35">
        <v>17.0</v>
      </c>
      <c r="B16" s="36" t="s">
        <v>95</v>
      </c>
      <c r="C16" s="37" t="s">
        <v>82</v>
      </c>
      <c r="D16" s="38" t="s">
        <v>96</v>
      </c>
      <c r="E16" s="39" t="str">
        <f>IMAGE("https://flagcdn.com/w320/no.png")</f>
        <v/>
      </c>
      <c r="F16" s="40">
        <v>36238.0</v>
      </c>
      <c r="G16" s="41">
        <f t="shared" si="1"/>
        <v>26</v>
      </c>
      <c r="H16" s="42">
        <f t="shared" si="11"/>
        <v>3</v>
      </c>
      <c r="I16" s="42">
        <f>90+45+7</f>
        <v>142</v>
      </c>
      <c r="J16" s="42">
        <f>1</f>
        <v>1</v>
      </c>
      <c r="K16" s="42"/>
      <c r="L16" s="42"/>
      <c r="M16" s="42"/>
      <c r="N16" s="42"/>
      <c r="O16" s="42">
        <f t="shared" si="3"/>
        <v>1</v>
      </c>
      <c r="P16" s="42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22.5" customHeight="1">
      <c r="A17" s="35">
        <v>18.0</v>
      </c>
      <c r="B17" s="36" t="s">
        <v>97</v>
      </c>
      <c r="C17" s="37" t="s">
        <v>79</v>
      </c>
      <c r="D17" s="38" t="s">
        <v>80</v>
      </c>
      <c r="E17" s="39" t="str">
        <f t="shared" ref="E17:E21" si="12">IMAGE("https://flagcdn.com/w320/nl.png")</f>
        <v/>
      </c>
      <c r="F17" s="40">
        <v>34021.0</v>
      </c>
      <c r="G17" s="41">
        <f t="shared" si="1"/>
        <v>32</v>
      </c>
      <c r="H17" s="42">
        <f>1+1+1+1+1+1+1</f>
        <v>7</v>
      </c>
      <c r="I17" s="42">
        <f>90+90+45+90+73+15+90</f>
        <v>493</v>
      </c>
      <c r="J17" s="42"/>
      <c r="K17" s="42"/>
      <c r="L17" s="42">
        <f>1</f>
        <v>1</v>
      </c>
      <c r="M17" s="42"/>
      <c r="N17" s="42"/>
      <c r="O17" s="42">
        <f t="shared" si="3"/>
        <v>0</v>
      </c>
      <c r="P17" s="42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22.5" customHeight="1">
      <c r="A18" s="46">
        <v>19.0</v>
      </c>
      <c r="B18" s="47" t="s">
        <v>98</v>
      </c>
      <c r="C18" s="48" t="s">
        <v>82</v>
      </c>
      <c r="D18" s="49" t="s">
        <v>99</v>
      </c>
      <c r="E18" s="50" t="str">
        <f t="shared" si="12"/>
        <v/>
      </c>
      <c r="F18" s="51">
        <v>38840.0</v>
      </c>
      <c r="G18" s="52">
        <f t="shared" si="1"/>
        <v>19</v>
      </c>
      <c r="H18" s="54">
        <f>1</f>
        <v>1</v>
      </c>
      <c r="I18" s="54">
        <f>26</f>
        <v>26</v>
      </c>
      <c r="J18" s="53"/>
      <c r="K18" s="53">
        <f>1</f>
        <v>1</v>
      </c>
      <c r="L18" s="53"/>
      <c r="M18" s="53"/>
      <c r="N18" s="53"/>
      <c r="O18" s="42">
        <f t="shared" si="3"/>
        <v>1</v>
      </c>
      <c r="P18" s="53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22.5" customHeight="1">
      <c r="A19" s="35">
        <v>21.0</v>
      </c>
      <c r="B19" s="36" t="s">
        <v>100</v>
      </c>
      <c r="C19" s="37" t="s">
        <v>79</v>
      </c>
      <c r="D19" s="38" t="s">
        <v>80</v>
      </c>
      <c r="E19" s="39" t="str">
        <f t="shared" si="12"/>
        <v/>
      </c>
      <c r="F19" s="40">
        <v>34901.0</v>
      </c>
      <c r="G19" s="41">
        <f t="shared" si="1"/>
        <v>30</v>
      </c>
      <c r="H19" s="44">
        <v>0.0</v>
      </c>
      <c r="I19" s="44">
        <v>0.0</v>
      </c>
      <c r="J19" s="42"/>
      <c r="K19" s="42"/>
      <c r="L19" s="42"/>
      <c r="M19" s="42"/>
      <c r="N19" s="42"/>
      <c r="O19" s="42">
        <f t="shared" si="3"/>
        <v>0</v>
      </c>
      <c r="P19" s="42"/>
    </row>
    <row r="20" ht="22.5" customHeight="1">
      <c r="A20" s="35">
        <v>22.0</v>
      </c>
      <c r="B20" s="36" t="s">
        <v>101</v>
      </c>
      <c r="C20" s="37" t="s">
        <v>67</v>
      </c>
      <c r="D20" s="38" t="s">
        <v>80</v>
      </c>
      <c r="E20" s="39" t="str">
        <f t="shared" si="12"/>
        <v/>
      </c>
      <c r="F20" s="40">
        <v>30628.0</v>
      </c>
      <c r="G20" s="41">
        <f t="shared" si="1"/>
        <v>42</v>
      </c>
      <c r="H20" s="44">
        <f>1+1</f>
        <v>2</v>
      </c>
      <c r="I20" s="44">
        <f>90+90</f>
        <v>180</v>
      </c>
      <c r="J20" s="42"/>
      <c r="K20" s="42"/>
      <c r="L20" s="42"/>
      <c r="M20" s="42"/>
      <c r="N20" s="42"/>
      <c r="O20" s="42">
        <f t="shared" si="3"/>
        <v>0</v>
      </c>
      <c r="P20" s="42"/>
    </row>
    <row r="21" ht="22.5" customHeight="1">
      <c r="A21" s="35">
        <v>23.0</v>
      </c>
      <c r="B21" s="36" t="s">
        <v>102</v>
      </c>
      <c r="C21" s="37" t="s">
        <v>82</v>
      </c>
      <c r="D21" s="38" t="s">
        <v>80</v>
      </c>
      <c r="E21" s="39" t="str">
        <f t="shared" si="12"/>
        <v/>
      </c>
      <c r="F21" s="40">
        <v>33591.0</v>
      </c>
      <c r="G21" s="41">
        <f t="shared" si="1"/>
        <v>34</v>
      </c>
      <c r="H21" s="42">
        <f>1</f>
        <v>1</v>
      </c>
      <c r="I21" s="42">
        <f>45</f>
        <v>45</v>
      </c>
      <c r="J21" s="42"/>
      <c r="K21" s="42"/>
      <c r="L21" s="42"/>
      <c r="M21" s="42"/>
      <c r="N21" s="42"/>
      <c r="O21" s="42">
        <f t="shared" si="3"/>
        <v>0</v>
      </c>
      <c r="P21" s="42"/>
    </row>
    <row r="22" ht="22.5" customHeight="1">
      <c r="A22" s="35">
        <v>24.0</v>
      </c>
      <c r="B22" s="36" t="s">
        <v>103</v>
      </c>
      <c r="C22" s="37" t="s">
        <v>79</v>
      </c>
      <c r="D22" s="38" t="s">
        <v>104</v>
      </c>
      <c r="E22" s="39" t="str">
        <f>IMAGE("https://flagcdn.com/w320/be.png")</f>
        <v/>
      </c>
      <c r="F22" s="40">
        <v>39507.0</v>
      </c>
      <c r="G22" s="41">
        <f t="shared" si="1"/>
        <v>17</v>
      </c>
      <c r="H22" s="44">
        <f>1+1+1+1+1+1</f>
        <v>6</v>
      </c>
      <c r="I22" s="44">
        <f>68+68+78+31+83+70</f>
        <v>398</v>
      </c>
      <c r="J22" s="42"/>
      <c r="K22" s="42"/>
      <c r="L22" s="42">
        <f>1</f>
        <v>1</v>
      </c>
      <c r="M22" s="42"/>
      <c r="N22" s="42"/>
      <c r="O22" s="42">
        <f t="shared" si="3"/>
        <v>0</v>
      </c>
      <c r="P22" s="42"/>
    </row>
    <row r="23" ht="22.5" customHeight="1">
      <c r="A23" s="35">
        <v>25.0</v>
      </c>
      <c r="B23" s="36" t="s">
        <v>105</v>
      </c>
      <c r="C23" s="37" t="s">
        <v>82</v>
      </c>
      <c r="D23" s="38" t="s">
        <v>80</v>
      </c>
      <c r="E23" s="39" t="str">
        <f t="shared" ref="E23:E25" si="13">IMAGE("https://flagcdn.com/w320/nl.png")</f>
        <v/>
      </c>
      <c r="F23" s="40">
        <v>33823.0</v>
      </c>
      <c r="G23" s="41">
        <f t="shared" si="1"/>
        <v>33</v>
      </c>
      <c r="H23" s="42">
        <f>1+1+1+1</f>
        <v>4</v>
      </c>
      <c r="I23" s="42">
        <f>62+45+90+90</f>
        <v>287</v>
      </c>
      <c r="J23" s="42">
        <f>1</f>
        <v>1</v>
      </c>
      <c r="K23" s="42"/>
      <c r="L23" s="42">
        <f>1+1</f>
        <v>2</v>
      </c>
      <c r="M23" s="42"/>
      <c r="N23" s="42"/>
      <c r="O23" s="42">
        <f t="shared" si="3"/>
        <v>1</v>
      </c>
      <c r="P23" s="42"/>
    </row>
    <row r="24" ht="22.5" customHeight="1">
      <c r="A24" s="35">
        <v>28.0</v>
      </c>
      <c r="B24" s="36" t="s">
        <v>106</v>
      </c>
      <c r="C24" s="37" t="s">
        <v>79</v>
      </c>
      <c r="D24" s="38" t="s">
        <v>107</v>
      </c>
      <c r="E24" s="39" t="str">
        <f t="shared" si="13"/>
        <v/>
      </c>
      <c r="F24" s="40">
        <v>37807.0</v>
      </c>
      <c r="G24" s="41">
        <f t="shared" si="1"/>
        <v>22</v>
      </c>
      <c r="H24" s="44">
        <f>1+1+1+1+1</f>
        <v>5</v>
      </c>
      <c r="I24" s="44">
        <f>7+21+17+7+7</f>
        <v>59</v>
      </c>
      <c r="J24" s="42"/>
      <c r="K24" s="42"/>
      <c r="L24" s="42"/>
      <c r="M24" s="42"/>
      <c r="N24" s="42"/>
      <c r="O24" s="42">
        <f t="shared" si="3"/>
        <v>0</v>
      </c>
      <c r="P24" s="42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22.5" customHeight="1">
      <c r="A25" s="46">
        <v>30.0</v>
      </c>
      <c r="B25" s="47" t="s">
        <v>108</v>
      </c>
      <c r="C25" s="48" t="s">
        <v>70</v>
      </c>
      <c r="D25" s="49" t="s">
        <v>109</v>
      </c>
      <c r="E25" s="50" t="str">
        <f t="shared" si="13"/>
        <v/>
      </c>
      <c r="F25" s="51">
        <v>39322.0</v>
      </c>
      <c r="G25" s="52">
        <f t="shared" si="1"/>
        <v>18</v>
      </c>
      <c r="H25" s="53">
        <f>1+1</f>
        <v>2</v>
      </c>
      <c r="I25" s="53">
        <f>90+90</f>
        <v>180</v>
      </c>
      <c r="J25" s="53"/>
      <c r="K25" s="53"/>
      <c r="L25" s="53">
        <f>1</f>
        <v>1</v>
      </c>
      <c r="M25" s="53"/>
      <c r="N25" s="53"/>
      <c r="O25" s="42">
        <f t="shared" si="3"/>
        <v>0</v>
      </c>
      <c r="P25" s="53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22.5" customHeight="1">
      <c r="A26" s="35">
        <v>37.0</v>
      </c>
      <c r="B26" s="36" t="s">
        <v>110</v>
      </c>
      <c r="C26" s="37" t="s">
        <v>70</v>
      </c>
      <c r="D26" s="38" t="s">
        <v>111</v>
      </c>
      <c r="E26" s="39" t="str">
        <f>IMAGE("https://flagcdn.com/w320/hr.png")</f>
        <v/>
      </c>
      <c r="F26" s="40">
        <v>36584.0</v>
      </c>
      <c r="G26" s="41">
        <f t="shared" si="1"/>
        <v>25</v>
      </c>
      <c r="H26" s="42">
        <f>1+1+1+1+1</f>
        <v>5</v>
      </c>
      <c r="I26" s="42">
        <f>7+36+90+90+90</f>
        <v>313</v>
      </c>
      <c r="J26" s="42"/>
      <c r="K26" s="42"/>
      <c r="L26" s="42"/>
      <c r="M26" s="42"/>
      <c r="N26" s="42"/>
      <c r="O26" s="42">
        <f t="shared" si="3"/>
        <v>0</v>
      </c>
      <c r="P26" s="42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22.5" customHeight="1">
      <c r="A27" s="46">
        <v>41.0</v>
      </c>
      <c r="B27" s="47" t="s">
        <v>112</v>
      </c>
      <c r="C27" s="48" t="s">
        <v>70</v>
      </c>
      <c r="D27" s="49" t="s">
        <v>113</v>
      </c>
      <c r="E27" s="50" t="str">
        <f>IMAGE("https://flagcdn.com/w320/nl.png")</f>
        <v/>
      </c>
      <c r="F27" s="51">
        <v>38479.0</v>
      </c>
      <c r="G27" s="52">
        <f t="shared" si="1"/>
        <v>20</v>
      </c>
      <c r="H27" s="54">
        <f>1</f>
        <v>1</v>
      </c>
      <c r="I27" s="54">
        <f>45</f>
        <v>45</v>
      </c>
      <c r="J27" s="53"/>
      <c r="K27" s="53"/>
      <c r="L27" s="53"/>
      <c r="M27" s="53"/>
      <c r="N27" s="53"/>
      <c r="O27" s="42">
        <f t="shared" si="3"/>
        <v>0</v>
      </c>
      <c r="P27" s="5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46">
        <v>43.0</v>
      </c>
      <c r="B28" s="47" t="s">
        <v>114</v>
      </c>
      <c r="C28" s="48" t="s">
        <v>79</v>
      </c>
      <c r="D28" s="49" t="s">
        <v>115</v>
      </c>
      <c r="E28" s="50" t="str">
        <f>IMAGE("https://flagcdn.com/w320/be.png")</f>
        <v/>
      </c>
      <c r="F28" s="51">
        <v>38779.0</v>
      </c>
      <c r="G28" s="52">
        <f t="shared" si="1"/>
        <v>19</v>
      </c>
      <c r="H28" s="54">
        <f>1+1+1</f>
        <v>3</v>
      </c>
      <c r="I28" s="54">
        <f>21+73+20</f>
        <v>114</v>
      </c>
      <c r="J28" s="53"/>
      <c r="K28" s="53"/>
      <c r="L28" s="53"/>
      <c r="M28" s="53"/>
      <c r="N28" s="53"/>
      <c r="O28" s="42">
        <f t="shared" si="3"/>
        <v>0</v>
      </c>
      <c r="P28" s="5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22.5" hidden="1" customHeight="1">
      <c r="A29" s="46">
        <v>44.0</v>
      </c>
      <c r="B29" s="47" t="s">
        <v>116</v>
      </c>
      <c r="C29" s="48" t="s">
        <v>79</v>
      </c>
      <c r="D29" s="49" t="s">
        <v>80</v>
      </c>
      <c r="E29" s="50" t="str">
        <f t="shared" ref="E29:E34" si="14">IMAGE("https://flagcdn.com/w320/nl.png")</f>
        <v/>
      </c>
      <c r="F29" s="51">
        <v>38758.0</v>
      </c>
      <c r="G29" s="52">
        <f t="shared" si="1"/>
        <v>19</v>
      </c>
      <c r="H29" s="53"/>
      <c r="I29" s="53"/>
      <c r="J29" s="53"/>
      <c r="K29" s="53"/>
      <c r="L29" s="53"/>
      <c r="M29" s="53"/>
      <c r="N29" s="53"/>
      <c r="O29" s="42">
        <f t="shared" si="3"/>
        <v>0</v>
      </c>
      <c r="P29" s="5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22.5" hidden="1" customHeight="1">
      <c r="A30" s="46">
        <v>45.0</v>
      </c>
      <c r="B30" s="47" t="s">
        <v>117</v>
      </c>
      <c r="C30" s="48" t="s">
        <v>70</v>
      </c>
      <c r="D30" s="49" t="s">
        <v>80</v>
      </c>
      <c r="E30" s="50" t="str">
        <f t="shared" si="14"/>
        <v/>
      </c>
      <c r="F30" s="51">
        <v>38741.0</v>
      </c>
      <c r="G30" s="52">
        <f t="shared" si="1"/>
        <v>20</v>
      </c>
      <c r="H30" s="53"/>
      <c r="I30" s="53"/>
      <c r="J30" s="53"/>
      <c r="K30" s="53"/>
      <c r="L30" s="53"/>
      <c r="M30" s="53"/>
      <c r="N30" s="53"/>
      <c r="O30" s="42">
        <f t="shared" si="3"/>
        <v>0</v>
      </c>
      <c r="P30" s="53"/>
    </row>
    <row r="31" ht="22.5" hidden="1" customHeight="1">
      <c r="A31" s="46">
        <v>46.0</v>
      </c>
      <c r="B31" s="47" t="s">
        <v>118</v>
      </c>
      <c r="C31" s="48" t="s">
        <v>70</v>
      </c>
      <c r="D31" s="49" t="s">
        <v>119</v>
      </c>
      <c r="E31" s="50" t="str">
        <f t="shared" si="14"/>
        <v/>
      </c>
      <c r="F31" s="51">
        <v>39240.0</v>
      </c>
      <c r="G31" s="52">
        <f t="shared" si="1"/>
        <v>18</v>
      </c>
      <c r="H31" s="53"/>
      <c r="I31" s="53"/>
      <c r="J31" s="53"/>
      <c r="K31" s="53"/>
      <c r="L31" s="53"/>
      <c r="M31" s="53"/>
      <c r="N31" s="53"/>
      <c r="O31" s="42">
        <f t="shared" si="3"/>
        <v>0</v>
      </c>
      <c r="P31" s="53"/>
    </row>
    <row r="32" ht="22.5" customHeight="1">
      <c r="A32" s="46">
        <v>48.0</v>
      </c>
      <c r="B32" s="47" t="s">
        <v>120</v>
      </c>
      <c r="C32" s="48" t="s">
        <v>79</v>
      </c>
      <c r="D32" s="49" t="s">
        <v>80</v>
      </c>
      <c r="E32" s="50" t="str">
        <f t="shared" si="14"/>
        <v/>
      </c>
      <c r="F32" s="51">
        <v>39458.0</v>
      </c>
      <c r="G32" s="52">
        <f t="shared" si="1"/>
        <v>18</v>
      </c>
      <c r="H32" s="53">
        <f>1+1</f>
        <v>2</v>
      </c>
      <c r="I32" s="53">
        <f>75+20</f>
        <v>95</v>
      </c>
      <c r="J32" s="53"/>
      <c r="K32" s="53">
        <f>1</f>
        <v>1</v>
      </c>
      <c r="L32" s="53"/>
      <c r="M32" s="53"/>
      <c r="N32" s="53"/>
      <c r="O32" s="42">
        <f t="shared" si="3"/>
        <v>1</v>
      </c>
      <c r="P32" s="53"/>
    </row>
    <row r="33" ht="22.5" hidden="1" customHeight="1">
      <c r="A33" s="46">
        <v>49.0</v>
      </c>
      <c r="B33" s="47" t="s">
        <v>121</v>
      </c>
      <c r="C33" s="48" t="s">
        <v>82</v>
      </c>
      <c r="D33" s="49" t="s">
        <v>122</v>
      </c>
      <c r="E33" s="50" t="str">
        <f t="shared" si="14"/>
        <v/>
      </c>
      <c r="F33" s="51">
        <v>38887.0</v>
      </c>
      <c r="G33" s="52">
        <f t="shared" si="1"/>
        <v>19</v>
      </c>
      <c r="H33" s="53"/>
      <c r="I33" s="53"/>
      <c r="J33" s="53"/>
      <c r="K33" s="53"/>
      <c r="L33" s="53"/>
      <c r="M33" s="53"/>
      <c r="N33" s="53"/>
      <c r="O33" s="42">
        <f t="shared" si="3"/>
        <v>0</v>
      </c>
      <c r="P33" s="53"/>
    </row>
    <row r="34" ht="22.5" hidden="1" customHeight="1">
      <c r="A34" s="46">
        <v>51.0</v>
      </c>
      <c r="B34" s="47" t="s">
        <v>123</v>
      </c>
      <c r="C34" s="48" t="s">
        <v>67</v>
      </c>
      <c r="D34" s="49" t="s">
        <v>124</v>
      </c>
      <c r="E34" s="50" t="str">
        <f t="shared" si="14"/>
        <v/>
      </c>
      <c r="F34" s="51">
        <v>38118.0</v>
      </c>
      <c r="G34" s="52">
        <f t="shared" si="1"/>
        <v>21</v>
      </c>
      <c r="H34" s="53"/>
      <c r="I34" s="53"/>
      <c r="J34" s="53"/>
      <c r="K34" s="53"/>
      <c r="L34" s="53"/>
      <c r="M34" s="53"/>
      <c r="N34" s="53"/>
      <c r="O34" s="42">
        <f t="shared" si="3"/>
        <v>0</v>
      </c>
      <c r="P34" s="53"/>
    </row>
    <row r="35" ht="22.5" customHeight="1">
      <c r="A35" s="46">
        <v>52.0</v>
      </c>
      <c r="B35" s="47" t="s">
        <v>125</v>
      </c>
      <c r="C35" s="48" t="s">
        <v>67</v>
      </c>
      <c r="D35" s="49" t="s">
        <v>126</v>
      </c>
      <c r="E35" s="50" t="str">
        <f>IMAGE("https://flagcdn.com/w320/gh.png")</f>
        <v/>
      </c>
      <c r="F35" s="51">
        <v>38523.0</v>
      </c>
      <c r="G35" s="52">
        <f t="shared" si="1"/>
        <v>20</v>
      </c>
      <c r="H35" s="54">
        <v>0.0</v>
      </c>
      <c r="I35" s="54">
        <v>0.0</v>
      </c>
      <c r="J35" s="53"/>
      <c r="K35" s="53"/>
      <c r="L35" s="53"/>
      <c r="M35" s="53"/>
      <c r="N35" s="53"/>
      <c r="O35" s="42">
        <f t="shared" si="3"/>
        <v>0</v>
      </c>
      <c r="P35" s="53"/>
    </row>
    <row r="36" ht="22.5" customHeight="1">
      <c r="A36" s="46">
        <v>53.0</v>
      </c>
      <c r="B36" s="55" t="s">
        <v>127</v>
      </c>
      <c r="C36" s="48" t="s">
        <v>79</v>
      </c>
      <c r="D36" s="49" t="s">
        <v>80</v>
      </c>
      <c r="E36" s="50" t="str">
        <f t="shared" ref="E36:E47" si="15">IMAGE("https://flagcdn.com/w320/nl.png")</f>
        <v/>
      </c>
      <c r="F36" s="51">
        <v>39183.0</v>
      </c>
      <c r="G36" s="52">
        <f t="shared" si="1"/>
        <v>18</v>
      </c>
      <c r="H36" s="54">
        <v>0.0</v>
      </c>
      <c r="I36" s="54">
        <v>0.0</v>
      </c>
      <c r="J36" s="53"/>
      <c r="K36" s="53"/>
      <c r="L36" s="53"/>
      <c r="M36" s="53"/>
      <c r="N36" s="53"/>
      <c r="O36" s="53"/>
      <c r="P36" s="53"/>
    </row>
    <row r="37" ht="22.5" hidden="1" customHeight="1">
      <c r="A37" s="46">
        <v>54.0</v>
      </c>
      <c r="B37" s="47" t="s">
        <v>128</v>
      </c>
      <c r="C37" s="48" t="s">
        <v>82</v>
      </c>
      <c r="D37" s="49" t="s">
        <v>129</v>
      </c>
      <c r="E37" s="50" t="str">
        <f t="shared" si="15"/>
        <v/>
      </c>
      <c r="F37" s="51">
        <v>38899.0</v>
      </c>
      <c r="G37" s="52">
        <f t="shared" si="1"/>
        <v>19</v>
      </c>
      <c r="H37" s="53"/>
      <c r="I37" s="53"/>
      <c r="J37" s="53"/>
      <c r="K37" s="53"/>
      <c r="L37" s="53"/>
      <c r="M37" s="53"/>
      <c r="N37" s="53"/>
      <c r="O37" s="53"/>
      <c r="P37" s="53"/>
    </row>
    <row r="38" ht="22.5" hidden="1" customHeight="1">
      <c r="A38" s="46">
        <v>55.0</v>
      </c>
      <c r="B38" s="47" t="s">
        <v>130</v>
      </c>
      <c r="C38" s="48" t="s">
        <v>79</v>
      </c>
      <c r="D38" s="49" t="s">
        <v>80</v>
      </c>
      <c r="E38" s="50" t="str">
        <f t="shared" si="15"/>
        <v/>
      </c>
      <c r="F38" s="51">
        <v>38779.0</v>
      </c>
      <c r="G38" s="52">
        <f t="shared" si="1"/>
        <v>19</v>
      </c>
      <c r="H38" s="53"/>
      <c r="I38" s="53"/>
      <c r="J38" s="53"/>
      <c r="K38" s="53"/>
      <c r="L38" s="53"/>
      <c r="M38" s="53"/>
      <c r="N38" s="53"/>
      <c r="O38" s="53"/>
      <c r="P38" s="53"/>
    </row>
    <row r="39" ht="22.5" hidden="1" customHeight="1">
      <c r="A39" s="46">
        <v>56.0</v>
      </c>
      <c r="B39" s="47" t="s">
        <v>131</v>
      </c>
      <c r="C39" s="48" t="s">
        <v>82</v>
      </c>
      <c r="D39" s="49" t="s">
        <v>132</v>
      </c>
      <c r="E39" s="50" t="str">
        <f t="shared" si="15"/>
        <v/>
      </c>
      <c r="F39" s="51">
        <v>38463.0</v>
      </c>
      <c r="G39" s="52">
        <f t="shared" si="1"/>
        <v>20</v>
      </c>
      <c r="H39" s="53"/>
      <c r="I39" s="53"/>
      <c r="J39" s="53"/>
      <c r="K39" s="53"/>
      <c r="L39" s="53"/>
      <c r="M39" s="53"/>
      <c r="N39" s="53"/>
      <c r="O39" s="53"/>
      <c r="P39" s="5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ht="22.5" hidden="1" customHeight="1">
      <c r="A40" s="46">
        <v>57.0</v>
      </c>
      <c r="B40" s="47" t="s">
        <v>133</v>
      </c>
      <c r="C40" s="48" t="s">
        <v>70</v>
      </c>
      <c r="D40" s="49" t="s">
        <v>134</v>
      </c>
      <c r="E40" s="50" t="str">
        <f t="shared" si="15"/>
        <v/>
      </c>
      <c r="F40" s="51">
        <v>39180.0</v>
      </c>
      <c r="G40" s="52">
        <f t="shared" si="1"/>
        <v>18</v>
      </c>
      <c r="H40" s="53"/>
      <c r="I40" s="53"/>
      <c r="J40" s="53"/>
      <c r="K40" s="53"/>
      <c r="L40" s="53"/>
      <c r="M40" s="53"/>
      <c r="N40" s="53"/>
      <c r="O40" s="53"/>
      <c r="P40" s="5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ht="22.5" hidden="1" customHeight="1">
      <c r="A41" s="46">
        <v>58.0</v>
      </c>
      <c r="B41" s="55" t="s">
        <v>135</v>
      </c>
      <c r="C41" s="48" t="s">
        <v>79</v>
      </c>
      <c r="D41" s="49" t="s">
        <v>136</v>
      </c>
      <c r="E41" s="50" t="str">
        <f t="shared" si="15"/>
        <v/>
      </c>
      <c r="F41" s="51">
        <v>38189.0</v>
      </c>
      <c r="G41" s="52">
        <f t="shared" si="1"/>
        <v>21</v>
      </c>
      <c r="H41" s="53"/>
      <c r="I41" s="53"/>
      <c r="J41" s="53"/>
      <c r="K41" s="53"/>
      <c r="L41" s="53"/>
      <c r="M41" s="53"/>
      <c r="N41" s="53"/>
      <c r="O41" s="53"/>
      <c r="P41" s="5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ht="22.5" hidden="1" customHeight="1">
      <c r="A42" s="46">
        <v>59.0</v>
      </c>
      <c r="B42" s="47" t="s">
        <v>137</v>
      </c>
      <c r="C42" s="48" t="s">
        <v>82</v>
      </c>
      <c r="D42" s="49" t="s">
        <v>138</v>
      </c>
      <c r="E42" s="50" t="str">
        <f t="shared" si="15"/>
        <v/>
      </c>
      <c r="F42" s="51">
        <v>39525.0</v>
      </c>
      <c r="G42" s="52">
        <f t="shared" si="1"/>
        <v>17</v>
      </c>
      <c r="H42" s="53"/>
      <c r="I42" s="53"/>
      <c r="J42" s="53"/>
      <c r="K42" s="53"/>
      <c r="L42" s="53"/>
      <c r="M42" s="53"/>
      <c r="N42" s="53"/>
      <c r="O42" s="53"/>
      <c r="P42" s="5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ht="22.5" hidden="1" customHeight="1">
      <c r="A43" s="46">
        <v>61.0</v>
      </c>
      <c r="B43" s="47" t="s">
        <v>139</v>
      </c>
      <c r="C43" s="48" t="s">
        <v>79</v>
      </c>
      <c r="D43" s="49" t="s">
        <v>140</v>
      </c>
      <c r="E43" s="50" t="str">
        <f t="shared" si="15"/>
        <v/>
      </c>
      <c r="F43" s="51">
        <v>38809.0</v>
      </c>
      <c r="G43" s="52">
        <f t="shared" si="1"/>
        <v>19</v>
      </c>
      <c r="H43" s="53"/>
      <c r="I43" s="53"/>
      <c r="J43" s="53"/>
      <c r="K43" s="53"/>
      <c r="L43" s="53"/>
      <c r="M43" s="53"/>
      <c r="N43" s="53"/>
      <c r="O43" s="53"/>
      <c r="P43" s="53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ht="22.5" hidden="1" customHeight="1">
      <c r="A44" s="56">
        <v>62.0</v>
      </c>
      <c r="B44" s="57" t="s">
        <v>141</v>
      </c>
      <c r="C44" s="58" t="s">
        <v>67</v>
      </c>
      <c r="D44" s="59" t="s">
        <v>142</v>
      </c>
      <c r="E44" s="60" t="str">
        <f t="shared" si="15"/>
        <v/>
      </c>
      <c r="F44" s="61">
        <v>39211.0</v>
      </c>
      <c r="G44" s="62">
        <f t="shared" si="1"/>
        <v>18</v>
      </c>
      <c r="H44" s="63"/>
      <c r="I44" s="63"/>
      <c r="J44" s="63"/>
      <c r="K44" s="63"/>
      <c r="L44" s="63"/>
      <c r="M44" s="63"/>
      <c r="N44" s="63"/>
      <c r="O44" s="63"/>
      <c r="P44" s="63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ht="22.5" hidden="1" customHeight="1">
      <c r="A45" s="46">
        <v>63.0</v>
      </c>
      <c r="B45" s="47" t="s">
        <v>143</v>
      </c>
      <c r="C45" s="48" t="s">
        <v>79</v>
      </c>
      <c r="D45" s="49" t="s">
        <v>144</v>
      </c>
      <c r="E45" s="50" t="str">
        <f t="shared" si="15"/>
        <v/>
      </c>
      <c r="F45" s="51">
        <v>38940.0</v>
      </c>
      <c r="G45" s="52">
        <f t="shared" si="1"/>
        <v>19</v>
      </c>
      <c r="H45" s="53"/>
      <c r="I45" s="53"/>
      <c r="J45" s="53"/>
      <c r="K45" s="53"/>
      <c r="L45" s="53"/>
      <c r="M45" s="53"/>
      <c r="N45" s="53"/>
      <c r="O45" s="53"/>
      <c r="P45" s="53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ht="22.5" hidden="1" customHeight="1">
      <c r="A46" s="46">
        <v>64.0</v>
      </c>
      <c r="B46" s="47" t="s">
        <v>145</v>
      </c>
      <c r="C46" s="48" t="s">
        <v>79</v>
      </c>
      <c r="D46" s="49" t="s">
        <v>80</v>
      </c>
      <c r="E46" s="50" t="str">
        <f t="shared" si="15"/>
        <v/>
      </c>
      <c r="F46" s="51">
        <v>38865.0</v>
      </c>
      <c r="G46" s="52">
        <f t="shared" si="1"/>
        <v>19</v>
      </c>
      <c r="H46" s="53"/>
      <c r="I46" s="53"/>
      <c r="J46" s="53"/>
      <c r="K46" s="53"/>
      <c r="L46" s="53"/>
      <c r="M46" s="53"/>
      <c r="N46" s="53"/>
      <c r="O46" s="53"/>
      <c r="P46" s="53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ht="22.5" hidden="1" customHeight="1">
      <c r="A47" s="46">
        <v>65.0</v>
      </c>
      <c r="B47" s="47" t="s">
        <v>146</v>
      </c>
      <c r="C47" s="48" t="s">
        <v>70</v>
      </c>
      <c r="D47" s="49" t="s">
        <v>147</v>
      </c>
      <c r="E47" s="50" t="str">
        <f t="shared" si="15"/>
        <v/>
      </c>
      <c r="F47" s="51">
        <v>39380.0</v>
      </c>
      <c r="G47" s="52">
        <f t="shared" si="1"/>
        <v>18</v>
      </c>
      <c r="H47" s="53"/>
      <c r="I47" s="53"/>
      <c r="J47" s="53"/>
      <c r="K47" s="53"/>
      <c r="L47" s="53"/>
      <c r="M47" s="53"/>
      <c r="N47" s="53"/>
      <c r="O47" s="53"/>
      <c r="P47" s="53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ht="22.5" customHeight="1">
      <c r="A48" s="46">
        <v>68.0</v>
      </c>
      <c r="B48" s="47" t="s">
        <v>148</v>
      </c>
      <c r="C48" s="48" t="s">
        <v>79</v>
      </c>
      <c r="D48" s="49" t="s">
        <v>149</v>
      </c>
      <c r="E48" s="50" t="str">
        <f>IMAGE("https://flagcdn.com/w320/ma.png")</f>
        <v/>
      </c>
      <c r="F48" s="51">
        <v>39828.0</v>
      </c>
      <c r="G48" s="52">
        <f t="shared" si="1"/>
        <v>17</v>
      </c>
      <c r="H48" s="54">
        <v>0.0</v>
      </c>
      <c r="I48" s="54">
        <v>0.0</v>
      </c>
      <c r="J48" s="53"/>
      <c r="K48" s="53"/>
      <c r="L48" s="53"/>
      <c r="M48" s="53"/>
      <c r="N48" s="53"/>
      <c r="O48" s="53"/>
      <c r="P48" s="53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11"/>
      <c r="B49" s="18"/>
      <c r="C49" s="18"/>
      <c r="D49" s="64"/>
      <c r="E49" s="65"/>
      <c r="F49" s="66"/>
      <c r="G49" s="67">
        <f>AVERAGE(G2:G28)</f>
        <v>24.55555556</v>
      </c>
      <c r="H49" s="11">
        <f>SUM(H2:H48)</f>
        <v>111</v>
      </c>
      <c r="I49" s="11">
        <f>SUM(I2:I48)+76</f>
        <v>6930</v>
      </c>
      <c r="J49" s="11">
        <f t="shared" ref="J49:P49" si="16">SUM(J2:J48)</f>
        <v>7</v>
      </c>
      <c r="K49" s="11">
        <f t="shared" si="16"/>
        <v>5</v>
      </c>
      <c r="L49" s="11">
        <f t="shared" si="16"/>
        <v>13</v>
      </c>
      <c r="M49" s="11">
        <f t="shared" si="16"/>
        <v>1</v>
      </c>
      <c r="N49" s="11">
        <f t="shared" si="16"/>
        <v>0</v>
      </c>
      <c r="O49" s="11">
        <f t="shared" si="16"/>
        <v>12</v>
      </c>
      <c r="P49" s="11">
        <f t="shared" si="16"/>
        <v>0</v>
      </c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22.5" customHeight="1">
      <c r="A50" s="28" t="s">
        <v>150</v>
      </c>
      <c r="B50" s="33" t="s">
        <v>49</v>
      </c>
      <c r="C50" s="33" t="s">
        <v>151</v>
      </c>
      <c r="D50" s="30" t="s">
        <v>56</v>
      </c>
      <c r="E50" s="31" t="s">
        <v>57</v>
      </c>
      <c r="F50" s="33" t="s">
        <v>52</v>
      </c>
      <c r="G50" s="33" t="s">
        <v>53</v>
      </c>
      <c r="H50" s="31" t="s">
        <v>4</v>
      </c>
      <c r="I50" s="31" t="s">
        <v>5</v>
      </c>
      <c r="J50" s="31" t="s">
        <v>6</v>
      </c>
      <c r="K50" s="31" t="s">
        <v>7</v>
      </c>
      <c r="L50" s="31" t="s">
        <v>8</v>
      </c>
      <c r="M50" s="31" t="s">
        <v>9</v>
      </c>
      <c r="N50" s="31" t="s">
        <v>10</v>
      </c>
      <c r="O50" s="14"/>
      <c r="P50" s="14"/>
    </row>
    <row r="51" ht="22.5" customHeight="1">
      <c r="A51" s="68"/>
      <c r="B51" s="36" t="s">
        <v>152</v>
      </c>
      <c r="C51" s="36" t="s">
        <v>153</v>
      </c>
      <c r="D51" s="38" t="s">
        <v>80</v>
      </c>
      <c r="E51" s="68" t="str">
        <f t="shared" ref="E51:E52" si="18">IMAGE("https://flagcdn.com/w320/nl.png")</f>
        <v/>
      </c>
      <c r="F51" s="40">
        <v>30635.0</v>
      </c>
      <c r="G51" s="41">
        <f t="shared" ref="G51:G52" si="19">DATEDIF(F51,TODAY(),"Y")</f>
        <v>42</v>
      </c>
      <c r="H51" s="69">
        <f t="shared" ref="H51:H52" si="20">L51+M51+N51</f>
        <v>4</v>
      </c>
      <c r="I51" s="69">
        <f t="shared" ref="I51:I52" si="21">(L51*3)+M51</f>
        <v>0</v>
      </c>
      <c r="J51" s="69">
        <f>1</f>
        <v>1</v>
      </c>
      <c r="K51" s="69">
        <f>2+4+5+3</f>
        <v>14</v>
      </c>
      <c r="L51" s="70">
        <f t="shared" ref="L51:M51" si="17">0</f>
        <v>0</v>
      </c>
      <c r="M51" s="71">
        <f t="shared" si="17"/>
        <v>0</v>
      </c>
      <c r="N51" s="72">
        <f>1+1+1+1</f>
        <v>4</v>
      </c>
      <c r="O51" s="14"/>
      <c r="P51" s="14"/>
    </row>
    <row r="52" ht="22.5" customHeight="1">
      <c r="A52" s="68"/>
      <c r="B52" s="36" t="s">
        <v>154</v>
      </c>
      <c r="C52" s="36" t="s">
        <v>155</v>
      </c>
      <c r="D52" s="38" t="s">
        <v>80</v>
      </c>
      <c r="E52" s="68" t="str">
        <f t="shared" si="18"/>
        <v/>
      </c>
      <c r="F52" s="40">
        <v>23971.0</v>
      </c>
      <c r="G52" s="41">
        <f t="shared" si="19"/>
        <v>60</v>
      </c>
      <c r="H52" s="69">
        <f t="shared" si="20"/>
        <v>3</v>
      </c>
      <c r="I52" s="69">
        <f t="shared" si="21"/>
        <v>6</v>
      </c>
      <c r="J52" s="69">
        <f>4+2</f>
        <v>6</v>
      </c>
      <c r="K52" s="69">
        <f>2+2+1</f>
        <v>5</v>
      </c>
      <c r="L52" s="70">
        <f>1+1</f>
        <v>2</v>
      </c>
      <c r="M52" s="71">
        <f>0</f>
        <v>0</v>
      </c>
      <c r="N52" s="72">
        <f>1</f>
        <v>1</v>
      </c>
      <c r="O52" s="14"/>
      <c r="P52" s="14"/>
    </row>
    <row r="53">
      <c r="A53" s="73"/>
      <c r="B53" s="74"/>
      <c r="C53" s="74"/>
      <c r="D53" s="75"/>
      <c r="E53" s="73"/>
      <c r="F53" s="76"/>
      <c r="G53" s="74"/>
      <c r="H53" s="73">
        <f t="shared" ref="H53:N53" si="22">SUM(H51:H52)</f>
        <v>7</v>
      </c>
      <c r="I53" s="73">
        <f t="shared" si="22"/>
        <v>6</v>
      </c>
      <c r="J53" s="73">
        <f t="shared" si="22"/>
        <v>7</v>
      </c>
      <c r="K53" s="73">
        <f t="shared" si="22"/>
        <v>19</v>
      </c>
      <c r="L53" s="73">
        <f t="shared" si="22"/>
        <v>2</v>
      </c>
      <c r="M53" s="73">
        <f t="shared" si="22"/>
        <v>0</v>
      </c>
      <c r="N53" s="73">
        <f t="shared" si="22"/>
        <v>5</v>
      </c>
      <c r="O53" s="73"/>
      <c r="P53" s="73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</row>
    <row r="54" ht="22.5" customHeight="1">
      <c r="A54" s="28" t="s">
        <v>156</v>
      </c>
      <c r="B54" s="31" t="s">
        <v>157</v>
      </c>
      <c r="C54" s="31" t="s">
        <v>158</v>
      </c>
      <c r="D54" s="30" t="s">
        <v>159</v>
      </c>
      <c r="E54" s="31" t="s">
        <v>160</v>
      </c>
      <c r="F54" s="31" t="s">
        <v>161</v>
      </c>
      <c r="G54" s="14"/>
      <c r="H54" s="14"/>
      <c r="I54" s="14"/>
      <c r="J54" s="14"/>
      <c r="K54" s="14"/>
      <c r="L54" s="14"/>
      <c r="M54" s="14"/>
      <c r="N54" s="14"/>
    </row>
    <row r="55" ht="22.5" customHeight="1">
      <c r="A55" s="77">
        <v>1.0</v>
      </c>
      <c r="B55" s="78" t="s">
        <v>43</v>
      </c>
      <c r="C55" s="78" t="s">
        <v>16</v>
      </c>
      <c r="D55" s="79"/>
      <c r="E55" s="80" t="s">
        <v>162</v>
      </c>
      <c r="F55" s="81" t="s">
        <v>163</v>
      </c>
      <c r="G55" s="14"/>
      <c r="H55" s="14"/>
      <c r="I55" s="14"/>
      <c r="J55" s="14"/>
      <c r="K55" s="14"/>
      <c r="L55" s="14"/>
      <c r="M55" s="14"/>
      <c r="N55" s="14"/>
    </row>
    <row r="56" ht="22.5" customHeight="1">
      <c r="A56" s="77">
        <v>2.0</v>
      </c>
      <c r="B56" s="78" t="s">
        <v>28</v>
      </c>
      <c r="C56" s="78" t="s">
        <v>43</v>
      </c>
      <c r="D56" s="79"/>
      <c r="E56" s="80" t="s">
        <v>164</v>
      </c>
      <c r="F56" s="82" t="s">
        <v>165</v>
      </c>
      <c r="G56" s="14"/>
      <c r="H56" s="14"/>
      <c r="I56" s="14"/>
      <c r="J56" s="14"/>
      <c r="K56" s="14"/>
      <c r="L56" s="14"/>
      <c r="M56" s="14"/>
      <c r="N56" s="14"/>
    </row>
    <row r="57" ht="22.5" customHeight="1">
      <c r="A57" s="77">
        <v>3.0</v>
      </c>
      <c r="B57" s="78" t="s">
        <v>22</v>
      </c>
      <c r="C57" s="78" t="s">
        <v>43</v>
      </c>
      <c r="D57" s="83" t="s">
        <v>166</v>
      </c>
      <c r="E57" s="84">
        <v>45778.0</v>
      </c>
      <c r="F57" s="82" t="s">
        <v>167</v>
      </c>
      <c r="G57" s="14"/>
      <c r="H57" s="14"/>
      <c r="I57" s="14"/>
      <c r="J57" s="14"/>
      <c r="K57" s="14"/>
      <c r="L57" s="14"/>
      <c r="M57" s="14"/>
      <c r="N57" s="14"/>
    </row>
    <row r="58" ht="22.5" customHeight="1">
      <c r="A58" s="77">
        <v>4.0</v>
      </c>
      <c r="B58" s="78" t="s">
        <v>43</v>
      </c>
      <c r="C58" s="78" t="s">
        <v>27</v>
      </c>
      <c r="D58" s="79"/>
      <c r="E58" s="80" t="s">
        <v>168</v>
      </c>
      <c r="F58" s="78" t="s">
        <v>163</v>
      </c>
      <c r="G58" s="14"/>
      <c r="H58" s="14"/>
      <c r="I58" s="14"/>
      <c r="J58" s="14"/>
      <c r="K58" s="14"/>
      <c r="L58" s="14"/>
      <c r="M58" s="14"/>
      <c r="N58" s="14"/>
    </row>
    <row r="59" ht="22.5" customHeight="1">
      <c r="A59" s="77">
        <v>5.0</v>
      </c>
      <c r="B59" s="78" t="s">
        <v>43</v>
      </c>
      <c r="C59" s="78" t="s">
        <v>42</v>
      </c>
      <c r="D59" s="79"/>
      <c r="E59" s="85"/>
      <c r="F59" s="78" t="s">
        <v>163</v>
      </c>
      <c r="G59" s="14"/>
      <c r="H59" s="14"/>
      <c r="I59" s="14"/>
      <c r="J59" s="14"/>
      <c r="K59" s="14"/>
      <c r="L59" s="14"/>
      <c r="M59" s="14"/>
      <c r="N59" s="14"/>
    </row>
    <row r="60" ht="22.5" customHeight="1">
      <c r="A60" s="86">
        <v>6.0</v>
      </c>
      <c r="B60" s="87" t="s">
        <v>32</v>
      </c>
      <c r="C60" s="87" t="s">
        <v>43</v>
      </c>
      <c r="D60" s="88" t="s">
        <v>169</v>
      </c>
      <c r="E60" s="89">
        <v>45692.0</v>
      </c>
      <c r="F60" s="87" t="s">
        <v>170</v>
      </c>
      <c r="G60" s="14"/>
      <c r="H60" s="14"/>
      <c r="I60" s="14"/>
      <c r="J60" s="14"/>
      <c r="K60" s="14"/>
      <c r="L60" s="14"/>
      <c r="M60" s="14"/>
      <c r="N60" s="14"/>
    </row>
    <row r="61" ht="22.5" customHeight="1">
      <c r="A61" s="86">
        <v>7.0</v>
      </c>
      <c r="B61" s="87" t="s">
        <v>46</v>
      </c>
      <c r="C61" s="87" t="s">
        <v>43</v>
      </c>
      <c r="D61" s="88" t="s">
        <v>171</v>
      </c>
      <c r="E61" s="89">
        <v>46024.0</v>
      </c>
      <c r="F61" s="87" t="s">
        <v>172</v>
      </c>
      <c r="G61" s="14"/>
      <c r="H61" s="14"/>
      <c r="I61" s="14"/>
      <c r="J61" s="14"/>
      <c r="K61" s="14"/>
      <c r="L61" s="14"/>
      <c r="M61" s="14"/>
      <c r="N61" s="14"/>
    </row>
    <row r="62" ht="22.5" customHeight="1">
      <c r="A62" s="90">
        <v>8.0</v>
      </c>
      <c r="B62" s="91" t="s">
        <v>43</v>
      </c>
      <c r="C62" s="91" t="s">
        <v>38</v>
      </c>
      <c r="D62" s="92"/>
      <c r="E62" s="93"/>
      <c r="F62" s="94" t="s">
        <v>163</v>
      </c>
      <c r="G62" s="14"/>
      <c r="H62" s="14"/>
      <c r="I62" s="14"/>
      <c r="J62" s="14"/>
      <c r="K62" s="14"/>
      <c r="L62" s="14"/>
      <c r="M62" s="14"/>
      <c r="N62" s="14"/>
    </row>
    <row r="63">
      <c r="A63" s="12"/>
      <c r="D63" s="95"/>
      <c r="E63" s="14"/>
      <c r="F63" s="96"/>
      <c r="H63" s="14"/>
      <c r="I63" s="14"/>
      <c r="J63" s="14"/>
      <c r="K63" s="14"/>
      <c r="L63" s="14"/>
      <c r="M63" s="14"/>
      <c r="N63" s="14"/>
      <c r="O63" s="14"/>
      <c r="P63" s="14"/>
    </row>
    <row r="64">
      <c r="A64" s="12"/>
      <c r="D64" s="95"/>
      <c r="E64" s="14"/>
      <c r="F64" s="96"/>
      <c r="H64" s="14"/>
      <c r="I64" s="14"/>
      <c r="J64" s="14"/>
      <c r="K64" s="14"/>
      <c r="L64" s="14"/>
      <c r="M64" s="14"/>
      <c r="N64" s="14"/>
      <c r="O64" s="14"/>
      <c r="P64" s="14"/>
    </row>
    <row r="65">
      <c r="A65" s="12"/>
      <c r="D65" s="95"/>
      <c r="E65" s="14"/>
      <c r="F65" s="96"/>
      <c r="H65" s="14"/>
      <c r="I65" s="14"/>
      <c r="J65" s="14"/>
      <c r="K65" s="14"/>
      <c r="L65" s="14"/>
      <c r="M65" s="14"/>
      <c r="N65" s="14"/>
      <c r="O65" s="14"/>
      <c r="P65" s="14"/>
    </row>
    <row r="66">
      <c r="A66" s="12"/>
      <c r="D66" s="95"/>
      <c r="E66" s="14"/>
      <c r="F66" s="96"/>
      <c r="H66" s="14"/>
      <c r="I66" s="14"/>
      <c r="J66" s="14"/>
      <c r="K66" s="14"/>
      <c r="L66" s="14"/>
      <c r="M66" s="14"/>
      <c r="N66" s="14"/>
      <c r="O66" s="14"/>
      <c r="P66" s="14"/>
    </row>
    <row r="67">
      <c r="A67" s="12"/>
      <c r="D67" s="95"/>
      <c r="E67" s="14"/>
      <c r="F67" s="96"/>
      <c r="H67" s="14"/>
      <c r="I67" s="14"/>
      <c r="J67" s="14"/>
      <c r="K67" s="14"/>
      <c r="L67" s="14"/>
      <c r="M67" s="14"/>
      <c r="N67" s="14"/>
      <c r="O67" s="14"/>
      <c r="P67" s="14"/>
    </row>
    <row r="68">
      <c r="A68" s="12"/>
      <c r="D68" s="95"/>
      <c r="E68" s="14"/>
      <c r="F68" s="96"/>
      <c r="H68" s="14"/>
      <c r="I68" s="14"/>
      <c r="J68" s="14"/>
      <c r="K68" s="14"/>
      <c r="L68" s="14"/>
      <c r="M68" s="14"/>
      <c r="N68" s="14"/>
      <c r="O68" s="14"/>
      <c r="P68" s="14"/>
    </row>
    <row r="69">
      <c r="A69" s="12"/>
      <c r="D69" s="95"/>
      <c r="E69" s="14"/>
      <c r="F69" s="96"/>
      <c r="H69" s="14"/>
      <c r="I69" s="14"/>
      <c r="J69" s="14"/>
      <c r="K69" s="14"/>
      <c r="L69" s="14"/>
      <c r="M69" s="14"/>
      <c r="N69" s="14"/>
      <c r="O69" s="14"/>
      <c r="P69" s="14"/>
    </row>
    <row r="70">
      <c r="A70" s="12"/>
      <c r="D70" s="95"/>
      <c r="E70" s="14"/>
      <c r="F70" s="96"/>
      <c r="H70" s="14"/>
      <c r="I70" s="14"/>
      <c r="J70" s="14"/>
      <c r="K70" s="14"/>
      <c r="L70" s="14"/>
      <c r="M70" s="14"/>
      <c r="N70" s="14"/>
      <c r="O70" s="14"/>
      <c r="P70" s="14"/>
    </row>
    <row r="71">
      <c r="A71" s="12"/>
      <c r="D71" s="95"/>
      <c r="E71" s="14"/>
      <c r="F71" s="96"/>
      <c r="H71" s="14"/>
      <c r="I71" s="14"/>
      <c r="J71" s="14"/>
      <c r="K71" s="14"/>
      <c r="L71" s="14"/>
      <c r="M71" s="14"/>
      <c r="N71" s="14"/>
      <c r="O71" s="14"/>
      <c r="P71" s="14"/>
    </row>
    <row r="72">
      <c r="A72" s="12"/>
      <c r="D72" s="95"/>
      <c r="E72" s="14"/>
      <c r="F72" s="96"/>
      <c r="H72" s="14"/>
      <c r="I72" s="14"/>
      <c r="J72" s="14"/>
      <c r="K72" s="14"/>
      <c r="L72" s="14"/>
      <c r="M72" s="14"/>
      <c r="N72" s="14"/>
      <c r="O72" s="14"/>
      <c r="P72" s="14"/>
    </row>
    <row r="73">
      <c r="A73" s="12"/>
      <c r="D73" s="95"/>
      <c r="E73" s="14"/>
      <c r="F73" s="96"/>
      <c r="H73" s="14"/>
      <c r="I73" s="14"/>
      <c r="J73" s="14"/>
      <c r="K73" s="14"/>
      <c r="L73" s="14"/>
      <c r="M73" s="14"/>
      <c r="N73" s="14"/>
      <c r="O73" s="14"/>
      <c r="P73" s="14"/>
    </row>
    <row r="74">
      <c r="A74" s="12"/>
      <c r="D74" s="95"/>
      <c r="E74" s="14"/>
      <c r="F74" s="96"/>
      <c r="H74" s="14"/>
      <c r="I74" s="14"/>
      <c r="J74" s="14"/>
      <c r="K74" s="14"/>
      <c r="L74" s="14"/>
      <c r="M74" s="14"/>
      <c r="N74" s="14"/>
      <c r="O74" s="14"/>
      <c r="P74" s="14"/>
    </row>
    <row r="75">
      <c r="A75" s="12"/>
      <c r="D75" s="95"/>
      <c r="E75" s="14"/>
      <c r="F75" s="96"/>
      <c r="H75" s="14"/>
      <c r="I75" s="14"/>
      <c r="J75" s="14"/>
      <c r="K75" s="14"/>
      <c r="L75" s="14"/>
      <c r="M75" s="14"/>
      <c r="N75" s="14"/>
      <c r="O75" s="14"/>
      <c r="P75" s="14"/>
    </row>
    <row r="76">
      <c r="A76" s="12"/>
      <c r="D76" s="95"/>
      <c r="E76" s="14"/>
      <c r="F76" s="96"/>
      <c r="H76" s="14"/>
      <c r="I76" s="14"/>
      <c r="J76" s="14"/>
      <c r="K76" s="14"/>
      <c r="L76" s="14"/>
      <c r="M76" s="14"/>
      <c r="N76" s="14"/>
      <c r="O76" s="14"/>
      <c r="P76" s="14"/>
    </row>
    <row r="77">
      <c r="A77" s="12"/>
      <c r="D77" s="95"/>
      <c r="E77" s="14"/>
      <c r="F77" s="96"/>
      <c r="H77" s="14"/>
      <c r="I77" s="14"/>
      <c r="J77" s="14"/>
      <c r="K77" s="14"/>
      <c r="L77" s="14"/>
      <c r="M77" s="14"/>
      <c r="N77" s="14"/>
      <c r="O77" s="14"/>
      <c r="P77" s="14"/>
    </row>
    <row r="78">
      <c r="A78" s="12"/>
      <c r="D78" s="95"/>
      <c r="E78" s="14"/>
      <c r="F78" s="96"/>
      <c r="H78" s="14"/>
      <c r="I78" s="14"/>
      <c r="J78" s="14"/>
      <c r="K78" s="14"/>
      <c r="L78" s="14"/>
      <c r="M78" s="14"/>
      <c r="N78" s="14"/>
      <c r="O78" s="14"/>
      <c r="P78" s="14"/>
    </row>
    <row r="79">
      <c r="A79" s="12"/>
      <c r="D79" s="95"/>
      <c r="E79" s="14"/>
      <c r="F79" s="96"/>
      <c r="H79" s="14"/>
      <c r="I79" s="14"/>
      <c r="J79" s="14"/>
      <c r="K79" s="14"/>
      <c r="L79" s="14"/>
      <c r="M79" s="14"/>
      <c r="N79" s="14"/>
      <c r="O79" s="14"/>
      <c r="P79" s="14"/>
    </row>
    <row r="80">
      <c r="A80" s="12"/>
      <c r="D80" s="95"/>
      <c r="E80" s="14"/>
      <c r="F80" s="96"/>
      <c r="H80" s="14"/>
      <c r="I80" s="14"/>
      <c r="J80" s="14"/>
      <c r="K80" s="14"/>
      <c r="L80" s="14"/>
      <c r="M80" s="14"/>
      <c r="N80" s="14"/>
      <c r="O80" s="14"/>
      <c r="P80" s="14"/>
    </row>
    <row r="81">
      <c r="A81" s="12"/>
      <c r="D81" s="95"/>
      <c r="E81" s="14"/>
      <c r="F81" s="96"/>
      <c r="H81" s="14"/>
      <c r="I81" s="14"/>
      <c r="J81" s="14"/>
      <c r="K81" s="14"/>
      <c r="L81" s="14"/>
      <c r="M81" s="14"/>
      <c r="N81" s="14"/>
      <c r="O81" s="14"/>
      <c r="P81" s="14"/>
    </row>
    <row r="82">
      <c r="A82" s="12"/>
      <c r="D82" s="95"/>
      <c r="E82" s="14"/>
      <c r="F82" s="96"/>
      <c r="H82" s="14"/>
      <c r="I82" s="14"/>
      <c r="J82" s="14"/>
      <c r="K82" s="14"/>
      <c r="L82" s="14"/>
      <c r="M82" s="14"/>
      <c r="N82" s="14"/>
      <c r="O82" s="14"/>
      <c r="P82" s="14"/>
    </row>
    <row r="83">
      <c r="A83" s="12"/>
      <c r="D83" s="95"/>
      <c r="E83" s="14"/>
      <c r="F83" s="96"/>
      <c r="H83" s="14"/>
      <c r="I83" s="14"/>
      <c r="J83" s="14"/>
      <c r="K83" s="14"/>
      <c r="L83" s="14"/>
      <c r="M83" s="14"/>
      <c r="N83" s="14"/>
      <c r="O83" s="14"/>
      <c r="P83" s="14"/>
    </row>
    <row r="84">
      <c r="A84" s="12"/>
      <c r="D84" s="95"/>
      <c r="E84" s="14"/>
      <c r="F84" s="96"/>
      <c r="H84" s="14"/>
      <c r="I84" s="14"/>
      <c r="J84" s="14"/>
      <c r="K84" s="14"/>
      <c r="L84" s="14"/>
      <c r="M84" s="14"/>
      <c r="N84" s="14"/>
      <c r="O84" s="14"/>
      <c r="P84" s="14"/>
    </row>
    <row r="85">
      <c r="A85" s="12"/>
      <c r="D85" s="95"/>
      <c r="E85" s="14"/>
      <c r="F85" s="96"/>
      <c r="H85" s="14"/>
      <c r="I85" s="14"/>
      <c r="J85" s="14"/>
      <c r="K85" s="14"/>
      <c r="L85" s="14"/>
      <c r="M85" s="14"/>
      <c r="N85" s="14"/>
      <c r="O85" s="14"/>
      <c r="P85" s="14"/>
    </row>
    <row r="86">
      <c r="A86" s="12"/>
      <c r="D86" s="95"/>
      <c r="E86" s="14"/>
      <c r="F86" s="96"/>
      <c r="H86" s="14"/>
      <c r="I86" s="14"/>
      <c r="J86" s="14"/>
      <c r="K86" s="14"/>
      <c r="L86" s="14"/>
      <c r="M86" s="14"/>
      <c r="N86" s="14"/>
      <c r="O86" s="14"/>
      <c r="P86" s="14"/>
    </row>
    <row r="87">
      <c r="A87" s="12"/>
      <c r="D87" s="95"/>
      <c r="E87" s="14"/>
      <c r="F87" s="96"/>
      <c r="H87" s="14"/>
      <c r="I87" s="14"/>
      <c r="J87" s="14"/>
      <c r="K87" s="14"/>
      <c r="L87" s="14"/>
      <c r="M87" s="14"/>
      <c r="N87" s="14"/>
      <c r="O87" s="14"/>
      <c r="P87" s="14"/>
    </row>
    <row r="88">
      <c r="A88" s="12"/>
      <c r="D88" s="95"/>
      <c r="E88" s="14"/>
      <c r="F88" s="96"/>
      <c r="H88" s="14"/>
      <c r="I88" s="14"/>
      <c r="J88" s="14"/>
      <c r="K88" s="14"/>
      <c r="L88" s="14"/>
      <c r="M88" s="14"/>
      <c r="N88" s="14"/>
      <c r="O88" s="14"/>
      <c r="P88" s="14"/>
    </row>
    <row r="89">
      <c r="A89" s="12"/>
      <c r="D89" s="95"/>
      <c r="E89" s="14"/>
      <c r="F89" s="96"/>
      <c r="H89" s="14"/>
      <c r="I89" s="14"/>
      <c r="J89" s="14"/>
      <c r="K89" s="14"/>
      <c r="L89" s="14"/>
      <c r="M89" s="14"/>
      <c r="N89" s="14"/>
      <c r="O89" s="14"/>
      <c r="P89" s="14"/>
    </row>
    <row r="90">
      <c r="A90" s="12"/>
      <c r="D90" s="95"/>
      <c r="E90" s="14"/>
      <c r="F90" s="96"/>
      <c r="H90" s="14"/>
      <c r="I90" s="14"/>
      <c r="J90" s="14"/>
      <c r="K90" s="14"/>
      <c r="L90" s="14"/>
      <c r="M90" s="14"/>
      <c r="N90" s="14"/>
      <c r="O90" s="14"/>
      <c r="P90" s="14"/>
    </row>
    <row r="91">
      <c r="A91" s="12"/>
      <c r="D91" s="95"/>
      <c r="E91" s="14"/>
      <c r="F91" s="96"/>
      <c r="H91" s="14"/>
      <c r="I91" s="14"/>
      <c r="J91" s="14"/>
      <c r="K91" s="14"/>
      <c r="L91" s="14"/>
      <c r="M91" s="14"/>
      <c r="N91" s="14"/>
      <c r="O91" s="14"/>
      <c r="P91" s="14"/>
    </row>
    <row r="92">
      <c r="A92" s="12"/>
      <c r="D92" s="95"/>
      <c r="E92" s="14"/>
      <c r="F92" s="96"/>
      <c r="H92" s="14"/>
      <c r="I92" s="14"/>
      <c r="J92" s="14"/>
      <c r="K92" s="14"/>
      <c r="L92" s="14"/>
      <c r="M92" s="14"/>
      <c r="N92" s="14"/>
      <c r="O92" s="14"/>
      <c r="P92" s="14"/>
    </row>
    <row r="93">
      <c r="A93" s="12"/>
      <c r="D93" s="95"/>
      <c r="E93" s="14"/>
      <c r="F93" s="96"/>
      <c r="H93" s="14"/>
      <c r="I93" s="14"/>
      <c r="J93" s="14"/>
      <c r="K93" s="14"/>
      <c r="L93" s="14"/>
      <c r="M93" s="14"/>
      <c r="N93" s="14"/>
      <c r="O93" s="14"/>
      <c r="P93" s="14"/>
    </row>
    <row r="94">
      <c r="A94" s="12"/>
      <c r="D94" s="95"/>
      <c r="E94" s="14"/>
      <c r="F94" s="96"/>
      <c r="H94" s="14"/>
      <c r="I94" s="14"/>
      <c r="J94" s="14"/>
      <c r="K94" s="14"/>
      <c r="L94" s="14"/>
      <c r="M94" s="14"/>
      <c r="N94" s="14"/>
      <c r="O94" s="14"/>
      <c r="P94" s="14"/>
    </row>
    <row r="95">
      <c r="A95" s="12"/>
      <c r="D95" s="95"/>
      <c r="E95" s="14"/>
      <c r="F95" s="96"/>
      <c r="H95" s="14"/>
      <c r="I95" s="14"/>
      <c r="J95" s="14"/>
      <c r="K95" s="14"/>
      <c r="L95" s="14"/>
      <c r="M95" s="14"/>
      <c r="N95" s="14"/>
      <c r="O95" s="14"/>
      <c r="P95" s="14"/>
    </row>
    <row r="96">
      <c r="A96" s="12"/>
      <c r="D96" s="95"/>
      <c r="E96" s="14"/>
      <c r="F96" s="96"/>
      <c r="H96" s="14"/>
      <c r="I96" s="14"/>
      <c r="J96" s="14"/>
      <c r="K96" s="14"/>
      <c r="L96" s="14"/>
      <c r="M96" s="14"/>
      <c r="N96" s="14"/>
      <c r="O96" s="14"/>
      <c r="P96" s="14"/>
    </row>
    <row r="97">
      <c r="A97" s="12"/>
      <c r="D97" s="95"/>
      <c r="E97" s="14"/>
      <c r="F97" s="96"/>
      <c r="H97" s="14"/>
      <c r="I97" s="14"/>
      <c r="J97" s="14"/>
      <c r="K97" s="14"/>
      <c r="L97" s="14"/>
      <c r="M97" s="14"/>
      <c r="N97" s="14"/>
      <c r="O97" s="14"/>
      <c r="P97" s="14"/>
    </row>
    <row r="98">
      <c r="A98" s="12"/>
      <c r="D98" s="95"/>
      <c r="E98" s="14"/>
      <c r="F98" s="96"/>
      <c r="H98" s="14"/>
      <c r="I98" s="14"/>
      <c r="J98" s="14"/>
      <c r="K98" s="14"/>
      <c r="L98" s="14"/>
      <c r="M98" s="14"/>
      <c r="N98" s="14"/>
      <c r="O98" s="14"/>
      <c r="P98" s="14"/>
    </row>
    <row r="99">
      <c r="A99" s="12"/>
      <c r="D99" s="95"/>
      <c r="E99" s="14"/>
      <c r="F99" s="96"/>
      <c r="H99" s="14"/>
      <c r="I99" s="14"/>
      <c r="J99" s="14"/>
      <c r="K99" s="14"/>
      <c r="L99" s="14"/>
      <c r="M99" s="14"/>
      <c r="N99" s="14"/>
      <c r="O99" s="14"/>
      <c r="P99" s="14"/>
    </row>
    <row r="100">
      <c r="A100" s="12"/>
      <c r="D100" s="95"/>
      <c r="E100" s="14"/>
      <c r="F100" s="96"/>
      <c r="H100" s="14"/>
      <c r="I100" s="14"/>
      <c r="J100" s="14"/>
      <c r="K100" s="14"/>
      <c r="L100" s="14"/>
      <c r="M100" s="14"/>
      <c r="N100" s="14"/>
      <c r="O100" s="14"/>
      <c r="P100" s="14"/>
    </row>
    <row r="101">
      <c r="A101" s="12"/>
      <c r="D101" s="95"/>
      <c r="E101" s="14"/>
      <c r="F101" s="96"/>
      <c r="H101" s="14"/>
      <c r="I101" s="14"/>
      <c r="J101" s="14"/>
      <c r="K101" s="14"/>
      <c r="L101" s="14"/>
      <c r="M101" s="14"/>
      <c r="N101" s="14"/>
      <c r="O101" s="14"/>
      <c r="P101" s="14"/>
    </row>
    <row r="102">
      <c r="A102" s="12"/>
      <c r="D102" s="95"/>
      <c r="E102" s="14"/>
      <c r="F102" s="96"/>
      <c r="H102" s="14"/>
      <c r="I102" s="14"/>
      <c r="J102" s="14"/>
      <c r="K102" s="14"/>
      <c r="L102" s="14"/>
      <c r="M102" s="14"/>
      <c r="N102" s="14"/>
      <c r="O102" s="14"/>
      <c r="P102" s="14"/>
    </row>
    <row r="103">
      <c r="A103" s="12"/>
      <c r="D103" s="95"/>
      <c r="E103" s="14"/>
      <c r="F103" s="96"/>
      <c r="H103" s="14"/>
      <c r="I103" s="14"/>
      <c r="J103" s="14"/>
      <c r="K103" s="14"/>
      <c r="L103" s="14"/>
      <c r="M103" s="14"/>
      <c r="N103" s="14"/>
      <c r="O103" s="14"/>
      <c r="P103" s="14"/>
    </row>
    <row r="104">
      <c r="A104" s="12"/>
      <c r="D104" s="95"/>
      <c r="E104" s="14"/>
      <c r="F104" s="96"/>
      <c r="H104" s="14"/>
      <c r="I104" s="14"/>
      <c r="J104" s="14"/>
      <c r="K104" s="14"/>
      <c r="L104" s="14"/>
      <c r="M104" s="14"/>
      <c r="N104" s="14"/>
      <c r="O104" s="14"/>
      <c r="P104" s="14"/>
    </row>
    <row r="105">
      <c r="A105" s="12"/>
      <c r="D105" s="95"/>
      <c r="E105" s="14"/>
      <c r="F105" s="96"/>
      <c r="H105" s="14"/>
      <c r="I105" s="14"/>
      <c r="J105" s="14"/>
      <c r="K105" s="14"/>
      <c r="L105" s="14"/>
      <c r="M105" s="14"/>
      <c r="N105" s="14"/>
      <c r="O105" s="14"/>
      <c r="P105" s="14"/>
    </row>
    <row r="106">
      <c r="A106" s="12"/>
      <c r="D106" s="95"/>
      <c r="E106" s="14"/>
      <c r="F106" s="96"/>
      <c r="H106" s="14"/>
      <c r="I106" s="14"/>
      <c r="J106" s="14"/>
      <c r="K106" s="14"/>
      <c r="L106" s="14"/>
      <c r="M106" s="14"/>
      <c r="N106" s="14"/>
      <c r="O106" s="14"/>
      <c r="P106" s="14"/>
    </row>
    <row r="107">
      <c r="A107" s="12"/>
      <c r="D107" s="95"/>
      <c r="E107" s="14"/>
      <c r="F107" s="96"/>
      <c r="H107" s="14"/>
      <c r="I107" s="14"/>
      <c r="J107" s="14"/>
      <c r="K107" s="14"/>
      <c r="L107" s="14"/>
      <c r="M107" s="14"/>
      <c r="N107" s="14"/>
      <c r="O107" s="14"/>
      <c r="P107" s="14"/>
    </row>
    <row r="108">
      <c r="A108" s="12"/>
      <c r="D108" s="95"/>
      <c r="E108" s="14"/>
      <c r="F108" s="96"/>
      <c r="H108" s="14"/>
      <c r="I108" s="14"/>
      <c r="J108" s="14"/>
      <c r="K108" s="14"/>
      <c r="L108" s="14"/>
      <c r="M108" s="14"/>
      <c r="N108" s="14"/>
      <c r="O108" s="14"/>
      <c r="P108" s="14"/>
    </row>
    <row r="109">
      <c r="A109" s="12"/>
      <c r="D109" s="95"/>
      <c r="E109" s="14"/>
      <c r="F109" s="96"/>
      <c r="H109" s="14"/>
      <c r="I109" s="14"/>
      <c r="J109" s="14"/>
      <c r="K109" s="14"/>
      <c r="L109" s="14"/>
      <c r="M109" s="14"/>
      <c r="N109" s="14"/>
      <c r="O109" s="14"/>
      <c r="P109" s="14"/>
    </row>
    <row r="110">
      <c r="A110" s="12"/>
      <c r="D110" s="95"/>
      <c r="E110" s="14"/>
      <c r="F110" s="96"/>
      <c r="H110" s="14"/>
      <c r="I110" s="14"/>
      <c r="J110" s="14"/>
      <c r="K110" s="14"/>
      <c r="L110" s="14"/>
      <c r="M110" s="14"/>
      <c r="N110" s="14"/>
      <c r="O110" s="14"/>
      <c r="P110" s="14"/>
    </row>
    <row r="111">
      <c r="A111" s="12"/>
      <c r="D111" s="95"/>
      <c r="E111" s="14"/>
      <c r="F111" s="96"/>
      <c r="H111" s="14"/>
      <c r="I111" s="14"/>
      <c r="J111" s="14"/>
      <c r="K111" s="14"/>
      <c r="L111" s="14"/>
      <c r="M111" s="14"/>
      <c r="N111" s="14"/>
      <c r="O111" s="14"/>
      <c r="P111" s="14"/>
    </row>
    <row r="112">
      <c r="A112" s="12"/>
      <c r="D112" s="95"/>
      <c r="E112" s="14"/>
      <c r="F112" s="96"/>
      <c r="H112" s="14"/>
      <c r="I112" s="14"/>
      <c r="J112" s="14"/>
      <c r="K112" s="14"/>
      <c r="L112" s="14"/>
      <c r="M112" s="14"/>
      <c r="N112" s="14"/>
      <c r="O112" s="14"/>
      <c r="P112" s="14"/>
    </row>
    <row r="113">
      <c r="A113" s="12"/>
      <c r="D113" s="95"/>
      <c r="E113" s="14"/>
      <c r="F113" s="96"/>
      <c r="H113" s="14"/>
      <c r="I113" s="14"/>
      <c r="J113" s="14"/>
      <c r="K113" s="14"/>
      <c r="L113" s="14"/>
      <c r="M113" s="14"/>
      <c r="N113" s="14"/>
      <c r="O113" s="14"/>
      <c r="P113" s="14"/>
    </row>
    <row r="114">
      <c r="A114" s="12"/>
      <c r="D114" s="95"/>
      <c r="E114" s="14"/>
      <c r="F114" s="96"/>
      <c r="H114" s="14"/>
      <c r="I114" s="14"/>
      <c r="J114" s="14"/>
      <c r="K114" s="14"/>
      <c r="L114" s="14"/>
      <c r="M114" s="14"/>
      <c r="N114" s="14"/>
      <c r="O114" s="14"/>
      <c r="P114" s="14"/>
    </row>
    <row r="115">
      <c r="A115" s="12"/>
      <c r="D115" s="95"/>
      <c r="E115" s="14"/>
      <c r="F115" s="96"/>
      <c r="H115" s="14"/>
      <c r="I115" s="14"/>
      <c r="J115" s="14"/>
      <c r="K115" s="14"/>
      <c r="L115" s="14"/>
      <c r="M115" s="14"/>
      <c r="N115" s="14"/>
      <c r="O115" s="14"/>
      <c r="P115" s="14"/>
    </row>
    <row r="116">
      <c r="A116" s="12"/>
      <c r="D116" s="95"/>
      <c r="E116" s="14"/>
      <c r="F116" s="96"/>
      <c r="H116" s="14"/>
      <c r="I116" s="14"/>
      <c r="J116" s="14"/>
      <c r="K116" s="14"/>
      <c r="L116" s="14"/>
      <c r="M116" s="14"/>
      <c r="N116" s="14"/>
      <c r="O116" s="14"/>
      <c r="P116" s="14"/>
    </row>
    <row r="117">
      <c r="A117" s="12"/>
      <c r="D117" s="95"/>
      <c r="E117" s="14"/>
      <c r="F117" s="96"/>
      <c r="H117" s="14"/>
      <c r="I117" s="14"/>
      <c r="J117" s="14"/>
      <c r="K117" s="14"/>
      <c r="L117" s="14"/>
      <c r="M117" s="14"/>
      <c r="N117" s="14"/>
      <c r="O117" s="14"/>
      <c r="P117" s="14"/>
    </row>
    <row r="118">
      <c r="A118" s="12"/>
      <c r="D118" s="95"/>
      <c r="E118" s="14"/>
      <c r="F118" s="96"/>
      <c r="H118" s="14"/>
      <c r="I118" s="14"/>
      <c r="J118" s="14"/>
      <c r="K118" s="14"/>
      <c r="L118" s="14"/>
      <c r="M118" s="14"/>
      <c r="N118" s="14"/>
      <c r="O118" s="14"/>
      <c r="P118" s="14"/>
    </row>
    <row r="119">
      <c r="A119" s="12"/>
      <c r="D119" s="95"/>
      <c r="E119" s="14"/>
      <c r="F119" s="96"/>
      <c r="H119" s="14"/>
      <c r="I119" s="14"/>
      <c r="J119" s="14"/>
      <c r="K119" s="14"/>
      <c r="L119" s="14"/>
      <c r="M119" s="14"/>
      <c r="N119" s="14"/>
      <c r="O119" s="14"/>
      <c r="P119" s="14"/>
    </row>
    <row r="120">
      <c r="A120" s="12"/>
      <c r="D120" s="95"/>
      <c r="E120" s="14"/>
      <c r="F120" s="96"/>
      <c r="H120" s="14"/>
      <c r="I120" s="14"/>
      <c r="J120" s="14"/>
      <c r="K120" s="14"/>
      <c r="L120" s="14"/>
      <c r="M120" s="14"/>
      <c r="N120" s="14"/>
      <c r="O120" s="14"/>
      <c r="P120" s="14"/>
    </row>
    <row r="121">
      <c r="A121" s="12"/>
      <c r="D121" s="95"/>
      <c r="E121" s="14"/>
      <c r="F121" s="96"/>
      <c r="H121" s="14"/>
      <c r="I121" s="14"/>
      <c r="J121" s="14"/>
      <c r="K121" s="14"/>
      <c r="L121" s="14"/>
      <c r="M121" s="14"/>
      <c r="N121" s="14"/>
      <c r="O121" s="14"/>
      <c r="P121" s="14"/>
    </row>
    <row r="122">
      <c r="A122" s="12"/>
      <c r="D122" s="95"/>
      <c r="E122" s="14"/>
      <c r="F122" s="96"/>
      <c r="H122" s="14"/>
      <c r="I122" s="14"/>
      <c r="J122" s="14"/>
      <c r="K122" s="14"/>
      <c r="L122" s="14"/>
      <c r="M122" s="14"/>
      <c r="N122" s="14"/>
      <c r="O122" s="14"/>
      <c r="P122" s="14"/>
    </row>
    <row r="123">
      <c r="A123" s="12"/>
      <c r="D123" s="95"/>
      <c r="E123" s="14"/>
      <c r="F123" s="96"/>
      <c r="H123" s="14"/>
      <c r="I123" s="14"/>
      <c r="J123" s="14"/>
      <c r="K123" s="14"/>
      <c r="L123" s="14"/>
      <c r="M123" s="14"/>
      <c r="N123" s="14"/>
      <c r="O123" s="14"/>
      <c r="P123" s="14"/>
    </row>
    <row r="124">
      <c r="A124" s="12"/>
      <c r="D124" s="95"/>
      <c r="E124" s="14"/>
      <c r="F124" s="96"/>
      <c r="H124" s="14"/>
      <c r="I124" s="14"/>
      <c r="J124" s="14"/>
      <c r="K124" s="14"/>
      <c r="L124" s="14"/>
      <c r="M124" s="14"/>
      <c r="N124" s="14"/>
      <c r="O124" s="14"/>
      <c r="P124" s="14"/>
    </row>
    <row r="125">
      <c r="A125" s="12"/>
      <c r="D125" s="95"/>
      <c r="E125" s="14"/>
      <c r="F125" s="96"/>
      <c r="H125" s="14"/>
      <c r="I125" s="14"/>
      <c r="J125" s="14"/>
      <c r="K125" s="14"/>
      <c r="L125" s="14"/>
      <c r="M125" s="14"/>
      <c r="N125" s="14"/>
      <c r="O125" s="14"/>
      <c r="P125" s="14"/>
    </row>
    <row r="126">
      <c r="A126" s="12"/>
      <c r="D126" s="95"/>
      <c r="E126" s="14"/>
      <c r="F126" s="96"/>
      <c r="H126" s="14"/>
      <c r="I126" s="14"/>
      <c r="J126" s="14"/>
      <c r="K126" s="14"/>
      <c r="L126" s="14"/>
      <c r="M126" s="14"/>
      <c r="N126" s="14"/>
      <c r="O126" s="14"/>
      <c r="P126" s="14"/>
    </row>
    <row r="127">
      <c r="A127" s="12"/>
      <c r="D127" s="95"/>
      <c r="E127" s="14"/>
      <c r="F127" s="96"/>
      <c r="H127" s="14"/>
      <c r="I127" s="14"/>
      <c r="J127" s="14"/>
      <c r="K127" s="14"/>
      <c r="L127" s="14"/>
      <c r="M127" s="14"/>
      <c r="N127" s="14"/>
      <c r="O127" s="14"/>
      <c r="P127" s="14"/>
    </row>
    <row r="128">
      <c r="A128" s="12"/>
      <c r="D128" s="95"/>
      <c r="E128" s="14"/>
      <c r="F128" s="96"/>
      <c r="H128" s="14"/>
      <c r="I128" s="14"/>
      <c r="J128" s="14"/>
      <c r="K128" s="14"/>
      <c r="L128" s="14"/>
      <c r="M128" s="14"/>
      <c r="N128" s="14"/>
      <c r="O128" s="14"/>
      <c r="P128" s="14"/>
    </row>
    <row r="129">
      <c r="A129" s="12"/>
      <c r="D129" s="95"/>
      <c r="E129" s="14"/>
      <c r="F129" s="96"/>
      <c r="H129" s="14"/>
      <c r="I129" s="14"/>
      <c r="J129" s="14"/>
      <c r="K129" s="14"/>
      <c r="L129" s="14"/>
      <c r="M129" s="14"/>
      <c r="N129" s="14"/>
      <c r="O129" s="14"/>
      <c r="P129" s="14"/>
    </row>
    <row r="130">
      <c r="A130" s="12"/>
      <c r="D130" s="95"/>
      <c r="E130" s="14"/>
      <c r="F130" s="96"/>
      <c r="H130" s="14"/>
      <c r="I130" s="14"/>
      <c r="J130" s="14"/>
      <c r="K130" s="14"/>
      <c r="L130" s="14"/>
      <c r="M130" s="14"/>
      <c r="N130" s="14"/>
      <c r="O130" s="14"/>
      <c r="P130" s="14"/>
    </row>
    <row r="131">
      <c r="A131" s="12"/>
      <c r="D131" s="95"/>
      <c r="E131" s="14"/>
      <c r="F131" s="96"/>
      <c r="H131" s="14"/>
      <c r="I131" s="14"/>
      <c r="J131" s="14"/>
      <c r="K131" s="14"/>
      <c r="L131" s="14"/>
      <c r="M131" s="14"/>
      <c r="N131" s="14"/>
      <c r="O131" s="14"/>
      <c r="P131" s="14"/>
    </row>
    <row r="132">
      <c r="A132" s="12"/>
      <c r="D132" s="95"/>
      <c r="E132" s="14"/>
      <c r="F132" s="96"/>
      <c r="H132" s="14"/>
      <c r="I132" s="14"/>
      <c r="J132" s="14"/>
      <c r="K132" s="14"/>
      <c r="L132" s="14"/>
      <c r="M132" s="14"/>
      <c r="N132" s="14"/>
      <c r="O132" s="14"/>
      <c r="P132" s="14"/>
    </row>
    <row r="133">
      <c r="A133" s="12"/>
      <c r="D133" s="95"/>
      <c r="E133" s="14"/>
      <c r="F133" s="96"/>
      <c r="H133" s="14"/>
      <c r="I133" s="14"/>
      <c r="J133" s="14"/>
      <c r="K133" s="14"/>
      <c r="L133" s="14"/>
      <c r="M133" s="14"/>
      <c r="N133" s="14"/>
      <c r="O133" s="14"/>
      <c r="P133" s="14"/>
    </row>
    <row r="134">
      <c r="A134" s="12"/>
      <c r="D134" s="95"/>
      <c r="E134" s="14"/>
      <c r="F134" s="96"/>
      <c r="H134" s="14"/>
      <c r="I134" s="14"/>
      <c r="J134" s="14"/>
      <c r="K134" s="14"/>
      <c r="L134" s="14"/>
      <c r="M134" s="14"/>
      <c r="N134" s="14"/>
      <c r="O134" s="14"/>
      <c r="P134" s="14"/>
    </row>
    <row r="135">
      <c r="A135" s="12"/>
      <c r="D135" s="95"/>
      <c r="E135" s="14"/>
      <c r="F135" s="96"/>
      <c r="H135" s="14"/>
      <c r="I135" s="14"/>
      <c r="J135" s="14"/>
      <c r="K135" s="14"/>
      <c r="L135" s="14"/>
      <c r="M135" s="14"/>
      <c r="N135" s="14"/>
      <c r="O135" s="14"/>
      <c r="P135" s="14"/>
    </row>
    <row r="136">
      <c r="A136" s="12"/>
      <c r="D136" s="95"/>
      <c r="E136" s="14"/>
      <c r="F136" s="96"/>
      <c r="H136" s="14"/>
      <c r="I136" s="14"/>
      <c r="J136" s="14"/>
      <c r="K136" s="14"/>
      <c r="L136" s="14"/>
      <c r="M136" s="14"/>
      <c r="N136" s="14"/>
      <c r="O136" s="14"/>
      <c r="P136" s="14"/>
    </row>
    <row r="137">
      <c r="A137" s="12"/>
      <c r="D137" s="95"/>
      <c r="E137" s="14"/>
      <c r="F137" s="96"/>
      <c r="H137" s="14"/>
      <c r="I137" s="14"/>
      <c r="J137" s="14"/>
      <c r="K137" s="14"/>
      <c r="L137" s="14"/>
      <c r="M137" s="14"/>
      <c r="N137" s="14"/>
      <c r="O137" s="14"/>
      <c r="P137" s="14"/>
    </row>
    <row r="138">
      <c r="A138" s="12"/>
      <c r="D138" s="95"/>
      <c r="E138" s="14"/>
      <c r="F138" s="96"/>
      <c r="H138" s="14"/>
      <c r="I138" s="14"/>
      <c r="J138" s="14"/>
      <c r="K138" s="14"/>
      <c r="L138" s="14"/>
      <c r="M138" s="14"/>
      <c r="N138" s="14"/>
      <c r="O138" s="14"/>
      <c r="P138" s="14"/>
    </row>
    <row r="139">
      <c r="A139" s="12"/>
      <c r="D139" s="95"/>
      <c r="E139" s="14"/>
      <c r="F139" s="96"/>
      <c r="H139" s="14"/>
      <c r="I139" s="14"/>
      <c r="J139" s="14"/>
      <c r="K139" s="14"/>
      <c r="L139" s="14"/>
      <c r="M139" s="14"/>
      <c r="N139" s="14"/>
      <c r="O139" s="14"/>
      <c r="P139" s="14"/>
    </row>
    <row r="140">
      <c r="A140" s="12"/>
      <c r="D140" s="95"/>
      <c r="E140" s="14"/>
      <c r="F140" s="96"/>
      <c r="H140" s="14"/>
      <c r="I140" s="14"/>
      <c r="J140" s="14"/>
      <c r="K140" s="14"/>
      <c r="L140" s="14"/>
      <c r="M140" s="14"/>
      <c r="N140" s="14"/>
      <c r="O140" s="14"/>
      <c r="P140" s="14"/>
    </row>
    <row r="141">
      <c r="A141" s="12"/>
      <c r="D141" s="95"/>
      <c r="E141" s="14"/>
      <c r="F141" s="96"/>
      <c r="H141" s="14"/>
      <c r="I141" s="14"/>
      <c r="J141" s="14"/>
      <c r="K141" s="14"/>
      <c r="L141" s="14"/>
      <c r="M141" s="14"/>
      <c r="N141" s="14"/>
      <c r="O141" s="14"/>
      <c r="P141" s="14"/>
    </row>
    <row r="142">
      <c r="A142" s="12"/>
      <c r="D142" s="95"/>
      <c r="E142" s="14"/>
      <c r="F142" s="96"/>
      <c r="H142" s="14"/>
      <c r="I142" s="14"/>
      <c r="J142" s="14"/>
      <c r="K142" s="14"/>
      <c r="L142" s="14"/>
      <c r="M142" s="14"/>
      <c r="N142" s="14"/>
      <c r="O142" s="14"/>
      <c r="P142" s="14"/>
    </row>
    <row r="143">
      <c r="A143" s="12"/>
      <c r="D143" s="95"/>
      <c r="E143" s="14"/>
      <c r="F143" s="96"/>
      <c r="H143" s="14"/>
      <c r="I143" s="14"/>
      <c r="J143" s="14"/>
      <c r="K143" s="14"/>
      <c r="L143" s="14"/>
      <c r="M143" s="14"/>
      <c r="N143" s="14"/>
      <c r="O143" s="14"/>
      <c r="P143" s="14"/>
    </row>
    <row r="144">
      <c r="A144" s="12"/>
      <c r="D144" s="95"/>
      <c r="E144" s="14"/>
      <c r="F144" s="96"/>
      <c r="H144" s="14"/>
      <c r="I144" s="14"/>
      <c r="J144" s="14"/>
      <c r="K144" s="14"/>
      <c r="L144" s="14"/>
      <c r="M144" s="14"/>
      <c r="N144" s="14"/>
      <c r="O144" s="14"/>
      <c r="P144" s="14"/>
    </row>
    <row r="145">
      <c r="A145" s="12"/>
      <c r="D145" s="95"/>
      <c r="E145" s="14"/>
      <c r="F145" s="96"/>
      <c r="H145" s="14"/>
      <c r="I145" s="14"/>
      <c r="J145" s="14"/>
      <c r="K145" s="14"/>
      <c r="L145" s="14"/>
      <c r="M145" s="14"/>
      <c r="N145" s="14"/>
      <c r="O145" s="14"/>
      <c r="P145" s="14"/>
    </row>
    <row r="146">
      <c r="A146" s="12"/>
      <c r="D146" s="95"/>
      <c r="E146" s="14"/>
      <c r="F146" s="96"/>
      <c r="H146" s="14"/>
      <c r="I146" s="14"/>
      <c r="J146" s="14"/>
      <c r="K146" s="14"/>
      <c r="L146" s="14"/>
      <c r="M146" s="14"/>
      <c r="N146" s="14"/>
      <c r="O146" s="14"/>
      <c r="P146" s="14"/>
    </row>
    <row r="147">
      <c r="A147" s="12"/>
      <c r="D147" s="95"/>
      <c r="E147" s="14"/>
      <c r="F147" s="96"/>
      <c r="H147" s="14"/>
      <c r="I147" s="14"/>
      <c r="J147" s="14"/>
      <c r="K147" s="14"/>
      <c r="L147" s="14"/>
      <c r="M147" s="14"/>
      <c r="N147" s="14"/>
      <c r="O147" s="14"/>
      <c r="P147" s="14"/>
    </row>
    <row r="148">
      <c r="A148" s="12"/>
      <c r="D148" s="95"/>
      <c r="E148" s="14"/>
      <c r="F148" s="96"/>
      <c r="H148" s="14"/>
      <c r="I148" s="14"/>
      <c r="J148" s="14"/>
      <c r="K148" s="14"/>
      <c r="L148" s="14"/>
      <c r="M148" s="14"/>
      <c r="N148" s="14"/>
      <c r="O148" s="14"/>
      <c r="P148" s="14"/>
    </row>
    <row r="149">
      <c r="A149" s="12"/>
      <c r="D149" s="95"/>
      <c r="E149" s="14"/>
      <c r="F149" s="96"/>
      <c r="H149" s="14"/>
      <c r="I149" s="14"/>
      <c r="J149" s="14"/>
      <c r="K149" s="14"/>
      <c r="L149" s="14"/>
      <c r="M149" s="14"/>
      <c r="N149" s="14"/>
      <c r="O149" s="14"/>
      <c r="P149" s="14"/>
    </row>
    <row r="150">
      <c r="A150" s="12"/>
      <c r="D150" s="95"/>
      <c r="E150" s="14"/>
      <c r="F150" s="96"/>
      <c r="H150" s="14"/>
      <c r="I150" s="14"/>
      <c r="J150" s="14"/>
      <c r="K150" s="14"/>
      <c r="L150" s="14"/>
      <c r="M150" s="14"/>
      <c r="N150" s="14"/>
      <c r="O150" s="14"/>
      <c r="P150" s="14"/>
    </row>
    <row r="151">
      <c r="A151" s="12"/>
      <c r="D151" s="95"/>
      <c r="E151" s="14"/>
      <c r="F151" s="96"/>
      <c r="H151" s="14"/>
      <c r="I151" s="14"/>
      <c r="J151" s="14"/>
      <c r="K151" s="14"/>
      <c r="L151" s="14"/>
      <c r="M151" s="14"/>
      <c r="N151" s="14"/>
      <c r="O151" s="14"/>
      <c r="P151" s="14"/>
    </row>
    <row r="152">
      <c r="A152" s="12"/>
      <c r="D152" s="95"/>
      <c r="E152" s="14"/>
      <c r="F152" s="96"/>
      <c r="H152" s="14"/>
      <c r="I152" s="14"/>
      <c r="J152" s="14"/>
      <c r="K152" s="14"/>
      <c r="L152" s="14"/>
      <c r="M152" s="14"/>
      <c r="N152" s="14"/>
      <c r="O152" s="14"/>
      <c r="P152" s="14"/>
    </row>
    <row r="153">
      <c r="A153" s="12"/>
      <c r="D153" s="95"/>
      <c r="E153" s="14"/>
      <c r="F153" s="96"/>
      <c r="H153" s="14"/>
      <c r="I153" s="14"/>
      <c r="J153" s="14"/>
      <c r="K153" s="14"/>
      <c r="L153" s="14"/>
      <c r="M153" s="14"/>
      <c r="N153" s="14"/>
      <c r="O153" s="14"/>
      <c r="P153" s="14"/>
    </row>
    <row r="154">
      <c r="A154" s="12"/>
      <c r="D154" s="95"/>
      <c r="E154" s="14"/>
      <c r="F154" s="96"/>
      <c r="H154" s="14"/>
      <c r="I154" s="14"/>
      <c r="J154" s="14"/>
      <c r="K154" s="14"/>
      <c r="L154" s="14"/>
      <c r="M154" s="14"/>
      <c r="N154" s="14"/>
      <c r="O154" s="14"/>
      <c r="P154" s="14"/>
    </row>
    <row r="155">
      <c r="A155" s="12"/>
      <c r="D155" s="95"/>
      <c r="E155" s="14"/>
      <c r="F155" s="96"/>
      <c r="H155" s="14"/>
      <c r="I155" s="14"/>
      <c r="J155" s="14"/>
      <c r="K155" s="14"/>
      <c r="L155" s="14"/>
      <c r="M155" s="14"/>
      <c r="N155" s="14"/>
      <c r="O155" s="14"/>
      <c r="P155" s="14"/>
    </row>
    <row r="156">
      <c r="A156" s="12"/>
      <c r="D156" s="95"/>
      <c r="E156" s="14"/>
      <c r="F156" s="96"/>
      <c r="H156" s="14"/>
      <c r="I156" s="14"/>
      <c r="J156" s="14"/>
      <c r="K156" s="14"/>
      <c r="L156" s="14"/>
      <c r="M156" s="14"/>
      <c r="N156" s="14"/>
      <c r="O156" s="14"/>
      <c r="P156" s="14"/>
    </row>
    <row r="157">
      <c r="A157" s="12"/>
      <c r="D157" s="95"/>
      <c r="E157" s="14"/>
      <c r="F157" s="96"/>
      <c r="H157" s="14"/>
      <c r="I157" s="14"/>
      <c r="J157" s="14"/>
      <c r="K157" s="14"/>
      <c r="L157" s="14"/>
      <c r="M157" s="14"/>
      <c r="N157" s="14"/>
      <c r="O157" s="14"/>
      <c r="P157" s="14"/>
    </row>
    <row r="158">
      <c r="A158" s="12"/>
      <c r="D158" s="95"/>
      <c r="E158" s="14"/>
      <c r="F158" s="96"/>
      <c r="H158" s="14"/>
      <c r="I158" s="14"/>
      <c r="J158" s="14"/>
      <c r="K158" s="14"/>
      <c r="L158" s="14"/>
      <c r="M158" s="14"/>
      <c r="N158" s="14"/>
      <c r="O158" s="14"/>
      <c r="P158" s="14"/>
    </row>
    <row r="159">
      <c r="A159" s="12"/>
      <c r="D159" s="95"/>
      <c r="E159" s="14"/>
      <c r="F159" s="96"/>
      <c r="H159" s="14"/>
      <c r="I159" s="14"/>
      <c r="J159" s="14"/>
      <c r="K159" s="14"/>
      <c r="L159" s="14"/>
      <c r="M159" s="14"/>
      <c r="N159" s="14"/>
      <c r="O159" s="14"/>
      <c r="P159" s="14"/>
    </row>
    <row r="160">
      <c r="A160" s="12"/>
      <c r="D160" s="95"/>
      <c r="E160" s="14"/>
      <c r="F160" s="96"/>
      <c r="H160" s="14"/>
      <c r="I160" s="14"/>
      <c r="J160" s="14"/>
      <c r="K160" s="14"/>
      <c r="L160" s="14"/>
      <c r="M160" s="14"/>
      <c r="N160" s="14"/>
      <c r="O160" s="14"/>
      <c r="P160" s="14"/>
    </row>
    <row r="161">
      <c r="A161" s="12"/>
      <c r="D161" s="95"/>
      <c r="E161" s="14"/>
      <c r="F161" s="96"/>
      <c r="H161" s="14"/>
      <c r="I161" s="14"/>
      <c r="J161" s="14"/>
      <c r="K161" s="14"/>
      <c r="L161" s="14"/>
      <c r="M161" s="14"/>
      <c r="N161" s="14"/>
      <c r="O161" s="14"/>
      <c r="P161" s="14"/>
    </row>
    <row r="162">
      <c r="A162" s="12"/>
      <c r="D162" s="95"/>
      <c r="E162" s="14"/>
      <c r="F162" s="96"/>
      <c r="H162" s="14"/>
      <c r="I162" s="14"/>
      <c r="J162" s="14"/>
      <c r="K162" s="14"/>
      <c r="L162" s="14"/>
      <c r="M162" s="14"/>
      <c r="N162" s="14"/>
      <c r="O162" s="14"/>
      <c r="P162" s="14"/>
    </row>
    <row r="163">
      <c r="A163" s="12"/>
      <c r="D163" s="95"/>
      <c r="E163" s="14"/>
      <c r="F163" s="96"/>
      <c r="H163" s="14"/>
      <c r="I163" s="14"/>
      <c r="J163" s="14"/>
      <c r="K163" s="14"/>
      <c r="L163" s="14"/>
      <c r="M163" s="14"/>
      <c r="N163" s="14"/>
      <c r="O163" s="14"/>
      <c r="P163" s="14"/>
    </row>
    <row r="164">
      <c r="A164" s="12"/>
      <c r="D164" s="95"/>
      <c r="E164" s="14"/>
      <c r="F164" s="96"/>
      <c r="H164" s="14"/>
      <c r="I164" s="14"/>
      <c r="J164" s="14"/>
      <c r="K164" s="14"/>
      <c r="L164" s="14"/>
      <c r="M164" s="14"/>
      <c r="N164" s="14"/>
      <c r="O164" s="14"/>
      <c r="P164" s="14"/>
    </row>
    <row r="165">
      <c r="A165" s="12"/>
      <c r="D165" s="95"/>
      <c r="E165" s="14"/>
      <c r="F165" s="96"/>
      <c r="H165" s="14"/>
      <c r="I165" s="14"/>
      <c r="J165" s="14"/>
      <c r="K165" s="14"/>
      <c r="L165" s="14"/>
      <c r="M165" s="14"/>
      <c r="N165" s="14"/>
      <c r="O165" s="14"/>
      <c r="P165" s="14"/>
    </row>
    <row r="166">
      <c r="A166" s="12"/>
      <c r="D166" s="95"/>
      <c r="E166" s="14"/>
      <c r="F166" s="96"/>
      <c r="H166" s="14"/>
      <c r="I166" s="14"/>
      <c r="J166" s="14"/>
      <c r="K166" s="14"/>
      <c r="L166" s="14"/>
      <c r="M166" s="14"/>
      <c r="N166" s="14"/>
      <c r="O166" s="14"/>
      <c r="P166" s="14"/>
    </row>
    <row r="167">
      <c r="A167" s="12"/>
      <c r="D167" s="95"/>
      <c r="E167" s="14"/>
      <c r="F167" s="96"/>
      <c r="H167" s="14"/>
      <c r="I167" s="14"/>
      <c r="J167" s="14"/>
      <c r="K167" s="14"/>
      <c r="L167" s="14"/>
      <c r="M167" s="14"/>
      <c r="N167" s="14"/>
      <c r="O167" s="14"/>
      <c r="P167" s="14"/>
    </row>
    <row r="168">
      <c r="A168" s="12"/>
      <c r="D168" s="95"/>
      <c r="E168" s="14"/>
      <c r="F168" s="96"/>
      <c r="H168" s="14"/>
      <c r="I168" s="14"/>
      <c r="J168" s="14"/>
      <c r="K168" s="14"/>
      <c r="L168" s="14"/>
      <c r="M168" s="14"/>
      <c r="N168" s="14"/>
      <c r="O168" s="14"/>
      <c r="P168" s="14"/>
    </row>
    <row r="169">
      <c r="A169" s="12"/>
      <c r="D169" s="95"/>
      <c r="E169" s="14"/>
      <c r="F169" s="96"/>
      <c r="H169" s="14"/>
      <c r="I169" s="14"/>
      <c r="J169" s="14"/>
      <c r="K169" s="14"/>
      <c r="L169" s="14"/>
      <c r="M169" s="14"/>
      <c r="N169" s="14"/>
      <c r="O169" s="14"/>
      <c r="P169" s="14"/>
    </row>
    <row r="170">
      <c r="A170" s="12"/>
      <c r="D170" s="95"/>
      <c r="E170" s="14"/>
      <c r="F170" s="96"/>
      <c r="H170" s="14"/>
      <c r="I170" s="14"/>
      <c r="J170" s="14"/>
      <c r="K170" s="14"/>
      <c r="L170" s="14"/>
      <c r="M170" s="14"/>
      <c r="N170" s="14"/>
      <c r="O170" s="14"/>
      <c r="P170" s="14"/>
    </row>
    <row r="171">
      <c r="A171" s="12"/>
      <c r="D171" s="95"/>
      <c r="E171" s="14"/>
      <c r="F171" s="96"/>
      <c r="H171" s="14"/>
      <c r="I171" s="14"/>
      <c r="J171" s="14"/>
      <c r="K171" s="14"/>
      <c r="L171" s="14"/>
      <c r="M171" s="14"/>
      <c r="N171" s="14"/>
      <c r="O171" s="14"/>
      <c r="P171" s="14"/>
    </row>
    <row r="172">
      <c r="A172" s="12"/>
      <c r="D172" s="95"/>
      <c r="E172" s="14"/>
      <c r="F172" s="96"/>
      <c r="H172" s="14"/>
      <c r="I172" s="14"/>
      <c r="J172" s="14"/>
      <c r="K172" s="14"/>
      <c r="L172" s="14"/>
      <c r="M172" s="14"/>
      <c r="N172" s="14"/>
      <c r="O172" s="14"/>
      <c r="P172" s="14"/>
    </row>
    <row r="173">
      <c r="A173" s="12"/>
      <c r="D173" s="95"/>
      <c r="E173" s="14"/>
      <c r="F173" s="96"/>
      <c r="H173" s="14"/>
      <c r="I173" s="14"/>
      <c r="J173" s="14"/>
      <c r="K173" s="14"/>
      <c r="L173" s="14"/>
      <c r="M173" s="14"/>
      <c r="N173" s="14"/>
      <c r="O173" s="14"/>
      <c r="P173" s="14"/>
    </row>
    <row r="174">
      <c r="A174" s="12"/>
      <c r="D174" s="95"/>
      <c r="E174" s="14"/>
      <c r="F174" s="96"/>
      <c r="H174" s="14"/>
      <c r="I174" s="14"/>
      <c r="J174" s="14"/>
      <c r="K174" s="14"/>
      <c r="L174" s="14"/>
      <c r="M174" s="14"/>
      <c r="N174" s="14"/>
      <c r="O174" s="14"/>
      <c r="P174" s="14"/>
    </row>
    <row r="175">
      <c r="A175" s="12"/>
      <c r="D175" s="95"/>
      <c r="E175" s="14"/>
      <c r="F175" s="96"/>
      <c r="H175" s="14"/>
      <c r="I175" s="14"/>
      <c r="J175" s="14"/>
      <c r="K175" s="14"/>
      <c r="L175" s="14"/>
      <c r="M175" s="14"/>
      <c r="N175" s="14"/>
      <c r="O175" s="14"/>
      <c r="P175" s="14"/>
    </row>
    <row r="176">
      <c r="A176" s="12"/>
      <c r="D176" s="95"/>
      <c r="E176" s="14"/>
      <c r="F176" s="96"/>
      <c r="H176" s="14"/>
      <c r="I176" s="14"/>
      <c r="J176" s="14"/>
      <c r="K176" s="14"/>
      <c r="L176" s="14"/>
      <c r="M176" s="14"/>
      <c r="N176" s="14"/>
      <c r="O176" s="14"/>
      <c r="P176" s="14"/>
    </row>
    <row r="177">
      <c r="A177" s="12"/>
      <c r="D177" s="95"/>
      <c r="E177" s="14"/>
      <c r="F177" s="96"/>
      <c r="H177" s="14"/>
      <c r="I177" s="14"/>
      <c r="J177" s="14"/>
      <c r="K177" s="14"/>
      <c r="L177" s="14"/>
      <c r="M177" s="14"/>
      <c r="N177" s="14"/>
      <c r="O177" s="14"/>
      <c r="P177" s="14"/>
    </row>
    <row r="178">
      <c r="A178" s="12"/>
      <c r="D178" s="95"/>
      <c r="E178" s="14"/>
      <c r="F178" s="96"/>
      <c r="H178" s="14"/>
      <c r="I178" s="14"/>
      <c r="J178" s="14"/>
      <c r="K178" s="14"/>
      <c r="L178" s="14"/>
      <c r="M178" s="14"/>
      <c r="N178" s="14"/>
      <c r="O178" s="14"/>
      <c r="P178" s="14"/>
    </row>
    <row r="179">
      <c r="A179" s="12"/>
      <c r="D179" s="95"/>
      <c r="E179" s="14"/>
      <c r="F179" s="96"/>
      <c r="H179" s="14"/>
      <c r="I179" s="14"/>
      <c r="J179" s="14"/>
      <c r="K179" s="14"/>
      <c r="L179" s="14"/>
      <c r="M179" s="14"/>
      <c r="N179" s="14"/>
      <c r="O179" s="14"/>
      <c r="P179" s="14"/>
    </row>
    <row r="180">
      <c r="A180" s="12"/>
      <c r="D180" s="95"/>
      <c r="E180" s="14"/>
      <c r="F180" s="96"/>
      <c r="H180" s="14"/>
      <c r="I180" s="14"/>
      <c r="J180" s="14"/>
      <c r="K180" s="14"/>
      <c r="L180" s="14"/>
      <c r="M180" s="14"/>
      <c r="N180" s="14"/>
      <c r="O180" s="14"/>
      <c r="P180" s="14"/>
    </row>
    <row r="181">
      <c r="A181" s="12"/>
      <c r="D181" s="95"/>
      <c r="E181" s="14"/>
      <c r="F181" s="96"/>
      <c r="H181" s="14"/>
      <c r="I181" s="14"/>
      <c r="J181" s="14"/>
      <c r="K181" s="14"/>
      <c r="L181" s="14"/>
      <c r="M181" s="14"/>
      <c r="N181" s="14"/>
      <c r="O181" s="14"/>
      <c r="P181" s="14"/>
    </row>
    <row r="182">
      <c r="A182" s="12"/>
      <c r="D182" s="95"/>
      <c r="E182" s="14"/>
      <c r="F182" s="96"/>
      <c r="H182" s="14"/>
      <c r="I182" s="14"/>
      <c r="J182" s="14"/>
      <c r="K182" s="14"/>
      <c r="L182" s="14"/>
      <c r="M182" s="14"/>
      <c r="N182" s="14"/>
      <c r="O182" s="14"/>
      <c r="P182" s="14"/>
    </row>
    <row r="183">
      <c r="A183" s="12"/>
      <c r="D183" s="95"/>
      <c r="E183" s="14"/>
      <c r="F183" s="96"/>
      <c r="H183" s="14"/>
      <c r="I183" s="14"/>
      <c r="J183" s="14"/>
      <c r="K183" s="14"/>
      <c r="L183" s="14"/>
      <c r="M183" s="14"/>
      <c r="N183" s="14"/>
      <c r="O183" s="14"/>
      <c r="P183" s="14"/>
    </row>
    <row r="184">
      <c r="A184" s="12"/>
      <c r="D184" s="95"/>
      <c r="E184" s="14"/>
      <c r="F184" s="96"/>
      <c r="H184" s="14"/>
      <c r="I184" s="14"/>
      <c r="J184" s="14"/>
      <c r="K184" s="14"/>
      <c r="L184" s="14"/>
      <c r="M184" s="14"/>
      <c r="N184" s="14"/>
      <c r="O184" s="14"/>
      <c r="P184" s="14"/>
    </row>
    <row r="185">
      <c r="A185" s="12"/>
      <c r="D185" s="95"/>
      <c r="E185" s="14"/>
      <c r="F185" s="96"/>
      <c r="H185" s="14"/>
      <c r="I185" s="14"/>
      <c r="J185" s="14"/>
      <c r="K185" s="14"/>
      <c r="L185" s="14"/>
      <c r="M185" s="14"/>
      <c r="N185" s="14"/>
      <c r="O185" s="14"/>
      <c r="P185" s="14"/>
    </row>
    <row r="186">
      <c r="A186" s="12"/>
      <c r="D186" s="95"/>
      <c r="E186" s="14"/>
      <c r="F186" s="96"/>
      <c r="H186" s="14"/>
      <c r="I186" s="14"/>
      <c r="J186" s="14"/>
      <c r="K186" s="14"/>
      <c r="L186" s="14"/>
      <c r="M186" s="14"/>
      <c r="N186" s="14"/>
      <c r="O186" s="14"/>
      <c r="P186" s="14"/>
    </row>
    <row r="187">
      <c r="A187" s="12"/>
      <c r="D187" s="95"/>
      <c r="E187" s="14"/>
      <c r="F187" s="96"/>
      <c r="H187" s="14"/>
      <c r="I187" s="14"/>
      <c r="J187" s="14"/>
      <c r="K187" s="14"/>
      <c r="L187" s="14"/>
      <c r="M187" s="14"/>
      <c r="N187" s="14"/>
      <c r="O187" s="14"/>
      <c r="P187" s="14"/>
    </row>
    <row r="188">
      <c r="A188" s="12"/>
      <c r="D188" s="95"/>
      <c r="E188" s="14"/>
      <c r="F188" s="96"/>
      <c r="H188" s="14"/>
      <c r="I188" s="14"/>
      <c r="J188" s="14"/>
      <c r="K188" s="14"/>
      <c r="L188" s="14"/>
      <c r="M188" s="14"/>
      <c r="N188" s="14"/>
      <c r="O188" s="14"/>
      <c r="P188" s="14"/>
    </row>
    <row r="189">
      <c r="A189" s="12"/>
      <c r="D189" s="95"/>
      <c r="E189" s="14"/>
      <c r="F189" s="96"/>
      <c r="H189" s="14"/>
      <c r="I189" s="14"/>
      <c r="J189" s="14"/>
      <c r="K189" s="14"/>
      <c r="L189" s="14"/>
      <c r="M189" s="14"/>
      <c r="N189" s="14"/>
      <c r="O189" s="14"/>
      <c r="P189" s="14"/>
    </row>
    <row r="190">
      <c r="A190" s="12"/>
      <c r="D190" s="95"/>
      <c r="E190" s="14"/>
      <c r="F190" s="96"/>
      <c r="H190" s="14"/>
      <c r="I190" s="14"/>
      <c r="J190" s="14"/>
      <c r="K190" s="14"/>
      <c r="L190" s="14"/>
      <c r="M190" s="14"/>
      <c r="N190" s="14"/>
      <c r="O190" s="14"/>
      <c r="P190" s="14"/>
    </row>
    <row r="191">
      <c r="A191" s="12"/>
      <c r="D191" s="95"/>
      <c r="E191" s="14"/>
      <c r="F191" s="96"/>
      <c r="H191" s="14"/>
      <c r="I191" s="14"/>
      <c r="J191" s="14"/>
      <c r="K191" s="14"/>
      <c r="L191" s="14"/>
      <c r="M191" s="14"/>
      <c r="N191" s="14"/>
      <c r="O191" s="14"/>
      <c r="P191" s="14"/>
    </row>
    <row r="192">
      <c r="A192" s="12"/>
      <c r="D192" s="95"/>
      <c r="E192" s="14"/>
      <c r="F192" s="96"/>
      <c r="H192" s="14"/>
      <c r="I192" s="14"/>
      <c r="J192" s="14"/>
      <c r="K192" s="14"/>
      <c r="L192" s="14"/>
      <c r="M192" s="14"/>
      <c r="N192" s="14"/>
      <c r="O192" s="14"/>
      <c r="P192" s="14"/>
    </row>
    <row r="193">
      <c r="A193" s="12"/>
      <c r="D193" s="95"/>
      <c r="E193" s="14"/>
      <c r="F193" s="96"/>
      <c r="H193" s="14"/>
      <c r="I193" s="14"/>
      <c r="J193" s="14"/>
      <c r="K193" s="14"/>
      <c r="L193" s="14"/>
      <c r="M193" s="14"/>
      <c r="N193" s="14"/>
      <c r="O193" s="14"/>
      <c r="P193" s="14"/>
    </row>
    <row r="194">
      <c r="A194" s="12"/>
      <c r="D194" s="95"/>
      <c r="E194" s="14"/>
      <c r="F194" s="96"/>
      <c r="H194" s="14"/>
      <c r="I194" s="14"/>
      <c r="J194" s="14"/>
      <c r="K194" s="14"/>
      <c r="L194" s="14"/>
      <c r="M194" s="14"/>
      <c r="N194" s="14"/>
      <c r="O194" s="14"/>
      <c r="P194" s="14"/>
    </row>
    <row r="195">
      <c r="A195" s="12"/>
      <c r="D195" s="95"/>
      <c r="E195" s="14"/>
      <c r="F195" s="96"/>
      <c r="H195" s="14"/>
      <c r="I195" s="14"/>
      <c r="J195" s="14"/>
      <c r="K195" s="14"/>
      <c r="L195" s="14"/>
      <c r="M195" s="14"/>
      <c r="N195" s="14"/>
      <c r="O195" s="14"/>
      <c r="P195" s="14"/>
    </row>
    <row r="196">
      <c r="A196" s="12"/>
      <c r="D196" s="95"/>
      <c r="E196" s="14"/>
      <c r="F196" s="96"/>
      <c r="H196" s="14"/>
      <c r="I196" s="14"/>
      <c r="J196" s="14"/>
      <c r="K196" s="14"/>
      <c r="L196" s="14"/>
      <c r="M196" s="14"/>
      <c r="N196" s="14"/>
      <c r="O196" s="14"/>
      <c r="P196" s="14"/>
    </row>
    <row r="197">
      <c r="A197" s="12"/>
      <c r="D197" s="95"/>
      <c r="E197" s="14"/>
      <c r="F197" s="96"/>
      <c r="H197" s="14"/>
      <c r="I197" s="14"/>
      <c r="J197" s="14"/>
      <c r="K197" s="14"/>
      <c r="L197" s="14"/>
      <c r="M197" s="14"/>
      <c r="N197" s="14"/>
      <c r="O197" s="14"/>
      <c r="P197" s="14"/>
    </row>
    <row r="198">
      <c r="A198" s="12"/>
      <c r="D198" s="95"/>
      <c r="E198" s="14"/>
      <c r="F198" s="96"/>
      <c r="H198" s="14"/>
      <c r="I198" s="14"/>
      <c r="J198" s="14"/>
      <c r="K198" s="14"/>
      <c r="L198" s="14"/>
      <c r="M198" s="14"/>
      <c r="N198" s="14"/>
      <c r="O198" s="14"/>
      <c r="P198" s="14"/>
    </row>
    <row r="199">
      <c r="A199" s="12"/>
      <c r="D199" s="95"/>
      <c r="E199" s="14"/>
      <c r="F199" s="96"/>
      <c r="H199" s="14"/>
      <c r="I199" s="14"/>
      <c r="J199" s="14"/>
      <c r="K199" s="14"/>
      <c r="L199" s="14"/>
      <c r="M199" s="14"/>
      <c r="N199" s="14"/>
      <c r="O199" s="14"/>
      <c r="P199" s="14"/>
    </row>
    <row r="200">
      <c r="A200" s="12"/>
      <c r="D200" s="95"/>
      <c r="E200" s="14"/>
      <c r="F200" s="96"/>
      <c r="H200" s="14"/>
      <c r="I200" s="14"/>
      <c r="J200" s="14"/>
      <c r="K200" s="14"/>
      <c r="L200" s="14"/>
      <c r="M200" s="14"/>
      <c r="N200" s="14"/>
      <c r="O200" s="14"/>
      <c r="P200" s="14"/>
    </row>
    <row r="201">
      <c r="A201" s="12"/>
      <c r="D201" s="95"/>
      <c r="E201" s="14"/>
      <c r="F201" s="96"/>
      <c r="H201" s="14"/>
      <c r="I201" s="14"/>
      <c r="J201" s="14"/>
      <c r="K201" s="14"/>
      <c r="L201" s="14"/>
      <c r="M201" s="14"/>
      <c r="N201" s="14"/>
      <c r="O201" s="14"/>
      <c r="P201" s="14"/>
    </row>
    <row r="202">
      <c r="A202" s="12"/>
      <c r="D202" s="95"/>
      <c r="E202" s="14"/>
      <c r="F202" s="96"/>
      <c r="H202" s="14"/>
      <c r="I202" s="14"/>
      <c r="J202" s="14"/>
      <c r="K202" s="14"/>
      <c r="L202" s="14"/>
      <c r="M202" s="14"/>
      <c r="N202" s="14"/>
      <c r="O202" s="14"/>
      <c r="P202" s="14"/>
    </row>
    <row r="203">
      <c r="A203" s="12"/>
      <c r="D203" s="95"/>
      <c r="E203" s="14"/>
      <c r="F203" s="96"/>
      <c r="H203" s="14"/>
      <c r="I203" s="14"/>
      <c r="J203" s="14"/>
      <c r="K203" s="14"/>
      <c r="L203" s="14"/>
      <c r="M203" s="14"/>
      <c r="N203" s="14"/>
      <c r="O203" s="14"/>
      <c r="P203" s="14"/>
    </row>
    <row r="204">
      <c r="A204" s="12"/>
      <c r="D204" s="95"/>
      <c r="E204" s="14"/>
      <c r="F204" s="96"/>
      <c r="H204" s="14"/>
      <c r="I204" s="14"/>
      <c r="J204" s="14"/>
      <c r="K204" s="14"/>
      <c r="L204" s="14"/>
      <c r="M204" s="14"/>
      <c r="N204" s="14"/>
      <c r="O204" s="14"/>
      <c r="P204" s="14"/>
    </row>
    <row r="205">
      <c r="A205" s="12"/>
      <c r="D205" s="95"/>
      <c r="E205" s="14"/>
      <c r="F205" s="96"/>
      <c r="H205" s="14"/>
      <c r="I205" s="14"/>
      <c r="J205" s="14"/>
      <c r="K205" s="14"/>
      <c r="L205" s="14"/>
      <c r="M205" s="14"/>
      <c r="N205" s="14"/>
      <c r="O205" s="14"/>
      <c r="P205" s="14"/>
    </row>
    <row r="206">
      <c r="A206" s="12"/>
      <c r="D206" s="95"/>
      <c r="E206" s="14"/>
      <c r="F206" s="96"/>
      <c r="H206" s="14"/>
      <c r="I206" s="14"/>
      <c r="J206" s="14"/>
      <c r="K206" s="14"/>
      <c r="L206" s="14"/>
      <c r="M206" s="14"/>
      <c r="N206" s="14"/>
      <c r="O206" s="14"/>
      <c r="P206" s="14"/>
    </row>
    <row r="207">
      <c r="A207" s="12"/>
      <c r="D207" s="95"/>
      <c r="E207" s="14"/>
      <c r="F207" s="96"/>
      <c r="H207" s="14"/>
      <c r="I207" s="14"/>
      <c r="J207" s="14"/>
      <c r="K207" s="14"/>
      <c r="L207" s="14"/>
      <c r="M207" s="14"/>
      <c r="N207" s="14"/>
      <c r="O207" s="14"/>
      <c r="P207" s="14"/>
    </row>
    <row r="208">
      <c r="A208" s="12"/>
      <c r="D208" s="95"/>
      <c r="E208" s="14"/>
      <c r="F208" s="96"/>
      <c r="H208" s="14"/>
      <c r="I208" s="14"/>
      <c r="J208" s="14"/>
      <c r="K208" s="14"/>
      <c r="L208" s="14"/>
      <c r="M208" s="14"/>
      <c r="N208" s="14"/>
      <c r="O208" s="14"/>
      <c r="P208" s="14"/>
    </row>
    <row r="209">
      <c r="A209" s="12"/>
      <c r="D209" s="95"/>
      <c r="E209" s="14"/>
      <c r="F209" s="96"/>
      <c r="H209" s="14"/>
      <c r="I209" s="14"/>
      <c r="J209" s="14"/>
      <c r="K209" s="14"/>
      <c r="L209" s="14"/>
      <c r="M209" s="14"/>
      <c r="N209" s="14"/>
      <c r="O209" s="14"/>
      <c r="P209" s="14"/>
    </row>
    <row r="210">
      <c r="A210" s="12"/>
      <c r="D210" s="95"/>
      <c r="E210" s="14"/>
      <c r="F210" s="96"/>
      <c r="H210" s="14"/>
      <c r="I210" s="14"/>
      <c r="J210" s="14"/>
      <c r="K210" s="14"/>
      <c r="L210" s="14"/>
      <c r="M210" s="14"/>
      <c r="N210" s="14"/>
      <c r="O210" s="14"/>
      <c r="P210" s="14"/>
    </row>
    <row r="211">
      <c r="A211" s="12"/>
      <c r="D211" s="95"/>
      <c r="E211" s="14"/>
      <c r="F211" s="96"/>
      <c r="H211" s="14"/>
      <c r="I211" s="14"/>
      <c r="J211" s="14"/>
      <c r="K211" s="14"/>
      <c r="L211" s="14"/>
      <c r="M211" s="14"/>
      <c r="N211" s="14"/>
      <c r="O211" s="14"/>
      <c r="P211" s="14"/>
    </row>
    <row r="212">
      <c r="A212" s="12"/>
      <c r="D212" s="95"/>
      <c r="E212" s="14"/>
      <c r="F212" s="96"/>
      <c r="H212" s="14"/>
      <c r="I212" s="14"/>
      <c r="J212" s="14"/>
      <c r="K212" s="14"/>
      <c r="L212" s="14"/>
      <c r="M212" s="14"/>
      <c r="N212" s="14"/>
      <c r="O212" s="14"/>
      <c r="P212" s="14"/>
    </row>
    <row r="213">
      <c r="A213" s="12"/>
      <c r="D213" s="95"/>
      <c r="E213" s="14"/>
      <c r="F213" s="96"/>
      <c r="H213" s="14"/>
      <c r="I213" s="14"/>
      <c r="J213" s="14"/>
      <c r="K213" s="14"/>
      <c r="L213" s="14"/>
      <c r="M213" s="14"/>
      <c r="N213" s="14"/>
      <c r="O213" s="14"/>
      <c r="P213" s="14"/>
    </row>
    <row r="214">
      <c r="A214" s="12"/>
      <c r="D214" s="95"/>
      <c r="E214" s="14"/>
      <c r="F214" s="96"/>
      <c r="H214" s="14"/>
      <c r="I214" s="14"/>
      <c r="J214" s="14"/>
      <c r="K214" s="14"/>
      <c r="L214" s="14"/>
      <c r="M214" s="14"/>
      <c r="N214" s="14"/>
      <c r="O214" s="14"/>
      <c r="P214" s="14"/>
    </row>
    <row r="215">
      <c r="A215" s="12"/>
      <c r="D215" s="95"/>
      <c r="E215" s="14"/>
      <c r="F215" s="96"/>
      <c r="H215" s="14"/>
      <c r="I215" s="14"/>
      <c r="J215" s="14"/>
      <c r="K215" s="14"/>
      <c r="L215" s="14"/>
      <c r="M215" s="14"/>
      <c r="N215" s="14"/>
      <c r="O215" s="14"/>
      <c r="P215" s="14"/>
    </row>
    <row r="216">
      <c r="A216" s="12"/>
      <c r="D216" s="95"/>
      <c r="E216" s="14"/>
      <c r="F216" s="96"/>
      <c r="H216" s="14"/>
      <c r="I216" s="14"/>
      <c r="J216" s="14"/>
      <c r="K216" s="14"/>
      <c r="L216" s="14"/>
      <c r="M216" s="14"/>
      <c r="N216" s="14"/>
      <c r="O216" s="14"/>
      <c r="P216" s="14"/>
    </row>
    <row r="217">
      <c r="A217" s="12"/>
      <c r="D217" s="95"/>
      <c r="E217" s="14"/>
      <c r="F217" s="96"/>
      <c r="H217" s="14"/>
      <c r="I217" s="14"/>
      <c r="J217" s="14"/>
      <c r="K217" s="14"/>
      <c r="L217" s="14"/>
      <c r="M217" s="14"/>
      <c r="N217" s="14"/>
      <c r="O217" s="14"/>
      <c r="P217" s="14"/>
    </row>
    <row r="218">
      <c r="A218" s="12"/>
      <c r="D218" s="95"/>
      <c r="E218" s="14"/>
      <c r="F218" s="96"/>
      <c r="H218" s="14"/>
      <c r="I218" s="14"/>
      <c r="J218" s="14"/>
      <c r="K218" s="14"/>
      <c r="L218" s="14"/>
      <c r="M218" s="14"/>
      <c r="N218" s="14"/>
      <c r="O218" s="14"/>
      <c r="P218" s="14"/>
    </row>
    <row r="219">
      <c r="A219" s="12"/>
      <c r="D219" s="95"/>
      <c r="E219" s="14"/>
      <c r="F219" s="96"/>
      <c r="H219" s="14"/>
      <c r="I219" s="14"/>
      <c r="J219" s="14"/>
      <c r="K219" s="14"/>
      <c r="L219" s="14"/>
      <c r="M219" s="14"/>
      <c r="N219" s="14"/>
      <c r="O219" s="14"/>
      <c r="P219" s="14"/>
    </row>
    <row r="220">
      <c r="A220" s="12"/>
      <c r="D220" s="95"/>
      <c r="E220" s="14"/>
      <c r="F220" s="96"/>
      <c r="H220" s="14"/>
      <c r="I220" s="14"/>
      <c r="J220" s="14"/>
      <c r="K220" s="14"/>
      <c r="L220" s="14"/>
      <c r="M220" s="14"/>
      <c r="N220" s="14"/>
      <c r="O220" s="14"/>
      <c r="P220" s="14"/>
    </row>
    <row r="221">
      <c r="A221" s="12"/>
      <c r="D221" s="95"/>
      <c r="E221" s="14"/>
      <c r="F221" s="96"/>
      <c r="H221" s="14"/>
      <c r="I221" s="14"/>
      <c r="J221" s="14"/>
      <c r="K221" s="14"/>
      <c r="L221" s="14"/>
      <c r="M221" s="14"/>
      <c r="N221" s="14"/>
      <c r="O221" s="14"/>
      <c r="P221" s="14"/>
    </row>
    <row r="222">
      <c r="A222" s="12"/>
      <c r="D222" s="95"/>
      <c r="E222" s="14"/>
      <c r="F222" s="96"/>
      <c r="H222" s="14"/>
      <c r="I222" s="14"/>
      <c r="J222" s="14"/>
      <c r="K222" s="14"/>
      <c r="L222" s="14"/>
      <c r="M222" s="14"/>
      <c r="N222" s="14"/>
      <c r="O222" s="14"/>
      <c r="P222" s="14"/>
    </row>
    <row r="223">
      <c r="A223" s="12"/>
      <c r="D223" s="95"/>
      <c r="E223" s="14"/>
      <c r="F223" s="96"/>
      <c r="H223" s="14"/>
      <c r="I223" s="14"/>
      <c r="J223" s="14"/>
      <c r="K223" s="14"/>
      <c r="L223" s="14"/>
      <c r="M223" s="14"/>
      <c r="N223" s="14"/>
      <c r="O223" s="14"/>
      <c r="P223" s="14"/>
    </row>
    <row r="224">
      <c r="A224" s="12"/>
      <c r="D224" s="95"/>
      <c r="E224" s="14"/>
      <c r="F224" s="96"/>
      <c r="H224" s="14"/>
      <c r="I224" s="14"/>
      <c r="J224" s="14"/>
      <c r="K224" s="14"/>
      <c r="L224" s="14"/>
      <c r="M224" s="14"/>
      <c r="N224" s="14"/>
      <c r="O224" s="14"/>
      <c r="P224" s="14"/>
    </row>
    <row r="225">
      <c r="A225" s="12"/>
      <c r="D225" s="95"/>
      <c r="E225" s="14"/>
      <c r="F225" s="96"/>
      <c r="H225" s="14"/>
      <c r="I225" s="14"/>
      <c r="J225" s="14"/>
      <c r="K225" s="14"/>
      <c r="L225" s="14"/>
      <c r="M225" s="14"/>
      <c r="N225" s="14"/>
      <c r="O225" s="14"/>
      <c r="P225" s="14"/>
    </row>
    <row r="226">
      <c r="A226" s="12"/>
      <c r="D226" s="95"/>
      <c r="E226" s="14"/>
      <c r="F226" s="96"/>
      <c r="H226" s="14"/>
      <c r="I226" s="14"/>
      <c r="J226" s="14"/>
      <c r="K226" s="14"/>
      <c r="L226" s="14"/>
      <c r="M226" s="14"/>
      <c r="N226" s="14"/>
      <c r="O226" s="14"/>
      <c r="P226" s="14"/>
    </row>
    <row r="227">
      <c r="A227" s="12"/>
      <c r="D227" s="95"/>
      <c r="E227" s="14"/>
      <c r="F227" s="96"/>
      <c r="H227" s="14"/>
      <c r="I227" s="14"/>
      <c r="J227" s="14"/>
      <c r="K227" s="14"/>
      <c r="L227" s="14"/>
      <c r="M227" s="14"/>
      <c r="N227" s="14"/>
      <c r="O227" s="14"/>
      <c r="P227" s="14"/>
    </row>
    <row r="228">
      <c r="A228" s="12"/>
      <c r="D228" s="95"/>
      <c r="E228" s="14"/>
      <c r="F228" s="96"/>
      <c r="H228" s="14"/>
      <c r="I228" s="14"/>
      <c r="J228" s="14"/>
      <c r="K228" s="14"/>
      <c r="L228" s="14"/>
      <c r="M228" s="14"/>
      <c r="N228" s="14"/>
      <c r="O228" s="14"/>
      <c r="P228" s="14"/>
    </row>
    <row r="229">
      <c r="A229" s="12"/>
      <c r="D229" s="95"/>
      <c r="E229" s="14"/>
      <c r="F229" s="96"/>
      <c r="H229" s="14"/>
      <c r="I229" s="14"/>
      <c r="J229" s="14"/>
      <c r="K229" s="14"/>
      <c r="L229" s="14"/>
      <c r="M229" s="14"/>
      <c r="N229" s="14"/>
      <c r="O229" s="14"/>
      <c r="P229" s="14"/>
    </row>
    <row r="230">
      <c r="A230" s="12"/>
      <c r="D230" s="95"/>
      <c r="E230" s="14"/>
      <c r="F230" s="96"/>
      <c r="H230" s="14"/>
      <c r="I230" s="14"/>
      <c r="J230" s="14"/>
      <c r="K230" s="14"/>
      <c r="L230" s="14"/>
      <c r="M230" s="14"/>
      <c r="N230" s="14"/>
      <c r="O230" s="14"/>
      <c r="P230" s="14"/>
    </row>
    <row r="231">
      <c r="A231" s="12"/>
      <c r="D231" s="95"/>
      <c r="E231" s="14"/>
      <c r="F231" s="96"/>
      <c r="H231" s="14"/>
      <c r="I231" s="14"/>
      <c r="J231" s="14"/>
      <c r="K231" s="14"/>
      <c r="L231" s="14"/>
      <c r="M231" s="14"/>
      <c r="N231" s="14"/>
      <c r="O231" s="14"/>
      <c r="P231" s="14"/>
    </row>
    <row r="232">
      <c r="A232" s="12"/>
      <c r="D232" s="95"/>
      <c r="E232" s="14"/>
      <c r="F232" s="96"/>
      <c r="H232" s="14"/>
      <c r="I232" s="14"/>
      <c r="J232" s="14"/>
      <c r="K232" s="14"/>
      <c r="L232" s="14"/>
      <c r="M232" s="14"/>
      <c r="N232" s="14"/>
      <c r="O232" s="14"/>
      <c r="P232" s="14"/>
    </row>
    <row r="233">
      <c r="A233" s="12"/>
      <c r="D233" s="95"/>
      <c r="E233" s="14"/>
      <c r="F233" s="96"/>
      <c r="H233" s="14"/>
      <c r="I233" s="14"/>
      <c r="J233" s="14"/>
      <c r="K233" s="14"/>
      <c r="L233" s="14"/>
      <c r="M233" s="14"/>
      <c r="N233" s="14"/>
      <c r="O233" s="14"/>
      <c r="P233" s="14"/>
    </row>
    <row r="234">
      <c r="A234" s="12"/>
      <c r="D234" s="95"/>
      <c r="E234" s="14"/>
      <c r="F234" s="96"/>
      <c r="H234" s="14"/>
      <c r="I234" s="14"/>
      <c r="J234" s="14"/>
      <c r="K234" s="14"/>
      <c r="L234" s="14"/>
      <c r="M234" s="14"/>
      <c r="N234" s="14"/>
      <c r="O234" s="14"/>
      <c r="P234" s="14"/>
    </row>
    <row r="235">
      <c r="A235" s="12"/>
      <c r="D235" s="95"/>
      <c r="E235" s="14"/>
      <c r="F235" s="96"/>
      <c r="H235" s="14"/>
      <c r="I235" s="14"/>
      <c r="J235" s="14"/>
      <c r="K235" s="14"/>
      <c r="L235" s="14"/>
      <c r="M235" s="14"/>
      <c r="N235" s="14"/>
      <c r="O235" s="14"/>
      <c r="P235" s="14"/>
    </row>
    <row r="236">
      <c r="A236" s="12"/>
      <c r="D236" s="95"/>
      <c r="E236" s="14"/>
      <c r="F236" s="96"/>
      <c r="H236" s="14"/>
      <c r="I236" s="14"/>
      <c r="J236" s="14"/>
      <c r="K236" s="14"/>
      <c r="L236" s="14"/>
      <c r="M236" s="14"/>
      <c r="N236" s="14"/>
      <c r="O236" s="14"/>
      <c r="P236" s="14"/>
    </row>
    <row r="237">
      <c r="A237" s="12"/>
      <c r="D237" s="95"/>
      <c r="E237" s="14"/>
      <c r="F237" s="96"/>
      <c r="H237" s="14"/>
      <c r="I237" s="14"/>
      <c r="J237" s="14"/>
      <c r="K237" s="14"/>
      <c r="L237" s="14"/>
      <c r="M237" s="14"/>
      <c r="N237" s="14"/>
      <c r="O237" s="14"/>
      <c r="P237" s="14"/>
    </row>
    <row r="238">
      <c r="A238" s="12"/>
      <c r="D238" s="95"/>
      <c r="E238" s="14"/>
      <c r="F238" s="96"/>
      <c r="H238" s="14"/>
      <c r="I238" s="14"/>
      <c r="J238" s="14"/>
      <c r="K238" s="14"/>
      <c r="L238" s="14"/>
      <c r="M238" s="14"/>
      <c r="N238" s="14"/>
      <c r="O238" s="14"/>
      <c r="P238" s="14"/>
    </row>
    <row r="239">
      <c r="A239" s="12"/>
      <c r="D239" s="95"/>
      <c r="E239" s="14"/>
      <c r="F239" s="96"/>
      <c r="H239" s="14"/>
      <c r="I239" s="14"/>
      <c r="J239" s="14"/>
      <c r="K239" s="14"/>
      <c r="L239" s="14"/>
      <c r="M239" s="14"/>
      <c r="N239" s="14"/>
      <c r="O239" s="14"/>
      <c r="P239" s="14"/>
    </row>
    <row r="240">
      <c r="A240" s="12"/>
      <c r="D240" s="95"/>
      <c r="E240" s="14"/>
      <c r="F240" s="96"/>
      <c r="H240" s="14"/>
      <c r="I240" s="14"/>
      <c r="J240" s="14"/>
      <c r="K240" s="14"/>
      <c r="L240" s="14"/>
      <c r="M240" s="14"/>
      <c r="N240" s="14"/>
      <c r="O240" s="14"/>
      <c r="P240" s="14"/>
    </row>
    <row r="241">
      <c r="A241" s="12"/>
      <c r="D241" s="95"/>
      <c r="E241" s="14"/>
      <c r="F241" s="96"/>
      <c r="H241" s="14"/>
      <c r="I241" s="14"/>
      <c r="J241" s="14"/>
      <c r="K241" s="14"/>
      <c r="L241" s="14"/>
      <c r="M241" s="14"/>
      <c r="N241" s="14"/>
      <c r="O241" s="14"/>
      <c r="P241" s="14"/>
    </row>
    <row r="242">
      <c r="A242" s="12"/>
      <c r="D242" s="95"/>
      <c r="E242" s="14"/>
      <c r="F242" s="96"/>
      <c r="H242" s="14"/>
      <c r="I242" s="14"/>
      <c r="J242" s="14"/>
      <c r="K242" s="14"/>
      <c r="L242" s="14"/>
      <c r="M242" s="14"/>
      <c r="N242" s="14"/>
      <c r="O242" s="14"/>
      <c r="P242" s="14"/>
    </row>
    <row r="243">
      <c r="A243" s="12"/>
      <c r="D243" s="95"/>
      <c r="E243" s="14"/>
      <c r="F243" s="96"/>
      <c r="H243" s="14"/>
      <c r="I243" s="14"/>
      <c r="J243" s="14"/>
      <c r="K243" s="14"/>
      <c r="L243" s="14"/>
      <c r="M243" s="14"/>
      <c r="N243" s="14"/>
      <c r="O243" s="14"/>
      <c r="P243" s="14"/>
    </row>
    <row r="244">
      <c r="A244" s="12"/>
      <c r="D244" s="95"/>
      <c r="E244" s="14"/>
      <c r="F244" s="96"/>
      <c r="H244" s="14"/>
      <c r="I244" s="14"/>
      <c r="J244" s="14"/>
      <c r="K244" s="14"/>
      <c r="L244" s="14"/>
      <c r="M244" s="14"/>
      <c r="N244" s="14"/>
      <c r="O244" s="14"/>
      <c r="P244" s="14"/>
    </row>
    <row r="245">
      <c r="A245" s="12"/>
      <c r="D245" s="95"/>
      <c r="E245" s="14"/>
      <c r="F245" s="96"/>
      <c r="H245" s="14"/>
      <c r="I245" s="14"/>
      <c r="J245" s="14"/>
      <c r="K245" s="14"/>
      <c r="L245" s="14"/>
      <c r="M245" s="14"/>
      <c r="N245" s="14"/>
      <c r="O245" s="14"/>
      <c r="P245" s="14"/>
    </row>
    <row r="246">
      <c r="A246" s="12"/>
      <c r="D246" s="95"/>
      <c r="E246" s="14"/>
      <c r="F246" s="96"/>
      <c r="H246" s="14"/>
      <c r="I246" s="14"/>
      <c r="J246" s="14"/>
      <c r="K246" s="14"/>
      <c r="L246" s="14"/>
      <c r="M246" s="14"/>
      <c r="N246" s="14"/>
      <c r="O246" s="14"/>
      <c r="P246" s="14"/>
    </row>
    <row r="247">
      <c r="A247" s="12"/>
      <c r="D247" s="95"/>
      <c r="E247" s="14"/>
      <c r="F247" s="96"/>
      <c r="H247" s="14"/>
      <c r="I247" s="14"/>
      <c r="J247" s="14"/>
      <c r="K247" s="14"/>
      <c r="L247" s="14"/>
      <c r="M247" s="14"/>
      <c r="N247" s="14"/>
      <c r="O247" s="14"/>
      <c r="P247" s="14"/>
    </row>
    <row r="248">
      <c r="A248" s="12"/>
      <c r="D248" s="95"/>
      <c r="E248" s="14"/>
      <c r="F248" s="96"/>
      <c r="H248" s="14"/>
      <c r="I248" s="14"/>
      <c r="J248" s="14"/>
      <c r="K248" s="14"/>
      <c r="L248" s="14"/>
      <c r="M248" s="14"/>
      <c r="N248" s="14"/>
      <c r="O248" s="14"/>
      <c r="P248" s="14"/>
    </row>
    <row r="249">
      <c r="A249" s="12"/>
      <c r="D249" s="95"/>
      <c r="E249" s="14"/>
      <c r="F249" s="96"/>
      <c r="H249" s="14"/>
      <c r="I249" s="14"/>
      <c r="J249" s="14"/>
      <c r="K249" s="14"/>
      <c r="L249" s="14"/>
      <c r="M249" s="14"/>
      <c r="N249" s="14"/>
      <c r="O249" s="14"/>
      <c r="P249" s="14"/>
    </row>
    <row r="250">
      <c r="A250" s="12"/>
      <c r="D250" s="95"/>
      <c r="E250" s="14"/>
      <c r="F250" s="96"/>
      <c r="H250" s="14"/>
      <c r="I250" s="14"/>
      <c r="J250" s="14"/>
      <c r="K250" s="14"/>
      <c r="L250" s="14"/>
      <c r="M250" s="14"/>
      <c r="N250" s="14"/>
      <c r="O250" s="14"/>
      <c r="P250" s="14"/>
    </row>
    <row r="251">
      <c r="A251" s="12"/>
      <c r="D251" s="95"/>
      <c r="E251" s="14"/>
      <c r="F251" s="96"/>
      <c r="H251" s="14"/>
      <c r="I251" s="14"/>
      <c r="J251" s="14"/>
      <c r="K251" s="14"/>
      <c r="L251" s="14"/>
      <c r="M251" s="14"/>
      <c r="N251" s="14"/>
      <c r="O251" s="14"/>
      <c r="P251" s="14"/>
    </row>
    <row r="252">
      <c r="A252" s="12"/>
      <c r="D252" s="95"/>
      <c r="E252" s="14"/>
      <c r="F252" s="96"/>
      <c r="H252" s="14"/>
      <c r="I252" s="14"/>
      <c r="J252" s="14"/>
      <c r="K252" s="14"/>
      <c r="L252" s="14"/>
      <c r="M252" s="14"/>
      <c r="N252" s="14"/>
      <c r="O252" s="14"/>
      <c r="P252" s="14"/>
    </row>
    <row r="253">
      <c r="A253" s="12"/>
      <c r="D253" s="95"/>
      <c r="E253" s="14"/>
      <c r="F253" s="96"/>
      <c r="H253" s="14"/>
      <c r="I253" s="14"/>
      <c r="J253" s="14"/>
      <c r="K253" s="14"/>
      <c r="L253" s="14"/>
      <c r="M253" s="14"/>
      <c r="N253" s="14"/>
      <c r="O253" s="14"/>
      <c r="P253" s="14"/>
    </row>
    <row r="254">
      <c r="A254" s="12"/>
      <c r="D254" s="95"/>
      <c r="E254" s="14"/>
      <c r="F254" s="96"/>
      <c r="H254" s="14"/>
      <c r="I254" s="14"/>
      <c r="J254" s="14"/>
      <c r="K254" s="14"/>
      <c r="L254" s="14"/>
      <c r="M254" s="14"/>
      <c r="N254" s="14"/>
      <c r="O254" s="14"/>
      <c r="P254" s="14"/>
    </row>
    <row r="255">
      <c r="A255" s="12"/>
      <c r="D255" s="95"/>
      <c r="E255" s="14"/>
      <c r="F255" s="96"/>
      <c r="H255" s="14"/>
      <c r="I255" s="14"/>
      <c r="J255" s="14"/>
      <c r="K255" s="14"/>
      <c r="L255" s="14"/>
      <c r="M255" s="14"/>
      <c r="N255" s="14"/>
      <c r="O255" s="14"/>
      <c r="P255" s="14"/>
    </row>
    <row r="256">
      <c r="A256" s="12"/>
      <c r="D256" s="95"/>
      <c r="E256" s="14"/>
      <c r="F256" s="96"/>
      <c r="H256" s="14"/>
      <c r="I256" s="14"/>
      <c r="J256" s="14"/>
      <c r="K256" s="14"/>
      <c r="L256" s="14"/>
      <c r="M256" s="14"/>
      <c r="N256" s="14"/>
      <c r="O256" s="14"/>
      <c r="P256" s="14"/>
    </row>
    <row r="257">
      <c r="A257" s="12"/>
      <c r="D257" s="95"/>
      <c r="E257" s="14"/>
      <c r="F257" s="96"/>
      <c r="H257" s="14"/>
      <c r="I257" s="14"/>
      <c r="J257" s="14"/>
      <c r="K257" s="14"/>
      <c r="L257" s="14"/>
      <c r="M257" s="14"/>
      <c r="N257" s="14"/>
      <c r="O257" s="14"/>
      <c r="P257" s="14"/>
    </row>
    <row r="258">
      <c r="A258" s="12"/>
      <c r="D258" s="95"/>
      <c r="E258" s="14"/>
      <c r="F258" s="96"/>
      <c r="H258" s="14"/>
      <c r="I258" s="14"/>
      <c r="J258" s="14"/>
      <c r="K258" s="14"/>
      <c r="L258" s="14"/>
      <c r="M258" s="14"/>
      <c r="N258" s="14"/>
      <c r="O258" s="14"/>
      <c r="P258" s="14"/>
    </row>
    <row r="259">
      <c r="A259" s="12"/>
      <c r="D259" s="95"/>
      <c r="E259" s="14"/>
      <c r="F259" s="96"/>
      <c r="H259" s="14"/>
      <c r="I259" s="14"/>
      <c r="J259" s="14"/>
      <c r="K259" s="14"/>
      <c r="L259" s="14"/>
      <c r="M259" s="14"/>
      <c r="N259" s="14"/>
      <c r="O259" s="14"/>
      <c r="P259" s="14"/>
    </row>
    <row r="260">
      <c r="A260" s="12"/>
      <c r="D260" s="95"/>
      <c r="E260" s="14"/>
      <c r="F260" s="96"/>
      <c r="H260" s="14"/>
      <c r="I260" s="14"/>
      <c r="J260" s="14"/>
      <c r="K260" s="14"/>
      <c r="L260" s="14"/>
      <c r="M260" s="14"/>
      <c r="N260" s="14"/>
      <c r="O260" s="14"/>
      <c r="P260" s="14"/>
    </row>
    <row r="261">
      <c r="A261" s="12"/>
      <c r="D261" s="95"/>
      <c r="E261" s="14"/>
      <c r="F261" s="96"/>
      <c r="H261" s="14"/>
      <c r="I261" s="14"/>
      <c r="J261" s="14"/>
      <c r="K261" s="14"/>
      <c r="L261" s="14"/>
      <c r="M261" s="14"/>
      <c r="N261" s="14"/>
      <c r="O261" s="14"/>
      <c r="P261" s="14"/>
    </row>
    <row r="262">
      <c r="A262" s="12"/>
      <c r="D262" s="95"/>
      <c r="E262" s="14"/>
      <c r="F262" s="96"/>
      <c r="H262" s="14"/>
      <c r="I262" s="14"/>
      <c r="J262" s="14"/>
      <c r="K262" s="14"/>
      <c r="L262" s="14"/>
      <c r="M262" s="14"/>
      <c r="N262" s="14"/>
      <c r="O262" s="14"/>
      <c r="P262" s="14"/>
    </row>
    <row r="263">
      <c r="A263" s="12"/>
      <c r="D263" s="95"/>
      <c r="E263" s="14"/>
      <c r="F263" s="96"/>
      <c r="H263" s="14"/>
      <c r="I263" s="14"/>
      <c r="J263" s="14"/>
      <c r="K263" s="14"/>
      <c r="L263" s="14"/>
      <c r="M263" s="14"/>
      <c r="N263" s="14"/>
      <c r="O263" s="14"/>
      <c r="P263" s="14"/>
    </row>
    <row r="264">
      <c r="A264" s="12"/>
      <c r="D264" s="95"/>
      <c r="E264" s="14"/>
      <c r="F264" s="96"/>
      <c r="H264" s="14"/>
      <c r="I264" s="14"/>
      <c r="J264" s="14"/>
      <c r="K264" s="14"/>
      <c r="L264" s="14"/>
      <c r="M264" s="14"/>
      <c r="N264" s="14"/>
      <c r="O264" s="14"/>
      <c r="P264" s="14"/>
    </row>
    <row r="265">
      <c r="A265" s="12"/>
      <c r="D265" s="95"/>
      <c r="E265" s="14"/>
      <c r="F265" s="96"/>
      <c r="H265" s="14"/>
      <c r="I265" s="14"/>
      <c r="J265" s="14"/>
      <c r="K265" s="14"/>
      <c r="L265" s="14"/>
      <c r="M265" s="14"/>
      <c r="N265" s="14"/>
      <c r="O265" s="14"/>
      <c r="P265" s="14"/>
    </row>
    <row r="266">
      <c r="A266" s="12"/>
      <c r="D266" s="95"/>
      <c r="E266" s="14"/>
      <c r="F266" s="96"/>
      <c r="H266" s="14"/>
      <c r="I266" s="14"/>
      <c r="J266" s="14"/>
      <c r="K266" s="14"/>
      <c r="L266" s="14"/>
      <c r="M266" s="14"/>
      <c r="N266" s="14"/>
      <c r="O266" s="14"/>
      <c r="P266" s="14"/>
    </row>
    <row r="267">
      <c r="A267" s="12"/>
      <c r="D267" s="95"/>
      <c r="E267" s="14"/>
      <c r="F267" s="96"/>
      <c r="H267" s="14"/>
      <c r="I267" s="14"/>
      <c r="J267" s="14"/>
      <c r="K267" s="14"/>
      <c r="L267" s="14"/>
      <c r="M267" s="14"/>
      <c r="N267" s="14"/>
      <c r="O267" s="14"/>
      <c r="P267" s="14"/>
    </row>
    <row r="268">
      <c r="A268" s="12"/>
      <c r="D268" s="95"/>
      <c r="E268" s="14"/>
      <c r="F268" s="96"/>
      <c r="H268" s="14"/>
      <c r="I268" s="14"/>
      <c r="J268" s="14"/>
      <c r="K268" s="14"/>
      <c r="L268" s="14"/>
      <c r="M268" s="14"/>
      <c r="N268" s="14"/>
      <c r="O268" s="14"/>
      <c r="P268" s="14"/>
    </row>
    <row r="269">
      <c r="A269" s="12"/>
      <c r="D269" s="95"/>
      <c r="E269" s="14"/>
      <c r="F269" s="96"/>
      <c r="H269" s="14"/>
      <c r="I269" s="14"/>
      <c r="J269" s="14"/>
      <c r="K269" s="14"/>
      <c r="L269" s="14"/>
      <c r="M269" s="14"/>
      <c r="N269" s="14"/>
      <c r="O269" s="14"/>
      <c r="P269" s="14"/>
    </row>
    <row r="270">
      <c r="A270" s="12"/>
      <c r="D270" s="95"/>
      <c r="E270" s="14"/>
      <c r="F270" s="96"/>
      <c r="H270" s="14"/>
      <c r="I270" s="14"/>
      <c r="J270" s="14"/>
      <c r="K270" s="14"/>
      <c r="L270" s="14"/>
      <c r="M270" s="14"/>
      <c r="N270" s="14"/>
      <c r="O270" s="14"/>
      <c r="P270" s="14"/>
    </row>
    <row r="271">
      <c r="A271" s="12"/>
      <c r="D271" s="95"/>
      <c r="E271" s="14"/>
      <c r="F271" s="96"/>
      <c r="H271" s="14"/>
      <c r="I271" s="14"/>
      <c r="J271" s="14"/>
      <c r="K271" s="14"/>
      <c r="L271" s="14"/>
      <c r="M271" s="14"/>
      <c r="N271" s="14"/>
      <c r="O271" s="14"/>
      <c r="P271" s="14"/>
    </row>
    <row r="272">
      <c r="A272" s="12"/>
      <c r="D272" s="95"/>
      <c r="E272" s="14"/>
      <c r="F272" s="96"/>
      <c r="H272" s="14"/>
      <c r="I272" s="14"/>
      <c r="J272" s="14"/>
      <c r="K272" s="14"/>
      <c r="L272" s="14"/>
      <c r="M272" s="14"/>
      <c r="N272" s="14"/>
      <c r="O272" s="14"/>
      <c r="P272" s="14"/>
    </row>
    <row r="273">
      <c r="A273" s="12"/>
      <c r="D273" s="95"/>
      <c r="E273" s="14"/>
      <c r="F273" s="96"/>
      <c r="H273" s="14"/>
      <c r="I273" s="14"/>
      <c r="J273" s="14"/>
      <c r="K273" s="14"/>
      <c r="L273" s="14"/>
      <c r="M273" s="14"/>
      <c r="N273" s="14"/>
      <c r="O273" s="14"/>
      <c r="P273" s="14"/>
    </row>
    <row r="274">
      <c r="A274" s="12"/>
      <c r="D274" s="95"/>
      <c r="E274" s="14"/>
      <c r="F274" s="96"/>
      <c r="H274" s="14"/>
      <c r="I274" s="14"/>
      <c r="J274" s="14"/>
      <c r="K274" s="14"/>
      <c r="L274" s="14"/>
      <c r="M274" s="14"/>
      <c r="N274" s="14"/>
      <c r="O274" s="14"/>
      <c r="P274" s="14"/>
    </row>
    <row r="275">
      <c r="A275" s="12"/>
      <c r="D275" s="95"/>
      <c r="E275" s="14"/>
      <c r="F275" s="96"/>
      <c r="H275" s="14"/>
      <c r="I275" s="14"/>
      <c r="J275" s="14"/>
      <c r="K275" s="14"/>
      <c r="L275" s="14"/>
      <c r="M275" s="14"/>
      <c r="N275" s="14"/>
      <c r="O275" s="14"/>
      <c r="P275" s="14"/>
    </row>
    <row r="276">
      <c r="A276" s="12"/>
      <c r="D276" s="95"/>
      <c r="E276" s="14"/>
      <c r="F276" s="96"/>
      <c r="H276" s="14"/>
      <c r="I276" s="14"/>
      <c r="J276" s="14"/>
      <c r="K276" s="14"/>
      <c r="L276" s="14"/>
      <c r="M276" s="14"/>
      <c r="N276" s="14"/>
      <c r="O276" s="14"/>
      <c r="P276" s="14"/>
    </row>
    <row r="277">
      <c r="A277" s="12"/>
      <c r="D277" s="95"/>
      <c r="E277" s="14"/>
      <c r="F277" s="96"/>
      <c r="H277" s="14"/>
      <c r="I277" s="14"/>
      <c r="J277" s="14"/>
      <c r="K277" s="14"/>
      <c r="L277" s="14"/>
      <c r="M277" s="14"/>
      <c r="N277" s="14"/>
      <c r="O277" s="14"/>
      <c r="P277" s="14"/>
    </row>
    <row r="278">
      <c r="A278" s="12"/>
      <c r="D278" s="95"/>
      <c r="E278" s="14"/>
      <c r="F278" s="96"/>
      <c r="H278" s="14"/>
      <c r="I278" s="14"/>
      <c r="J278" s="14"/>
      <c r="K278" s="14"/>
      <c r="L278" s="14"/>
      <c r="M278" s="14"/>
      <c r="N278" s="14"/>
      <c r="O278" s="14"/>
      <c r="P278" s="14"/>
    </row>
    <row r="279">
      <c r="A279" s="12"/>
      <c r="D279" s="95"/>
      <c r="E279" s="14"/>
      <c r="F279" s="96"/>
      <c r="H279" s="14"/>
      <c r="I279" s="14"/>
      <c r="J279" s="14"/>
      <c r="K279" s="14"/>
      <c r="L279" s="14"/>
      <c r="M279" s="14"/>
      <c r="N279" s="14"/>
      <c r="O279" s="14"/>
      <c r="P279" s="14"/>
    </row>
    <row r="280">
      <c r="A280" s="12"/>
      <c r="D280" s="95"/>
      <c r="E280" s="14"/>
      <c r="F280" s="96"/>
      <c r="H280" s="14"/>
      <c r="I280" s="14"/>
      <c r="J280" s="14"/>
      <c r="K280" s="14"/>
      <c r="L280" s="14"/>
      <c r="M280" s="14"/>
      <c r="N280" s="14"/>
      <c r="O280" s="14"/>
      <c r="P280" s="14"/>
    </row>
    <row r="281">
      <c r="A281" s="12"/>
      <c r="D281" s="95"/>
      <c r="E281" s="14"/>
      <c r="F281" s="96"/>
      <c r="H281" s="14"/>
      <c r="I281" s="14"/>
      <c r="J281" s="14"/>
      <c r="K281" s="14"/>
      <c r="L281" s="14"/>
      <c r="M281" s="14"/>
      <c r="N281" s="14"/>
      <c r="O281" s="14"/>
      <c r="P281" s="14"/>
    </row>
    <row r="282">
      <c r="A282" s="12"/>
      <c r="D282" s="95"/>
      <c r="E282" s="14"/>
      <c r="F282" s="96"/>
      <c r="H282" s="14"/>
      <c r="I282" s="14"/>
      <c r="J282" s="14"/>
      <c r="K282" s="14"/>
      <c r="L282" s="14"/>
      <c r="M282" s="14"/>
      <c r="N282" s="14"/>
      <c r="O282" s="14"/>
      <c r="P282" s="14"/>
    </row>
    <row r="283">
      <c r="A283" s="12"/>
      <c r="D283" s="95"/>
      <c r="E283" s="14"/>
      <c r="F283" s="96"/>
      <c r="H283" s="14"/>
      <c r="I283" s="14"/>
      <c r="J283" s="14"/>
      <c r="K283" s="14"/>
      <c r="L283" s="14"/>
      <c r="M283" s="14"/>
      <c r="N283" s="14"/>
      <c r="O283" s="14"/>
      <c r="P283" s="14"/>
    </row>
    <row r="284">
      <c r="A284" s="12"/>
      <c r="D284" s="95"/>
      <c r="E284" s="14"/>
      <c r="F284" s="96"/>
      <c r="H284" s="14"/>
      <c r="I284" s="14"/>
      <c r="J284" s="14"/>
      <c r="K284" s="14"/>
      <c r="L284" s="14"/>
      <c r="M284" s="14"/>
      <c r="N284" s="14"/>
      <c r="O284" s="14"/>
      <c r="P284" s="14"/>
    </row>
    <row r="285">
      <c r="A285" s="12"/>
      <c r="D285" s="95"/>
      <c r="E285" s="14"/>
      <c r="F285" s="96"/>
      <c r="H285" s="14"/>
      <c r="I285" s="14"/>
      <c r="J285" s="14"/>
      <c r="K285" s="14"/>
      <c r="L285" s="14"/>
      <c r="M285" s="14"/>
      <c r="N285" s="14"/>
      <c r="O285" s="14"/>
      <c r="P285" s="14"/>
    </row>
    <row r="286">
      <c r="A286" s="12"/>
      <c r="D286" s="95"/>
      <c r="E286" s="14"/>
      <c r="F286" s="96"/>
      <c r="H286" s="14"/>
      <c r="I286" s="14"/>
      <c r="J286" s="14"/>
      <c r="K286" s="14"/>
      <c r="L286" s="14"/>
      <c r="M286" s="14"/>
      <c r="N286" s="14"/>
      <c r="O286" s="14"/>
      <c r="P286" s="14"/>
    </row>
    <row r="287">
      <c r="A287" s="12"/>
      <c r="D287" s="95"/>
      <c r="E287" s="14"/>
      <c r="F287" s="96"/>
      <c r="H287" s="14"/>
      <c r="I287" s="14"/>
      <c r="J287" s="14"/>
      <c r="K287" s="14"/>
      <c r="L287" s="14"/>
      <c r="M287" s="14"/>
      <c r="N287" s="14"/>
      <c r="O287" s="14"/>
      <c r="P287" s="14"/>
    </row>
    <row r="288">
      <c r="A288" s="12"/>
      <c r="D288" s="95"/>
      <c r="E288" s="14"/>
      <c r="F288" s="96"/>
      <c r="H288" s="14"/>
      <c r="I288" s="14"/>
      <c r="J288" s="14"/>
      <c r="K288" s="14"/>
      <c r="L288" s="14"/>
      <c r="M288" s="14"/>
      <c r="N288" s="14"/>
      <c r="O288" s="14"/>
      <c r="P288" s="14"/>
    </row>
    <row r="289">
      <c r="A289" s="12"/>
      <c r="D289" s="95"/>
      <c r="E289" s="14"/>
      <c r="F289" s="96"/>
      <c r="H289" s="14"/>
      <c r="I289" s="14"/>
      <c r="J289" s="14"/>
      <c r="K289" s="14"/>
      <c r="L289" s="14"/>
      <c r="M289" s="14"/>
      <c r="N289" s="14"/>
      <c r="O289" s="14"/>
      <c r="P289" s="14"/>
    </row>
    <row r="290">
      <c r="A290" s="12"/>
      <c r="D290" s="95"/>
      <c r="E290" s="14"/>
      <c r="F290" s="96"/>
      <c r="H290" s="14"/>
      <c r="I290" s="14"/>
      <c r="J290" s="14"/>
      <c r="K290" s="14"/>
      <c r="L290" s="14"/>
      <c r="M290" s="14"/>
      <c r="N290" s="14"/>
      <c r="O290" s="14"/>
      <c r="P290" s="14"/>
    </row>
    <row r="291">
      <c r="A291" s="12"/>
      <c r="D291" s="95"/>
      <c r="E291" s="14"/>
      <c r="F291" s="96"/>
      <c r="H291" s="14"/>
      <c r="I291" s="14"/>
      <c r="J291" s="14"/>
      <c r="K291" s="14"/>
      <c r="L291" s="14"/>
      <c r="M291" s="14"/>
      <c r="N291" s="14"/>
      <c r="O291" s="14"/>
      <c r="P291" s="14"/>
    </row>
    <row r="292">
      <c r="A292" s="12"/>
      <c r="D292" s="95"/>
      <c r="E292" s="14"/>
      <c r="F292" s="96"/>
      <c r="H292" s="14"/>
      <c r="I292" s="14"/>
      <c r="J292" s="14"/>
      <c r="K292" s="14"/>
      <c r="L292" s="14"/>
      <c r="M292" s="14"/>
      <c r="N292" s="14"/>
      <c r="O292" s="14"/>
      <c r="P292" s="14"/>
    </row>
    <row r="293">
      <c r="A293" s="12"/>
      <c r="D293" s="95"/>
      <c r="E293" s="14"/>
      <c r="F293" s="96"/>
      <c r="H293" s="14"/>
      <c r="I293" s="14"/>
      <c r="J293" s="14"/>
      <c r="K293" s="14"/>
      <c r="L293" s="14"/>
      <c r="M293" s="14"/>
      <c r="N293" s="14"/>
      <c r="O293" s="14"/>
      <c r="P293" s="14"/>
    </row>
    <row r="294">
      <c r="A294" s="12"/>
      <c r="D294" s="95"/>
      <c r="E294" s="14"/>
      <c r="F294" s="96"/>
      <c r="H294" s="14"/>
      <c r="I294" s="14"/>
      <c r="J294" s="14"/>
      <c r="K294" s="14"/>
      <c r="L294" s="14"/>
      <c r="M294" s="14"/>
      <c r="N294" s="14"/>
      <c r="O294" s="14"/>
      <c r="P294" s="14"/>
    </row>
    <row r="295">
      <c r="A295" s="12"/>
      <c r="D295" s="95"/>
      <c r="E295" s="14"/>
      <c r="F295" s="96"/>
      <c r="H295" s="14"/>
      <c r="I295" s="14"/>
      <c r="J295" s="14"/>
      <c r="K295" s="14"/>
      <c r="L295" s="14"/>
      <c r="M295" s="14"/>
      <c r="N295" s="14"/>
      <c r="O295" s="14"/>
      <c r="P295" s="14"/>
    </row>
    <row r="296">
      <c r="A296" s="12"/>
      <c r="D296" s="95"/>
      <c r="E296" s="14"/>
      <c r="F296" s="96"/>
      <c r="H296" s="14"/>
      <c r="I296" s="14"/>
      <c r="J296" s="14"/>
      <c r="K296" s="14"/>
      <c r="L296" s="14"/>
      <c r="M296" s="14"/>
      <c r="N296" s="14"/>
      <c r="O296" s="14"/>
      <c r="P296" s="14"/>
    </row>
    <row r="297">
      <c r="A297" s="12"/>
      <c r="D297" s="95"/>
      <c r="E297" s="14"/>
      <c r="F297" s="96"/>
      <c r="H297" s="14"/>
      <c r="I297" s="14"/>
      <c r="J297" s="14"/>
      <c r="K297" s="14"/>
      <c r="L297" s="14"/>
      <c r="M297" s="14"/>
      <c r="N297" s="14"/>
      <c r="O297" s="14"/>
      <c r="P297" s="14"/>
    </row>
    <row r="298">
      <c r="A298" s="12"/>
      <c r="D298" s="95"/>
      <c r="E298" s="14"/>
      <c r="F298" s="96"/>
      <c r="H298" s="14"/>
      <c r="I298" s="14"/>
      <c r="J298" s="14"/>
      <c r="K298" s="14"/>
      <c r="L298" s="14"/>
      <c r="M298" s="14"/>
      <c r="N298" s="14"/>
      <c r="O298" s="14"/>
      <c r="P298" s="14"/>
    </row>
    <row r="299">
      <c r="A299" s="12"/>
      <c r="D299" s="95"/>
      <c r="E299" s="14"/>
      <c r="F299" s="96"/>
      <c r="H299" s="14"/>
      <c r="I299" s="14"/>
      <c r="J299" s="14"/>
      <c r="K299" s="14"/>
      <c r="L299" s="14"/>
      <c r="M299" s="14"/>
      <c r="N299" s="14"/>
      <c r="O299" s="14"/>
      <c r="P299" s="14"/>
    </row>
    <row r="300">
      <c r="A300" s="12"/>
      <c r="D300" s="95"/>
      <c r="E300" s="14"/>
      <c r="F300" s="96"/>
      <c r="H300" s="14"/>
      <c r="I300" s="14"/>
      <c r="J300" s="14"/>
      <c r="K300" s="14"/>
      <c r="L300" s="14"/>
      <c r="M300" s="14"/>
      <c r="N300" s="14"/>
      <c r="O300" s="14"/>
      <c r="P300" s="14"/>
    </row>
    <row r="301">
      <c r="A301" s="12"/>
      <c r="D301" s="95"/>
      <c r="E301" s="14"/>
      <c r="F301" s="96"/>
      <c r="H301" s="14"/>
      <c r="I301" s="14"/>
      <c r="J301" s="14"/>
      <c r="K301" s="14"/>
      <c r="L301" s="14"/>
      <c r="M301" s="14"/>
      <c r="N301" s="14"/>
      <c r="O301" s="14"/>
      <c r="P301" s="14"/>
    </row>
    <row r="302">
      <c r="A302" s="12"/>
      <c r="D302" s="95"/>
      <c r="E302" s="14"/>
      <c r="F302" s="96"/>
      <c r="H302" s="14"/>
      <c r="I302" s="14"/>
      <c r="J302" s="14"/>
      <c r="K302" s="14"/>
      <c r="L302" s="14"/>
      <c r="M302" s="14"/>
      <c r="N302" s="14"/>
      <c r="O302" s="14"/>
      <c r="P302" s="14"/>
    </row>
    <row r="303">
      <c r="A303" s="12"/>
      <c r="D303" s="95"/>
      <c r="E303" s="14"/>
      <c r="F303" s="96"/>
      <c r="H303" s="14"/>
      <c r="I303" s="14"/>
      <c r="J303" s="14"/>
      <c r="K303" s="14"/>
      <c r="L303" s="14"/>
      <c r="M303" s="14"/>
      <c r="N303" s="14"/>
      <c r="O303" s="14"/>
      <c r="P303" s="14"/>
    </row>
    <row r="304">
      <c r="A304" s="12"/>
      <c r="D304" s="95"/>
      <c r="E304" s="14"/>
      <c r="F304" s="96"/>
      <c r="H304" s="14"/>
      <c r="I304" s="14"/>
      <c r="J304" s="14"/>
      <c r="K304" s="14"/>
      <c r="L304" s="14"/>
      <c r="M304" s="14"/>
      <c r="N304" s="14"/>
      <c r="O304" s="14"/>
      <c r="P304" s="14"/>
    </row>
    <row r="305">
      <c r="A305" s="12"/>
      <c r="D305" s="95"/>
      <c r="E305" s="14"/>
      <c r="F305" s="96"/>
      <c r="H305" s="14"/>
      <c r="I305" s="14"/>
      <c r="J305" s="14"/>
      <c r="K305" s="14"/>
      <c r="L305" s="14"/>
      <c r="M305" s="14"/>
      <c r="N305" s="14"/>
      <c r="O305" s="14"/>
      <c r="P305" s="14"/>
    </row>
    <row r="306">
      <c r="A306" s="12"/>
      <c r="D306" s="95"/>
      <c r="E306" s="14"/>
      <c r="F306" s="96"/>
      <c r="H306" s="14"/>
      <c r="I306" s="14"/>
      <c r="J306" s="14"/>
      <c r="K306" s="14"/>
      <c r="L306" s="14"/>
      <c r="M306" s="14"/>
      <c r="N306" s="14"/>
      <c r="O306" s="14"/>
      <c r="P306" s="14"/>
    </row>
    <row r="307">
      <c r="A307" s="12"/>
      <c r="D307" s="95"/>
      <c r="E307" s="14"/>
      <c r="F307" s="96"/>
      <c r="H307" s="14"/>
      <c r="I307" s="14"/>
      <c r="J307" s="14"/>
      <c r="K307" s="14"/>
      <c r="L307" s="14"/>
      <c r="M307" s="14"/>
      <c r="N307" s="14"/>
      <c r="O307" s="14"/>
      <c r="P307" s="14"/>
    </row>
    <row r="308">
      <c r="A308" s="12"/>
      <c r="D308" s="95"/>
      <c r="E308" s="14"/>
      <c r="F308" s="96"/>
      <c r="H308" s="14"/>
      <c r="I308" s="14"/>
      <c r="J308" s="14"/>
      <c r="K308" s="14"/>
      <c r="L308" s="14"/>
      <c r="M308" s="14"/>
      <c r="N308" s="14"/>
      <c r="O308" s="14"/>
      <c r="P308" s="14"/>
    </row>
    <row r="309">
      <c r="A309" s="12"/>
      <c r="D309" s="95"/>
      <c r="E309" s="14"/>
      <c r="F309" s="96"/>
      <c r="H309" s="14"/>
      <c r="I309" s="14"/>
      <c r="J309" s="14"/>
      <c r="K309" s="14"/>
      <c r="L309" s="14"/>
      <c r="M309" s="14"/>
      <c r="N309" s="14"/>
      <c r="O309" s="14"/>
      <c r="P309" s="14"/>
    </row>
    <row r="310">
      <c r="A310" s="12"/>
      <c r="D310" s="95"/>
      <c r="E310" s="14"/>
      <c r="F310" s="96"/>
      <c r="H310" s="14"/>
      <c r="I310" s="14"/>
      <c r="J310" s="14"/>
      <c r="K310" s="14"/>
      <c r="L310" s="14"/>
      <c r="M310" s="14"/>
      <c r="N310" s="14"/>
      <c r="O310" s="14"/>
      <c r="P310" s="14"/>
    </row>
    <row r="311">
      <c r="A311" s="12"/>
      <c r="D311" s="95"/>
      <c r="E311" s="14"/>
      <c r="F311" s="96"/>
      <c r="H311" s="14"/>
      <c r="I311" s="14"/>
      <c r="J311" s="14"/>
      <c r="K311" s="14"/>
      <c r="L311" s="14"/>
      <c r="M311" s="14"/>
      <c r="N311" s="14"/>
      <c r="O311" s="14"/>
      <c r="P311" s="14"/>
    </row>
    <row r="312">
      <c r="A312" s="12"/>
      <c r="D312" s="95"/>
      <c r="E312" s="14"/>
      <c r="F312" s="96"/>
      <c r="H312" s="14"/>
      <c r="I312" s="14"/>
      <c r="J312" s="14"/>
      <c r="K312" s="14"/>
      <c r="L312" s="14"/>
      <c r="M312" s="14"/>
      <c r="N312" s="14"/>
      <c r="O312" s="14"/>
      <c r="P312" s="14"/>
    </row>
    <row r="313">
      <c r="A313" s="12"/>
      <c r="D313" s="95"/>
      <c r="E313" s="14"/>
      <c r="F313" s="96"/>
      <c r="H313" s="14"/>
      <c r="I313" s="14"/>
      <c r="J313" s="14"/>
      <c r="K313" s="14"/>
      <c r="L313" s="14"/>
      <c r="M313" s="14"/>
      <c r="N313" s="14"/>
      <c r="O313" s="14"/>
      <c r="P313" s="14"/>
    </row>
    <row r="314">
      <c r="A314" s="12"/>
      <c r="D314" s="95"/>
      <c r="E314" s="14"/>
      <c r="F314" s="96"/>
      <c r="H314" s="14"/>
      <c r="I314" s="14"/>
      <c r="J314" s="14"/>
      <c r="K314" s="14"/>
      <c r="L314" s="14"/>
      <c r="M314" s="14"/>
      <c r="N314" s="14"/>
      <c r="O314" s="14"/>
      <c r="P314" s="14"/>
    </row>
    <row r="315">
      <c r="A315" s="12"/>
      <c r="D315" s="95"/>
      <c r="E315" s="14"/>
      <c r="F315" s="96"/>
      <c r="H315" s="14"/>
      <c r="I315" s="14"/>
      <c r="J315" s="14"/>
      <c r="K315" s="14"/>
      <c r="L315" s="14"/>
      <c r="M315" s="14"/>
      <c r="N315" s="14"/>
      <c r="O315" s="14"/>
      <c r="P315" s="14"/>
    </row>
    <row r="316">
      <c r="A316" s="12"/>
      <c r="D316" s="95"/>
      <c r="E316" s="14"/>
      <c r="F316" s="96"/>
      <c r="H316" s="14"/>
      <c r="I316" s="14"/>
      <c r="J316" s="14"/>
      <c r="K316" s="14"/>
      <c r="L316" s="14"/>
      <c r="M316" s="14"/>
      <c r="N316" s="14"/>
      <c r="O316" s="14"/>
      <c r="P316" s="14"/>
    </row>
    <row r="317">
      <c r="A317" s="12"/>
      <c r="D317" s="95"/>
      <c r="E317" s="14"/>
      <c r="F317" s="96"/>
      <c r="H317" s="14"/>
      <c r="I317" s="14"/>
      <c r="J317" s="14"/>
      <c r="K317" s="14"/>
      <c r="L317" s="14"/>
      <c r="M317" s="14"/>
      <c r="N317" s="14"/>
      <c r="O317" s="14"/>
      <c r="P317" s="14"/>
    </row>
    <row r="318">
      <c r="A318" s="12"/>
      <c r="D318" s="95"/>
      <c r="E318" s="14"/>
      <c r="F318" s="96"/>
      <c r="H318" s="14"/>
      <c r="I318" s="14"/>
      <c r="J318" s="14"/>
      <c r="K318" s="14"/>
      <c r="L318" s="14"/>
      <c r="M318" s="14"/>
      <c r="N318" s="14"/>
      <c r="O318" s="14"/>
      <c r="P318" s="14"/>
    </row>
    <row r="319">
      <c r="A319" s="12"/>
      <c r="D319" s="95"/>
      <c r="E319" s="14"/>
      <c r="F319" s="96"/>
      <c r="H319" s="14"/>
      <c r="I319" s="14"/>
      <c r="J319" s="14"/>
      <c r="K319" s="14"/>
      <c r="L319" s="14"/>
      <c r="M319" s="14"/>
      <c r="N319" s="14"/>
      <c r="O319" s="14"/>
      <c r="P319" s="14"/>
    </row>
    <row r="320">
      <c r="A320" s="12"/>
      <c r="D320" s="95"/>
      <c r="E320" s="14"/>
      <c r="F320" s="96"/>
      <c r="H320" s="14"/>
      <c r="I320" s="14"/>
      <c r="J320" s="14"/>
      <c r="K320" s="14"/>
      <c r="L320" s="14"/>
      <c r="M320" s="14"/>
      <c r="N320" s="14"/>
      <c r="O320" s="14"/>
      <c r="P320" s="14"/>
    </row>
    <row r="321">
      <c r="A321" s="12"/>
      <c r="D321" s="95"/>
      <c r="E321" s="14"/>
      <c r="F321" s="96"/>
      <c r="H321" s="14"/>
      <c r="I321" s="14"/>
      <c r="J321" s="14"/>
      <c r="K321" s="14"/>
      <c r="L321" s="14"/>
      <c r="M321" s="14"/>
      <c r="N321" s="14"/>
      <c r="O321" s="14"/>
      <c r="P321" s="14"/>
    </row>
    <row r="322">
      <c r="A322" s="12"/>
      <c r="D322" s="95"/>
      <c r="E322" s="14"/>
      <c r="F322" s="96"/>
      <c r="H322" s="14"/>
      <c r="I322" s="14"/>
      <c r="J322" s="14"/>
      <c r="K322" s="14"/>
      <c r="L322" s="14"/>
      <c r="M322" s="14"/>
      <c r="N322" s="14"/>
      <c r="O322" s="14"/>
      <c r="P322" s="14"/>
    </row>
    <row r="323">
      <c r="A323" s="12"/>
      <c r="D323" s="95"/>
      <c r="E323" s="14"/>
      <c r="F323" s="96"/>
      <c r="H323" s="14"/>
      <c r="I323" s="14"/>
      <c r="J323" s="14"/>
      <c r="K323" s="14"/>
      <c r="L323" s="14"/>
      <c r="M323" s="14"/>
      <c r="N323" s="14"/>
      <c r="O323" s="14"/>
      <c r="P323" s="14"/>
    </row>
    <row r="324">
      <c r="A324" s="12"/>
      <c r="D324" s="95"/>
      <c r="E324" s="14"/>
      <c r="F324" s="96"/>
      <c r="H324" s="14"/>
      <c r="I324" s="14"/>
      <c r="J324" s="14"/>
      <c r="K324" s="14"/>
      <c r="L324" s="14"/>
      <c r="M324" s="14"/>
      <c r="N324" s="14"/>
      <c r="O324" s="14"/>
      <c r="P324" s="14"/>
    </row>
    <row r="325">
      <c r="A325" s="12"/>
      <c r="D325" s="95"/>
      <c r="E325" s="14"/>
      <c r="F325" s="96"/>
      <c r="H325" s="14"/>
      <c r="I325" s="14"/>
      <c r="J325" s="14"/>
      <c r="K325" s="14"/>
      <c r="L325" s="14"/>
      <c r="M325" s="14"/>
      <c r="N325" s="14"/>
      <c r="O325" s="14"/>
      <c r="P325" s="14"/>
    </row>
    <row r="326">
      <c r="A326" s="12"/>
      <c r="D326" s="95"/>
      <c r="E326" s="14"/>
      <c r="F326" s="96"/>
      <c r="H326" s="14"/>
      <c r="I326" s="14"/>
      <c r="J326" s="14"/>
      <c r="K326" s="14"/>
      <c r="L326" s="14"/>
      <c r="M326" s="14"/>
      <c r="N326" s="14"/>
      <c r="O326" s="14"/>
      <c r="P326" s="14"/>
    </row>
    <row r="327">
      <c r="A327" s="12"/>
      <c r="D327" s="95"/>
      <c r="E327" s="14"/>
      <c r="F327" s="96"/>
      <c r="H327" s="14"/>
      <c r="I327" s="14"/>
      <c r="J327" s="14"/>
      <c r="K327" s="14"/>
      <c r="L327" s="14"/>
      <c r="M327" s="14"/>
      <c r="N327" s="14"/>
      <c r="O327" s="14"/>
      <c r="P327" s="14"/>
    </row>
    <row r="328">
      <c r="A328" s="12"/>
      <c r="D328" s="95"/>
      <c r="E328" s="14"/>
      <c r="F328" s="96"/>
      <c r="H328" s="14"/>
      <c r="I328" s="14"/>
      <c r="J328" s="14"/>
      <c r="K328" s="14"/>
      <c r="L328" s="14"/>
      <c r="M328" s="14"/>
      <c r="N328" s="14"/>
      <c r="O328" s="14"/>
      <c r="P328" s="14"/>
    </row>
    <row r="329">
      <c r="A329" s="12"/>
      <c r="D329" s="95"/>
      <c r="E329" s="14"/>
      <c r="F329" s="96"/>
      <c r="H329" s="14"/>
      <c r="I329" s="14"/>
      <c r="J329" s="14"/>
      <c r="K329" s="14"/>
      <c r="L329" s="14"/>
      <c r="M329" s="14"/>
      <c r="N329" s="14"/>
      <c r="O329" s="14"/>
      <c r="P329" s="14"/>
    </row>
    <row r="330">
      <c r="A330" s="12"/>
      <c r="D330" s="95"/>
      <c r="E330" s="14"/>
      <c r="F330" s="96"/>
      <c r="H330" s="14"/>
      <c r="I330" s="14"/>
      <c r="J330" s="14"/>
      <c r="K330" s="14"/>
      <c r="L330" s="14"/>
      <c r="M330" s="14"/>
      <c r="N330" s="14"/>
      <c r="O330" s="14"/>
      <c r="P330" s="14"/>
    </row>
    <row r="331">
      <c r="A331" s="12"/>
      <c r="D331" s="95"/>
      <c r="E331" s="14"/>
      <c r="F331" s="96"/>
      <c r="H331" s="14"/>
      <c r="I331" s="14"/>
      <c r="J331" s="14"/>
      <c r="K331" s="14"/>
      <c r="L331" s="14"/>
      <c r="M331" s="14"/>
      <c r="N331" s="14"/>
      <c r="O331" s="14"/>
      <c r="P331" s="14"/>
    </row>
    <row r="332">
      <c r="A332" s="12"/>
      <c r="D332" s="95"/>
      <c r="E332" s="14"/>
      <c r="F332" s="96"/>
      <c r="H332" s="14"/>
      <c r="I332" s="14"/>
      <c r="J332" s="14"/>
      <c r="K332" s="14"/>
      <c r="L332" s="14"/>
      <c r="M332" s="14"/>
      <c r="N332" s="14"/>
      <c r="O332" s="14"/>
      <c r="P332" s="14"/>
    </row>
    <row r="333">
      <c r="A333" s="12"/>
      <c r="D333" s="95"/>
      <c r="E333" s="14"/>
      <c r="F333" s="96"/>
      <c r="H333" s="14"/>
      <c r="I333" s="14"/>
      <c r="J333" s="14"/>
      <c r="K333" s="14"/>
      <c r="L333" s="14"/>
      <c r="M333" s="14"/>
      <c r="N333" s="14"/>
      <c r="O333" s="14"/>
      <c r="P333" s="14"/>
    </row>
    <row r="334">
      <c r="A334" s="12"/>
      <c r="D334" s="95"/>
      <c r="E334" s="14"/>
      <c r="F334" s="96"/>
      <c r="H334" s="14"/>
      <c r="I334" s="14"/>
      <c r="J334" s="14"/>
      <c r="K334" s="14"/>
      <c r="L334" s="14"/>
      <c r="M334" s="14"/>
      <c r="N334" s="14"/>
      <c r="O334" s="14"/>
      <c r="P334" s="14"/>
    </row>
    <row r="335">
      <c r="A335" s="12"/>
      <c r="D335" s="95"/>
      <c r="E335" s="14"/>
      <c r="F335" s="96"/>
      <c r="H335" s="14"/>
      <c r="I335" s="14"/>
      <c r="J335" s="14"/>
      <c r="K335" s="14"/>
      <c r="L335" s="14"/>
      <c r="M335" s="14"/>
      <c r="N335" s="14"/>
      <c r="O335" s="14"/>
      <c r="P335" s="14"/>
    </row>
    <row r="336">
      <c r="A336" s="12"/>
      <c r="D336" s="95"/>
      <c r="E336" s="14"/>
      <c r="F336" s="96"/>
      <c r="H336" s="14"/>
      <c r="I336" s="14"/>
      <c r="J336" s="14"/>
      <c r="K336" s="14"/>
      <c r="L336" s="14"/>
      <c r="M336" s="14"/>
      <c r="N336" s="14"/>
      <c r="O336" s="14"/>
      <c r="P336" s="14"/>
    </row>
    <row r="337">
      <c r="A337" s="12"/>
      <c r="D337" s="95"/>
      <c r="E337" s="14"/>
      <c r="F337" s="96"/>
      <c r="H337" s="14"/>
      <c r="I337" s="14"/>
      <c r="J337" s="14"/>
      <c r="K337" s="14"/>
      <c r="L337" s="14"/>
      <c r="M337" s="14"/>
      <c r="N337" s="14"/>
      <c r="O337" s="14"/>
      <c r="P337" s="14"/>
    </row>
    <row r="338">
      <c r="A338" s="12"/>
      <c r="D338" s="95"/>
      <c r="E338" s="14"/>
      <c r="F338" s="96"/>
      <c r="H338" s="14"/>
      <c r="I338" s="14"/>
      <c r="J338" s="14"/>
      <c r="K338" s="14"/>
      <c r="L338" s="14"/>
      <c r="M338" s="14"/>
      <c r="N338" s="14"/>
      <c r="O338" s="14"/>
      <c r="P338" s="14"/>
    </row>
    <row r="339">
      <c r="A339" s="12"/>
      <c r="D339" s="95"/>
      <c r="E339" s="14"/>
      <c r="F339" s="96"/>
      <c r="H339" s="14"/>
      <c r="I339" s="14"/>
      <c r="J339" s="14"/>
      <c r="K339" s="14"/>
      <c r="L339" s="14"/>
      <c r="M339" s="14"/>
      <c r="N339" s="14"/>
      <c r="O339" s="14"/>
      <c r="P339" s="14"/>
    </row>
    <row r="340">
      <c r="A340" s="12"/>
      <c r="D340" s="95"/>
      <c r="E340" s="14"/>
      <c r="F340" s="96"/>
      <c r="H340" s="14"/>
      <c r="I340" s="14"/>
      <c r="J340" s="14"/>
      <c r="K340" s="14"/>
      <c r="L340" s="14"/>
      <c r="M340" s="14"/>
      <c r="N340" s="14"/>
      <c r="O340" s="14"/>
      <c r="P340" s="14"/>
    </row>
    <row r="341">
      <c r="A341" s="12"/>
      <c r="D341" s="95"/>
      <c r="E341" s="14"/>
      <c r="F341" s="96"/>
      <c r="H341" s="14"/>
      <c r="I341" s="14"/>
      <c r="J341" s="14"/>
      <c r="K341" s="14"/>
      <c r="L341" s="14"/>
      <c r="M341" s="14"/>
      <c r="N341" s="14"/>
      <c r="O341" s="14"/>
      <c r="P341" s="14"/>
    </row>
    <row r="342">
      <c r="A342" s="12"/>
      <c r="D342" s="95"/>
      <c r="E342" s="14"/>
      <c r="F342" s="96"/>
      <c r="H342" s="14"/>
      <c r="I342" s="14"/>
      <c r="J342" s="14"/>
      <c r="K342" s="14"/>
      <c r="L342" s="14"/>
      <c r="M342" s="14"/>
      <c r="N342" s="14"/>
      <c r="O342" s="14"/>
      <c r="P342" s="14"/>
    </row>
    <row r="343">
      <c r="A343" s="12"/>
      <c r="D343" s="95"/>
      <c r="E343" s="14"/>
      <c r="F343" s="96"/>
      <c r="H343" s="14"/>
      <c r="I343" s="14"/>
      <c r="J343" s="14"/>
      <c r="K343" s="14"/>
      <c r="L343" s="14"/>
      <c r="M343" s="14"/>
      <c r="N343" s="14"/>
      <c r="O343" s="14"/>
      <c r="P343" s="14"/>
    </row>
    <row r="344">
      <c r="A344" s="12"/>
      <c r="D344" s="95"/>
      <c r="E344" s="14"/>
      <c r="F344" s="96"/>
      <c r="H344" s="14"/>
      <c r="I344" s="14"/>
      <c r="J344" s="14"/>
      <c r="K344" s="14"/>
      <c r="L344" s="14"/>
      <c r="M344" s="14"/>
      <c r="N344" s="14"/>
      <c r="O344" s="14"/>
      <c r="P344" s="14"/>
    </row>
    <row r="345">
      <c r="A345" s="12"/>
      <c r="D345" s="95"/>
      <c r="E345" s="14"/>
      <c r="F345" s="96"/>
      <c r="H345" s="14"/>
      <c r="I345" s="14"/>
      <c r="J345" s="14"/>
      <c r="K345" s="14"/>
      <c r="L345" s="14"/>
      <c r="M345" s="14"/>
      <c r="N345" s="14"/>
      <c r="O345" s="14"/>
      <c r="P345" s="14"/>
    </row>
    <row r="346">
      <c r="A346" s="12"/>
      <c r="D346" s="95"/>
      <c r="E346" s="14"/>
      <c r="F346" s="96"/>
      <c r="H346" s="14"/>
      <c r="I346" s="14"/>
      <c r="J346" s="14"/>
      <c r="K346" s="14"/>
      <c r="L346" s="14"/>
      <c r="M346" s="14"/>
      <c r="N346" s="14"/>
      <c r="O346" s="14"/>
      <c r="P346" s="14"/>
    </row>
    <row r="347">
      <c r="A347" s="12"/>
      <c r="D347" s="95"/>
      <c r="E347" s="14"/>
      <c r="F347" s="96"/>
      <c r="H347" s="14"/>
      <c r="I347" s="14"/>
      <c r="J347" s="14"/>
      <c r="K347" s="14"/>
      <c r="L347" s="14"/>
      <c r="M347" s="14"/>
      <c r="N347" s="14"/>
      <c r="O347" s="14"/>
      <c r="P347" s="14"/>
    </row>
    <row r="348">
      <c r="A348" s="12"/>
      <c r="D348" s="95"/>
      <c r="E348" s="14"/>
      <c r="F348" s="96"/>
      <c r="H348" s="14"/>
      <c r="I348" s="14"/>
      <c r="J348" s="14"/>
      <c r="K348" s="14"/>
      <c r="L348" s="14"/>
      <c r="M348" s="14"/>
      <c r="N348" s="14"/>
      <c r="O348" s="14"/>
      <c r="P348" s="14"/>
    </row>
    <row r="349">
      <c r="A349" s="12"/>
      <c r="D349" s="95"/>
      <c r="E349" s="14"/>
      <c r="F349" s="96"/>
      <c r="H349" s="14"/>
      <c r="I349" s="14"/>
      <c r="J349" s="14"/>
      <c r="K349" s="14"/>
      <c r="L349" s="14"/>
      <c r="M349" s="14"/>
      <c r="N349" s="14"/>
      <c r="O349" s="14"/>
      <c r="P349" s="14"/>
    </row>
    <row r="350">
      <c r="A350" s="12"/>
      <c r="D350" s="95"/>
      <c r="E350" s="14"/>
      <c r="F350" s="96"/>
      <c r="H350" s="14"/>
      <c r="I350" s="14"/>
      <c r="J350" s="14"/>
      <c r="K350" s="14"/>
      <c r="L350" s="14"/>
      <c r="M350" s="14"/>
      <c r="N350" s="14"/>
      <c r="O350" s="14"/>
      <c r="P350" s="14"/>
    </row>
    <row r="351">
      <c r="A351" s="12"/>
      <c r="D351" s="95"/>
      <c r="E351" s="14"/>
      <c r="F351" s="96"/>
      <c r="H351" s="14"/>
      <c r="I351" s="14"/>
      <c r="J351" s="14"/>
      <c r="K351" s="14"/>
      <c r="L351" s="14"/>
      <c r="M351" s="14"/>
      <c r="N351" s="14"/>
      <c r="O351" s="14"/>
      <c r="P351" s="14"/>
    </row>
    <row r="352">
      <c r="A352" s="12"/>
      <c r="D352" s="95"/>
      <c r="E352" s="14"/>
      <c r="F352" s="96"/>
      <c r="H352" s="14"/>
      <c r="I352" s="14"/>
      <c r="J352" s="14"/>
      <c r="K352" s="14"/>
      <c r="L352" s="14"/>
      <c r="M352" s="14"/>
      <c r="N352" s="14"/>
      <c r="O352" s="14"/>
      <c r="P352" s="14"/>
    </row>
    <row r="353">
      <c r="A353" s="12"/>
      <c r="D353" s="95"/>
      <c r="E353" s="14"/>
      <c r="F353" s="96"/>
      <c r="H353" s="14"/>
      <c r="I353" s="14"/>
      <c r="J353" s="14"/>
      <c r="K353" s="14"/>
      <c r="L353" s="14"/>
      <c r="M353" s="14"/>
      <c r="N353" s="14"/>
      <c r="O353" s="14"/>
      <c r="P353" s="14"/>
    </row>
    <row r="354">
      <c r="A354" s="12"/>
      <c r="D354" s="95"/>
      <c r="E354" s="14"/>
      <c r="F354" s="96"/>
      <c r="H354" s="14"/>
      <c r="I354" s="14"/>
      <c r="J354" s="14"/>
      <c r="K354" s="14"/>
      <c r="L354" s="14"/>
      <c r="M354" s="14"/>
      <c r="N354" s="14"/>
      <c r="O354" s="14"/>
      <c r="P354" s="14"/>
    </row>
    <row r="355">
      <c r="A355" s="12"/>
      <c r="D355" s="95"/>
      <c r="E355" s="14"/>
      <c r="F355" s="96"/>
      <c r="H355" s="14"/>
      <c r="I355" s="14"/>
      <c r="J355" s="14"/>
      <c r="K355" s="14"/>
      <c r="L355" s="14"/>
      <c r="M355" s="14"/>
      <c r="N355" s="14"/>
      <c r="O355" s="14"/>
      <c r="P355" s="14"/>
    </row>
    <row r="356">
      <c r="A356" s="12"/>
      <c r="D356" s="95"/>
      <c r="E356" s="14"/>
      <c r="F356" s="96"/>
      <c r="H356" s="14"/>
      <c r="I356" s="14"/>
      <c r="J356" s="14"/>
      <c r="K356" s="14"/>
      <c r="L356" s="14"/>
      <c r="M356" s="14"/>
      <c r="N356" s="14"/>
      <c r="O356" s="14"/>
      <c r="P356" s="14"/>
    </row>
    <row r="357">
      <c r="A357" s="12"/>
      <c r="D357" s="95"/>
      <c r="E357" s="14"/>
      <c r="F357" s="96"/>
      <c r="H357" s="14"/>
      <c r="I357" s="14"/>
      <c r="J357" s="14"/>
      <c r="K357" s="14"/>
      <c r="L357" s="14"/>
      <c r="M357" s="14"/>
      <c r="N357" s="14"/>
      <c r="O357" s="14"/>
      <c r="P357" s="14"/>
    </row>
    <row r="358">
      <c r="A358" s="12"/>
      <c r="D358" s="95"/>
      <c r="E358" s="14"/>
      <c r="F358" s="96"/>
      <c r="H358" s="14"/>
      <c r="I358" s="14"/>
      <c r="J358" s="14"/>
      <c r="K358" s="14"/>
      <c r="L358" s="14"/>
      <c r="M358" s="14"/>
      <c r="N358" s="14"/>
      <c r="O358" s="14"/>
      <c r="P358" s="14"/>
    </row>
    <row r="359">
      <c r="A359" s="12"/>
      <c r="D359" s="95"/>
      <c r="E359" s="14"/>
      <c r="F359" s="96"/>
      <c r="H359" s="14"/>
      <c r="I359" s="14"/>
      <c r="J359" s="14"/>
      <c r="K359" s="14"/>
      <c r="L359" s="14"/>
      <c r="M359" s="14"/>
      <c r="N359" s="14"/>
      <c r="O359" s="14"/>
      <c r="P359" s="14"/>
    </row>
    <row r="360">
      <c r="A360" s="12"/>
      <c r="D360" s="95"/>
      <c r="E360" s="14"/>
      <c r="F360" s="96"/>
      <c r="H360" s="14"/>
      <c r="I360" s="14"/>
      <c r="J360" s="14"/>
      <c r="K360" s="14"/>
      <c r="L360" s="14"/>
      <c r="M360" s="14"/>
      <c r="N360" s="14"/>
      <c r="O360" s="14"/>
      <c r="P360" s="14"/>
    </row>
    <row r="361">
      <c r="A361" s="12"/>
      <c r="D361" s="95"/>
      <c r="E361" s="14"/>
      <c r="F361" s="96"/>
      <c r="H361" s="14"/>
      <c r="I361" s="14"/>
      <c r="J361" s="14"/>
      <c r="K361" s="14"/>
      <c r="L361" s="14"/>
      <c r="M361" s="14"/>
      <c r="N361" s="14"/>
      <c r="O361" s="14"/>
      <c r="P361" s="14"/>
    </row>
    <row r="362">
      <c r="A362" s="12"/>
      <c r="D362" s="95"/>
      <c r="E362" s="14"/>
      <c r="F362" s="96"/>
      <c r="H362" s="14"/>
      <c r="I362" s="14"/>
      <c r="J362" s="14"/>
      <c r="K362" s="14"/>
      <c r="L362" s="14"/>
      <c r="M362" s="14"/>
      <c r="N362" s="14"/>
      <c r="O362" s="14"/>
      <c r="P362" s="14"/>
    </row>
    <row r="363">
      <c r="A363" s="12"/>
      <c r="D363" s="95"/>
      <c r="E363" s="14"/>
      <c r="F363" s="96"/>
      <c r="H363" s="14"/>
      <c r="I363" s="14"/>
      <c r="J363" s="14"/>
      <c r="K363" s="14"/>
      <c r="L363" s="14"/>
      <c r="M363" s="14"/>
      <c r="N363" s="14"/>
      <c r="O363" s="14"/>
      <c r="P363" s="14"/>
    </row>
    <row r="364">
      <c r="A364" s="12"/>
      <c r="D364" s="95"/>
      <c r="E364" s="14"/>
      <c r="F364" s="96"/>
      <c r="H364" s="14"/>
      <c r="I364" s="14"/>
      <c r="J364" s="14"/>
      <c r="K364" s="14"/>
      <c r="L364" s="14"/>
      <c r="M364" s="14"/>
      <c r="N364" s="14"/>
      <c r="O364" s="14"/>
      <c r="P364" s="14"/>
    </row>
    <row r="365">
      <c r="A365" s="12"/>
      <c r="D365" s="95"/>
      <c r="E365" s="14"/>
      <c r="F365" s="96"/>
      <c r="H365" s="14"/>
      <c r="I365" s="14"/>
      <c r="J365" s="14"/>
      <c r="K365" s="14"/>
      <c r="L365" s="14"/>
      <c r="M365" s="14"/>
      <c r="N365" s="14"/>
      <c r="O365" s="14"/>
      <c r="P365" s="14"/>
    </row>
    <row r="366">
      <c r="A366" s="12"/>
      <c r="D366" s="95"/>
      <c r="E366" s="14"/>
      <c r="F366" s="96"/>
      <c r="H366" s="14"/>
      <c r="I366" s="14"/>
      <c r="J366" s="14"/>
      <c r="K366" s="14"/>
      <c r="L366" s="14"/>
      <c r="M366" s="14"/>
      <c r="N366" s="14"/>
      <c r="O366" s="14"/>
      <c r="P366" s="14"/>
    </row>
    <row r="367">
      <c r="A367" s="12"/>
      <c r="D367" s="95"/>
      <c r="E367" s="14"/>
      <c r="F367" s="96"/>
      <c r="H367" s="14"/>
      <c r="I367" s="14"/>
      <c r="J367" s="14"/>
      <c r="K367" s="14"/>
      <c r="L367" s="14"/>
      <c r="M367" s="14"/>
      <c r="N367" s="14"/>
      <c r="O367" s="14"/>
      <c r="P367" s="14"/>
    </row>
    <row r="368">
      <c r="A368" s="12"/>
      <c r="D368" s="95"/>
      <c r="E368" s="14"/>
      <c r="F368" s="96"/>
      <c r="H368" s="14"/>
      <c r="I368" s="14"/>
      <c r="J368" s="14"/>
      <c r="K368" s="14"/>
      <c r="L368" s="14"/>
      <c r="M368" s="14"/>
      <c r="N368" s="14"/>
      <c r="O368" s="14"/>
      <c r="P368" s="14"/>
    </row>
    <row r="369">
      <c r="A369" s="12"/>
      <c r="D369" s="95"/>
      <c r="E369" s="14"/>
      <c r="F369" s="96"/>
      <c r="H369" s="14"/>
      <c r="I369" s="14"/>
      <c r="J369" s="14"/>
      <c r="K369" s="14"/>
      <c r="L369" s="14"/>
      <c r="M369" s="14"/>
      <c r="N369" s="14"/>
      <c r="O369" s="14"/>
      <c r="P369" s="14"/>
    </row>
    <row r="370">
      <c r="A370" s="12"/>
      <c r="D370" s="95"/>
      <c r="E370" s="14"/>
      <c r="F370" s="96"/>
      <c r="H370" s="14"/>
      <c r="I370" s="14"/>
      <c r="J370" s="14"/>
      <c r="K370" s="14"/>
      <c r="L370" s="14"/>
      <c r="M370" s="14"/>
      <c r="N370" s="14"/>
      <c r="O370" s="14"/>
      <c r="P370" s="14"/>
    </row>
    <row r="371">
      <c r="A371" s="12"/>
      <c r="D371" s="95"/>
      <c r="E371" s="14"/>
      <c r="F371" s="96"/>
      <c r="H371" s="14"/>
      <c r="I371" s="14"/>
      <c r="J371" s="14"/>
      <c r="K371" s="14"/>
      <c r="L371" s="14"/>
      <c r="M371" s="14"/>
      <c r="N371" s="14"/>
      <c r="O371" s="14"/>
      <c r="P371" s="14"/>
    </row>
    <row r="372">
      <c r="A372" s="12"/>
      <c r="D372" s="95"/>
      <c r="E372" s="14"/>
      <c r="F372" s="96"/>
      <c r="H372" s="14"/>
      <c r="I372" s="14"/>
      <c r="J372" s="14"/>
      <c r="K372" s="14"/>
      <c r="L372" s="14"/>
      <c r="M372" s="14"/>
      <c r="N372" s="14"/>
      <c r="O372" s="14"/>
      <c r="P372" s="14"/>
    </row>
    <row r="373">
      <c r="A373" s="12"/>
      <c r="D373" s="95"/>
      <c r="E373" s="14"/>
      <c r="F373" s="96"/>
      <c r="H373" s="14"/>
      <c r="I373" s="14"/>
      <c r="J373" s="14"/>
      <c r="K373" s="14"/>
      <c r="L373" s="14"/>
      <c r="M373" s="14"/>
      <c r="N373" s="14"/>
      <c r="O373" s="14"/>
      <c r="P373" s="14"/>
    </row>
    <row r="374">
      <c r="A374" s="12"/>
      <c r="D374" s="95"/>
      <c r="E374" s="14"/>
      <c r="F374" s="96"/>
      <c r="H374" s="14"/>
      <c r="I374" s="14"/>
      <c r="J374" s="14"/>
      <c r="K374" s="14"/>
      <c r="L374" s="14"/>
      <c r="M374" s="14"/>
      <c r="N374" s="14"/>
      <c r="O374" s="14"/>
      <c r="P374" s="14"/>
    </row>
    <row r="375">
      <c r="A375" s="12"/>
      <c r="D375" s="95"/>
      <c r="E375" s="14"/>
      <c r="F375" s="96"/>
      <c r="H375" s="14"/>
      <c r="I375" s="14"/>
      <c r="J375" s="14"/>
      <c r="K375" s="14"/>
      <c r="L375" s="14"/>
      <c r="M375" s="14"/>
      <c r="N375" s="14"/>
      <c r="O375" s="14"/>
      <c r="P375" s="14"/>
    </row>
    <row r="376">
      <c r="A376" s="12"/>
      <c r="D376" s="95"/>
      <c r="E376" s="14"/>
      <c r="F376" s="96"/>
      <c r="H376" s="14"/>
      <c r="I376" s="14"/>
      <c r="J376" s="14"/>
      <c r="K376" s="14"/>
      <c r="L376" s="14"/>
      <c r="M376" s="14"/>
      <c r="N376" s="14"/>
      <c r="O376" s="14"/>
      <c r="P376" s="14"/>
    </row>
    <row r="377">
      <c r="A377" s="12"/>
      <c r="D377" s="95"/>
      <c r="E377" s="14"/>
      <c r="F377" s="96"/>
      <c r="H377" s="14"/>
      <c r="I377" s="14"/>
      <c r="J377" s="14"/>
      <c r="K377" s="14"/>
      <c r="L377" s="14"/>
      <c r="M377" s="14"/>
      <c r="N377" s="14"/>
      <c r="O377" s="14"/>
      <c r="P377" s="14"/>
    </row>
    <row r="378">
      <c r="A378" s="12"/>
      <c r="D378" s="95"/>
      <c r="E378" s="14"/>
      <c r="F378" s="96"/>
      <c r="H378" s="14"/>
      <c r="I378" s="14"/>
      <c r="J378" s="14"/>
      <c r="K378" s="14"/>
      <c r="L378" s="14"/>
      <c r="M378" s="14"/>
      <c r="N378" s="14"/>
      <c r="O378" s="14"/>
      <c r="P378" s="14"/>
    </row>
    <row r="379">
      <c r="A379" s="12"/>
      <c r="D379" s="95"/>
      <c r="E379" s="14"/>
      <c r="F379" s="96"/>
      <c r="H379" s="14"/>
      <c r="I379" s="14"/>
      <c r="J379" s="14"/>
      <c r="K379" s="14"/>
      <c r="L379" s="14"/>
      <c r="M379" s="14"/>
      <c r="N379" s="14"/>
      <c r="O379" s="14"/>
      <c r="P379" s="14"/>
    </row>
    <row r="380">
      <c r="A380" s="12"/>
      <c r="D380" s="95"/>
      <c r="E380" s="14"/>
      <c r="F380" s="96"/>
      <c r="H380" s="14"/>
      <c r="I380" s="14"/>
      <c r="J380" s="14"/>
      <c r="K380" s="14"/>
      <c r="L380" s="14"/>
      <c r="M380" s="14"/>
      <c r="N380" s="14"/>
      <c r="O380" s="14"/>
      <c r="P380" s="14"/>
    </row>
    <row r="381">
      <c r="A381" s="12"/>
      <c r="D381" s="95"/>
      <c r="E381" s="14"/>
      <c r="F381" s="96"/>
      <c r="H381" s="14"/>
      <c r="I381" s="14"/>
      <c r="J381" s="14"/>
      <c r="K381" s="14"/>
      <c r="L381" s="14"/>
      <c r="M381" s="14"/>
      <c r="N381" s="14"/>
      <c r="O381" s="14"/>
      <c r="P381" s="14"/>
    </row>
    <row r="382">
      <c r="A382" s="12"/>
      <c r="D382" s="95"/>
      <c r="E382" s="14"/>
      <c r="F382" s="96"/>
      <c r="H382" s="14"/>
      <c r="I382" s="14"/>
      <c r="J382" s="14"/>
      <c r="K382" s="14"/>
      <c r="L382" s="14"/>
      <c r="M382" s="14"/>
      <c r="N382" s="14"/>
      <c r="O382" s="14"/>
      <c r="P382" s="14"/>
    </row>
    <row r="383">
      <c r="A383" s="12"/>
      <c r="D383" s="95"/>
      <c r="E383" s="14"/>
      <c r="F383" s="96"/>
      <c r="H383" s="14"/>
      <c r="I383" s="14"/>
      <c r="J383" s="14"/>
      <c r="K383" s="14"/>
      <c r="L383" s="14"/>
      <c r="M383" s="14"/>
      <c r="N383" s="14"/>
      <c r="O383" s="14"/>
      <c r="P383" s="14"/>
    </row>
    <row r="384">
      <c r="A384" s="12"/>
      <c r="D384" s="95"/>
      <c r="E384" s="14"/>
      <c r="F384" s="96"/>
      <c r="H384" s="14"/>
      <c r="I384" s="14"/>
      <c r="J384" s="14"/>
      <c r="K384" s="14"/>
      <c r="L384" s="14"/>
      <c r="M384" s="14"/>
      <c r="N384" s="14"/>
      <c r="O384" s="14"/>
      <c r="P384" s="14"/>
    </row>
    <row r="385">
      <c r="A385" s="12"/>
      <c r="D385" s="95"/>
      <c r="E385" s="14"/>
      <c r="F385" s="96"/>
      <c r="H385" s="14"/>
      <c r="I385" s="14"/>
      <c r="J385" s="14"/>
      <c r="K385" s="14"/>
      <c r="L385" s="14"/>
      <c r="M385" s="14"/>
      <c r="N385" s="14"/>
      <c r="O385" s="14"/>
      <c r="P385" s="14"/>
    </row>
    <row r="386">
      <c r="A386" s="12"/>
      <c r="D386" s="95"/>
      <c r="E386" s="14"/>
      <c r="F386" s="96"/>
      <c r="H386" s="14"/>
      <c r="I386" s="14"/>
      <c r="J386" s="14"/>
      <c r="K386" s="14"/>
      <c r="L386" s="14"/>
      <c r="M386" s="14"/>
      <c r="N386" s="14"/>
      <c r="O386" s="14"/>
      <c r="P386" s="14"/>
    </row>
    <row r="387">
      <c r="A387" s="12"/>
      <c r="D387" s="95"/>
      <c r="E387" s="14"/>
      <c r="F387" s="96"/>
      <c r="H387" s="14"/>
      <c r="I387" s="14"/>
      <c r="J387" s="14"/>
      <c r="K387" s="14"/>
      <c r="L387" s="14"/>
      <c r="M387" s="14"/>
      <c r="N387" s="14"/>
      <c r="O387" s="14"/>
      <c r="P387" s="14"/>
    </row>
    <row r="388">
      <c r="A388" s="12"/>
      <c r="D388" s="95"/>
      <c r="E388" s="14"/>
      <c r="F388" s="96"/>
      <c r="H388" s="14"/>
      <c r="I388" s="14"/>
      <c r="J388" s="14"/>
      <c r="K388" s="14"/>
      <c r="L388" s="14"/>
      <c r="M388" s="14"/>
      <c r="N388" s="14"/>
      <c r="O388" s="14"/>
      <c r="P388" s="14"/>
    </row>
    <row r="389">
      <c r="A389" s="12"/>
      <c r="D389" s="95"/>
      <c r="E389" s="14"/>
      <c r="F389" s="96"/>
      <c r="H389" s="14"/>
      <c r="I389" s="14"/>
      <c r="J389" s="14"/>
      <c r="K389" s="14"/>
      <c r="L389" s="14"/>
      <c r="M389" s="14"/>
      <c r="N389" s="14"/>
      <c r="O389" s="14"/>
      <c r="P389" s="14"/>
    </row>
    <row r="390">
      <c r="A390" s="12"/>
      <c r="D390" s="95"/>
      <c r="E390" s="14"/>
      <c r="F390" s="96"/>
      <c r="H390" s="14"/>
      <c r="I390" s="14"/>
      <c r="J390" s="14"/>
      <c r="K390" s="14"/>
      <c r="L390" s="14"/>
      <c r="M390" s="14"/>
      <c r="N390" s="14"/>
      <c r="O390" s="14"/>
      <c r="P390" s="14"/>
    </row>
    <row r="391">
      <c r="A391" s="12"/>
      <c r="D391" s="95"/>
      <c r="E391" s="14"/>
      <c r="F391" s="96"/>
      <c r="H391" s="14"/>
      <c r="I391" s="14"/>
      <c r="J391" s="14"/>
      <c r="K391" s="14"/>
      <c r="L391" s="14"/>
      <c r="M391" s="14"/>
      <c r="N391" s="14"/>
      <c r="O391" s="14"/>
      <c r="P391" s="14"/>
    </row>
    <row r="392">
      <c r="A392" s="12"/>
      <c r="D392" s="95"/>
      <c r="E392" s="14"/>
      <c r="F392" s="96"/>
      <c r="H392" s="14"/>
      <c r="I392" s="14"/>
      <c r="J392" s="14"/>
      <c r="K392" s="14"/>
      <c r="L392" s="14"/>
      <c r="M392" s="14"/>
      <c r="N392" s="14"/>
      <c r="O392" s="14"/>
      <c r="P392" s="14"/>
    </row>
    <row r="393">
      <c r="A393" s="12"/>
      <c r="D393" s="95"/>
      <c r="E393" s="14"/>
      <c r="F393" s="96"/>
      <c r="H393" s="14"/>
      <c r="I393" s="14"/>
      <c r="J393" s="14"/>
      <c r="K393" s="14"/>
      <c r="L393" s="14"/>
      <c r="M393" s="14"/>
      <c r="N393" s="14"/>
      <c r="O393" s="14"/>
      <c r="P393" s="14"/>
    </row>
    <row r="394">
      <c r="A394" s="12"/>
      <c r="D394" s="95"/>
      <c r="E394" s="14"/>
      <c r="F394" s="96"/>
      <c r="H394" s="14"/>
      <c r="I394" s="14"/>
      <c r="J394" s="14"/>
      <c r="K394" s="14"/>
      <c r="L394" s="14"/>
      <c r="M394" s="14"/>
      <c r="N394" s="14"/>
      <c r="O394" s="14"/>
      <c r="P394" s="14"/>
    </row>
    <row r="395">
      <c r="A395" s="12"/>
      <c r="D395" s="95"/>
      <c r="E395" s="14"/>
      <c r="F395" s="96"/>
      <c r="H395" s="14"/>
      <c r="I395" s="14"/>
      <c r="J395" s="14"/>
      <c r="K395" s="14"/>
      <c r="L395" s="14"/>
      <c r="M395" s="14"/>
      <c r="N395" s="14"/>
      <c r="O395" s="14"/>
      <c r="P395" s="14"/>
    </row>
    <row r="396">
      <c r="A396" s="12"/>
      <c r="D396" s="95"/>
      <c r="E396" s="14"/>
      <c r="F396" s="96"/>
      <c r="H396" s="14"/>
      <c r="I396" s="14"/>
      <c r="J396" s="14"/>
      <c r="K396" s="14"/>
      <c r="L396" s="14"/>
      <c r="M396" s="14"/>
      <c r="N396" s="14"/>
      <c r="O396" s="14"/>
      <c r="P396" s="14"/>
    </row>
    <row r="397">
      <c r="A397" s="12"/>
      <c r="D397" s="95"/>
      <c r="E397" s="14"/>
      <c r="F397" s="96"/>
      <c r="H397" s="14"/>
      <c r="I397" s="14"/>
      <c r="J397" s="14"/>
      <c r="K397" s="14"/>
      <c r="L397" s="14"/>
      <c r="M397" s="14"/>
      <c r="N397" s="14"/>
      <c r="O397" s="14"/>
      <c r="P397" s="14"/>
    </row>
    <row r="398">
      <c r="A398" s="12"/>
      <c r="D398" s="95"/>
      <c r="E398" s="14"/>
      <c r="F398" s="96"/>
      <c r="H398" s="14"/>
      <c r="I398" s="14"/>
      <c r="J398" s="14"/>
      <c r="K398" s="14"/>
      <c r="L398" s="14"/>
      <c r="M398" s="14"/>
      <c r="N398" s="14"/>
      <c r="O398" s="14"/>
      <c r="P398" s="14"/>
    </row>
    <row r="399">
      <c r="A399" s="12"/>
      <c r="D399" s="95"/>
      <c r="E399" s="14"/>
      <c r="F399" s="96"/>
      <c r="H399" s="14"/>
      <c r="I399" s="14"/>
      <c r="J399" s="14"/>
      <c r="K399" s="14"/>
      <c r="L399" s="14"/>
      <c r="M399" s="14"/>
      <c r="N399" s="14"/>
      <c r="O399" s="14"/>
      <c r="P399" s="14"/>
    </row>
    <row r="400">
      <c r="A400" s="12"/>
      <c r="D400" s="95"/>
      <c r="E400" s="14"/>
      <c r="F400" s="96"/>
      <c r="H400" s="14"/>
      <c r="I400" s="14"/>
      <c r="J400" s="14"/>
      <c r="K400" s="14"/>
      <c r="L400" s="14"/>
      <c r="M400" s="14"/>
      <c r="N400" s="14"/>
      <c r="O400" s="14"/>
      <c r="P400" s="14"/>
    </row>
    <row r="401">
      <c r="A401" s="12"/>
      <c r="D401" s="95"/>
      <c r="E401" s="14"/>
      <c r="F401" s="96"/>
      <c r="H401" s="14"/>
      <c r="I401" s="14"/>
      <c r="J401" s="14"/>
      <c r="K401" s="14"/>
      <c r="L401" s="14"/>
      <c r="M401" s="14"/>
      <c r="N401" s="14"/>
      <c r="O401" s="14"/>
      <c r="P401" s="14"/>
    </row>
    <row r="402">
      <c r="A402" s="12"/>
      <c r="D402" s="95"/>
      <c r="E402" s="14"/>
      <c r="F402" s="96"/>
      <c r="H402" s="14"/>
      <c r="I402" s="14"/>
      <c r="J402" s="14"/>
      <c r="K402" s="14"/>
      <c r="L402" s="14"/>
      <c r="M402" s="14"/>
      <c r="N402" s="14"/>
      <c r="O402" s="14"/>
      <c r="P402" s="14"/>
    </row>
    <row r="403">
      <c r="A403" s="12"/>
      <c r="D403" s="95"/>
      <c r="E403" s="14"/>
      <c r="F403" s="96"/>
      <c r="H403" s="14"/>
      <c r="I403" s="14"/>
      <c r="J403" s="14"/>
      <c r="K403" s="14"/>
      <c r="L403" s="14"/>
      <c r="M403" s="14"/>
      <c r="N403" s="14"/>
      <c r="O403" s="14"/>
      <c r="P403" s="14"/>
    </row>
    <row r="404">
      <c r="A404" s="12"/>
      <c r="D404" s="95"/>
      <c r="E404" s="14"/>
      <c r="F404" s="96"/>
      <c r="H404" s="14"/>
      <c r="I404" s="14"/>
      <c r="J404" s="14"/>
      <c r="K404" s="14"/>
      <c r="L404" s="14"/>
      <c r="M404" s="14"/>
      <c r="N404" s="14"/>
      <c r="O404" s="14"/>
      <c r="P404" s="14"/>
    </row>
    <row r="405">
      <c r="A405" s="12"/>
      <c r="D405" s="95"/>
      <c r="E405" s="14"/>
      <c r="F405" s="96"/>
      <c r="H405" s="14"/>
      <c r="I405" s="14"/>
      <c r="J405" s="14"/>
      <c r="K405" s="14"/>
      <c r="L405" s="14"/>
      <c r="M405" s="14"/>
      <c r="N405" s="14"/>
      <c r="O405" s="14"/>
      <c r="P405" s="14"/>
    </row>
    <row r="406">
      <c r="A406" s="12"/>
      <c r="D406" s="95"/>
      <c r="E406" s="14"/>
      <c r="F406" s="96"/>
      <c r="H406" s="14"/>
      <c r="I406" s="14"/>
      <c r="J406" s="14"/>
      <c r="K406" s="14"/>
      <c r="L406" s="14"/>
      <c r="M406" s="14"/>
      <c r="N406" s="14"/>
      <c r="O406" s="14"/>
      <c r="P406" s="14"/>
    </row>
    <row r="407">
      <c r="A407" s="12"/>
      <c r="D407" s="95"/>
      <c r="E407" s="14"/>
      <c r="F407" s="96"/>
      <c r="H407" s="14"/>
      <c r="I407" s="14"/>
      <c r="J407" s="14"/>
      <c r="K407" s="14"/>
      <c r="L407" s="14"/>
      <c r="M407" s="14"/>
      <c r="N407" s="14"/>
      <c r="O407" s="14"/>
      <c r="P407" s="14"/>
    </row>
    <row r="408">
      <c r="A408" s="12"/>
      <c r="D408" s="95"/>
      <c r="E408" s="14"/>
      <c r="F408" s="96"/>
      <c r="H408" s="14"/>
      <c r="I408" s="14"/>
      <c r="J408" s="14"/>
      <c r="K408" s="14"/>
      <c r="L408" s="14"/>
      <c r="M408" s="14"/>
      <c r="N408" s="14"/>
      <c r="O408" s="14"/>
      <c r="P408" s="14"/>
    </row>
    <row r="409">
      <c r="A409" s="12"/>
      <c r="D409" s="95"/>
      <c r="E409" s="14"/>
      <c r="F409" s="96"/>
      <c r="H409" s="14"/>
      <c r="I409" s="14"/>
      <c r="J409" s="14"/>
      <c r="K409" s="14"/>
      <c r="L409" s="14"/>
      <c r="M409" s="14"/>
      <c r="N409" s="14"/>
      <c r="O409" s="14"/>
      <c r="P409" s="14"/>
    </row>
    <row r="410">
      <c r="A410" s="12"/>
      <c r="D410" s="95"/>
      <c r="E410" s="14"/>
      <c r="F410" s="96"/>
      <c r="H410" s="14"/>
      <c r="I410" s="14"/>
      <c r="J410" s="14"/>
      <c r="K410" s="14"/>
      <c r="L410" s="14"/>
      <c r="M410" s="14"/>
      <c r="N410" s="14"/>
      <c r="O410" s="14"/>
      <c r="P410" s="14"/>
    </row>
    <row r="411">
      <c r="A411" s="12"/>
      <c r="D411" s="95"/>
      <c r="E411" s="14"/>
      <c r="F411" s="96"/>
      <c r="H411" s="14"/>
      <c r="I411" s="14"/>
      <c r="J411" s="14"/>
      <c r="K411" s="14"/>
      <c r="L411" s="14"/>
      <c r="M411" s="14"/>
      <c r="N411" s="14"/>
      <c r="O411" s="14"/>
      <c r="P411" s="14"/>
    </row>
    <row r="412">
      <c r="A412" s="12"/>
      <c r="D412" s="95"/>
      <c r="E412" s="14"/>
      <c r="F412" s="96"/>
      <c r="H412" s="14"/>
      <c r="I412" s="14"/>
      <c r="J412" s="14"/>
      <c r="K412" s="14"/>
      <c r="L412" s="14"/>
      <c r="M412" s="14"/>
      <c r="N412" s="14"/>
      <c r="O412" s="14"/>
      <c r="P412" s="14"/>
    </row>
    <row r="413">
      <c r="A413" s="12"/>
      <c r="D413" s="95"/>
      <c r="E413" s="14"/>
      <c r="F413" s="96"/>
      <c r="H413" s="14"/>
      <c r="I413" s="14"/>
      <c r="J413" s="14"/>
      <c r="K413" s="14"/>
      <c r="L413" s="14"/>
      <c r="M413" s="14"/>
      <c r="N413" s="14"/>
      <c r="O413" s="14"/>
      <c r="P413" s="14"/>
    </row>
    <row r="414">
      <c r="A414" s="12"/>
      <c r="D414" s="95"/>
      <c r="E414" s="14"/>
      <c r="F414" s="96"/>
      <c r="H414" s="14"/>
      <c r="I414" s="14"/>
      <c r="J414" s="14"/>
      <c r="K414" s="14"/>
      <c r="L414" s="14"/>
      <c r="M414" s="14"/>
      <c r="N414" s="14"/>
      <c r="O414" s="14"/>
      <c r="P414" s="14"/>
    </row>
    <row r="415">
      <c r="A415" s="12"/>
      <c r="D415" s="95"/>
      <c r="E415" s="14"/>
      <c r="F415" s="96"/>
      <c r="H415" s="14"/>
      <c r="I415" s="14"/>
      <c r="J415" s="14"/>
      <c r="K415" s="14"/>
      <c r="L415" s="14"/>
      <c r="M415" s="14"/>
      <c r="N415" s="14"/>
      <c r="O415" s="14"/>
      <c r="P415" s="14"/>
    </row>
    <row r="416">
      <c r="A416" s="12"/>
      <c r="D416" s="95"/>
      <c r="E416" s="14"/>
      <c r="F416" s="96"/>
      <c r="H416" s="14"/>
      <c r="I416" s="14"/>
      <c r="J416" s="14"/>
      <c r="K416" s="14"/>
      <c r="L416" s="14"/>
      <c r="M416" s="14"/>
      <c r="N416" s="14"/>
      <c r="O416" s="14"/>
      <c r="P416" s="14"/>
    </row>
    <row r="417">
      <c r="A417" s="12"/>
      <c r="D417" s="95"/>
      <c r="E417" s="14"/>
      <c r="F417" s="96"/>
      <c r="H417" s="14"/>
      <c r="I417" s="14"/>
      <c r="J417" s="14"/>
      <c r="K417" s="14"/>
      <c r="L417" s="14"/>
      <c r="M417" s="14"/>
      <c r="N417" s="14"/>
      <c r="O417" s="14"/>
      <c r="P417" s="14"/>
    </row>
    <row r="418">
      <c r="A418" s="12"/>
      <c r="D418" s="95"/>
      <c r="E418" s="14"/>
      <c r="F418" s="96"/>
      <c r="H418" s="14"/>
      <c r="I418" s="14"/>
      <c r="J418" s="14"/>
      <c r="K418" s="14"/>
      <c r="L418" s="14"/>
      <c r="M418" s="14"/>
      <c r="N418" s="14"/>
      <c r="O418" s="14"/>
      <c r="P418" s="14"/>
    </row>
    <row r="419">
      <c r="A419" s="12"/>
      <c r="D419" s="95"/>
      <c r="E419" s="14"/>
      <c r="F419" s="96"/>
      <c r="H419" s="14"/>
      <c r="I419" s="14"/>
      <c r="J419" s="14"/>
      <c r="K419" s="14"/>
      <c r="L419" s="14"/>
      <c r="M419" s="14"/>
      <c r="N419" s="14"/>
      <c r="O419" s="14"/>
      <c r="P419" s="14"/>
    </row>
    <row r="420">
      <c r="A420" s="12"/>
      <c r="D420" s="95"/>
      <c r="E420" s="14"/>
      <c r="F420" s="96"/>
      <c r="H420" s="14"/>
      <c r="I420" s="14"/>
      <c r="J420" s="14"/>
      <c r="K420" s="14"/>
      <c r="L420" s="14"/>
      <c r="M420" s="14"/>
      <c r="N420" s="14"/>
      <c r="O420" s="14"/>
      <c r="P420" s="14"/>
    </row>
    <row r="421">
      <c r="A421" s="12"/>
      <c r="D421" s="95"/>
      <c r="E421" s="14"/>
      <c r="F421" s="96"/>
      <c r="H421" s="14"/>
      <c r="I421" s="14"/>
      <c r="J421" s="14"/>
      <c r="K421" s="14"/>
      <c r="L421" s="14"/>
      <c r="M421" s="14"/>
      <c r="N421" s="14"/>
      <c r="O421" s="14"/>
      <c r="P421" s="14"/>
    </row>
    <row r="422">
      <c r="A422" s="12"/>
      <c r="D422" s="95"/>
      <c r="E422" s="14"/>
      <c r="F422" s="96"/>
      <c r="H422" s="14"/>
      <c r="I422" s="14"/>
      <c r="J422" s="14"/>
      <c r="K422" s="14"/>
      <c r="L422" s="14"/>
      <c r="M422" s="14"/>
      <c r="N422" s="14"/>
      <c r="O422" s="14"/>
      <c r="P422" s="14"/>
    </row>
    <row r="423">
      <c r="A423" s="12"/>
      <c r="D423" s="95"/>
      <c r="E423" s="14"/>
      <c r="F423" s="96"/>
      <c r="H423" s="14"/>
      <c r="I423" s="14"/>
      <c r="J423" s="14"/>
      <c r="K423" s="14"/>
      <c r="L423" s="14"/>
      <c r="M423" s="14"/>
      <c r="N423" s="14"/>
      <c r="O423" s="14"/>
      <c r="P423" s="14"/>
    </row>
    <row r="424">
      <c r="A424" s="12"/>
      <c r="D424" s="95"/>
      <c r="E424" s="14"/>
      <c r="F424" s="96"/>
      <c r="H424" s="14"/>
      <c r="I424" s="14"/>
      <c r="J424" s="14"/>
      <c r="K424" s="14"/>
      <c r="L424" s="14"/>
      <c r="M424" s="14"/>
      <c r="N424" s="14"/>
      <c r="O424" s="14"/>
      <c r="P424" s="14"/>
    </row>
    <row r="425">
      <c r="A425" s="12"/>
      <c r="D425" s="95"/>
      <c r="E425" s="14"/>
      <c r="F425" s="96"/>
      <c r="H425" s="14"/>
      <c r="I425" s="14"/>
      <c r="J425" s="14"/>
      <c r="K425" s="14"/>
      <c r="L425" s="14"/>
      <c r="M425" s="14"/>
      <c r="N425" s="14"/>
      <c r="O425" s="14"/>
      <c r="P425" s="14"/>
    </row>
    <row r="426">
      <c r="A426" s="12"/>
      <c r="D426" s="95"/>
      <c r="E426" s="14"/>
      <c r="F426" s="96"/>
      <c r="H426" s="14"/>
      <c r="I426" s="14"/>
      <c r="J426" s="14"/>
      <c r="K426" s="14"/>
      <c r="L426" s="14"/>
      <c r="M426" s="14"/>
      <c r="N426" s="14"/>
      <c r="O426" s="14"/>
      <c r="P426" s="14"/>
    </row>
    <row r="427">
      <c r="A427" s="12"/>
      <c r="D427" s="95"/>
      <c r="E427" s="14"/>
      <c r="F427" s="96"/>
      <c r="H427" s="14"/>
      <c r="I427" s="14"/>
      <c r="J427" s="14"/>
      <c r="K427" s="14"/>
      <c r="L427" s="14"/>
      <c r="M427" s="14"/>
      <c r="N427" s="14"/>
      <c r="O427" s="14"/>
      <c r="P427" s="14"/>
    </row>
    <row r="428">
      <c r="A428" s="12"/>
      <c r="D428" s="95"/>
      <c r="E428" s="14"/>
      <c r="F428" s="96"/>
      <c r="H428" s="14"/>
      <c r="I428" s="14"/>
      <c r="J428" s="14"/>
      <c r="K428" s="14"/>
      <c r="L428" s="14"/>
      <c r="M428" s="14"/>
      <c r="N428" s="14"/>
      <c r="O428" s="14"/>
      <c r="P428" s="14"/>
    </row>
    <row r="429">
      <c r="A429" s="12"/>
      <c r="D429" s="95"/>
      <c r="E429" s="14"/>
      <c r="F429" s="96"/>
      <c r="H429" s="14"/>
      <c r="I429" s="14"/>
      <c r="J429" s="14"/>
      <c r="K429" s="14"/>
      <c r="L429" s="14"/>
      <c r="M429" s="14"/>
      <c r="N429" s="14"/>
      <c r="O429" s="14"/>
      <c r="P429" s="14"/>
    </row>
    <row r="430">
      <c r="A430" s="12"/>
      <c r="D430" s="95"/>
      <c r="E430" s="14"/>
      <c r="F430" s="96"/>
      <c r="H430" s="14"/>
      <c r="I430" s="14"/>
      <c r="J430" s="14"/>
      <c r="K430" s="14"/>
      <c r="L430" s="14"/>
      <c r="M430" s="14"/>
      <c r="N430" s="14"/>
      <c r="O430" s="14"/>
      <c r="P430" s="14"/>
    </row>
    <row r="431">
      <c r="A431" s="12"/>
      <c r="D431" s="95"/>
      <c r="E431" s="14"/>
      <c r="F431" s="96"/>
      <c r="H431" s="14"/>
      <c r="I431" s="14"/>
      <c r="J431" s="14"/>
      <c r="K431" s="14"/>
      <c r="L431" s="14"/>
      <c r="M431" s="14"/>
      <c r="N431" s="14"/>
      <c r="O431" s="14"/>
      <c r="P431" s="14"/>
    </row>
    <row r="432">
      <c r="A432" s="12"/>
      <c r="D432" s="95"/>
      <c r="E432" s="14"/>
      <c r="F432" s="96"/>
      <c r="H432" s="14"/>
      <c r="I432" s="14"/>
      <c r="J432" s="14"/>
      <c r="K432" s="14"/>
      <c r="L432" s="14"/>
      <c r="M432" s="14"/>
      <c r="N432" s="14"/>
      <c r="O432" s="14"/>
      <c r="P432" s="14"/>
    </row>
    <row r="433">
      <c r="A433" s="12"/>
      <c r="D433" s="95"/>
      <c r="E433" s="14"/>
      <c r="F433" s="96"/>
      <c r="H433" s="14"/>
      <c r="I433" s="14"/>
      <c r="J433" s="14"/>
      <c r="K433" s="14"/>
      <c r="L433" s="14"/>
      <c r="M433" s="14"/>
      <c r="N433" s="14"/>
      <c r="O433" s="14"/>
      <c r="P433" s="14"/>
    </row>
    <row r="434">
      <c r="A434" s="12"/>
      <c r="D434" s="95"/>
      <c r="E434" s="14"/>
      <c r="F434" s="96"/>
      <c r="H434" s="14"/>
      <c r="I434" s="14"/>
      <c r="J434" s="14"/>
      <c r="K434" s="14"/>
      <c r="L434" s="14"/>
      <c r="M434" s="14"/>
      <c r="N434" s="14"/>
      <c r="O434" s="14"/>
      <c r="P434" s="14"/>
    </row>
    <row r="435">
      <c r="A435" s="12"/>
      <c r="D435" s="95"/>
      <c r="E435" s="14"/>
      <c r="F435" s="96"/>
      <c r="H435" s="14"/>
      <c r="I435" s="14"/>
      <c r="J435" s="14"/>
      <c r="K435" s="14"/>
      <c r="L435" s="14"/>
      <c r="M435" s="14"/>
      <c r="N435" s="14"/>
      <c r="O435" s="14"/>
      <c r="P435" s="14"/>
    </row>
    <row r="436">
      <c r="A436" s="12"/>
      <c r="D436" s="95"/>
      <c r="E436" s="14"/>
      <c r="F436" s="96"/>
      <c r="H436" s="14"/>
      <c r="I436" s="14"/>
      <c r="J436" s="14"/>
      <c r="K436" s="14"/>
      <c r="L436" s="14"/>
      <c r="M436" s="14"/>
      <c r="N436" s="14"/>
      <c r="O436" s="14"/>
      <c r="P436" s="14"/>
    </row>
    <row r="437">
      <c r="A437" s="12"/>
      <c r="D437" s="95"/>
      <c r="E437" s="14"/>
      <c r="F437" s="96"/>
      <c r="H437" s="14"/>
      <c r="I437" s="14"/>
      <c r="J437" s="14"/>
      <c r="K437" s="14"/>
      <c r="L437" s="14"/>
      <c r="M437" s="14"/>
      <c r="N437" s="14"/>
      <c r="O437" s="14"/>
      <c r="P437" s="14"/>
    </row>
    <row r="438">
      <c r="A438" s="12"/>
      <c r="D438" s="95"/>
      <c r="E438" s="14"/>
      <c r="F438" s="96"/>
      <c r="H438" s="14"/>
      <c r="I438" s="14"/>
      <c r="J438" s="14"/>
      <c r="K438" s="14"/>
      <c r="L438" s="14"/>
      <c r="M438" s="14"/>
      <c r="N438" s="14"/>
      <c r="O438" s="14"/>
      <c r="P438" s="14"/>
    </row>
    <row r="439">
      <c r="A439" s="12"/>
      <c r="D439" s="95"/>
      <c r="E439" s="14"/>
      <c r="F439" s="96"/>
      <c r="H439" s="14"/>
      <c r="I439" s="14"/>
      <c r="J439" s="14"/>
      <c r="K439" s="14"/>
      <c r="L439" s="14"/>
      <c r="M439" s="14"/>
      <c r="N439" s="14"/>
      <c r="O439" s="14"/>
      <c r="P439" s="14"/>
    </row>
    <row r="440">
      <c r="A440" s="12"/>
      <c r="D440" s="95"/>
      <c r="E440" s="14"/>
      <c r="F440" s="96"/>
      <c r="H440" s="14"/>
      <c r="I440" s="14"/>
      <c r="J440" s="14"/>
      <c r="K440" s="14"/>
      <c r="L440" s="14"/>
      <c r="M440" s="14"/>
      <c r="N440" s="14"/>
      <c r="O440" s="14"/>
      <c r="P440" s="14"/>
    </row>
    <row r="441">
      <c r="A441" s="12"/>
      <c r="D441" s="95"/>
      <c r="E441" s="14"/>
      <c r="F441" s="96"/>
      <c r="H441" s="14"/>
      <c r="I441" s="14"/>
      <c r="J441" s="14"/>
      <c r="K441" s="14"/>
      <c r="L441" s="14"/>
      <c r="M441" s="14"/>
      <c r="N441" s="14"/>
      <c r="O441" s="14"/>
      <c r="P441" s="14"/>
    </row>
    <row r="442">
      <c r="A442" s="12"/>
      <c r="D442" s="95"/>
      <c r="E442" s="14"/>
      <c r="F442" s="96"/>
      <c r="H442" s="14"/>
      <c r="I442" s="14"/>
      <c r="J442" s="14"/>
      <c r="K442" s="14"/>
      <c r="L442" s="14"/>
      <c r="M442" s="14"/>
      <c r="N442" s="14"/>
      <c r="O442" s="14"/>
      <c r="P442" s="14"/>
    </row>
    <row r="443">
      <c r="A443" s="12"/>
      <c r="D443" s="95"/>
      <c r="E443" s="14"/>
      <c r="F443" s="96"/>
      <c r="H443" s="14"/>
      <c r="I443" s="14"/>
      <c r="J443" s="14"/>
      <c r="K443" s="14"/>
      <c r="L443" s="14"/>
      <c r="M443" s="14"/>
      <c r="N443" s="14"/>
      <c r="O443" s="14"/>
      <c r="P443" s="14"/>
    </row>
    <row r="444">
      <c r="A444" s="12"/>
      <c r="D444" s="95"/>
      <c r="E444" s="14"/>
      <c r="F444" s="96"/>
      <c r="H444" s="14"/>
      <c r="I444" s="14"/>
      <c r="J444" s="14"/>
      <c r="K444" s="14"/>
      <c r="L444" s="14"/>
      <c r="M444" s="14"/>
      <c r="N444" s="14"/>
      <c r="O444" s="14"/>
      <c r="P444" s="14"/>
    </row>
    <row r="445">
      <c r="A445" s="12"/>
      <c r="D445" s="95"/>
      <c r="E445" s="14"/>
      <c r="F445" s="96"/>
      <c r="H445" s="14"/>
      <c r="I445" s="14"/>
      <c r="J445" s="14"/>
      <c r="K445" s="14"/>
      <c r="L445" s="14"/>
      <c r="M445" s="14"/>
      <c r="N445" s="14"/>
      <c r="O445" s="14"/>
      <c r="P445" s="14"/>
    </row>
    <row r="446">
      <c r="A446" s="12"/>
      <c r="D446" s="95"/>
      <c r="E446" s="14"/>
      <c r="F446" s="96"/>
      <c r="H446" s="14"/>
      <c r="I446" s="14"/>
      <c r="J446" s="14"/>
      <c r="K446" s="14"/>
      <c r="L446" s="14"/>
      <c r="M446" s="14"/>
      <c r="N446" s="14"/>
      <c r="O446" s="14"/>
      <c r="P446" s="14"/>
    </row>
    <row r="447">
      <c r="A447" s="12"/>
      <c r="D447" s="95"/>
      <c r="E447" s="14"/>
      <c r="F447" s="96"/>
      <c r="H447" s="14"/>
      <c r="I447" s="14"/>
      <c r="J447" s="14"/>
      <c r="K447" s="14"/>
      <c r="L447" s="14"/>
      <c r="M447" s="14"/>
      <c r="N447" s="14"/>
      <c r="O447" s="14"/>
      <c r="P447" s="14"/>
    </row>
    <row r="448">
      <c r="A448" s="12"/>
      <c r="D448" s="95"/>
      <c r="E448" s="14"/>
      <c r="F448" s="96"/>
      <c r="H448" s="14"/>
      <c r="I448" s="14"/>
      <c r="J448" s="14"/>
      <c r="K448" s="14"/>
      <c r="L448" s="14"/>
      <c r="M448" s="14"/>
      <c r="N448" s="14"/>
      <c r="O448" s="14"/>
      <c r="P448" s="14"/>
    </row>
    <row r="449">
      <c r="A449" s="12"/>
      <c r="D449" s="95"/>
      <c r="E449" s="14"/>
      <c r="F449" s="96"/>
      <c r="H449" s="14"/>
      <c r="I449" s="14"/>
      <c r="J449" s="14"/>
      <c r="K449" s="14"/>
      <c r="L449" s="14"/>
      <c r="M449" s="14"/>
      <c r="N449" s="14"/>
      <c r="O449" s="14"/>
      <c r="P449" s="14"/>
    </row>
    <row r="450">
      <c r="A450" s="12"/>
      <c r="D450" s="95"/>
      <c r="E450" s="14"/>
      <c r="F450" s="96"/>
      <c r="H450" s="14"/>
      <c r="I450" s="14"/>
      <c r="J450" s="14"/>
      <c r="K450" s="14"/>
      <c r="L450" s="14"/>
      <c r="M450" s="14"/>
      <c r="N450" s="14"/>
      <c r="O450" s="14"/>
      <c r="P450" s="14"/>
    </row>
    <row r="451">
      <c r="A451" s="12"/>
      <c r="D451" s="95"/>
      <c r="E451" s="14"/>
      <c r="F451" s="96"/>
      <c r="H451" s="14"/>
      <c r="I451" s="14"/>
      <c r="J451" s="14"/>
      <c r="K451" s="14"/>
      <c r="L451" s="14"/>
      <c r="M451" s="14"/>
      <c r="N451" s="14"/>
      <c r="O451" s="14"/>
      <c r="P451" s="14"/>
    </row>
    <row r="452">
      <c r="A452" s="12"/>
      <c r="D452" s="95"/>
      <c r="E452" s="14"/>
      <c r="F452" s="96"/>
      <c r="H452" s="14"/>
      <c r="I452" s="14"/>
      <c r="J452" s="14"/>
      <c r="K452" s="14"/>
      <c r="L452" s="14"/>
      <c r="M452" s="14"/>
      <c r="N452" s="14"/>
      <c r="O452" s="14"/>
      <c r="P452" s="14"/>
    </row>
    <row r="453">
      <c r="A453" s="12"/>
      <c r="D453" s="95"/>
      <c r="E453" s="14"/>
      <c r="F453" s="96"/>
      <c r="H453" s="14"/>
      <c r="I453" s="14"/>
      <c r="J453" s="14"/>
      <c r="K453" s="14"/>
      <c r="L453" s="14"/>
      <c r="M453" s="14"/>
      <c r="N453" s="14"/>
      <c r="O453" s="14"/>
      <c r="P453" s="14"/>
    </row>
    <row r="454">
      <c r="A454" s="12"/>
      <c r="D454" s="95"/>
      <c r="E454" s="14"/>
      <c r="F454" s="96"/>
      <c r="H454" s="14"/>
      <c r="I454" s="14"/>
      <c r="J454" s="14"/>
      <c r="K454" s="14"/>
      <c r="L454" s="14"/>
      <c r="M454" s="14"/>
      <c r="N454" s="14"/>
      <c r="O454" s="14"/>
      <c r="P454" s="14"/>
    </row>
    <row r="455">
      <c r="A455" s="12"/>
      <c r="D455" s="95"/>
      <c r="E455" s="14"/>
      <c r="F455" s="96"/>
      <c r="H455" s="14"/>
      <c r="I455" s="14"/>
      <c r="J455" s="14"/>
      <c r="K455" s="14"/>
      <c r="L455" s="14"/>
      <c r="M455" s="14"/>
      <c r="N455" s="14"/>
      <c r="O455" s="14"/>
      <c r="P455" s="14"/>
    </row>
    <row r="456">
      <c r="A456" s="12"/>
      <c r="D456" s="95"/>
      <c r="E456" s="14"/>
      <c r="F456" s="96"/>
      <c r="H456" s="14"/>
      <c r="I456" s="14"/>
      <c r="J456" s="14"/>
      <c r="K456" s="14"/>
      <c r="L456" s="14"/>
      <c r="M456" s="14"/>
      <c r="N456" s="14"/>
      <c r="O456" s="14"/>
      <c r="P456" s="14"/>
    </row>
    <row r="457">
      <c r="A457" s="12"/>
      <c r="D457" s="95"/>
      <c r="E457" s="14"/>
      <c r="F457" s="96"/>
      <c r="H457" s="14"/>
      <c r="I457" s="14"/>
      <c r="J457" s="14"/>
      <c r="K457" s="14"/>
      <c r="L457" s="14"/>
      <c r="M457" s="14"/>
      <c r="N457" s="14"/>
      <c r="O457" s="14"/>
      <c r="P457" s="14"/>
    </row>
    <row r="458">
      <c r="A458" s="12"/>
      <c r="D458" s="95"/>
      <c r="E458" s="14"/>
      <c r="F458" s="96"/>
      <c r="H458" s="14"/>
      <c r="I458" s="14"/>
      <c r="J458" s="14"/>
      <c r="K458" s="14"/>
      <c r="L458" s="14"/>
      <c r="M458" s="14"/>
      <c r="N458" s="14"/>
      <c r="O458" s="14"/>
      <c r="P458" s="14"/>
    </row>
    <row r="459">
      <c r="A459" s="12"/>
      <c r="D459" s="95"/>
      <c r="E459" s="14"/>
      <c r="F459" s="96"/>
      <c r="H459" s="14"/>
      <c r="I459" s="14"/>
      <c r="J459" s="14"/>
      <c r="K459" s="14"/>
      <c r="L459" s="14"/>
      <c r="M459" s="14"/>
      <c r="N459" s="14"/>
      <c r="O459" s="14"/>
      <c r="P459" s="14"/>
    </row>
    <row r="460">
      <c r="A460" s="12"/>
      <c r="D460" s="95"/>
      <c r="E460" s="14"/>
      <c r="F460" s="96"/>
      <c r="H460" s="14"/>
      <c r="I460" s="14"/>
      <c r="J460" s="14"/>
      <c r="K460" s="14"/>
      <c r="L460" s="14"/>
      <c r="M460" s="14"/>
      <c r="N460" s="14"/>
      <c r="O460" s="14"/>
      <c r="P460" s="14"/>
    </row>
    <row r="461">
      <c r="A461" s="12"/>
      <c r="D461" s="95"/>
      <c r="E461" s="14"/>
      <c r="F461" s="96"/>
      <c r="H461" s="14"/>
      <c r="I461" s="14"/>
      <c r="J461" s="14"/>
      <c r="K461" s="14"/>
      <c r="L461" s="14"/>
      <c r="M461" s="14"/>
      <c r="N461" s="14"/>
      <c r="O461" s="14"/>
      <c r="P461" s="14"/>
    </row>
    <row r="462">
      <c r="A462" s="12"/>
      <c r="D462" s="95"/>
      <c r="E462" s="14"/>
      <c r="F462" s="96"/>
      <c r="H462" s="14"/>
      <c r="I462" s="14"/>
      <c r="J462" s="14"/>
      <c r="K462" s="14"/>
      <c r="L462" s="14"/>
      <c r="M462" s="14"/>
      <c r="N462" s="14"/>
      <c r="O462" s="14"/>
      <c r="P462" s="14"/>
    </row>
    <row r="463">
      <c r="A463" s="12"/>
      <c r="D463" s="95"/>
      <c r="E463" s="14"/>
      <c r="F463" s="96"/>
      <c r="H463" s="14"/>
      <c r="I463" s="14"/>
      <c r="J463" s="14"/>
      <c r="K463" s="14"/>
      <c r="L463" s="14"/>
      <c r="M463" s="14"/>
      <c r="N463" s="14"/>
      <c r="O463" s="14"/>
      <c r="P463" s="14"/>
    </row>
    <row r="464">
      <c r="A464" s="12"/>
      <c r="D464" s="95"/>
      <c r="E464" s="14"/>
      <c r="F464" s="96"/>
      <c r="H464" s="14"/>
      <c r="I464" s="14"/>
      <c r="J464" s="14"/>
      <c r="K464" s="14"/>
      <c r="L464" s="14"/>
      <c r="M464" s="14"/>
      <c r="N464" s="14"/>
      <c r="O464" s="14"/>
      <c r="P464" s="14"/>
    </row>
    <row r="465">
      <c r="A465" s="12"/>
      <c r="D465" s="95"/>
      <c r="E465" s="14"/>
      <c r="F465" s="96"/>
      <c r="H465" s="14"/>
      <c r="I465" s="14"/>
      <c r="J465" s="14"/>
      <c r="K465" s="14"/>
      <c r="L465" s="14"/>
      <c r="M465" s="14"/>
      <c r="N465" s="14"/>
      <c r="O465" s="14"/>
      <c r="P465" s="14"/>
    </row>
    <row r="466">
      <c r="A466" s="12"/>
      <c r="D466" s="95"/>
      <c r="E466" s="14"/>
      <c r="F466" s="96"/>
      <c r="H466" s="14"/>
      <c r="I466" s="14"/>
      <c r="J466" s="14"/>
      <c r="K466" s="14"/>
      <c r="L466" s="14"/>
      <c r="M466" s="14"/>
      <c r="N466" s="14"/>
      <c r="O466" s="14"/>
      <c r="P466" s="14"/>
    </row>
    <row r="467">
      <c r="A467" s="12"/>
      <c r="D467" s="95"/>
      <c r="E467" s="14"/>
      <c r="F467" s="96"/>
      <c r="H467" s="14"/>
      <c r="I467" s="14"/>
      <c r="J467" s="14"/>
      <c r="K467" s="14"/>
      <c r="L467" s="14"/>
      <c r="M467" s="14"/>
      <c r="N467" s="14"/>
      <c r="O467" s="14"/>
      <c r="P467" s="14"/>
    </row>
    <row r="468">
      <c r="A468" s="12"/>
      <c r="D468" s="95"/>
      <c r="E468" s="14"/>
      <c r="F468" s="96"/>
      <c r="H468" s="14"/>
      <c r="I468" s="14"/>
      <c r="J468" s="14"/>
      <c r="K468" s="14"/>
      <c r="L468" s="14"/>
      <c r="M468" s="14"/>
      <c r="N468" s="14"/>
      <c r="O468" s="14"/>
      <c r="P468" s="14"/>
    </row>
    <row r="469">
      <c r="A469" s="12"/>
      <c r="D469" s="95"/>
      <c r="E469" s="14"/>
      <c r="F469" s="96"/>
      <c r="H469" s="14"/>
      <c r="I469" s="14"/>
      <c r="J469" s="14"/>
      <c r="K469" s="14"/>
      <c r="L469" s="14"/>
      <c r="M469" s="14"/>
      <c r="N469" s="14"/>
      <c r="O469" s="14"/>
      <c r="P469" s="14"/>
    </row>
    <row r="470">
      <c r="A470" s="12"/>
      <c r="D470" s="95"/>
      <c r="E470" s="14"/>
      <c r="F470" s="96"/>
      <c r="H470" s="14"/>
      <c r="I470" s="14"/>
      <c r="J470" s="14"/>
      <c r="K470" s="14"/>
      <c r="L470" s="14"/>
      <c r="M470" s="14"/>
      <c r="N470" s="14"/>
      <c r="O470" s="14"/>
      <c r="P470" s="14"/>
    </row>
    <row r="471">
      <c r="A471" s="12"/>
      <c r="D471" s="95"/>
      <c r="E471" s="14"/>
      <c r="F471" s="96"/>
      <c r="H471" s="14"/>
      <c r="I471" s="14"/>
      <c r="J471" s="14"/>
      <c r="K471" s="14"/>
      <c r="L471" s="14"/>
      <c r="M471" s="14"/>
      <c r="N471" s="14"/>
      <c r="O471" s="14"/>
      <c r="P471" s="14"/>
    </row>
    <row r="472">
      <c r="A472" s="12"/>
      <c r="D472" s="95"/>
      <c r="E472" s="14"/>
      <c r="F472" s="96"/>
      <c r="H472" s="14"/>
      <c r="I472" s="14"/>
      <c r="J472" s="14"/>
      <c r="K472" s="14"/>
      <c r="L472" s="14"/>
      <c r="M472" s="14"/>
      <c r="N472" s="14"/>
      <c r="O472" s="14"/>
      <c r="P472" s="14"/>
    </row>
    <row r="473">
      <c r="A473" s="12"/>
      <c r="D473" s="95"/>
      <c r="E473" s="14"/>
      <c r="F473" s="96"/>
      <c r="H473" s="14"/>
      <c r="I473" s="14"/>
      <c r="J473" s="14"/>
      <c r="K473" s="14"/>
      <c r="L473" s="14"/>
      <c r="M473" s="14"/>
      <c r="N473" s="14"/>
      <c r="O473" s="14"/>
      <c r="P473" s="14"/>
    </row>
    <row r="474">
      <c r="A474" s="12"/>
      <c r="D474" s="95"/>
      <c r="E474" s="14"/>
      <c r="F474" s="96"/>
      <c r="H474" s="14"/>
      <c r="I474" s="14"/>
      <c r="J474" s="14"/>
      <c r="K474" s="14"/>
      <c r="L474" s="14"/>
      <c r="M474" s="14"/>
      <c r="N474" s="14"/>
      <c r="O474" s="14"/>
      <c r="P474" s="14"/>
    </row>
    <row r="475">
      <c r="A475" s="12"/>
      <c r="D475" s="95"/>
      <c r="E475" s="14"/>
      <c r="F475" s="96"/>
      <c r="H475" s="14"/>
      <c r="I475" s="14"/>
      <c r="J475" s="14"/>
      <c r="K475" s="14"/>
      <c r="L475" s="14"/>
      <c r="M475" s="14"/>
      <c r="N475" s="14"/>
      <c r="O475" s="14"/>
      <c r="P475" s="14"/>
    </row>
    <row r="476">
      <c r="A476" s="12"/>
      <c r="D476" s="95"/>
      <c r="E476" s="14"/>
      <c r="F476" s="96"/>
      <c r="H476" s="14"/>
      <c r="I476" s="14"/>
      <c r="J476" s="14"/>
      <c r="K476" s="14"/>
      <c r="L476" s="14"/>
      <c r="M476" s="14"/>
      <c r="N476" s="14"/>
      <c r="O476" s="14"/>
      <c r="P476" s="14"/>
    </row>
    <row r="477">
      <c r="A477" s="12"/>
      <c r="D477" s="95"/>
      <c r="E477" s="14"/>
      <c r="F477" s="96"/>
      <c r="H477" s="14"/>
      <c r="I477" s="14"/>
      <c r="J477" s="14"/>
      <c r="K477" s="14"/>
      <c r="L477" s="14"/>
      <c r="M477" s="14"/>
      <c r="N477" s="14"/>
      <c r="O477" s="14"/>
      <c r="P477" s="14"/>
    </row>
    <row r="478">
      <c r="A478" s="12"/>
      <c r="D478" s="95"/>
      <c r="E478" s="14"/>
      <c r="F478" s="96"/>
      <c r="H478" s="14"/>
      <c r="I478" s="14"/>
      <c r="J478" s="14"/>
      <c r="K478" s="14"/>
      <c r="L478" s="14"/>
      <c r="M478" s="14"/>
      <c r="N478" s="14"/>
      <c r="O478" s="14"/>
      <c r="P478" s="14"/>
    </row>
    <row r="479">
      <c r="A479" s="12"/>
      <c r="D479" s="95"/>
      <c r="E479" s="14"/>
      <c r="F479" s="96"/>
      <c r="H479" s="14"/>
      <c r="I479" s="14"/>
      <c r="J479" s="14"/>
      <c r="K479" s="14"/>
      <c r="L479" s="14"/>
      <c r="M479" s="14"/>
      <c r="N479" s="14"/>
      <c r="O479" s="14"/>
      <c r="P479" s="14"/>
    </row>
    <row r="480">
      <c r="A480" s="12"/>
      <c r="D480" s="95"/>
      <c r="E480" s="14"/>
      <c r="F480" s="96"/>
      <c r="H480" s="14"/>
      <c r="I480" s="14"/>
      <c r="J480" s="14"/>
      <c r="K480" s="14"/>
      <c r="L480" s="14"/>
      <c r="M480" s="14"/>
      <c r="N480" s="14"/>
      <c r="O480" s="14"/>
      <c r="P480" s="14"/>
    </row>
    <row r="481">
      <c r="A481" s="12"/>
      <c r="D481" s="95"/>
      <c r="E481" s="14"/>
      <c r="F481" s="96"/>
      <c r="H481" s="14"/>
      <c r="I481" s="14"/>
      <c r="J481" s="14"/>
      <c r="K481" s="14"/>
      <c r="L481" s="14"/>
      <c r="M481" s="14"/>
      <c r="N481" s="14"/>
      <c r="O481" s="14"/>
      <c r="P481" s="14"/>
    </row>
    <row r="482">
      <c r="A482" s="12"/>
      <c r="D482" s="95"/>
      <c r="E482" s="14"/>
      <c r="F482" s="96"/>
      <c r="H482" s="14"/>
      <c r="I482" s="14"/>
      <c r="J482" s="14"/>
      <c r="K482" s="14"/>
      <c r="L482" s="14"/>
      <c r="M482" s="14"/>
      <c r="N482" s="14"/>
      <c r="O482" s="14"/>
      <c r="P482" s="14"/>
    </row>
    <row r="483">
      <c r="A483" s="12"/>
      <c r="D483" s="95"/>
      <c r="E483" s="14"/>
      <c r="F483" s="96"/>
      <c r="H483" s="14"/>
      <c r="I483" s="14"/>
      <c r="J483" s="14"/>
      <c r="K483" s="14"/>
      <c r="L483" s="14"/>
      <c r="M483" s="14"/>
      <c r="N483" s="14"/>
      <c r="O483" s="14"/>
      <c r="P483" s="14"/>
    </row>
    <row r="484">
      <c r="A484" s="12"/>
      <c r="D484" s="95"/>
      <c r="E484" s="14"/>
      <c r="F484" s="96"/>
      <c r="H484" s="14"/>
      <c r="I484" s="14"/>
      <c r="J484" s="14"/>
      <c r="K484" s="14"/>
      <c r="L484" s="14"/>
      <c r="M484" s="14"/>
      <c r="N484" s="14"/>
      <c r="O484" s="14"/>
      <c r="P484" s="14"/>
    </row>
    <row r="485">
      <c r="A485" s="12"/>
      <c r="D485" s="95"/>
      <c r="E485" s="14"/>
      <c r="F485" s="96"/>
      <c r="H485" s="14"/>
      <c r="I485" s="14"/>
      <c r="J485" s="14"/>
      <c r="K485" s="14"/>
      <c r="L485" s="14"/>
      <c r="M485" s="14"/>
      <c r="N485" s="14"/>
      <c r="O485" s="14"/>
      <c r="P485" s="14"/>
    </row>
    <row r="486">
      <c r="A486" s="12"/>
      <c r="D486" s="95"/>
      <c r="E486" s="14"/>
      <c r="F486" s="96"/>
      <c r="H486" s="14"/>
      <c r="I486" s="14"/>
      <c r="J486" s="14"/>
      <c r="K486" s="14"/>
      <c r="L486" s="14"/>
      <c r="M486" s="14"/>
      <c r="N486" s="14"/>
      <c r="O486" s="14"/>
      <c r="P486" s="14"/>
    </row>
    <row r="487">
      <c r="A487" s="12"/>
      <c r="D487" s="95"/>
      <c r="E487" s="14"/>
      <c r="F487" s="96"/>
      <c r="H487" s="14"/>
      <c r="I487" s="14"/>
      <c r="J487" s="14"/>
      <c r="K487" s="14"/>
      <c r="L487" s="14"/>
      <c r="M487" s="14"/>
      <c r="N487" s="14"/>
      <c r="O487" s="14"/>
      <c r="P487" s="14"/>
    </row>
    <row r="488">
      <c r="A488" s="12"/>
      <c r="D488" s="95"/>
      <c r="E488" s="14"/>
      <c r="F488" s="96"/>
      <c r="H488" s="14"/>
      <c r="I488" s="14"/>
      <c r="J488" s="14"/>
      <c r="K488" s="14"/>
      <c r="L488" s="14"/>
      <c r="M488" s="14"/>
      <c r="N488" s="14"/>
      <c r="O488" s="14"/>
      <c r="P488" s="14"/>
    </row>
    <row r="489">
      <c r="A489" s="12"/>
      <c r="D489" s="95"/>
      <c r="E489" s="14"/>
      <c r="F489" s="96"/>
      <c r="H489" s="14"/>
      <c r="I489" s="14"/>
      <c r="J489" s="14"/>
      <c r="K489" s="14"/>
      <c r="L489" s="14"/>
      <c r="M489" s="14"/>
      <c r="N489" s="14"/>
      <c r="O489" s="14"/>
      <c r="P489" s="14"/>
    </row>
    <row r="490">
      <c r="A490" s="12"/>
      <c r="D490" s="95"/>
      <c r="E490" s="14"/>
      <c r="F490" s="96"/>
      <c r="H490" s="14"/>
      <c r="I490" s="14"/>
      <c r="J490" s="14"/>
      <c r="K490" s="14"/>
      <c r="L490" s="14"/>
      <c r="M490" s="14"/>
      <c r="N490" s="14"/>
      <c r="O490" s="14"/>
      <c r="P490" s="14"/>
    </row>
    <row r="491">
      <c r="A491" s="12"/>
      <c r="D491" s="95"/>
      <c r="E491" s="14"/>
      <c r="F491" s="96"/>
      <c r="H491" s="14"/>
      <c r="I491" s="14"/>
      <c r="J491" s="14"/>
      <c r="K491" s="14"/>
      <c r="L491" s="14"/>
      <c r="M491" s="14"/>
      <c r="N491" s="14"/>
      <c r="O491" s="14"/>
      <c r="P491" s="14"/>
    </row>
    <row r="492">
      <c r="A492" s="12"/>
      <c r="D492" s="95"/>
      <c r="E492" s="14"/>
      <c r="F492" s="96"/>
      <c r="H492" s="14"/>
      <c r="I492" s="14"/>
      <c r="J492" s="14"/>
      <c r="K492" s="14"/>
      <c r="L492" s="14"/>
      <c r="M492" s="14"/>
      <c r="N492" s="14"/>
      <c r="O492" s="14"/>
      <c r="P492" s="14"/>
    </row>
    <row r="493">
      <c r="A493" s="12"/>
      <c r="D493" s="95"/>
      <c r="E493" s="14"/>
      <c r="F493" s="96"/>
      <c r="H493" s="14"/>
      <c r="I493" s="14"/>
      <c r="J493" s="14"/>
      <c r="K493" s="14"/>
      <c r="L493" s="14"/>
      <c r="M493" s="14"/>
      <c r="N493" s="14"/>
      <c r="O493" s="14"/>
      <c r="P493" s="14"/>
    </row>
    <row r="494">
      <c r="A494" s="12"/>
      <c r="D494" s="95"/>
      <c r="E494" s="14"/>
      <c r="F494" s="96"/>
      <c r="H494" s="14"/>
      <c r="I494" s="14"/>
      <c r="J494" s="14"/>
      <c r="K494" s="14"/>
      <c r="L494" s="14"/>
      <c r="M494" s="14"/>
      <c r="N494" s="14"/>
      <c r="O494" s="14"/>
      <c r="P494" s="14"/>
    </row>
    <row r="495">
      <c r="A495" s="12"/>
      <c r="D495" s="95"/>
      <c r="E495" s="14"/>
      <c r="F495" s="96"/>
      <c r="H495" s="14"/>
      <c r="I495" s="14"/>
      <c r="J495" s="14"/>
      <c r="K495" s="14"/>
      <c r="L495" s="14"/>
      <c r="M495" s="14"/>
      <c r="N495" s="14"/>
      <c r="O495" s="14"/>
      <c r="P495" s="14"/>
    </row>
    <row r="496">
      <c r="A496" s="12"/>
      <c r="D496" s="95"/>
      <c r="E496" s="14"/>
      <c r="F496" s="96"/>
      <c r="H496" s="14"/>
      <c r="I496" s="14"/>
      <c r="J496" s="14"/>
      <c r="K496" s="14"/>
      <c r="L496" s="14"/>
      <c r="M496" s="14"/>
      <c r="N496" s="14"/>
      <c r="O496" s="14"/>
      <c r="P496" s="14"/>
    </row>
    <row r="497">
      <c r="A497" s="12"/>
      <c r="D497" s="95"/>
      <c r="E497" s="14"/>
      <c r="F497" s="96"/>
      <c r="H497" s="14"/>
      <c r="I497" s="14"/>
      <c r="J497" s="14"/>
      <c r="K497" s="14"/>
      <c r="L497" s="14"/>
      <c r="M497" s="14"/>
      <c r="N497" s="14"/>
      <c r="O497" s="14"/>
      <c r="P497" s="14"/>
    </row>
    <row r="498">
      <c r="A498" s="12"/>
      <c r="D498" s="95"/>
      <c r="E498" s="14"/>
      <c r="F498" s="96"/>
      <c r="H498" s="14"/>
      <c r="I498" s="14"/>
      <c r="J498" s="14"/>
      <c r="K498" s="14"/>
      <c r="L498" s="14"/>
      <c r="M498" s="14"/>
      <c r="N498" s="14"/>
      <c r="O498" s="14"/>
      <c r="P498" s="14"/>
    </row>
    <row r="499">
      <c r="A499" s="12"/>
      <c r="D499" s="95"/>
      <c r="E499" s="14"/>
      <c r="F499" s="96"/>
      <c r="H499" s="14"/>
      <c r="I499" s="14"/>
      <c r="J499" s="14"/>
      <c r="K499" s="14"/>
      <c r="L499" s="14"/>
      <c r="M499" s="14"/>
      <c r="N499" s="14"/>
      <c r="O499" s="14"/>
      <c r="P499" s="14"/>
    </row>
    <row r="500">
      <c r="A500" s="12"/>
      <c r="D500" s="95"/>
      <c r="E500" s="14"/>
      <c r="F500" s="96"/>
      <c r="H500" s="14"/>
      <c r="I500" s="14"/>
      <c r="J500" s="14"/>
      <c r="K500" s="14"/>
      <c r="L500" s="14"/>
      <c r="M500" s="14"/>
      <c r="N500" s="14"/>
      <c r="O500" s="14"/>
      <c r="P500" s="14"/>
    </row>
    <row r="501">
      <c r="A501" s="12"/>
      <c r="D501" s="95"/>
      <c r="E501" s="14"/>
      <c r="F501" s="96"/>
      <c r="H501" s="14"/>
      <c r="I501" s="14"/>
      <c r="J501" s="14"/>
      <c r="K501" s="14"/>
      <c r="L501" s="14"/>
      <c r="M501" s="14"/>
      <c r="N501" s="14"/>
      <c r="O501" s="14"/>
      <c r="P501" s="14"/>
    </row>
    <row r="502">
      <c r="A502" s="12"/>
      <c r="D502" s="95"/>
      <c r="E502" s="14"/>
      <c r="F502" s="96"/>
      <c r="H502" s="14"/>
      <c r="I502" s="14"/>
      <c r="J502" s="14"/>
      <c r="K502" s="14"/>
      <c r="L502" s="14"/>
      <c r="M502" s="14"/>
      <c r="N502" s="14"/>
      <c r="O502" s="14"/>
      <c r="P502" s="14"/>
    </row>
    <row r="503">
      <c r="A503" s="12"/>
      <c r="D503" s="95"/>
      <c r="E503" s="14"/>
      <c r="F503" s="96"/>
      <c r="H503" s="14"/>
      <c r="I503" s="14"/>
      <c r="J503" s="14"/>
      <c r="K503" s="14"/>
      <c r="L503" s="14"/>
      <c r="M503" s="14"/>
      <c r="N503" s="14"/>
      <c r="O503" s="14"/>
      <c r="P503" s="14"/>
    </row>
    <row r="504">
      <c r="A504" s="12"/>
      <c r="D504" s="95"/>
      <c r="E504" s="14"/>
      <c r="F504" s="96"/>
      <c r="H504" s="14"/>
      <c r="I504" s="14"/>
      <c r="J504" s="14"/>
      <c r="K504" s="14"/>
      <c r="L504" s="14"/>
      <c r="M504" s="14"/>
      <c r="N504" s="14"/>
      <c r="O504" s="14"/>
      <c r="P504" s="14"/>
    </row>
    <row r="505">
      <c r="A505" s="12"/>
      <c r="D505" s="95"/>
      <c r="E505" s="14"/>
      <c r="F505" s="96"/>
      <c r="H505" s="14"/>
      <c r="I505" s="14"/>
      <c r="J505" s="14"/>
      <c r="K505" s="14"/>
      <c r="L505" s="14"/>
      <c r="M505" s="14"/>
      <c r="N505" s="14"/>
      <c r="O505" s="14"/>
      <c r="P505" s="14"/>
    </row>
    <row r="506">
      <c r="A506" s="12"/>
      <c r="D506" s="95"/>
      <c r="E506" s="14"/>
      <c r="F506" s="96"/>
      <c r="H506" s="14"/>
      <c r="I506" s="14"/>
      <c r="J506" s="14"/>
      <c r="K506" s="14"/>
      <c r="L506" s="14"/>
      <c r="M506" s="14"/>
      <c r="N506" s="14"/>
      <c r="O506" s="14"/>
      <c r="P506" s="14"/>
    </row>
    <row r="507">
      <c r="A507" s="12"/>
      <c r="D507" s="95"/>
      <c r="E507" s="14"/>
      <c r="F507" s="96"/>
      <c r="H507" s="14"/>
      <c r="I507" s="14"/>
      <c r="J507" s="14"/>
      <c r="K507" s="14"/>
      <c r="L507" s="14"/>
      <c r="M507" s="14"/>
      <c r="N507" s="14"/>
      <c r="O507" s="14"/>
      <c r="P507" s="14"/>
    </row>
    <row r="508">
      <c r="A508" s="12"/>
      <c r="D508" s="95"/>
      <c r="E508" s="14"/>
      <c r="F508" s="96"/>
      <c r="H508" s="14"/>
      <c r="I508" s="14"/>
      <c r="J508" s="14"/>
      <c r="K508" s="14"/>
      <c r="L508" s="14"/>
      <c r="M508" s="14"/>
      <c r="N508" s="14"/>
      <c r="O508" s="14"/>
      <c r="P508" s="14"/>
    </row>
    <row r="509">
      <c r="A509" s="12"/>
      <c r="D509" s="95"/>
      <c r="E509" s="14"/>
      <c r="F509" s="96"/>
      <c r="H509" s="14"/>
      <c r="I509" s="14"/>
      <c r="J509" s="14"/>
      <c r="K509" s="14"/>
      <c r="L509" s="14"/>
      <c r="M509" s="14"/>
      <c r="N509" s="14"/>
      <c r="O509" s="14"/>
      <c r="P509" s="14"/>
    </row>
    <row r="510">
      <c r="A510" s="12"/>
      <c r="D510" s="95"/>
      <c r="E510" s="14"/>
      <c r="F510" s="96"/>
      <c r="H510" s="14"/>
      <c r="I510" s="14"/>
      <c r="J510" s="14"/>
      <c r="K510" s="14"/>
      <c r="L510" s="14"/>
      <c r="M510" s="14"/>
      <c r="N510" s="14"/>
      <c r="O510" s="14"/>
      <c r="P510" s="14"/>
    </row>
    <row r="511">
      <c r="A511" s="12"/>
      <c r="D511" s="95"/>
      <c r="E511" s="14"/>
      <c r="F511" s="96"/>
      <c r="H511" s="14"/>
      <c r="I511" s="14"/>
      <c r="J511" s="14"/>
      <c r="K511" s="14"/>
      <c r="L511" s="14"/>
      <c r="M511" s="14"/>
      <c r="N511" s="14"/>
      <c r="O511" s="14"/>
      <c r="P511" s="14"/>
    </row>
    <row r="512">
      <c r="A512" s="12"/>
      <c r="D512" s="95"/>
      <c r="E512" s="14"/>
      <c r="F512" s="96"/>
      <c r="H512" s="14"/>
      <c r="I512" s="14"/>
      <c r="J512" s="14"/>
      <c r="K512" s="14"/>
      <c r="L512" s="14"/>
      <c r="M512" s="14"/>
      <c r="N512" s="14"/>
      <c r="O512" s="14"/>
      <c r="P512" s="14"/>
    </row>
    <row r="513">
      <c r="A513" s="12"/>
      <c r="D513" s="95"/>
      <c r="E513" s="14"/>
      <c r="F513" s="96"/>
      <c r="H513" s="14"/>
      <c r="I513" s="14"/>
      <c r="J513" s="14"/>
      <c r="K513" s="14"/>
      <c r="L513" s="14"/>
      <c r="M513" s="14"/>
      <c r="N513" s="14"/>
      <c r="O513" s="14"/>
      <c r="P513" s="14"/>
    </row>
    <row r="514">
      <c r="A514" s="12"/>
      <c r="D514" s="95"/>
      <c r="E514" s="14"/>
      <c r="F514" s="96"/>
      <c r="H514" s="14"/>
      <c r="I514" s="14"/>
      <c r="J514" s="14"/>
      <c r="K514" s="14"/>
      <c r="L514" s="14"/>
      <c r="M514" s="14"/>
      <c r="N514" s="14"/>
      <c r="O514" s="14"/>
      <c r="P514" s="14"/>
    </row>
    <row r="515">
      <c r="A515" s="12"/>
      <c r="D515" s="95"/>
      <c r="E515" s="14"/>
      <c r="F515" s="96"/>
      <c r="H515" s="14"/>
      <c r="I515" s="14"/>
      <c r="J515" s="14"/>
      <c r="K515" s="14"/>
      <c r="L515" s="14"/>
      <c r="M515" s="14"/>
      <c r="N515" s="14"/>
      <c r="O515" s="14"/>
      <c r="P515" s="14"/>
    </row>
    <row r="516">
      <c r="A516" s="12"/>
      <c r="D516" s="95"/>
      <c r="E516" s="14"/>
      <c r="F516" s="96"/>
      <c r="H516" s="14"/>
      <c r="I516" s="14"/>
      <c r="J516" s="14"/>
      <c r="K516" s="14"/>
      <c r="L516" s="14"/>
      <c r="M516" s="14"/>
      <c r="N516" s="14"/>
      <c r="O516" s="14"/>
      <c r="P516" s="14"/>
    </row>
    <row r="517">
      <c r="A517" s="12"/>
      <c r="D517" s="95"/>
      <c r="E517" s="14"/>
      <c r="F517" s="96"/>
      <c r="H517" s="14"/>
      <c r="I517" s="14"/>
      <c r="J517" s="14"/>
      <c r="K517" s="14"/>
      <c r="L517" s="14"/>
      <c r="M517" s="14"/>
      <c r="N517" s="14"/>
      <c r="O517" s="14"/>
      <c r="P517" s="14"/>
    </row>
    <row r="518">
      <c r="A518" s="12"/>
      <c r="D518" s="95"/>
      <c r="E518" s="14"/>
      <c r="F518" s="96"/>
      <c r="H518" s="14"/>
      <c r="I518" s="14"/>
      <c r="J518" s="14"/>
      <c r="K518" s="14"/>
      <c r="L518" s="14"/>
      <c r="M518" s="14"/>
      <c r="N518" s="14"/>
      <c r="O518" s="14"/>
      <c r="P518" s="14"/>
    </row>
    <row r="519">
      <c r="A519" s="12"/>
      <c r="D519" s="95"/>
      <c r="E519" s="14"/>
      <c r="F519" s="96"/>
      <c r="H519" s="14"/>
      <c r="I519" s="14"/>
      <c r="J519" s="14"/>
      <c r="K519" s="14"/>
      <c r="L519" s="14"/>
      <c r="M519" s="14"/>
      <c r="N519" s="14"/>
      <c r="O519" s="14"/>
      <c r="P519" s="14"/>
    </row>
    <row r="520">
      <c r="A520" s="12"/>
      <c r="D520" s="95"/>
      <c r="E520" s="14"/>
      <c r="F520" s="96"/>
      <c r="H520" s="14"/>
      <c r="I520" s="14"/>
      <c r="J520" s="14"/>
      <c r="K520" s="14"/>
      <c r="L520" s="14"/>
      <c r="M520" s="14"/>
      <c r="N520" s="14"/>
      <c r="O520" s="14"/>
      <c r="P520" s="14"/>
    </row>
    <row r="521">
      <c r="A521" s="12"/>
      <c r="D521" s="95"/>
      <c r="E521" s="14"/>
      <c r="F521" s="96"/>
      <c r="H521" s="14"/>
      <c r="I521" s="14"/>
      <c r="J521" s="14"/>
      <c r="K521" s="14"/>
      <c r="L521" s="14"/>
      <c r="M521" s="14"/>
      <c r="N521" s="14"/>
      <c r="O521" s="14"/>
      <c r="P521" s="14"/>
    </row>
    <row r="522">
      <c r="A522" s="12"/>
      <c r="D522" s="95"/>
      <c r="E522" s="14"/>
      <c r="F522" s="96"/>
      <c r="H522" s="14"/>
      <c r="I522" s="14"/>
      <c r="J522" s="14"/>
      <c r="K522" s="14"/>
      <c r="L522" s="14"/>
      <c r="M522" s="14"/>
      <c r="N522" s="14"/>
      <c r="O522" s="14"/>
      <c r="P522" s="14"/>
    </row>
    <row r="523">
      <c r="A523" s="12"/>
      <c r="D523" s="95"/>
      <c r="E523" s="14"/>
      <c r="F523" s="96"/>
      <c r="H523" s="14"/>
      <c r="I523" s="14"/>
      <c r="J523" s="14"/>
      <c r="K523" s="14"/>
      <c r="L523" s="14"/>
      <c r="M523" s="14"/>
      <c r="N523" s="14"/>
      <c r="O523" s="14"/>
      <c r="P523" s="14"/>
    </row>
    <row r="524">
      <c r="A524" s="12"/>
      <c r="D524" s="95"/>
      <c r="E524" s="14"/>
      <c r="F524" s="96"/>
      <c r="H524" s="14"/>
      <c r="I524" s="14"/>
      <c r="J524" s="14"/>
      <c r="K524" s="14"/>
      <c r="L524" s="14"/>
      <c r="M524" s="14"/>
      <c r="N524" s="14"/>
      <c r="O524" s="14"/>
      <c r="P524" s="14"/>
    </row>
    <row r="525">
      <c r="A525" s="12"/>
      <c r="D525" s="95"/>
      <c r="E525" s="14"/>
      <c r="F525" s="96"/>
      <c r="H525" s="14"/>
      <c r="I525" s="14"/>
      <c r="J525" s="14"/>
      <c r="K525" s="14"/>
      <c r="L525" s="14"/>
      <c r="M525" s="14"/>
      <c r="N525" s="14"/>
      <c r="O525" s="14"/>
      <c r="P525" s="14"/>
    </row>
    <row r="526">
      <c r="A526" s="12"/>
      <c r="D526" s="95"/>
      <c r="E526" s="14"/>
      <c r="F526" s="96"/>
      <c r="H526" s="14"/>
      <c r="I526" s="14"/>
      <c r="J526" s="14"/>
      <c r="K526" s="14"/>
      <c r="L526" s="14"/>
      <c r="M526" s="14"/>
      <c r="N526" s="14"/>
      <c r="O526" s="14"/>
      <c r="P526" s="14"/>
    </row>
    <row r="527">
      <c r="A527" s="12"/>
      <c r="D527" s="95"/>
      <c r="E527" s="14"/>
      <c r="F527" s="96"/>
      <c r="H527" s="14"/>
      <c r="I527" s="14"/>
      <c r="J527" s="14"/>
      <c r="K527" s="14"/>
      <c r="L527" s="14"/>
      <c r="M527" s="14"/>
      <c r="N527" s="14"/>
      <c r="O527" s="14"/>
      <c r="P527" s="14"/>
    </row>
    <row r="528">
      <c r="A528" s="12"/>
      <c r="D528" s="95"/>
      <c r="E528" s="14"/>
      <c r="F528" s="96"/>
      <c r="H528" s="14"/>
      <c r="I528" s="14"/>
      <c r="J528" s="14"/>
      <c r="K528" s="14"/>
      <c r="L528" s="14"/>
      <c r="M528" s="14"/>
      <c r="N528" s="14"/>
      <c r="O528" s="14"/>
      <c r="P528" s="14"/>
    </row>
    <row r="529">
      <c r="A529" s="12"/>
      <c r="D529" s="95"/>
      <c r="E529" s="14"/>
      <c r="F529" s="96"/>
      <c r="H529" s="14"/>
      <c r="I529" s="14"/>
      <c r="J529" s="14"/>
      <c r="K529" s="14"/>
      <c r="L529" s="14"/>
      <c r="M529" s="14"/>
      <c r="N529" s="14"/>
      <c r="O529" s="14"/>
      <c r="P529" s="14"/>
    </row>
    <row r="530">
      <c r="A530" s="12"/>
      <c r="D530" s="95"/>
      <c r="E530" s="14"/>
      <c r="F530" s="96"/>
      <c r="H530" s="14"/>
      <c r="I530" s="14"/>
      <c r="J530" s="14"/>
      <c r="K530" s="14"/>
      <c r="L530" s="14"/>
      <c r="M530" s="14"/>
      <c r="N530" s="14"/>
      <c r="O530" s="14"/>
      <c r="P530" s="14"/>
    </row>
    <row r="531">
      <c r="A531" s="12"/>
      <c r="D531" s="95"/>
      <c r="E531" s="14"/>
      <c r="F531" s="96"/>
      <c r="H531" s="14"/>
      <c r="I531" s="14"/>
      <c r="J531" s="14"/>
      <c r="K531" s="14"/>
      <c r="L531" s="14"/>
      <c r="M531" s="14"/>
      <c r="N531" s="14"/>
      <c r="O531" s="14"/>
      <c r="P531" s="14"/>
    </row>
    <row r="532">
      <c r="A532" s="12"/>
      <c r="D532" s="95"/>
      <c r="E532" s="14"/>
      <c r="F532" s="96"/>
      <c r="H532" s="14"/>
      <c r="I532" s="14"/>
      <c r="J532" s="14"/>
      <c r="K532" s="14"/>
      <c r="L532" s="14"/>
      <c r="M532" s="14"/>
      <c r="N532" s="14"/>
      <c r="O532" s="14"/>
      <c r="P532" s="14"/>
    </row>
    <row r="533">
      <c r="A533" s="12"/>
      <c r="D533" s="95"/>
      <c r="E533" s="14"/>
      <c r="F533" s="96"/>
      <c r="H533" s="14"/>
      <c r="I533" s="14"/>
      <c r="J533" s="14"/>
      <c r="K533" s="14"/>
      <c r="L533" s="14"/>
      <c r="M533" s="14"/>
      <c r="N533" s="14"/>
      <c r="O533" s="14"/>
      <c r="P533" s="14"/>
    </row>
    <row r="534">
      <c r="A534" s="12"/>
      <c r="D534" s="95"/>
      <c r="E534" s="14"/>
      <c r="F534" s="96"/>
      <c r="H534" s="14"/>
      <c r="I534" s="14"/>
      <c r="J534" s="14"/>
      <c r="K534" s="14"/>
      <c r="L534" s="14"/>
      <c r="M534" s="14"/>
      <c r="N534" s="14"/>
      <c r="O534" s="14"/>
      <c r="P534" s="14"/>
    </row>
    <row r="535">
      <c r="A535" s="12"/>
      <c r="D535" s="95"/>
      <c r="E535" s="14"/>
      <c r="F535" s="96"/>
      <c r="H535" s="14"/>
      <c r="I535" s="14"/>
      <c r="J535" s="14"/>
      <c r="K535" s="14"/>
      <c r="L535" s="14"/>
      <c r="M535" s="14"/>
      <c r="N535" s="14"/>
      <c r="O535" s="14"/>
      <c r="P535" s="14"/>
    </row>
    <row r="536">
      <c r="A536" s="12"/>
      <c r="D536" s="95"/>
      <c r="E536" s="14"/>
      <c r="F536" s="96"/>
      <c r="H536" s="14"/>
      <c r="I536" s="14"/>
      <c r="J536" s="14"/>
      <c r="K536" s="14"/>
      <c r="L536" s="14"/>
      <c r="M536" s="14"/>
      <c r="N536" s="14"/>
      <c r="O536" s="14"/>
      <c r="P536" s="14"/>
    </row>
    <row r="537">
      <c r="A537" s="12"/>
      <c r="D537" s="95"/>
      <c r="E537" s="14"/>
      <c r="F537" s="96"/>
      <c r="H537" s="14"/>
      <c r="I537" s="14"/>
      <c r="J537" s="14"/>
      <c r="K537" s="14"/>
      <c r="L537" s="14"/>
      <c r="M537" s="14"/>
      <c r="N537" s="14"/>
      <c r="O537" s="14"/>
      <c r="P537" s="14"/>
    </row>
    <row r="538">
      <c r="A538" s="12"/>
      <c r="D538" s="95"/>
      <c r="E538" s="14"/>
      <c r="F538" s="96"/>
      <c r="H538" s="14"/>
      <c r="I538" s="14"/>
      <c r="J538" s="14"/>
      <c r="K538" s="14"/>
      <c r="L538" s="14"/>
      <c r="M538" s="14"/>
      <c r="N538" s="14"/>
      <c r="O538" s="14"/>
      <c r="P538" s="14"/>
    </row>
    <row r="539">
      <c r="A539" s="12"/>
      <c r="D539" s="95"/>
      <c r="E539" s="14"/>
      <c r="F539" s="96"/>
      <c r="H539" s="14"/>
      <c r="I539" s="14"/>
      <c r="J539" s="14"/>
      <c r="K539" s="14"/>
      <c r="L539" s="14"/>
      <c r="M539" s="14"/>
      <c r="N539" s="14"/>
      <c r="O539" s="14"/>
      <c r="P539" s="14"/>
    </row>
    <row r="540">
      <c r="A540" s="12"/>
      <c r="D540" s="95"/>
      <c r="E540" s="14"/>
      <c r="F540" s="96"/>
      <c r="H540" s="14"/>
      <c r="I540" s="14"/>
      <c r="J540" s="14"/>
      <c r="K540" s="14"/>
      <c r="L540" s="14"/>
      <c r="M540" s="14"/>
      <c r="N540" s="14"/>
      <c r="O540" s="14"/>
      <c r="P540" s="14"/>
    </row>
    <row r="541">
      <c r="A541" s="12"/>
      <c r="D541" s="95"/>
      <c r="E541" s="14"/>
      <c r="F541" s="96"/>
      <c r="H541" s="14"/>
      <c r="I541" s="14"/>
      <c r="J541" s="14"/>
      <c r="K541" s="14"/>
      <c r="L541" s="14"/>
      <c r="M541" s="14"/>
      <c r="N541" s="14"/>
      <c r="O541" s="14"/>
      <c r="P541" s="14"/>
    </row>
    <row r="542">
      <c r="A542" s="12"/>
      <c r="D542" s="95"/>
      <c r="E542" s="14"/>
      <c r="F542" s="96"/>
      <c r="H542" s="14"/>
      <c r="I542" s="14"/>
      <c r="J542" s="14"/>
      <c r="K542" s="14"/>
      <c r="L542" s="14"/>
      <c r="M542" s="14"/>
      <c r="N542" s="14"/>
      <c r="O542" s="14"/>
      <c r="P542" s="14"/>
    </row>
    <row r="543">
      <c r="A543" s="12"/>
      <c r="D543" s="95"/>
      <c r="E543" s="14"/>
      <c r="F543" s="96"/>
      <c r="H543" s="14"/>
      <c r="I543" s="14"/>
      <c r="J543" s="14"/>
      <c r="K543" s="14"/>
      <c r="L543" s="14"/>
      <c r="M543" s="14"/>
      <c r="N543" s="14"/>
      <c r="O543" s="14"/>
      <c r="P543" s="14"/>
    </row>
    <row r="544">
      <c r="A544" s="12"/>
      <c r="D544" s="95"/>
      <c r="E544" s="14"/>
      <c r="F544" s="96"/>
      <c r="H544" s="14"/>
      <c r="I544" s="14"/>
      <c r="J544" s="14"/>
      <c r="K544" s="14"/>
      <c r="L544" s="14"/>
      <c r="M544" s="14"/>
      <c r="N544" s="14"/>
      <c r="O544" s="14"/>
      <c r="P544" s="14"/>
    </row>
    <row r="545">
      <c r="A545" s="12"/>
      <c r="D545" s="95"/>
      <c r="E545" s="14"/>
      <c r="F545" s="96"/>
      <c r="H545" s="14"/>
      <c r="I545" s="14"/>
      <c r="J545" s="14"/>
      <c r="K545" s="14"/>
      <c r="L545" s="14"/>
      <c r="M545" s="14"/>
      <c r="N545" s="14"/>
      <c r="O545" s="14"/>
      <c r="P545" s="14"/>
    </row>
    <row r="546">
      <c r="A546" s="12"/>
      <c r="D546" s="95"/>
      <c r="E546" s="14"/>
      <c r="F546" s="96"/>
      <c r="H546" s="14"/>
      <c r="I546" s="14"/>
      <c r="J546" s="14"/>
      <c r="K546" s="14"/>
      <c r="L546" s="14"/>
      <c r="M546" s="14"/>
      <c r="N546" s="14"/>
      <c r="O546" s="14"/>
      <c r="P546" s="14"/>
    </row>
    <row r="547">
      <c r="A547" s="12"/>
      <c r="D547" s="95"/>
      <c r="E547" s="14"/>
      <c r="F547" s="96"/>
      <c r="H547" s="14"/>
      <c r="I547" s="14"/>
      <c r="J547" s="14"/>
      <c r="K547" s="14"/>
      <c r="L547" s="14"/>
      <c r="M547" s="14"/>
      <c r="N547" s="14"/>
      <c r="O547" s="14"/>
      <c r="P547" s="14"/>
    </row>
    <row r="548">
      <c r="A548" s="12"/>
      <c r="D548" s="95"/>
      <c r="E548" s="14"/>
      <c r="F548" s="96"/>
      <c r="H548" s="14"/>
      <c r="I548" s="14"/>
      <c r="J548" s="14"/>
      <c r="K548" s="14"/>
      <c r="L548" s="14"/>
      <c r="M548" s="14"/>
      <c r="N548" s="14"/>
      <c r="O548" s="14"/>
      <c r="P548" s="14"/>
    </row>
    <row r="549">
      <c r="A549" s="12"/>
      <c r="D549" s="95"/>
      <c r="E549" s="14"/>
      <c r="F549" s="96"/>
      <c r="H549" s="14"/>
      <c r="I549" s="14"/>
      <c r="J549" s="14"/>
      <c r="K549" s="14"/>
      <c r="L549" s="14"/>
      <c r="M549" s="14"/>
      <c r="N549" s="14"/>
      <c r="O549" s="14"/>
      <c r="P549" s="14"/>
    </row>
    <row r="550">
      <c r="A550" s="12"/>
      <c r="D550" s="95"/>
      <c r="E550" s="14"/>
      <c r="F550" s="96"/>
      <c r="H550" s="14"/>
      <c r="I550" s="14"/>
      <c r="J550" s="14"/>
      <c r="K550" s="14"/>
      <c r="L550" s="14"/>
      <c r="M550" s="14"/>
      <c r="N550" s="14"/>
      <c r="O550" s="14"/>
      <c r="P550" s="14"/>
    </row>
    <row r="551">
      <c r="A551" s="12"/>
      <c r="D551" s="95"/>
      <c r="E551" s="14"/>
      <c r="F551" s="96"/>
      <c r="H551" s="14"/>
      <c r="I551" s="14"/>
      <c r="J551" s="14"/>
      <c r="K551" s="14"/>
      <c r="L551" s="14"/>
      <c r="M551" s="14"/>
      <c r="N551" s="14"/>
      <c r="O551" s="14"/>
      <c r="P551" s="14"/>
    </row>
    <row r="552">
      <c r="A552" s="12"/>
      <c r="D552" s="95"/>
      <c r="E552" s="14"/>
      <c r="F552" s="96"/>
      <c r="H552" s="14"/>
      <c r="I552" s="14"/>
      <c r="J552" s="14"/>
      <c r="K552" s="14"/>
      <c r="L552" s="14"/>
      <c r="M552" s="14"/>
      <c r="N552" s="14"/>
      <c r="O552" s="14"/>
      <c r="P552" s="14"/>
    </row>
    <row r="553">
      <c r="A553" s="12"/>
      <c r="D553" s="95"/>
      <c r="E553" s="14"/>
      <c r="F553" s="96"/>
      <c r="H553" s="14"/>
      <c r="I553" s="14"/>
      <c r="J553" s="14"/>
      <c r="K553" s="14"/>
      <c r="L553" s="14"/>
      <c r="M553" s="14"/>
      <c r="N553" s="14"/>
      <c r="O553" s="14"/>
      <c r="P553" s="14"/>
    </row>
    <row r="554">
      <c r="A554" s="12"/>
      <c r="D554" s="95"/>
      <c r="E554" s="14"/>
      <c r="F554" s="96"/>
      <c r="H554" s="14"/>
      <c r="I554" s="14"/>
      <c r="J554" s="14"/>
      <c r="K554" s="14"/>
      <c r="L554" s="14"/>
      <c r="M554" s="14"/>
      <c r="N554" s="14"/>
      <c r="O554" s="14"/>
      <c r="P554" s="14"/>
    </row>
    <row r="555">
      <c r="A555" s="12"/>
      <c r="D555" s="95"/>
      <c r="E555" s="14"/>
      <c r="F555" s="96"/>
      <c r="H555" s="14"/>
      <c r="I555" s="14"/>
      <c r="J555" s="14"/>
      <c r="K555" s="14"/>
      <c r="L555" s="14"/>
      <c r="M555" s="14"/>
      <c r="N555" s="14"/>
      <c r="O555" s="14"/>
      <c r="P555" s="14"/>
    </row>
    <row r="556">
      <c r="A556" s="12"/>
      <c r="D556" s="95"/>
      <c r="E556" s="14"/>
      <c r="F556" s="96"/>
      <c r="H556" s="14"/>
      <c r="I556" s="14"/>
      <c r="J556" s="14"/>
      <c r="K556" s="14"/>
      <c r="L556" s="14"/>
      <c r="M556" s="14"/>
      <c r="N556" s="14"/>
      <c r="O556" s="14"/>
      <c r="P556" s="14"/>
    </row>
    <row r="557">
      <c r="A557" s="12"/>
      <c r="D557" s="95"/>
      <c r="E557" s="14"/>
      <c r="F557" s="96"/>
      <c r="H557" s="14"/>
      <c r="I557" s="14"/>
      <c r="J557" s="14"/>
      <c r="K557" s="14"/>
      <c r="L557" s="14"/>
      <c r="M557" s="14"/>
      <c r="N557" s="14"/>
      <c r="O557" s="14"/>
      <c r="P557" s="14"/>
    </row>
    <row r="558">
      <c r="A558" s="12"/>
      <c r="D558" s="95"/>
      <c r="E558" s="14"/>
      <c r="F558" s="96"/>
      <c r="H558" s="14"/>
      <c r="I558" s="14"/>
      <c r="J558" s="14"/>
      <c r="K558" s="14"/>
      <c r="L558" s="14"/>
      <c r="M558" s="14"/>
      <c r="N558" s="14"/>
      <c r="O558" s="14"/>
      <c r="P558" s="14"/>
    </row>
    <row r="559">
      <c r="A559" s="12"/>
      <c r="D559" s="95"/>
      <c r="E559" s="14"/>
      <c r="F559" s="96"/>
      <c r="H559" s="14"/>
      <c r="I559" s="14"/>
      <c r="J559" s="14"/>
      <c r="K559" s="14"/>
      <c r="L559" s="14"/>
      <c r="M559" s="14"/>
      <c r="N559" s="14"/>
      <c r="O559" s="14"/>
      <c r="P559" s="14"/>
    </row>
    <row r="560">
      <c r="A560" s="12"/>
      <c r="D560" s="95"/>
      <c r="E560" s="14"/>
      <c r="F560" s="96"/>
      <c r="H560" s="14"/>
      <c r="I560" s="14"/>
      <c r="J560" s="14"/>
      <c r="K560" s="14"/>
      <c r="L560" s="14"/>
      <c r="M560" s="14"/>
      <c r="N560" s="14"/>
      <c r="O560" s="14"/>
      <c r="P560" s="14"/>
    </row>
    <row r="561">
      <c r="A561" s="12"/>
      <c r="D561" s="95"/>
      <c r="E561" s="14"/>
      <c r="F561" s="96"/>
      <c r="H561" s="14"/>
      <c r="I561" s="14"/>
      <c r="J561" s="14"/>
      <c r="K561" s="14"/>
      <c r="L561" s="14"/>
      <c r="M561" s="14"/>
      <c r="N561" s="14"/>
      <c r="O561" s="14"/>
      <c r="P561" s="14"/>
    </row>
    <row r="562">
      <c r="A562" s="12"/>
      <c r="D562" s="95"/>
      <c r="E562" s="14"/>
      <c r="F562" s="96"/>
      <c r="H562" s="14"/>
      <c r="I562" s="14"/>
      <c r="J562" s="14"/>
      <c r="K562" s="14"/>
      <c r="L562" s="14"/>
      <c r="M562" s="14"/>
      <c r="N562" s="14"/>
      <c r="O562" s="14"/>
      <c r="P562" s="14"/>
    </row>
    <row r="563">
      <c r="A563" s="12"/>
      <c r="D563" s="95"/>
      <c r="E563" s="14"/>
      <c r="F563" s="96"/>
      <c r="H563" s="14"/>
      <c r="I563" s="14"/>
      <c r="J563" s="14"/>
      <c r="K563" s="14"/>
      <c r="L563" s="14"/>
      <c r="M563" s="14"/>
      <c r="N563" s="14"/>
      <c r="O563" s="14"/>
      <c r="P563" s="14"/>
    </row>
    <row r="564">
      <c r="A564" s="12"/>
      <c r="D564" s="95"/>
      <c r="E564" s="14"/>
      <c r="F564" s="96"/>
      <c r="H564" s="14"/>
      <c r="I564" s="14"/>
      <c r="J564" s="14"/>
      <c r="K564" s="14"/>
      <c r="L564" s="14"/>
      <c r="M564" s="14"/>
      <c r="N564" s="14"/>
      <c r="O564" s="14"/>
      <c r="P564" s="14"/>
    </row>
    <row r="565">
      <c r="A565" s="12"/>
      <c r="D565" s="95"/>
      <c r="E565" s="14"/>
      <c r="F565" s="96"/>
      <c r="H565" s="14"/>
      <c r="I565" s="14"/>
      <c r="J565" s="14"/>
      <c r="K565" s="14"/>
      <c r="L565" s="14"/>
      <c r="M565" s="14"/>
      <c r="N565" s="14"/>
      <c r="O565" s="14"/>
      <c r="P565" s="14"/>
    </row>
    <row r="566">
      <c r="A566" s="12"/>
      <c r="D566" s="95"/>
      <c r="E566" s="14"/>
      <c r="F566" s="96"/>
      <c r="H566" s="14"/>
      <c r="I566" s="14"/>
      <c r="J566" s="14"/>
      <c r="K566" s="14"/>
      <c r="L566" s="14"/>
      <c r="M566" s="14"/>
      <c r="N566" s="14"/>
      <c r="O566" s="14"/>
      <c r="P566" s="14"/>
    </row>
    <row r="567">
      <c r="A567" s="12"/>
      <c r="D567" s="95"/>
      <c r="E567" s="14"/>
      <c r="F567" s="96"/>
      <c r="H567" s="14"/>
      <c r="I567" s="14"/>
      <c r="J567" s="14"/>
      <c r="K567" s="14"/>
      <c r="L567" s="14"/>
      <c r="M567" s="14"/>
      <c r="N567" s="14"/>
      <c r="O567" s="14"/>
      <c r="P567" s="14"/>
    </row>
    <row r="568">
      <c r="A568" s="12"/>
      <c r="D568" s="95"/>
      <c r="E568" s="14"/>
      <c r="F568" s="96"/>
      <c r="H568" s="14"/>
      <c r="I568" s="14"/>
      <c r="J568" s="14"/>
      <c r="K568" s="14"/>
      <c r="L568" s="14"/>
      <c r="M568" s="14"/>
      <c r="N568" s="14"/>
      <c r="O568" s="14"/>
      <c r="P568" s="14"/>
    </row>
    <row r="569">
      <c r="A569" s="12"/>
      <c r="D569" s="95"/>
      <c r="E569" s="14"/>
      <c r="F569" s="96"/>
      <c r="H569" s="14"/>
      <c r="I569" s="14"/>
      <c r="J569" s="14"/>
      <c r="K569" s="14"/>
      <c r="L569" s="14"/>
      <c r="M569" s="14"/>
      <c r="N569" s="14"/>
      <c r="O569" s="14"/>
      <c r="P569" s="14"/>
    </row>
    <row r="570">
      <c r="A570" s="12"/>
      <c r="D570" s="95"/>
      <c r="E570" s="14"/>
      <c r="F570" s="96"/>
      <c r="H570" s="14"/>
      <c r="I570" s="14"/>
      <c r="J570" s="14"/>
      <c r="K570" s="14"/>
      <c r="L570" s="14"/>
      <c r="M570" s="14"/>
      <c r="N570" s="14"/>
      <c r="O570" s="14"/>
      <c r="P570" s="14"/>
    </row>
    <row r="571">
      <c r="A571" s="12"/>
      <c r="D571" s="95"/>
      <c r="E571" s="14"/>
      <c r="F571" s="96"/>
      <c r="H571" s="14"/>
      <c r="I571" s="14"/>
      <c r="J571" s="14"/>
      <c r="K571" s="14"/>
      <c r="L571" s="14"/>
      <c r="M571" s="14"/>
      <c r="N571" s="14"/>
      <c r="O571" s="14"/>
      <c r="P571" s="14"/>
    </row>
    <row r="572">
      <c r="A572" s="12"/>
      <c r="D572" s="95"/>
      <c r="E572" s="14"/>
      <c r="F572" s="96"/>
      <c r="H572" s="14"/>
      <c r="I572" s="14"/>
      <c r="J572" s="14"/>
      <c r="K572" s="14"/>
      <c r="L572" s="14"/>
      <c r="M572" s="14"/>
      <c r="N572" s="14"/>
      <c r="O572" s="14"/>
      <c r="P572" s="14"/>
    </row>
    <row r="573">
      <c r="A573" s="12"/>
      <c r="D573" s="95"/>
      <c r="E573" s="14"/>
      <c r="F573" s="96"/>
      <c r="H573" s="14"/>
      <c r="I573" s="14"/>
      <c r="J573" s="14"/>
      <c r="K573" s="14"/>
      <c r="L573" s="14"/>
      <c r="M573" s="14"/>
      <c r="N573" s="14"/>
      <c r="O573" s="14"/>
      <c r="P573" s="14"/>
    </row>
    <row r="574">
      <c r="A574" s="12"/>
      <c r="D574" s="95"/>
      <c r="E574" s="14"/>
      <c r="F574" s="96"/>
      <c r="H574" s="14"/>
      <c r="I574" s="14"/>
      <c r="J574" s="14"/>
      <c r="K574" s="14"/>
      <c r="L574" s="14"/>
      <c r="M574" s="14"/>
      <c r="N574" s="14"/>
      <c r="O574" s="14"/>
      <c r="P574" s="14"/>
    </row>
    <row r="575">
      <c r="A575" s="12"/>
      <c r="D575" s="95"/>
      <c r="E575" s="14"/>
      <c r="F575" s="96"/>
      <c r="H575" s="14"/>
      <c r="I575" s="14"/>
      <c r="J575" s="14"/>
      <c r="K575" s="14"/>
      <c r="L575" s="14"/>
      <c r="M575" s="14"/>
      <c r="N575" s="14"/>
      <c r="O575" s="14"/>
      <c r="P575" s="14"/>
    </row>
    <row r="576">
      <c r="A576" s="12"/>
      <c r="D576" s="95"/>
      <c r="E576" s="14"/>
      <c r="F576" s="96"/>
      <c r="H576" s="14"/>
      <c r="I576" s="14"/>
      <c r="J576" s="14"/>
      <c r="K576" s="14"/>
      <c r="L576" s="14"/>
      <c r="M576" s="14"/>
      <c r="N576" s="14"/>
      <c r="O576" s="14"/>
      <c r="P576" s="14"/>
    </row>
    <row r="577">
      <c r="A577" s="12"/>
      <c r="D577" s="95"/>
      <c r="E577" s="14"/>
      <c r="F577" s="96"/>
      <c r="H577" s="14"/>
      <c r="I577" s="14"/>
      <c r="J577" s="14"/>
      <c r="K577" s="14"/>
      <c r="L577" s="14"/>
      <c r="M577" s="14"/>
      <c r="N577" s="14"/>
      <c r="O577" s="14"/>
      <c r="P577" s="14"/>
    </row>
    <row r="578">
      <c r="A578" s="12"/>
      <c r="D578" s="95"/>
      <c r="E578" s="14"/>
      <c r="F578" s="96"/>
      <c r="H578" s="14"/>
      <c r="I578" s="14"/>
      <c r="J578" s="14"/>
      <c r="K578" s="14"/>
      <c r="L578" s="14"/>
      <c r="M578" s="14"/>
      <c r="N578" s="14"/>
      <c r="O578" s="14"/>
      <c r="P578" s="14"/>
    </row>
    <row r="579">
      <c r="A579" s="12"/>
      <c r="D579" s="95"/>
      <c r="E579" s="14"/>
      <c r="F579" s="96"/>
      <c r="H579" s="14"/>
      <c r="I579" s="14"/>
      <c r="J579" s="14"/>
      <c r="K579" s="14"/>
      <c r="L579" s="14"/>
      <c r="M579" s="14"/>
      <c r="N579" s="14"/>
      <c r="O579" s="14"/>
      <c r="P579" s="14"/>
    </row>
    <row r="580">
      <c r="A580" s="12"/>
      <c r="D580" s="95"/>
      <c r="E580" s="14"/>
      <c r="F580" s="96"/>
      <c r="H580" s="14"/>
      <c r="I580" s="14"/>
      <c r="J580" s="14"/>
      <c r="K580" s="14"/>
      <c r="L580" s="14"/>
      <c r="M580" s="14"/>
      <c r="N580" s="14"/>
      <c r="O580" s="14"/>
      <c r="P580" s="14"/>
    </row>
    <row r="581">
      <c r="A581" s="12"/>
      <c r="D581" s="95"/>
      <c r="E581" s="14"/>
      <c r="F581" s="96"/>
      <c r="H581" s="14"/>
      <c r="I581" s="14"/>
      <c r="J581" s="14"/>
      <c r="K581" s="14"/>
      <c r="L581" s="14"/>
      <c r="M581" s="14"/>
      <c r="N581" s="14"/>
      <c r="O581" s="14"/>
      <c r="P581" s="14"/>
    </row>
    <row r="582">
      <c r="A582" s="12"/>
      <c r="D582" s="95"/>
      <c r="E582" s="14"/>
      <c r="F582" s="96"/>
      <c r="H582" s="14"/>
      <c r="I582" s="14"/>
      <c r="J582" s="14"/>
      <c r="K582" s="14"/>
      <c r="L582" s="14"/>
      <c r="M582" s="14"/>
      <c r="N582" s="14"/>
      <c r="O582" s="14"/>
      <c r="P582" s="14"/>
    </row>
    <row r="583">
      <c r="A583" s="12"/>
      <c r="D583" s="95"/>
      <c r="E583" s="14"/>
      <c r="F583" s="96"/>
      <c r="H583" s="14"/>
      <c r="I583" s="14"/>
      <c r="J583" s="14"/>
      <c r="K583" s="14"/>
      <c r="L583" s="14"/>
      <c r="M583" s="14"/>
      <c r="N583" s="14"/>
      <c r="O583" s="14"/>
      <c r="P583" s="14"/>
    </row>
    <row r="584">
      <c r="A584" s="12"/>
      <c r="D584" s="95"/>
      <c r="E584" s="14"/>
      <c r="F584" s="96"/>
      <c r="H584" s="14"/>
      <c r="I584" s="14"/>
      <c r="J584" s="14"/>
      <c r="K584" s="14"/>
      <c r="L584" s="14"/>
      <c r="M584" s="14"/>
      <c r="N584" s="14"/>
      <c r="O584" s="14"/>
      <c r="P584" s="14"/>
    </row>
    <row r="585">
      <c r="A585" s="12"/>
      <c r="D585" s="95"/>
      <c r="E585" s="14"/>
      <c r="F585" s="96"/>
      <c r="H585" s="14"/>
      <c r="I585" s="14"/>
      <c r="J585" s="14"/>
      <c r="K585" s="14"/>
      <c r="L585" s="14"/>
      <c r="M585" s="14"/>
      <c r="N585" s="14"/>
      <c r="O585" s="14"/>
      <c r="P585" s="14"/>
    </row>
    <row r="586">
      <c r="A586" s="12"/>
      <c r="D586" s="95"/>
      <c r="E586" s="14"/>
      <c r="F586" s="96"/>
      <c r="H586" s="14"/>
      <c r="I586" s="14"/>
      <c r="J586" s="14"/>
      <c r="K586" s="14"/>
      <c r="L586" s="14"/>
      <c r="M586" s="14"/>
      <c r="N586" s="14"/>
      <c r="O586" s="14"/>
      <c r="P586" s="14"/>
    </row>
    <row r="587">
      <c r="A587" s="12"/>
      <c r="D587" s="95"/>
      <c r="E587" s="14"/>
      <c r="F587" s="96"/>
      <c r="H587" s="14"/>
      <c r="I587" s="14"/>
      <c r="J587" s="14"/>
      <c r="K587" s="14"/>
      <c r="L587" s="14"/>
      <c r="M587" s="14"/>
      <c r="N587" s="14"/>
      <c r="O587" s="14"/>
      <c r="P587" s="14"/>
    </row>
    <row r="588">
      <c r="A588" s="12"/>
      <c r="D588" s="95"/>
      <c r="E588" s="14"/>
      <c r="F588" s="96"/>
      <c r="H588" s="14"/>
      <c r="I588" s="14"/>
      <c r="J588" s="14"/>
      <c r="K588" s="14"/>
      <c r="L588" s="14"/>
      <c r="M588" s="14"/>
      <c r="N588" s="14"/>
      <c r="O588" s="14"/>
      <c r="P588" s="14"/>
    </row>
    <row r="589">
      <c r="A589" s="12"/>
      <c r="D589" s="95"/>
      <c r="E589" s="14"/>
      <c r="F589" s="96"/>
      <c r="H589" s="14"/>
      <c r="I589" s="14"/>
      <c r="J589" s="14"/>
      <c r="K589" s="14"/>
      <c r="L589" s="14"/>
      <c r="M589" s="14"/>
      <c r="N589" s="14"/>
      <c r="O589" s="14"/>
      <c r="P589" s="14"/>
    </row>
    <row r="590">
      <c r="A590" s="12"/>
      <c r="D590" s="95"/>
      <c r="E590" s="14"/>
      <c r="F590" s="96"/>
      <c r="H590" s="14"/>
      <c r="I590" s="14"/>
      <c r="J590" s="14"/>
      <c r="K590" s="14"/>
      <c r="L590" s="14"/>
      <c r="M590" s="14"/>
      <c r="N590" s="14"/>
      <c r="O590" s="14"/>
      <c r="P590" s="14"/>
    </row>
    <row r="591">
      <c r="A591" s="12"/>
      <c r="D591" s="95"/>
      <c r="E591" s="14"/>
      <c r="F591" s="96"/>
      <c r="H591" s="14"/>
      <c r="I591" s="14"/>
      <c r="J591" s="14"/>
      <c r="K591" s="14"/>
      <c r="L591" s="14"/>
      <c r="M591" s="14"/>
      <c r="N591" s="14"/>
      <c r="O591" s="14"/>
      <c r="P591" s="14"/>
    </row>
    <row r="592">
      <c r="A592" s="12"/>
      <c r="D592" s="95"/>
      <c r="E592" s="14"/>
      <c r="F592" s="96"/>
      <c r="H592" s="14"/>
      <c r="I592" s="14"/>
      <c r="J592" s="14"/>
      <c r="K592" s="14"/>
      <c r="L592" s="14"/>
      <c r="M592" s="14"/>
      <c r="N592" s="14"/>
      <c r="O592" s="14"/>
      <c r="P592" s="14"/>
    </row>
    <row r="593">
      <c r="A593" s="12"/>
      <c r="D593" s="95"/>
      <c r="E593" s="14"/>
      <c r="F593" s="96"/>
      <c r="H593" s="14"/>
      <c r="I593" s="14"/>
      <c r="J593" s="14"/>
      <c r="K593" s="14"/>
      <c r="L593" s="14"/>
      <c r="M593" s="14"/>
      <c r="N593" s="14"/>
      <c r="O593" s="14"/>
      <c r="P593" s="14"/>
    </row>
    <row r="594">
      <c r="A594" s="12"/>
      <c r="D594" s="95"/>
      <c r="E594" s="14"/>
      <c r="F594" s="96"/>
      <c r="H594" s="14"/>
      <c r="I594" s="14"/>
      <c r="J594" s="14"/>
      <c r="K594" s="14"/>
      <c r="L594" s="14"/>
      <c r="M594" s="14"/>
      <c r="N594" s="14"/>
      <c r="O594" s="14"/>
      <c r="P594" s="14"/>
    </row>
    <row r="595">
      <c r="A595" s="12"/>
      <c r="D595" s="95"/>
      <c r="E595" s="14"/>
      <c r="F595" s="96"/>
      <c r="H595" s="14"/>
      <c r="I595" s="14"/>
      <c r="J595" s="14"/>
      <c r="K595" s="14"/>
      <c r="L595" s="14"/>
      <c r="M595" s="14"/>
      <c r="N595" s="14"/>
      <c r="O595" s="14"/>
      <c r="P595" s="14"/>
    </row>
    <row r="596">
      <c r="A596" s="12"/>
      <c r="D596" s="95"/>
      <c r="E596" s="14"/>
      <c r="F596" s="96"/>
      <c r="H596" s="14"/>
      <c r="I596" s="14"/>
      <c r="J596" s="14"/>
      <c r="K596" s="14"/>
      <c r="L596" s="14"/>
      <c r="M596" s="14"/>
      <c r="N596" s="14"/>
      <c r="O596" s="14"/>
      <c r="P596" s="14"/>
    </row>
    <row r="597">
      <c r="A597" s="12"/>
      <c r="D597" s="95"/>
      <c r="E597" s="14"/>
      <c r="F597" s="96"/>
      <c r="H597" s="14"/>
      <c r="I597" s="14"/>
      <c r="J597" s="14"/>
      <c r="K597" s="14"/>
      <c r="L597" s="14"/>
      <c r="M597" s="14"/>
      <c r="N597" s="14"/>
      <c r="O597" s="14"/>
      <c r="P597" s="14"/>
    </row>
    <row r="598">
      <c r="A598" s="12"/>
      <c r="D598" s="95"/>
      <c r="E598" s="14"/>
      <c r="F598" s="96"/>
      <c r="H598" s="14"/>
      <c r="I598" s="14"/>
      <c r="J598" s="14"/>
      <c r="K598" s="14"/>
      <c r="L598" s="14"/>
      <c r="M598" s="14"/>
      <c r="N598" s="14"/>
      <c r="O598" s="14"/>
      <c r="P598" s="14"/>
    </row>
    <row r="599">
      <c r="A599" s="12"/>
      <c r="D599" s="95"/>
      <c r="E599" s="14"/>
      <c r="F599" s="96"/>
      <c r="H599" s="14"/>
      <c r="I599" s="14"/>
      <c r="J599" s="14"/>
      <c r="K599" s="14"/>
      <c r="L599" s="14"/>
      <c r="M599" s="14"/>
      <c r="N599" s="14"/>
      <c r="O599" s="14"/>
      <c r="P599" s="14"/>
    </row>
    <row r="600">
      <c r="A600" s="12"/>
      <c r="D600" s="95"/>
      <c r="E600" s="14"/>
      <c r="F600" s="96"/>
      <c r="H600" s="14"/>
      <c r="I600" s="14"/>
      <c r="J600" s="14"/>
      <c r="K600" s="14"/>
      <c r="L600" s="14"/>
      <c r="M600" s="14"/>
      <c r="N600" s="14"/>
      <c r="O600" s="14"/>
      <c r="P600" s="14"/>
    </row>
    <row r="601">
      <c r="A601" s="12"/>
      <c r="D601" s="95"/>
      <c r="E601" s="14"/>
      <c r="F601" s="96"/>
      <c r="H601" s="14"/>
      <c r="I601" s="14"/>
      <c r="J601" s="14"/>
      <c r="K601" s="14"/>
      <c r="L601" s="14"/>
      <c r="M601" s="14"/>
      <c r="N601" s="14"/>
      <c r="O601" s="14"/>
      <c r="P601" s="14"/>
    </row>
    <row r="602">
      <c r="A602" s="12"/>
      <c r="D602" s="95"/>
      <c r="E602" s="14"/>
      <c r="F602" s="96"/>
      <c r="H602" s="14"/>
      <c r="I602" s="14"/>
      <c r="J602" s="14"/>
      <c r="K602" s="14"/>
      <c r="L602" s="14"/>
      <c r="M602" s="14"/>
      <c r="N602" s="14"/>
      <c r="O602" s="14"/>
      <c r="P602" s="14"/>
    </row>
    <row r="603">
      <c r="A603" s="12"/>
      <c r="D603" s="95"/>
      <c r="E603" s="14"/>
      <c r="F603" s="96"/>
      <c r="H603" s="14"/>
      <c r="I603" s="14"/>
      <c r="J603" s="14"/>
      <c r="K603" s="14"/>
      <c r="L603" s="14"/>
      <c r="M603" s="14"/>
      <c r="N603" s="14"/>
      <c r="O603" s="14"/>
      <c r="P603" s="14"/>
    </row>
    <row r="604">
      <c r="A604" s="12"/>
      <c r="D604" s="95"/>
      <c r="E604" s="14"/>
      <c r="F604" s="96"/>
      <c r="H604" s="14"/>
      <c r="I604" s="14"/>
      <c r="J604" s="14"/>
      <c r="K604" s="14"/>
      <c r="L604" s="14"/>
      <c r="M604" s="14"/>
      <c r="N604" s="14"/>
      <c r="O604" s="14"/>
      <c r="P604" s="14"/>
    </row>
    <row r="605">
      <c r="A605" s="12"/>
      <c r="D605" s="95"/>
      <c r="E605" s="14"/>
      <c r="F605" s="96"/>
      <c r="H605" s="14"/>
      <c r="I605" s="14"/>
      <c r="J605" s="14"/>
      <c r="K605" s="14"/>
      <c r="L605" s="14"/>
      <c r="M605" s="14"/>
      <c r="N605" s="14"/>
      <c r="O605" s="14"/>
      <c r="P605" s="14"/>
    </row>
    <row r="606">
      <c r="A606" s="12"/>
      <c r="D606" s="95"/>
      <c r="E606" s="14"/>
      <c r="F606" s="96"/>
      <c r="H606" s="14"/>
      <c r="I606" s="14"/>
      <c r="J606" s="14"/>
      <c r="K606" s="14"/>
      <c r="L606" s="14"/>
      <c r="M606" s="14"/>
      <c r="N606" s="14"/>
      <c r="O606" s="14"/>
      <c r="P606" s="14"/>
    </row>
    <row r="607">
      <c r="A607" s="12"/>
      <c r="D607" s="95"/>
      <c r="E607" s="14"/>
      <c r="F607" s="96"/>
      <c r="H607" s="14"/>
      <c r="I607" s="14"/>
      <c r="J607" s="14"/>
      <c r="K607" s="14"/>
      <c r="L607" s="14"/>
      <c r="M607" s="14"/>
      <c r="N607" s="14"/>
      <c r="O607" s="14"/>
      <c r="P607" s="14"/>
    </row>
    <row r="608">
      <c r="A608" s="12"/>
      <c r="D608" s="95"/>
      <c r="E608" s="14"/>
      <c r="F608" s="96"/>
      <c r="H608" s="14"/>
      <c r="I608" s="14"/>
      <c r="J608" s="14"/>
      <c r="K608" s="14"/>
      <c r="L608" s="14"/>
      <c r="M608" s="14"/>
      <c r="N608" s="14"/>
      <c r="O608" s="14"/>
      <c r="P608" s="14"/>
    </row>
    <row r="609">
      <c r="A609" s="12"/>
      <c r="D609" s="95"/>
      <c r="E609" s="14"/>
      <c r="F609" s="96"/>
      <c r="H609" s="14"/>
      <c r="I609" s="14"/>
      <c r="J609" s="14"/>
      <c r="K609" s="14"/>
      <c r="L609" s="14"/>
      <c r="M609" s="14"/>
      <c r="N609" s="14"/>
      <c r="O609" s="14"/>
      <c r="P609" s="14"/>
    </row>
    <row r="610">
      <c r="A610" s="12"/>
      <c r="D610" s="95"/>
      <c r="E610" s="14"/>
      <c r="F610" s="96"/>
      <c r="H610" s="14"/>
      <c r="I610" s="14"/>
      <c r="J610" s="14"/>
      <c r="K610" s="14"/>
      <c r="L610" s="14"/>
      <c r="M610" s="14"/>
      <c r="N610" s="14"/>
      <c r="O610" s="14"/>
      <c r="P610" s="14"/>
    </row>
    <row r="611">
      <c r="A611" s="12"/>
      <c r="D611" s="95"/>
      <c r="E611" s="14"/>
      <c r="F611" s="96"/>
      <c r="H611" s="14"/>
      <c r="I611" s="14"/>
      <c r="J611" s="14"/>
      <c r="K611" s="14"/>
      <c r="L611" s="14"/>
      <c r="M611" s="14"/>
      <c r="N611" s="14"/>
      <c r="O611" s="14"/>
      <c r="P611" s="14"/>
    </row>
    <row r="612">
      <c r="A612" s="12"/>
      <c r="D612" s="95"/>
      <c r="E612" s="14"/>
      <c r="F612" s="96"/>
      <c r="H612" s="14"/>
      <c r="I612" s="14"/>
      <c r="J612" s="14"/>
      <c r="K612" s="14"/>
      <c r="L612" s="14"/>
      <c r="M612" s="14"/>
      <c r="N612" s="14"/>
      <c r="O612" s="14"/>
      <c r="P612" s="14"/>
    </row>
    <row r="613">
      <c r="A613" s="12"/>
      <c r="D613" s="95"/>
      <c r="E613" s="14"/>
      <c r="F613" s="96"/>
      <c r="H613" s="14"/>
      <c r="I613" s="14"/>
      <c r="J613" s="14"/>
      <c r="K613" s="14"/>
      <c r="L613" s="14"/>
      <c r="M613" s="14"/>
      <c r="N613" s="14"/>
      <c r="O613" s="14"/>
      <c r="P613" s="14"/>
    </row>
    <row r="614">
      <c r="A614" s="12"/>
      <c r="D614" s="95"/>
      <c r="E614" s="14"/>
      <c r="F614" s="96"/>
      <c r="H614" s="14"/>
      <c r="I614" s="14"/>
      <c r="J614" s="14"/>
      <c r="K614" s="14"/>
      <c r="L614" s="14"/>
      <c r="M614" s="14"/>
      <c r="N614" s="14"/>
      <c r="O614" s="14"/>
      <c r="P614" s="14"/>
    </row>
    <row r="615">
      <c r="A615" s="12"/>
      <c r="D615" s="95"/>
      <c r="E615" s="14"/>
      <c r="F615" s="96"/>
      <c r="H615" s="14"/>
      <c r="I615" s="14"/>
      <c r="J615" s="14"/>
      <c r="K615" s="14"/>
      <c r="L615" s="14"/>
      <c r="M615" s="14"/>
      <c r="N615" s="14"/>
      <c r="O615" s="14"/>
      <c r="P615" s="14"/>
    </row>
    <row r="616">
      <c r="A616" s="12"/>
      <c r="D616" s="95"/>
      <c r="E616" s="14"/>
      <c r="F616" s="96"/>
      <c r="H616" s="14"/>
      <c r="I616" s="14"/>
      <c r="J616" s="14"/>
      <c r="K616" s="14"/>
      <c r="L616" s="14"/>
      <c r="M616" s="14"/>
      <c r="N616" s="14"/>
      <c r="O616" s="14"/>
      <c r="P616" s="14"/>
    </row>
    <row r="617">
      <c r="A617" s="12"/>
      <c r="D617" s="95"/>
      <c r="E617" s="14"/>
      <c r="F617" s="96"/>
      <c r="H617" s="14"/>
      <c r="I617" s="14"/>
      <c r="J617" s="14"/>
      <c r="K617" s="14"/>
      <c r="L617" s="14"/>
      <c r="M617" s="14"/>
      <c r="N617" s="14"/>
      <c r="O617" s="14"/>
      <c r="P617" s="14"/>
    </row>
    <row r="618">
      <c r="A618" s="12"/>
      <c r="D618" s="95"/>
      <c r="E618" s="14"/>
      <c r="F618" s="96"/>
      <c r="H618" s="14"/>
      <c r="I618" s="14"/>
      <c r="J618" s="14"/>
      <c r="K618" s="14"/>
      <c r="L618" s="14"/>
      <c r="M618" s="14"/>
      <c r="N618" s="14"/>
      <c r="O618" s="14"/>
      <c r="P618" s="14"/>
    </row>
    <row r="619">
      <c r="A619" s="12"/>
      <c r="D619" s="95"/>
      <c r="E619" s="14"/>
      <c r="F619" s="96"/>
      <c r="H619" s="14"/>
      <c r="I619" s="14"/>
      <c r="J619" s="14"/>
      <c r="K619" s="14"/>
      <c r="L619" s="14"/>
      <c r="M619" s="14"/>
      <c r="N619" s="14"/>
      <c r="O619" s="14"/>
      <c r="P619" s="14"/>
    </row>
    <row r="620">
      <c r="A620" s="12"/>
      <c r="D620" s="95"/>
      <c r="E620" s="14"/>
      <c r="F620" s="96"/>
      <c r="H620" s="14"/>
      <c r="I620" s="14"/>
      <c r="J620" s="14"/>
      <c r="K620" s="14"/>
      <c r="L620" s="14"/>
      <c r="M620" s="14"/>
      <c r="N620" s="14"/>
      <c r="O620" s="14"/>
      <c r="P620" s="14"/>
    </row>
    <row r="621">
      <c r="A621" s="12"/>
      <c r="D621" s="95"/>
      <c r="E621" s="14"/>
      <c r="F621" s="96"/>
      <c r="H621" s="14"/>
      <c r="I621" s="14"/>
      <c r="J621" s="14"/>
      <c r="K621" s="14"/>
      <c r="L621" s="14"/>
      <c r="M621" s="14"/>
      <c r="N621" s="14"/>
      <c r="O621" s="14"/>
      <c r="P621" s="14"/>
    </row>
    <row r="622">
      <c r="A622" s="12"/>
      <c r="D622" s="95"/>
      <c r="E622" s="14"/>
      <c r="F622" s="96"/>
      <c r="H622" s="14"/>
      <c r="I622" s="14"/>
      <c r="J622" s="14"/>
      <c r="K622" s="14"/>
      <c r="L622" s="14"/>
      <c r="M622" s="14"/>
      <c r="N622" s="14"/>
      <c r="O622" s="14"/>
      <c r="P622" s="14"/>
    </row>
    <row r="623">
      <c r="A623" s="12"/>
      <c r="D623" s="95"/>
      <c r="E623" s="14"/>
      <c r="F623" s="96"/>
      <c r="H623" s="14"/>
      <c r="I623" s="14"/>
      <c r="J623" s="14"/>
      <c r="K623" s="14"/>
      <c r="L623" s="14"/>
      <c r="M623" s="14"/>
      <c r="N623" s="14"/>
      <c r="O623" s="14"/>
      <c r="P623" s="14"/>
    </row>
    <row r="624">
      <c r="A624" s="12"/>
      <c r="D624" s="95"/>
      <c r="E624" s="14"/>
      <c r="F624" s="96"/>
      <c r="H624" s="14"/>
      <c r="I624" s="14"/>
      <c r="J624" s="14"/>
      <c r="K624" s="14"/>
      <c r="L624" s="14"/>
      <c r="M624" s="14"/>
      <c r="N624" s="14"/>
      <c r="O624" s="14"/>
      <c r="P624" s="14"/>
    </row>
    <row r="625">
      <c r="A625" s="12"/>
      <c r="D625" s="95"/>
      <c r="E625" s="14"/>
      <c r="F625" s="96"/>
      <c r="H625" s="14"/>
      <c r="I625" s="14"/>
      <c r="J625" s="14"/>
      <c r="K625" s="14"/>
      <c r="L625" s="14"/>
      <c r="M625" s="14"/>
      <c r="N625" s="14"/>
      <c r="O625" s="14"/>
      <c r="P625" s="14"/>
    </row>
    <row r="626">
      <c r="A626" s="12"/>
      <c r="D626" s="95"/>
      <c r="E626" s="14"/>
      <c r="F626" s="96"/>
      <c r="H626" s="14"/>
      <c r="I626" s="14"/>
      <c r="J626" s="14"/>
      <c r="K626" s="14"/>
      <c r="L626" s="14"/>
      <c r="M626" s="14"/>
      <c r="N626" s="14"/>
      <c r="O626" s="14"/>
      <c r="P626" s="14"/>
    </row>
    <row r="627">
      <c r="A627" s="12"/>
      <c r="D627" s="95"/>
      <c r="E627" s="14"/>
      <c r="F627" s="96"/>
      <c r="H627" s="14"/>
      <c r="I627" s="14"/>
      <c r="J627" s="14"/>
      <c r="K627" s="14"/>
      <c r="L627" s="14"/>
      <c r="M627" s="14"/>
      <c r="N627" s="14"/>
      <c r="O627" s="14"/>
      <c r="P627" s="14"/>
    </row>
    <row r="628">
      <c r="A628" s="12"/>
      <c r="D628" s="95"/>
      <c r="E628" s="14"/>
      <c r="F628" s="96"/>
      <c r="H628" s="14"/>
      <c r="I628" s="14"/>
      <c r="J628" s="14"/>
      <c r="K628" s="14"/>
      <c r="L628" s="14"/>
      <c r="M628" s="14"/>
      <c r="N628" s="14"/>
      <c r="O628" s="14"/>
      <c r="P628" s="14"/>
    </row>
    <row r="629">
      <c r="A629" s="12"/>
      <c r="D629" s="95"/>
      <c r="E629" s="14"/>
      <c r="F629" s="96"/>
      <c r="H629" s="14"/>
      <c r="I629" s="14"/>
      <c r="J629" s="14"/>
      <c r="K629" s="14"/>
      <c r="L629" s="14"/>
      <c r="M629" s="14"/>
      <c r="N629" s="14"/>
      <c r="O629" s="14"/>
      <c r="P629" s="14"/>
    </row>
    <row r="630">
      <c r="A630" s="12"/>
      <c r="D630" s="95"/>
      <c r="E630" s="14"/>
      <c r="F630" s="96"/>
      <c r="H630" s="14"/>
      <c r="I630" s="14"/>
      <c r="J630" s="14"/>
      <c r="K630" s="14"/>
      <c r="L630" s="14"/>
      <c r="M630" s="14"/>
      <c r="N630" s="14"/>
      <c r="O630" s="14"/>
      <c r="P630" s="14"/>
    </row>
    <row r="631">
      <c r="A631" s="12"/>
      <c r="D631" s="95"/>
      <c r="E631" s="14"/>
      <c r="F631" s="96"/>
      <c r="H631" s="14"/>
      <c r="I631" s="14"/>
      <c r="J631" s="14"/>
      <c r="K631" s="14"/>
      <c r="L631" s="14"/>
      <c r="M631" s="14"/>
      <c r="N631" s="14"/>
      <c r="O631" s="14"/>
      <c r="P631" s="14"/>
    </row>
    <row r="632">
      <c r="A632" s="12"/>
      <c r="D632" s="95"/>
      <c r="E632" s="14"/>
      <c r="F632" s="96"/>
      <c r="H632" s="14"/>
      <c r="I632" s="14"/>
      <c r="J632" s="14"/>
      <c r="K632" s="14"/>
      <c r="L632" s="14"/>
      <c r="M632" s="14"/>
      <c r="N632" s="14"/>
      <c r="O632" s="14"/>
      <c r="P632" s="14"/>
    </row>
    <row r="633">
      <c r="A633" s="12"/>
      <c r="D633" s="95"/>
      <c r="E633" s="14"/>
      <c r="F633" s="96"/>
      <c r="H633" s="14"/>
      <c r="I633" s="14"/>
      <c r="J633" s="14"/>
      <c r="K633" s="14"/>
      <c r="L633" s="14"/>
      <c r="M633" s="14"/>
      <c r="N633" s="14"/>
      <c r="O633" s="14"/>
      <c r="P633" s="14"/>
    </row>
    <row r="634">
      <c r="A634" s="12"/>
      <c r="D634" s="95"/>
      <c r="E634" s="14"/>
      <c r="F634" s="96"/>
      <c r="H634" s="14"/>
      <c r="I634" s="14"/>
      <c r="J634" s="14"/>
      <c r="K634" s="14"/>
      <c r="L634" s="14"/>
      <c r="M634" s="14"/>
      <c r="N634" s="14"/>
      <c r="O634" s="14"/>
      <c r="P634" s="14"/>
    </row>
    <row r="635">
      <c r="A635" s="12"/>
      <c r="D635" s="95"/>
      <c r="E635" s="14"/>
      <c r="F635" s="96"/>
      <c r="H635" s="14"/>
      <c r="I635" s="14"/>
      <c r="J635" s="14"/>
      <c r="K635" s="14"/>
      <c r="L635" s="14"/>
      <c r="M635" s="14"/>
      <c r="N635" s="14"/>
      <c r="O635" s="14"/>
      <c r="P635" s="14"/>
    </row>
    <row r="636">
      <c r="A636" s="12"/>
      <c r="D636" s="95"/>
      <c r="E636" s="14"/>
      <c r="F636" s="96"/>
      <c r="H636" s="14"/>
      <c r="I636" s="14"/>
      <c r="J636" s="14"/>
      <c r="K636" s="14"/>
      <c r="L636" s="14"/>
      <c r="M636" s="14"/>
      <c r="N636" s="14"/>
      <c r="O636" s="14"/>
      <c r="P636" s="14"/>
    </row>
    <row r="637">
      <c r="A637" s="12"/>
      <c r="D637" s="95"/>
      <c r="E637" s="14"/>
      <c r="F637" s="96"/>
      <c r="H637" s="14"/>
      <c r="I637" s="14"/>
      <c r="J637" s="14"/>
      <c r="K637" s="14"/>
      <c r="L637" s="14"/>
      <c r="M637" s="14"/>
      <c r="N637" s="14"/>
      <c r="O637" s="14"/>
      <c r="P637" s="14"/>
    </row>
    <row r="638">
      <c r="A638" s="12"/>
      <c r="D638" s="95"/>
      <c r="E638" s="14"/>
      <c r="F638" s="96"/>
      <c r="H638" s="14"/>
      <c r="I638" s="14"/>
      <c r="J638" s="14"/>
      <c r="K638" s="14"/>
      <c r="L638" s="14"/>
      <c r="M638" s="14"/>
      <c r="N638" s="14"/>
      <c r="O638" s="14"/>
      <c r="P638" s="14"/>
    </row>
    <row r="639">
      <c r="A639" s="12"/>
      <c r="D639" s="95"/>
      <c r="E639" s="14"/>
      <c r="F639" s="96"/>
      <c r="H639" s="14"/>
      <c r="I639" s="14"/>
      <c r="J639" s="14"/>
      <c r="K639" s="14"/>
      <c r="L639" s="14"/>
      <c r="M639" s="14"/>
      <c r="N639" s="14"/>
      <c r="O639" s="14"/>
      <c r="P639" s="14"/>
    </row>
    <row r="640">
      <c r="A640" s="12"/>
      <c r="D640" s="95"/>
      <c r="E640" s="14"/>
      <c r="F640" s="96"/>
      <c r="H640" s="14"/>
      <c r="I640" s="14"/>
      <c r="J640" s="14"/>
      <c r="K640" s="14"/>
      <c r="L640" s="14"/>
      <c r="M640" s="14"/>
      <c r="N640" s="14"/>
      <c r="O640" s="14"/>
      <c r="P640" s="14"/>
    </row>
    <row r="641">
      <c r="A641" s="12"/>
      <c r="D641" s="95"/>
      <c r="E641" s="14"/>
      <c r="F641" s="96"/>
      <c r="H641" s="14"/>
      <c r="I641" s="14"/>
      <c r="J641" s="14"/>
      <c r="K641" s="14"/>
      <c r="L641" s="14"/>
      <c r="M641" s="14"/>
      <c r="N641" s="14"/>
      <c r="O641" s="14"/>
      <c r="P641" s="14"/>
    </row>
    <row r="642">
      <c r="A642" s="12"/>
      <c r="D642" s="95"/>
      <c r="E642" s="14"/>
      <c r="F642" s="96"/>
      <c r="H642" s="14"/>
      <c r="I642" s="14"/>
      <c r="J642" s="14"/>
      <c r="K642" s="14"/>
      <c r="L642" s="14"/>
      <c r="M642" s="14"/>
      <c r="N642" s="14"/>
      <c r="O642" s="14"/>
      <c r="P642" s="14"/>
    </row>
    <row r="643">
      <c r="A643" s="12"/>
      <c r="D643" s="95"/>
      <c r="E643" s="14"/>
      <c r="F643" s="96"/>
      <c r="H643" s="14"/>
      <c r="I643" s="14"/>
      <c r="J643" s="14"/>
      <c r="K643" s="14"/>
      <c r="L643" s="14"/>
      <c r="M643" s="14"/>
      <c r="N643" s="14"/>
      <c r="O643" s="14"/>
      <c r="P643" s="14"/>
    </row>
    <row r="644">
      <c r="A644" s="12"/>
      <c r="D644" s="95"/>
      <c r="E644" s="14"/>
      <c r="F644" s="96"/>
      <c r="H644" s="14"/>
      <c r="I644" s="14"/>
      <c r="J644" s="14"/>
      <c r="K644" s="14"/>
      <c r="L644" s="14"/>
      <c r="M644" s="14"/>
      <c r="N644" s="14"/>
      <c r="O644" s="14"/>
      <c r="P644" s="14"/>
    </row>
    <row r="645">
      <c r="A645" s="12"/>
      <c r="D645" s="95"/>
      <c r="E645" s="14"/>
      <c r="F645" s="96"/>
      <c r="H645" s="14"/>
      <c r="I645" s="14"/>
      <c r="J645" s="14"/>
      <c r="K645" s="14"/>
      <c r="L645" s="14"/>
      <c r="M645" s="14"/>
      <c r="N645" s="14"/>
      <c r="O645" s="14"/>
      <c r="P645" s="14"/>
    </row>
    <row r="646">
      <c r="A646" s="12"/>
      <c r="D646" s="95"/>
      <c r="E646" s="14"/>
      <c r="F646" s="96"/>
      <c r="H646" s="14"/>
      <c r="I646" s="14"/>
      <c r="J646" s="14"/>
      <c r="K646" s="14"/>
      <c r="L646" s="14"/>
      <c r="M646" s="14"/>
      <c r="N646" s="14"/>
      <c r="O646" s="14"/>
      <c r="P646" s="14"/>
    </row>
    <row r="647">
      <c r="A647" s="12"/>
      <c r="D647" s="95"/>
      <c r="E647" s="14"/>
      <c r="F647" s="96"/>
      <c r="H647" s="14"/>
      <c r="I647" s="14"/>
      <c r="J647" s="14"/>
      <c r="K647" s="14"/>
      <c r="L647" s="14"/>
      <c r="M647" s="14"/>
      <c r="N647" s="14"/>
      <c r="O647" s="14"/>
      <c r="P647" s="14"/>
    </row>
    <row r="648">
      <c r="A648" s="12"/>
      <c r="D648" s="95"/>
      <c r="E648" s="14"/>
      <c r="F648" s="96"/>
      <c r="H648" s="14"/>
      <c r="I648" s="14"/>
      <c r="J648" s="14"/>
      <c r="K648" s="14"/>
      <c r="L648" s="14"/>
      <c r="M648" s="14"/>
      <c r="N648" s="14"/>
      <c r="O648" s="14"/>
      <c r="P648" s="14"/>
    </row>
    <row r="649">
      <c r="A649" s="12"/>
      <c r="D649" s="95"/>
      <c r="E649" s="14"/>
      <c r="F649" s="96"/>
      <c r="H649" s="14"/>
      <c r="I649" s="14"/>
      <c r="J649" s="14"/>
      <c r="K649" s="14"/>
      <c r="L649" s="14"/>
      <c r="M649" s="14"/>
      <c r="N649" s="14"/>
      <c r="O649" s="14"/>
      <c r="P649" s="14"/>
    </row>
    <row r="650">
      <c r="A650" s="12"/>
      <c r="D650" s="95"/>
      <c r="E650" s="14"/>
      <c r="F650" s="96"/>
      <c r="H650" s="14"/>
      <c r="I650" s="14"/>
      <c r="J650" s="14"/>
      <c r="K650" s="14"/>
      <c r="L650" s="14"/>
      <c r="M650" s="14"/>
      <c r="N650" s="14"/>
      <c r="O650" s="14"/>
      <c r="P650" s="14"/>
    </row>
    <row r="651">
      <c r="A651" s="12"/>
      <c r="D651" s="95"/>
      <c r="E651" s="14"/>
      <c r="F651" s="96"/>
      <c r="H651" s="14"/>
      <c r="I651" s="14"/>
      <c r="J651" s="14"/>
      <c r="K651" s="14"/>
      <c r="L651" s="14"/>
      <c r="M651" s="14"/>
      <c r="N651" s="14"/>
      <c r="O651" s="14"/>
      <c r="P651" s="14"/>
    </row>
    <row r="652">
      <c r="A652" s="12"/>
      <c r="D652" s="95"/>
      <c r="E652" s="14"/>
      <c r="F652" s="96"/>
      <c r="H652" s="14"/>
      <c r="I652" s="14"/>
      <c r="J652" s="14"/>
      <c r="K652" s="14"/>
      <c r="L652" s="14"/>
      <c r="M652" s="14"/>
      <c r="N652" s="14"/>
      <c r="O652" s="14"/>
      <c r="P652" s="14"/>
    </row>
    <row r="653">
      <c r="A653" s="12"/>
      <c r="D653" s="95"/>
      <c r="E653" s="14"/>
      <c r="F653" s="96"/>
      <c r="H653" s="14"/>
      <c r="I653" s="14"/>
      <c r="J653" s="14"/>
      <c r="K653" s="14"/>
      <c r="L653" s="14"/>
      <c r="M653" s="14"/>
      <c r="N653" s="14"/>
      <c r="O653" s="14"/>
      <c r="P653" s="14"/>
    </row>
    <row r="654">
      <c r="A654" s="12"/>
      <c r="D654" s="95"/>
      <c r="E654" s="14"/>
      <c r="F654" s="96"/>
      <c r="H654" s="14"/>
      <c r="I654" s="14"/>
      <c r="J654" s="14"/>
      <c r="K654" s="14"/>
      <c r="L654" s="14"/>
      <c r="M654" s="14"/>
      <c r="N654" s="14"/>
      <c r="O654" s="14"/>
      <c r="P654" s="14"/>
    </row>
    <row r="655">
      <c r="A655" s="12"/>
      <c r="D655" s="95"/>
      <c r="E655" s="14"/>
      <c r="F655" s="96"/>
      <c r="H655" s="14"/>
      <c r="I655" s="14"/>
      <c r="J655" s="14"/>
      <c r="K655" s="14"/>
      <c r="L655" s="14"/>
      <c r="M655" s="14"/>
      <c r="N655" s="14"/>
      <c r="O655" s="14"/>
      <c r="P655" s="14"/>
    </row>
    <row r="656">
      <c r="A656" s="12"/>
      <c r="D656" s="95"/>
      <c r="E656" s="14"/>
      <c r="F656" s="96"/>
      <c r="H656" s="14"/>
      <c r="I656" s="14"/>
      <c r="J656" s="14"/>
      <c r="K656" s="14"/>
      <c r="L656" s="14"/>
      <c r="M656" s="14"/>
      <c r="N656" s="14"/>
      <c r="O656" s="14"/>
      <c r="P656" s="14"/>
    </row>
    <row r="657">
      <c r="A657" s="12"/>
      <c r="D657" s="95"/>
      <c r="E657" s="14"/>
      <c r="F657" s="96"/>
      <c r="H657" s="14"/>
      <c r="I657" s="14"/>
      <c r="J657" s="14"/>
      <c r="K657" s="14"/>
      <c r="L657" s="14"/>
      <c r="M657" s="14"/>
      <c r="N657" s="14"/>
      <c r="O657" s="14"/>
      <c r="P657" s="14"/>
    </row>
    <row r="658">
      <c r="A658" s="12"/>
      <c r="D658" s="95"/>
      <c r="E658" s="14"/>
      <c r="F658" s="96"/>
      <c r="H658" s="14"/>
      <c r="I658" s="14"/>
      <c r="J658" s="14"/>
      <c r="K658" s="14"/>
      <c r="L658" s="14"/>
      <c r="M658" s="14"/>
      <c r="N658" s="14"/>
      <c r="O658" s="14"/>
      <c r="P658" s="14"/>
    </row>
    <row r="659">
      <c r="A659" s="12"/>
      <c r="D659" s="95"/>
      <c r="E659" s="14"/>
      <c r="F659" s="96"/>
      <c r="H659" s="14"/>
      <c r="I659" s="14"/>
      <c r="J659" s="14"/>
      <c r="K659" s="14"/>
      <c r="L659" s="14"/>
      <c r="M659" s="14"/>
      <c r="N659" s="14"/>
      <c r="O659" s="14"/>
      <c r="P659" s="14"/>
    </row>
    <row r="660">
      <c r="A660" s="12"/>
      <c r="D660" s="95"/>
      <c r="E660" s="14"/>
      <c r="F660" s="96"/>
      <c r="H660" s="14"/>
      <c r="I660" s="14"/>
      <c r="J660" s="14"/>
      <c r="K660" s="14"/>
      <c r="L660" s="14"/>
      <c r="M660" s="14"/>
      <c r="N660" s="14"/>
      <c r="O660" s="14"/>
      <c r="P660" s="14"/>
    </row>
    <row r="661">
      <c r="A661" s="12"/>
      <c r="D661" s="95"/>
      <c r="E661" s="14"/>
      <c r="F661" s="96"/>
      <c r="H661" s="14"/>
      <c r="I661" s="14"/>
      <c r="J661" s="14"/>
      <c r="K661" s="14"/>
      <c r="L661" s="14"/>
      <c r="M661" s="14"/>
      <c r="N661" s="14"/>
      <c r="O661" s="14"/>
      <c r="P661" s="14"/>
    </row>
    <row r="662">
      <c r="A662" s="12"/>
      <c r="D662" s="95"/>
      <c r="E662" s="14"/>
      <c r="F662" s="96"/>
      <c r="H662" s="14"/>
      <c r="I662" s="14"/>
      <c r="J662" s="14"/>
      <c r="K662" s="14"/>
      <c r="L662" s="14"/>
      <c r="M662" s="14"/>
      <c r="N662" s="14"/>
      <c r="O662" s="14"/>
      <c r="P662" s="14"/>
    </row>
    <row r="663">
      <c r="A663" s="12"/>
      <c r="D663" s="95"/>
      <c r="E663" s="14"/>
      <c r="F663" s="96"/>
      <c r="H663" s="14"/>
      <c r="I663" s="14"/>
      <c r="J663" s="14"/>
      <c r="K663" s="14"/>
      <c r="L663" s="14"/>
      <c r="M663" s="14"/>
      <c r="N663" s="14"/>
      <c r="O663" s="14"/>
      <c r="P663" s="14"/>
    </row>
    <row r="664">
      <c r="A664" s="12"/>
      <c r="D664" s="95"/>
      <c r="E664" s="14"/>
      <c r="F664" s="96"/>
      <c r="H664" s="14"/>
      <c r="I664" s="14"/>
      <c r="J664" s="14"/>
      <c r="K664" s="14"/>
      <c r="L664" s="14"/>
      <c r="M664" s="14"/>
      <c r="N664" s="14"/>
      <c r="O664" s="14"/>
      <c r="P664" s="14"/>
    </row>
    <row r="665">
      <c r="A665" s="12"/>
      <c r="D665" s="95"/>
      <c r="E665" s="14"/>
      <c r="F665" s="96"/>
      <c r="H665" s="14"/>
      <c r="I665" s="14"/>
      <c r="J665" s="14"/>
      <c r="K665" s="14"/>
      <c r="L665" s="14"/>
      <c r="M665" s="14"/>
      <c r="N665" s="14"/>
      <c r="O665" s="14"/>
      <c r="P665" s="14"/>
    </row>
    <row r="666">
      <c r="A666" s="12"/>
      <c r="D666" s="95"/>
      <c r="E666" s="14"/>
      <c r="F666" s="96"/>
      <c r="H666" s="14"/>
      <c r="I666" s="14"/>
      <c r="J666" s="14"/>
      <c r="K666" s="14"/>
      <c r="L666" s="14"/>
      <c r="M666" s="14"/>
      <c r="N666" s="14"/>
      <c r="O666" s="14"/>
      <c r="P666" s="14"/>
    </row>
    <row r="667">
      <c r="A667" s="12"/>
      <c r="D667" s="95"/>
      <c r="E667" s="14"/>
      <c r="F667" s="96"/>
      <c r="H667" s="14"/>
      <c r="I667" s="14"/>
      <c r="J667" s="14"/>
      <c r="K667" s="14"/>
      <c r="L667" s="14"/>
      <c r="M667" s="14"/>
      <c r="N667" s="14"/>
      <c r="O667" s="14"/>
      <c r="P667" s="14"/>
    </row>
    <row r="668">
      <c r="A668" s="12"/>
      <c r="D668" s="95"/>
      <c r="E668" s="14"/>
      <c r="F668" s="96"/>
      <c r="H668" s="14"/>
      <c r="I668" s="14"/>
      <c r="J668" s="14"/>
      <c r="K668" s="14"/>
      <c r="L668" s="14"/>
      <c r="M668" s="14"/>
      <c r="N668" s="14"/>
      <c r="O668" s="14"/>
      <c r="P668" s="14"/>
    </row>
    <row r="669">
      <c r="A669" s="12"/>
      <c r="D669" s="95"/>
      <c r="E669" s="14"/>
      <c r="F669" s="96"/>
      <c r="H669" s="14"/>
      <c r="I669" s="14"/>
      <c r="J669" s="14"/>
      <c r="K669" s="14"/>
      <c r="L669" s="14"/>
      <c r="M669" s="14"/>
      <c r="N669" s="14"/>
      <c r="O669" s="14"/>
      <c r="P669" s="14"/>
    </row>
    <row r="670">
      <c r="A670" s="12"/>
      <c r="D670" s="95"/>
      <c r="E670" s="14"/>
      <c r="F670" s="96"/>
      <c r="H670" s="14"/>
      <c r="I670" s="14"/>
      <c r="J670" s="14"/>
      <c r="K670" s="14"/>
      <c r="L670" s="14"/>
      <c r="M670" s="14"/>
      <c r="N670" s="14"/>
      <c r="O670" s="14"/>
      <c r="P670" s="14"/>
    </row>
    <row r="671">
      <c r="A671" s="12"/>
      <c r="D671" s="95"/>
      <c r="E671" s="14"/>
      <c r="F671" s="96"/>
      <c r="H671" s="14"/>
      <c r="I671" s="14"/>
      <c r="J671" s="14"/>
      <c r="K671" s="14"/>
      <c r="L671" s="14"/>
      <c r="M671" s="14"/>
      <c r="N671" s="14"/>
      <c r="O671" s="14"/>
      <c r="P671" s="14"/>
    </row>
    <row r="672">
      <c r="A672" s="12"/>
      <c r="D672" s="95"/>
      <c r="E672" s="14"/>
      <c r="F672" s="96"/>
      <c r="H672" s="14"/>
      <c r="I672" s="14"/>
      <c r="J672" s="14"/>
      <c r="K672" s="14"/>
      <c r="L672" s="14"/>
      <c r="M672" s="14"/>
      <c r="N672" s="14"/>
      <c r="O672" s="14"/>
      <c r="P672" s="14"/>
    </row>
    <row r="673">
      <c r="A673" s="12"/>
      <c r="D673" s="95"/>
      <c r="E673" s="14"/>
      <c r="F673" s="96"/>
      <c r="H673" s="14"/>
      <c r="I673" s="14"/>
      <c r="J673" s="14"/>
      <c r="K673" s="14"/>
      <c r="L673" s="14"/>
      <c r="M673" s="14"/>
      <c r="N673" s="14"/>
      <c r="O673" s="14"/>
      <c r="P673" s="14"/>
    </row>
    <row r="674">
      <c r="A674" s="12"/>
      <c r="D674" s="95"/>
      <c r="E674" s="14"/>
      <c r="F674" s="96"/>
      <c r="H674" s="14"/>
      <c r="I674" s="14"/>
      <c r="J674" s="14"/>
      <c r="K674" s="14"/>
      <c r="L674" s="14"/>
      <c r="M674" s="14"/>
      <c r="N674" s="14"/>
      <c r="O674" s="14"/>
      <c r="P674" s="14"/>
    </row>
    <row r="675">
      <c r="A675" s="12"/>
      <c r="D675" s="95"/>
      <c r="E675" s="14"/>
      <c r="F675" s="96"/>
      <c r="H675" s="14"/>
      <c r="I675" s="14"/>
      <c r="J675" s="14"/>
      <c r="K675" s="14"/>
      <c r="L675" s="14"/>
      <c r="M675" s="14"/>
      <c r="N675" s="14"/>
      <c r="O675" s="14"/>
      <c r="P675" s="14"/>
    </row>
    <row r="676">
      <c r="A676" s="12"/>
      <c r="D676" s="95"/>
      <c r="E676" s="14"/>
      <c r="F676" s="96"/>
      <c r="H676" s="14"/>
      <c r="I676" s="14"/>
      <c r="J676" s="14"/>
      <c r="K676" s="14"/>
      <c r="L676" s="14"/>
      <c r="M676" s="14"/>
      <c r="N676" s="14"/>
      <c r="O676" s="14"/>
      <c r="P676" s="14"/>
    </row>
    <row r="677">
      <c r="A677" s="12"/>
      <c r="D677" s="95"/>
      <c r="E677" s="14"/>
      <c r="F677" s="96"/>
      <c r="H677" s="14"/>
      <c r="I677" s="14"/>
      <c r="J677" s="14"/>
      <c r="K677" s="14"/>
      <c r="L677" s="14"/>
      <c r="M677" s="14"/>
      <c r="N677" s="14"/>
      <c r="O677" s="14"/>
      <c r="P677" s="14"/>
    </row>
    <row r="678">
      <c r="A678" s="12"/>
      <c r="D678" s="95"/>
      <c r="E678" s="14"/>
      <c r="F678" s="96"/>
      <c r="H678" s="14"/>
      <c r="I678" s="14"/>
      <c r="J678" s="14"/>
      <c r="K678" s="14"/>
      <c r="L678" s="14"/>
      <c r="M678" s="14"/>
      <c r="N678" s="14"/>
      <c r="O678" s="14"/>
      <c r="P678" s="14"/>
    </row>
    <row r="679">
      <c r="A679" s="12"/>
      <c r="D679" s="95"/>
      <c r="E679" s="14"/>
      <c r="F679" s="96"/>
      <c r="H679" s="14"/>
      <c r="I679" s="14"/>
      <c r="J679" s="14"/>
      <c r="K679" s="14"/>
      <c r="L679" s="14"/>
      <c r="M679" s="14"/>
      <c r="N679" s="14"/>
      <c r="O679" s="14"/>
      <c r="P679" s="14"/>
    </row>
    <row r="680">
      <c r="A680" s="12"/>
      <c r="D680" s="95"/>
      <c r="E680" s="14"/>
      <c r="F680" s="96"/>
      <c r="H680" s="14"/>
      <c r="I680" s="14"/>
      <c r="J680" s="14"/>
      <c r="K680" s="14"/>
      <c r="L680" s="14"/>
      <c r="M680" s="14"/>
      <c r="N680" s="14"/>
      <c r="O680" s="14"/>
      <c r="P680" s="14"/>
    </row>
    <row r="681">
      <c r="A681" s="12"/>
      <c r="D681" s="95"/>
      <c r="E681" s="14"/>
      <c r="F681" s="96"/>
      <c r="H681" s="14"/>
      <c r="I681" s="14"/>
      <c r="J681" s="14"/>
      <c r="K681" s="14"/>
      <c r="L681" s="14"/>
      <c r="M681" s="14"/>
      <c r="N681" s="14"/>
      <c r="O681" s="14"/>
      <c r="P681" s="14"/>
    </row>
    <row r="682">
      <c r="A682" s="12"/>
      <c r="D682" s="95"/>
      <c r="E682" s="14"/>
      <c r="F682" s="96"/>
      <c r="H682" s="14"/>
      <c r="I682" s="14"/>
      <c r="J682" s="14"/>
      <c r="K682" s="14"/>
      <c r="L682" s="14"/>
      <c r="M682" s="14"/>
      <c r="N682" s="14"/>
      <c r="O682" s="14"/>
      <c r="P682" s="14"/>
    </row>
    <row r="683">
      <c r="A683" s="12"/>
      <c r="D683" s="95"/>
      <c r="E683" s="14"/>
      <c r="F683" s="96"/>
      <c r="H683" s="14"/>
      <c r="I683" s="14"/>
      <c r="J683" s="14"/>
      <c r="K683" s="14"/>
      <c r="L683" s="14"/>
      <c r="M683" s="14"/>
      <c r="N683" s="14"/>
      <c r="O683" s="14"/>
      <c r="P683" s="14"/>
    </row>
    <row r="684">
      <c r="A684" s="12"/>
      <c r="D684" s="95"/>
      <c r="E684" s="14"/>
      <c r="F684" s="96"/>
      <c r="H684" s="14"/>
      <c r="I684" s="14"/>
      <c r="J684" s="14"/>
      <c r="K684" s="14"/>
      <c r="L684" s="14"/>
      <c r="M684" s="14"/>
      <c r="N684" s="14"/>
      <c r="O684" s="14"/>
      <c r="P684" s="14"/>
    </row>
    <row r="685">
      <c r="A685" s="12"/>
      <c r="D685" s="95"/>
      <c r="E685" s="14"/>
      <c r="F685" s="96"/>
      <c r="H685" s="14"/>
      <c r="I685" s="14"/>
      <c r="J685" s="14"/>
      <c r="K685" s="14"/>
      <c r="L685" s="14"/>
      <c r="M685" s="14"/>
      <c r="N685" s="14"/>
      <c r="O685" s="14"/>
      <c r="P685" s="14"/>
    </row>
    <row r="686">
      <c r="A686" s="12"/>
      <c r="D686" s="95"/>
      <c r="E686" s="14"/>
      <c r="F686" s="96"/>
      <c r="H686" s="14"/>
      <c r="I686" s="14"/>
      <c r="J686" s="14"/>
      <c r="K686" s="14"/>
      <c r="L686" s="14"/>
      <c r="M686" s="14"/>
      <c r="N686" s="14"/>
      <c r="O686" s="14"/>
      <c r="P686" s="14"/>
    </row>
    <row r="687">
      <c r="A687" s="12"/>
      <c r="D687" s="95"/>
      <c r="E687" s="14"/>
      <c r="F687" s="96"/>
      <c r="H687" s="14"/>
      <c r="I687" s="14"/>
      <c r="J687" s="14"/>
      <c r="K687" s="14"/>
      <c r="L687" s="14"/>
      <c r="M687" s="14"/>
      <c r="N687" s="14"/>
      <c r="O687" s="14"/>
      <c r="P687" s="14"/>
    </row>
    <row r="688">
      <c r="A688" s="12"/>
      <c r="D688" s="95"/>
      <c r="E688" s="14"/>
      <c r="F688" s="96"/>
      <c r="H688" s="14"/>
      <c r="I688" s="14"/>
      <c r="J688" s="14"/>
      <c r="K688" s="14"/>
      <c r="L688" s="14"/>
      <c r="M688" s="14"/>
      <c r="N688" s="14"/>
      <c r="O688" s="14"/>
      <c r="P688" s="14"/>
    </row>
    <row r="689">
      <c r="A689" s="12"/>
      <c r="D689" s="95"/>
      <c r="E689" s="14"/>
      <c r="F689" s="96"/>
      <c r="H689" s="14"/>
      <c r="I689" s="14"/>
      <c r="J689" s="14"/>
      <c r="K689" s="14"/>
      <c r="L689" s="14"/>
      <c r="M689" s="14"/>
      <c r="N689" s="14"/>
      <c r="O689" s="14"/>
      <c r="P689" s="14"/>
    </row>
    <row r="690">
      <c r="A690" s="12"/>
      <c r="D690" s="95"/>
      <c r="E690" s="14"/>
      <c r="F690" s="96"/>
      <c r="H690" s="14"/>
      <c r="I690" s="14"/>
      <c r="J690" s="14"/>
      <c r="K690" s="14"/>
      <c r="L690" s="14"/>
      <c r="M690" s="14"/>
      <c r="N690" s="14"/>
      <c r="O690" s="14"/>
      <c r="P690" s="14"/>
    </row>
    <row r="691">
      <c r="A691" s="12"/>
      <c r="D691" s="95"/>
      <c r="E691" s="14"/>
      <c r="F691" s="96"/>
      <c r="H691" s="14"/>
      <c r="I691" s="14"/>
      <c r="J691" s="14"/>
      <c r="K691" s="14"/>
      <c r="L691" s="14"/>
      <c r="M691" s="14"/>
      <c r="N691" s="14"/>
      <c r="O691" s="14"/>
      <c r="P691" s="14"/>
    </row>
    <row r="692">
      <c r="A692" s="12"/>
      <c r="D692" s="95"/>
      <c r="E692" s="14"/>
      <c r="F692" s="96"/>
      <c r="H692" s="14"/>
      <c r="I692" s="14"/>
      <c r="J692" s="14"/>
      <c r="K692" s="14"/>
      <c r="L692" s="14"/>
      <c r="M692" s="14"/>
      <c r="N692" s="14"/>
      <c r="O692" s="14"/>
      <c r="P692" s="14"/>
    </row>
    <row r="693">
      <c r="A693" s="12"/>
      <c r="D693" s="95"/>
      <c r="E693" s="14"/>
      <c r="F693" s="96"/>
      <c r="H693" s="14"/>
      <c r="I693" s="14"/>
      <c r="J693" s="14"/>
      <c r="K693" s="14"/>
      <c r="L693" s="14"/>
      <c r="M693" s="14"/>
      <c r="N693" s="14"/>
      <c r="O693" s="14"/>
      <c r="P693" s="14"/>
    </row>
    <row r="694">
      <c r="A694" s="12"/>
      <c r="D694" s="95"/>
      <c r="E694" s="14"/>
      <c r="F694" s="96"/>
      <c r="H694" s="14"/>
      <c r="I694" s="14"/>
      <c r="J694" s="14"/>
      <c r="K694" s="14"/>
      <c r="L694" s="14"/>
      <c r="M694" s="14"/>
      <c r="N694" s="14"/>
      <c r="O694" s="14"/>
      <c r="P694" s="14"/>
    </row>
    <row r="695">
      <c r="A695" s="12"/>
      <c r="D695" s="95"/>
      <c r="E695" s="14"/>
      <c r="F695" s="96"/>
      <c r="H695" s="14"/>
      <c r="I695" s="14"/>
      <c r="J695" s="14"/>
      <c r="K695" s="14"/>
      <c r="L695" s="14"/>
      <c r="M695" s="14"/>
      <c r="N695" s="14"/>
      <c r="O695" s="14"/>
      <c r="P695" s="14"/>
    </row>
    <row r="696">
      <c r="A696" s="12"/>
      <c r="D696" s="95"/>
      <c r="E696" s="14"/>
      <c r="F696" s="96"/>
      <c r="H696" s="14"/>
      <c r="I696" s="14"/>
      <c r="J696" s="14"/>
      <c r="K696" s="14"/>
      <c r="L696" s="14"/>
      <c r="M696" s="14"/>
      <c r="N696" s="14"/>
      <c r="O696" s="14"/>
      <c r="P696" s="14"/>
    </row>
    <row r="697">
      <c r="A697" s="12"/>
      <c r="D697" s="95"/>
      <c r="E697" s="14"/>
      <c r="F697" s="96"/>
      <c r="H697" s="14"/>
      <c r="I697" s="14"/>
      <c r="J697" s="14"/>
      <c r="K697" s="14"/>
      <c r="L697" s="14"/>
      <c r="M697" s="14"/>
      <c r="N697" s="14"/>
      <c r="O697" s="14"/>
      <c r="P697" s="14"/>
    </row>
    <row r="698">
      <c r="A698" s="12"/>
      <c r="D698" s="95"/>
      <c r="E698" s="14"/>
      <c r="F698" s="96"/>
      <c r="H698" s="14"/>
      <c r="I698" s="14"/>
      <c r="J698" s="14"/>
      <c r="K698" s="14"/>
      <c r="L698" s="14"/>
      <c r="M698" s="14"/>
      <c r="N698" s="14"/>
      <c r="O698" s="14"/>
      <c r="P698" s="14"/>
    </row>
    <row r="699">
      <c r="A699" s="12"/>
      <c r="D699" s="95"/>
      <c r="E699" s="14"/>
      <c r="F699" s="96"/>
      <c r="H699" s="14"/>
      <c r="I699" s="14"/>
      <c r="J699" s="14"/>
      <c r="K699" s="14"/>
      <c r="L699" s="14"/>
      <c r="M699" s="14"/>
      <c r="N699" s="14"/>
      <c r="O699" s="14"/>
      <c r="P699" s="14"/>
    </row>
    <row r="700">
      <c r="A700" s="12"/>
      <c r="D700" s="95"/>
      <c r="E700" s="14"/>
      <c r="F700" s="96"/>
      <c r="H700" s="14"/>
      <c r="I700" s="14"/>
      <c r="J700" s="14"/>
      <c r="K700" s="14"/>
      <c r="L700" s="14"/>
      <c r="M700" s="14"/>
      <c r="N700" s="14"/>
      <c r="O700" s="14"/>
      <c r="P700" s="14"/>
    </row>
    <row r="701">
      <c r="A701" s="12"/>
      <c r="D701" s="95"/>
      <c r="E701" s="14"/>
      <c r="F701" s="96"/>
      <c r="H701" s="14"/>
      <c r="I701" s="14"/>
      <c r="J701" s="14"/>
      <c r="K701" s="14"/>
      <c r="L701" s="14"/>
      <c r="M701" s="14"/>
      <c r="N701" s="14"/>
      <c r="O701" s="14"/>
      <c r="P701" s="14"/>
    </row>
    <row r="702">
      <c r="A702" s="12"/>
      <c r="D702" s="95"/>
      <c r="E702" s="14"/>
      <c r="F702" s="96"/>
      <c r="H702" s="14"/>
      <c r="I702" s="14"/>
      <c r="J702" s="14"/>
      <c r="K702" s="14"/>
      <c r="L702" s="14"/>
      <c r="M702" s="14"/>
      <c r="N702" s="14"/>
      <c r="O702" s="14"/>
      <c r="P702" s="14"/>
    </row>
    <row r="703">
      <c r="A703" s="12"/>
      <c r="D703" s="95"/>
      <c r="E703" s="14"/>
      <c r="F703" s="96"/>
      <c r="H703" s="14"/>
      <c r="I703" s="14"/>
      <c r="J703" s="14"/>
      <c r="K703" s="14"/>
      <c r="L703" s="14"/>
      <c r="M703" s="14"/>
      <c r="N703" s="14"/>
      <c r="O703" s="14"/>
      <c r="P703" s="14"/>
    </row>
    <row r="704">
      <c r="A704" s="12"/>
      <c r="D704" s="95"/>
      <c r="E704" s="14"/>
      <c r="F704" s="96"/>
      <c r="H704" s="14"/>
      <c r="I704" s="14"/>
      <c r="J704" s="14"/>
      <c r="K704" s="14"/>
      <c r="L704" s="14"/>
      <c r="M704" s="14"/>
      <c r="N704" s="14"/>
      <c r="O704" s="14"/>
      <c r="P704" s="14"/>
    </row>
    <row r="705">
      <c r="A705" s="12"/>
      <c r="D705" s="95"/>
      <c r="E705" s="14"/>
      <c r="F705" s="96"/>
      <c r="H705" s="14"/>
      <c r="I705" s="14"/>
      <c r="J705" s="14"/>
      <c r="K705" s="14"/>
      <c r="L705" s="14"/>
      <c r="M705" s="14"/>
      <c r="N705" s="14"/>
      <c r="O705" s="14"/>
      <c r="P705" s="14"/>
    </row>
    <row r="706">
      <c r="A706" s="12"/>
      <c r="D706" s="95"/>
      <c r="E706" s="14"/>
      <c r="F706" s="96"/>
      <c r="H706" s="14"/>
      <c r="I706" s="14"/>
      <c r="J706" s="14"/>
      <c r="K706" s="14"/>
      <c r="L706" s="14"/>
      <c r="M706" s="14"/>
      <c r="N706" s="14"/>
      <c r="O706" s="14"/>
      <c r="P706" s="14"/>
    </row>
    <row r="707">
      <c r="A707" s="12"/>
      <c r="D707" s="95"/>
      <c r="E707" s="14"/>
      <c r="F707" s="96"/>
      <c r="H707" s="14"/>
      <c r="I707" s="14"/>
      <c r="J707" s="14"/>
      <c r="K707" s="14"/>
      <c r="L707" s="14"/>
      <c r="M707" s="14"/>
      <c r="N707" s="14"/>
      <c r="O707" s="14"/>
      <c r="P707" s="14"/>
    </row>
    <row r="708">
      <c r="A708" s="12"/>
      <c r="D708" s="95"/>
      <c r="E708" s="14"/>
      <c r="F708" s="96"/>
      <c r="H708" s="14"/>
      <c r="I708" s="14"/>
      <c r="J708" s="14"/>
      <c r="K708" s="14"/>
      <c r="L708" s="14"/>
      <c r="M708" s="14"/>
      <c r="N708" s="14"/>
      <c r="O708" s="14"/>
      <c r="P708" s="14"/>
    </row>
    <row r="709">
      <c r="A709" s="12"/>
      <c r="D709" s="95"/>
      <c r="E709" s="14"/>
      <c r="F709" s="96"/>
      <c r="H709" s="14"/>
      <c r="I709" s="14"/>
      <c r="J709" s="14"/>
      <c r="K709" s="14"/>
      <c r="L709" s="14"/>
      <c r="M709" s="14"/>
      <c r="N709" s="14"/>
      <c r="O709" s="14"/>
      <c r="P709" s="14"/>
    </row>
    <row r="710">
      <c r="A710" s="12"/>
      <c r="D710" s="95"/>
      <c r="E710" s="14"/>
      <c r="F710" s="96"/>
      <c r="H710" s="14"/>
      <c r="I710" s="14"/>
      <c r="J710" s="14"/>
      <c r="K710" s="14"/>
      <c r="L710" s="14"/>
      <c r="M710" s="14"/>
      <c r="N710" s="14"/>
      <c r="O710" s="14"/>
      <c r="P710" s="14"/>
    </row>
    <row r="711">
      <c r="A711" s="12"/>
      <c r="D711" s="95"/>
      <c r="E711" s="14"/>
      <c r="F711" s="96"/>
      <c r="H711" s="14"/>
      <c r="I711" s="14"/>
      <c r="J711" s="14"/>
      <c r="K711" s="14"/>
      <c r="L711" s="14"/>
      <c r="M711" s="14"/>
      <c r="N711" s="14"/>
      <c r="O711" s="14"/>
      <c r="P711" s="14"/>
    </row>
    <row r="712">
      <c r="A712" s="12"/>
      <c r="D712" s="95"/>
      <c r="E712" s="14"/>
      <c r="F712" s="96"/>
      <c r="H712" s="14"/>
      <c r="I712" s="14"/>
      <c r="J712" s="14"/>
      <c r="K712" s="14"/>
      <c r="L712" s="14"/>
      <c r="M712" s="14"/>
      <c r="N712" s="14"/>
      <c r="O712" s="14"/>
      <c r="P712" s="14"/>
    </row>
    <row r="713">
      <c r="A713" s="12"/>
      <c r="D713" s="95"/>
      <c r="E713" s="14"/>
      <c r="F713" s="96"/>
      <c r="H713" s="14"/>
      <c r="I713" s="14"/>
      <c r="J713" s="14"/>
      <c r="K713" s="14"/>
      <c r="L713" s="14"/>
      <c r="M713" s="14"/>
      <c r="N713" s="14"/>
      <c r="O713" s="14"/>
      <c r="P713" s="14"/>
    </row>
    <row r="714">
      <c r="A714" s="12"/>
      <c r="D714" s="95"/>
      <c r="E714" s="14"/>
      <c r="F714" s="96"/>
      <c r="H714" s="14"/>
      <c r="I714" s="14"/>
      <c r="J714" s="14"/>
      <c r="K714" s="14"/>
      <c r="L714" s="14"/>
      <c r="M714" s="14"/>
      <c r="N714" s="14"/>
      <c r="O714" s="14"/>
      <c r="P714" s="14"/>
    </row>
    <row r="715">
      <c r="A715" s="12"/>
      <c r="D715" s="95"/>
      <c r="E715" s="14"/>
      <c r="F715" s="96"/>
      <c r="H715" s="14"/>
      <c r="I715" s="14"/>
      <c r="J715" s="14"/>
      <c r="K715" s="14"/>
      <c r="L715" s="14"/>
      <c r="M715" s="14"/>
      <c r="N715" s="14"/>
      <c r="O715" s="14"/>
      <c r="P715" s="14"/>
    </row>
    <row r="716">
      <c r="A716" s="12"/>
      <c r="D716" s="95"/>
      <c r="E716" s="14"/>
      <c r="F716" s="96"/>
      <c r="H716" s="14"/>
      <c r="I716" s="14"/>
      <c r="J716" s="14"/>
      <c r="K716" s="14"/>
      <c r="L716" s="14"/>
      <c r="M716" s="14"/>
      <c r="N716" s="14"/>
      <c r="O716" s="14"/>
      <c r="P716" s="14"/>
    </row>
    <row r="717">
      <c r="A717" s="12"/>
      <c r="D717" s="95"/>
      <c r="E717" s="14"/>
      <c r="F717" s="96"/>
      <c r="H717" s="14"/>
      <c r="I717" s="14"/>
      <c r="J717" s="14"/>
      <c r="K717" s="14"/>
      <c r="L717" s="14"/>
      <c r="M717" s="14"/>
      <c r="N717" s="14"/>
      <c r="O717" s="14"/>
      <c r="P717" s="14"/>
    </row>
    <row r="718">
      <c r="A718" s="12"/>
      <c r="D718" s="95"/>
      <c r="E718" s="14"/>
      <c r="F718" s="96"/>
      <c r="H718" s="14"/>
      <c r="I718" s="14"/>
      <c r="J718" s="14"/>
      <c r="K718" s="14"/>
      <c r="L718" s="14"/>
      <c r="M718" s="14"/>
      <c r="N718" s="14"/>
      <c r="O718" s="14"/>
      <c r="P718" s="14"/>
    </row>
    <row r="719">
      <c r="A719" s="12"/>
      <c r="D719" s="95"/>
      <c r="E719" s="14"/>
      <c r="F719" s="96"/>
      <c r="H719" s="14"/>
      <c r="I719" s="14"/>
      <c r="J719" s="14"/>
      <c r="K719" s="14"/>
      <c r="L719" s="14"/>
      <c r="M719" s="14"/>
      <c r="N719" s="14"/>
      <c r="O719" s="14"/>
      <c r="P719" s="14"/>
    </row>
    <row r="720">
      <c r="A720" s="12"/>
      <c r="D720" s="95"/>
      <c r="E720" s="14"/>
      <c r="F720" s="96"/>
      <c r="H720" s="14"/>
      <c r="I720" s="14"/>
      <c r="J720" s="14"/>
      <c r="K720" s="14"/>
      <c r="L720" s="14"/>
      <c r="M720" s="14"/>
      <c r="N720" s="14"/>
      <c r="O720" s="14"/>
      <c r="P720" s="14"/>
    </row>
    <row r="721">
      <c r="A721" s="12"/>
      <c r="D721" s="95"/>
      <c r="E721" s="14"/>
      <c r="F721" s="96"/>
      <c r="H721" s="14"/>
      <c r="I721" s="14"/>
      <c r="J721" s="14"/>
      <c r="K721" s="14"/>
      <c r="L721" s="14"/>
      <c r="M721" s="14"/>
      <c r="N721" s="14"/>
      <c r="O721" s="14"/>
      <c r="P721" s="14"/>
    </row>
    <row r="722">
      <c r="A722" s="12"/>
      <c r="D722" s="95"/>
      <c r="E722" s="14"/>
      <c r="F722" s="96"/>
      <c r="H722" s="14"/>
      <c r="I722" s="14"/>
      <c r="J722" s="14"/>
      <c r="K722" s="14"/>
      <c r="L722" s="14"/>
      <c r="M722" s="14"/>
      <c r="N722" s="14"/>
      <c r="O722" s="14"/>
      <c r="P722" s="14"/>
    </row>
    <row r="723">
      <c r="A723" s="12"/>
      <c r="D723" s="95"/>
      <c r="E723" s="14"/>
      <c r="F723" s="96"/>
      <c r="H723" s="14"/>
      <c r="I723" s="14"/>
      <c r="J723" s="14"/>
      <c r="K723" s="14"/>
      <c r="L723" s="14"/>
      <c r="M723" s="14"/>
      <c r="N723" s="14"/>
      <c r="O723" s="14"/>
      <c r="P723" s="14"/>
    </row>
    <row r="724">
      <c r="A724" s="12"/>
      <c r="D724" s="95"/>
      <c r="E724" s="14"/>
      <c r="F724" s="96"/>
      <c r="H724" s="14"/>
      <c r="I724" s="14"/>
      <c r="J724" s="14"/>
      <c r="K724" s="14"/>
      <c r="L724" s="14"/>
      <c r="M724" s="14"/>
      <c r="N724" s="14"/>
      <c r="O724" s="14"/>
      <c r="P724" s="14"/>
    </row>
    <row r="725">
      <c r="A725" s="12"/>
      <c r="D725" s="95"/>
      <c r="E725" s="14"/>
      <c r="F725" s="96"/>
      <c r="H725" s="14"/>
      <c r="I725" s="14"/>
      <c r="J725" s="14"/>
      <c r="K725" s="14"/>
      <c r="L725" s="14"/>
      <c r="M725" s="14"/>
      <c r="N725" s="14"/>
      <c r="O725" s="14"/>
      <c r="P725" s="14"/>
    </row>
    <row r="726">
      <c r="A726" s="12"/>
      <c r="D726" s="95"/>
      <c r="E726" s="14"/>
      <c r="F726" s="96"/>
      <c r="H726" s="14"/>
      <c r="I726" s="14"/>
      <c r="J726" s="14"/>
      <c r="K726" s="14"/>
      <c r="L726" s="14"/>
      <c r="M726" s="14"/>
      <c r="N726" s="14"/>
      <c r="O726" s="14"/>
      <c r="P726" s="14"/>
    </row>
    <row r="727">
      <c r="A727" s="12"/>
      <c r="D727" s="95"/>
      <c r="E727" s="14"/>
      <c r="F727" s="96"/>
      <c r="H727" s="14"/>
      <c r="I727" s="14"/>
      <c r="J727" s="14"/>
      <c r="K727" s="14"/>
      <c r="L727" s="14"/>
      <c r="M727" s="14"/>
      <c r="N727" s="14"/>
      <c r="O727" s="14"/>
      <c r="P727" s="14"/>
    </row>
    <row r="728">
      <c r="A728" s="12"/>
      <c r="D728" s="95"/>
      <c r="E728" s="14"/>
      <c r="F728" s="96"/>
      <c r="H728" s="14"/>
      <c r="I728" s="14"/>
      <c r="J728" s="14"/>
      <c r="K728" s="14"/>
      <c r="L728" s="14"/>
      <c r="M728" s="14"/>
      <c r="N728" s="14"/>
      <c r="O728" s="14"/>
      <c r="P728" s="14"/>
    </row>
    <row r="729">
      <c r="A729" s="12"/>
      <c r="D729" s="95"/>
      <c r="E729" s="14"/>
      <c r="F729" s="96"/>
      <c r="H729" s="14"/>
      <c r="I729" s="14"/>
      <c r="J729" s="14"/>
      <c r="K729" s="14"/>
      <c r="L729" s="14"/>
      <c r="M729" s="14"/>
      <c r="N729" s="14"/>
      <c r="O729" s="14"/>
      <c r="P729" s="14"/>
    </row>
    <row r="730">
      <c r="A730" s="12"/>
      <c r="D730" s="95"/>
      <c r="E730" s="14"/>
      <c r="F730" s="96"/>
      <c r="H730" s="14"/>
      <c r="I730" s="14"/>
      <c r="J730" s="14"/>
      <c r="K730" s="14"/>
      <c r="L730" s="14"/>
      <c r="M730" s="14"/>
      <c r="N730" s="14"/>
      <c r="O730" s="14"/>
      <c r="P730" s="14"/>
    </row>
    <row r="731">
      <c r="A731" s="12"/>
      <c r="D731" s="95"/>
      <c r="E731" s="14"/>
      <c r="F731" s="96"/>
      <c r="H731" s="14"/>
      <c r="I731" s="14"/>
      <c r="J731" s="14"/>
      <c r="K731" s="14"/>
      <c r="L731" s="14"/>
      <c r="M731" s="14"/>
      <c r="N731" s="14"/>
      <c r="O731" s="14"/>
      <c r="P731" s="14"/>
    </row>
    <row r="732">
      <c r="A732" s="12"/>
      <c r="D732" s="95"/>
      <c r="E732" s="14"/>
      <c r="F732" s="96"/>
      <c r="H732" s="14"/>
      <c r="I732" s="14"/>
      <c r="J732" s="14"/>
      <c r="K732" s="14"/>
      <c r="L732" s="14"/>
      <c r="M732" s="14"/>
      <c r="N732" s="14"/>
      <c r="O732" s="14"/>
      <c r="P732" s="14"/>
    </row>
    <row r="733">
      <c r="A733" s="12"/>
      <c r="D733" s="95"/>
      <c r="E733" s="14"/>
      <c r="F733" s="96"/>
      <c r="H733" s="14"/>
      <c r="I733" s="14"/>
      <c r="J733" s="14"/>
      <c r="K733" s="14"/>
      <c r="L733" s="14"/>
      <c r="M733" s="14"/>
      <c r="N733" s="14"/>
      <c r="O733" s="14"/>
      <c r="P733" s="14"/>
    </row>
    <row r="734">
      <c r="A734" s="12"/>
      <c r="D734" s="95"/>
      <c r="E734" s="14"/>
      <c r="F734" s="96"/>
      <c r="H734" s="14"/>
      <c r="I734" s="14"/>
      <c r="J734" s="14"/>
      <c r="K734" s="14"/>
      <c r="L734" s="14"/>
      <c r="M734" s="14"/>
      <c r="N734" s="14"/>
      <c r="O734" s="14"/>
      <c r="P734" s="14"/>
    </row>
    <row r="735">
      <c r="A735" s="12"/>
      <c r="D735" s="95"/>
      <c r="E735" s="14"/>
      <c r="F735" s="96"/>
      <c r="H735" s="14"/>
      <c r="I735" s="14"/>
      <c r="J735" s="14"/>
      <c r="K735" s="14"/>
      <c r="L735" s="14"/>
      <c r="M735" s="14"/>
      <c r="N735" s="14"/>
      <c r="O735" s="14"/>
      <c r="P735" s="14"/>
    </row>
    <row r="736">
      <c r="A736" s="12"/>
      <c r="D736" s="95"/>
      <c r="E736" s="14"/>
      <c r="F736" s="96"/>
      <c r="H736" s="14"/>
      <c r="I736" s="14"/>
      <c r="J736" s="14"/>
      <c r="K736" s="14"/>
      <c r="L736" s="14"/>
      <c r="M736" s="14"/>
      <c r="N736" s="14"/>
      <c r="O736" s="14"/>
      <c r="P736" s="14"/>
    </row>
    <row r="737">
      <c r="A737" s="12"/>
      <c r="D737" s="95"/>
      <c r="E737" s="14"/>
      <c r="F737" s="96"/>
      <c r="H737" s="14"/>
      <c r="I737" s="14"/>
      <c r="J737" s="14"/>
      <c r="K737" s="14"/>
      <c r="L737" s="14"/>
      <c r="M737" s="14"/>
      <c r="N737" s="14"/>
      <c r="O737" s="14"/>
      <c r="P737" s="14"/>
    </row>
    <row r="738">
      <c r="A738" s="12"/>
      <c r="D738" s="95"/>
      <c r="E738" s="14"/>
      <c r="F738" s="96"/>
      <c r="H738" s="14"/>
      <c r="I738" s="14"/>
      <c r="J738" s="14"/>
      <c r="K738" s="14"/>
      <c r="L738" s="14"/>
      <c r="M738" s="14"/>
      <c r="N738" s="14"/>
      <c r="O738" s="14"/>
      <c r="P738" s="14"/>
    </row>
    <row r="739">
      <c r="A739" s="12"/>
      <c r="D739" s="95"/>
      <c r="E739" s="14"/>
      <c r="F739" s="96"/>
      <c r="H739" s="14"/>
      <c r="I739" s="14"/>
      <c r="J739" s="14"/>
      <c r="K739" s="14"/>
      <c r="L739" s="14"/>
      <c r="M739" s="14"/>
      <c r="N739" s="14"/>
      <c r="O739" s="14"/>
      <c r="P739" s="14"/>
    </row>
    <row r="740">
      <c r="A740" s="12"/>
      <c r="D740" s="95"/>
      <c r="E740" s="14"/>
      <c r="F740" s="96"/>
      <c r="H740" s="14"/>
      <c r="I740" s="14"/>
      <c r="J740" s="14"/>
      <c r="K740" s="14"/>
      <c r="L740" s="14"/>
      <c r="M740" s="14"/>
      <c r="N740" s="14"/>
      <c r="O740" s="14"/>
      <c r="P740" s="14"/>
    </row>
    <row r="741">
      <c r="A741" s="12"/>
      <c r="D741" s="95"/>
      <c r="E741" s="14"/>
      <c r="F741" s="96"/>
      <c r="H741" s="14"/>
      <c r="I741" s="14"/>
      <c r="J741" s="14"/>
      <c r="K741" s="14"/>
      <c r="L741" s="14"/>
      <c r="M741" s="14"/>
      <c r="N741" s="14"/>
      <c r="O741" s="14"/>
      <c r="P741" s="14"/>
    </row>
    <row r="742">
      <c r="A742" s="12"/>
      <c r="D742" s="95"/>
      <c r="E742" s="14"/>
      <c r="F742" s="96"/>
      <c r="H742" s="14"/>
      <c r="I742" s="14"/>
      <c r="J742" s="14"/>
      <c r="K742" s="14"/>
      <c r="L742" s="14"/>
      <c r="M742" s="14"/>
      <c r="N742" s="14"/>
      <c r="O742" s="14"/>
      <c r="P742" s="14"/>
    </row>
    <row r="743">
      <c r="A743" s="12"/>
      <c r="D743" s="95"/>
      <c r="E743" s="14"/>
      <c r="F743" s="96"/>
      <c r="H743" s="14"/>
      <c r="I743" s="14"/>
      <c r="J743" s="14"/>
      <c r="K743" s="14"/>
      <c r="L743" s="14"/>
      <c r="M743" s="14"/>
      <c r="N743" s="14"/>
      <c r="O743" s="14"/>
      <c r="P743" s="14"/>
    </row>
    <row r="744">
      <c r="A744" s="12"/>
      <c r="D744" s="95"/>
      <c r="E744" s="14"/>
      <c r="F744" s="96"/>
      <c r="H744" s="14"/>
      <c r="I744" s="14"/>
      <c r="J744" s="14"/>
      <c r="K744" s="14"/>
      <c r="L744" s="14"/>
      <c r="M744" s="14"/>
      <c r="N744" s="14"/>
      <c r="O744" s="14"/>
      <c r="P744" s="14"/>
    </row>
    <row r="745">
      <c r="A745" s="12"/>
      <c r="D745" s="95"/>
      <c r="E745" s="14"/>
      <c r="F745" s="96"/>
      <c r="H745" s="14"/>
      <c r="I745" s="14"/>
      <c r="J745" s="14"/>
      <c r="K745" s="14"/>
      <c r="L745" s="14"/>
      <c r="M745" s="14"/>
      <c r="N745" s="14"/>
      <c r="O745" s="14"/>
      <c r="P745" s="14"/>
    </row>
    <row r="746">
      <c r="A746" s="12"/>
      <c r="D746" s="95"/>
      <c r="E746" s="14"/>
      <c r="F746" s="96"/>
      <c r="H746" s="14"/>
      <c r="I746" s="14"/>
      <c r="J746" s="14"/>
      <c r="K746" s="14"/>
      <c r="L746" s="14"/>
      <c r="M746" s="14"/>
      <c r="N746" s="14"/>
      <c r="O746" s="14"/>
      <c r="P746" s="14"/>
    </row>
    <row r="747">
      <c r="A747" s="12"/>
      <c r="D747" s="95"/>
      <c r="E747" s="14"/>
      <c r="F747" s="96"/>
      <c r="H747" s="14"/>
      <c r="I747" s="14"/>
      <c r="J747" s="14"/>
      <c r="K747" s="14"/>
      <c r="L747" s="14"/>
      <c r="M747" s="14"/>
      <c r="N747" s="14"/>
      <c r="O747" s="14"/>
      <c r="P747" s="14"/>
    </row>
    <row r="748">
      <c r="A748" s="12"/>
      <c r="D748" s="95"/>
      <c r="E748" s="14"/>
      <c r="F748" s="96"/>
      <c r="H748" s="14"/>
      <c r="I748" s="14"/>
      <c r="J748" s="14"/>
      <c r="K748" s="14"/>
      <c r="L748" s="14"/>
      <c r="M748" s="14"/>
      <c r="N748" s="14"/>
      <c r="O748" s="14"/>
      <c r="P748" s="14"/>
    </row>
    <row r="749">
      <c r="A749" s="12"/>
      <c r="D749" s="95"/>
      <c r="E749" s="14"/>
      <c r="F749" s="96"/>
      <c r="H749" s="14"/>
      <c r="I749" s="14"/>
      <c r="J749" s="14"/>
      <c r="K749" s="14"/>
      <c r="L749" s="14"/>
      <c r="M749" s="14"/>
      <c r="N749" s="14"/>
      <c r="O749" s="14"/>
      <c r="P749" s="14"/>
    </row>
    <row r="750">
      <c r="A750" s="12"/>
      <c r="D750" s="95"/>
      <c r="E750" s="14"/>
      <c r="F750" s="96"/>
      <c r="H750" s="14"/>
      <c r="I750" s="14"/>
      <c r="J750" s="14"/>
      <c r="K750" s="14"/>
      <c r="L750" s="14"/>
      <c r="M750" s="14"/>
      <c r="N750" s="14"/>
      <c r="O750" s="14"/>
      <c r="P750" s="14"/>
    </row>
    <row r="751">
      <c r="A751" s="12"/>
      <c r="D751" s="95"/>
      <c r="E751" s="14"/>
      <c r="F751" s="96"/>
      <c r="H751" s="14"/>
      <c r="I751" s="14"/>
      <c r="J751" s="14"/>
      <c r="K751" s="14"/>
      <c r="L751" s="14"/>
      <c r="M751" s="14"/>
      <c r="N751" s="14"/>
      <c r="O751" s="14"/>
      <c r="P751" s="14"/>
    </row>
    <row r="752">
      <c r="A752" s="12"/>
      <c r="D752" s="95"/>
      <c r="E752" s="14"/>
      <c r="F752" s="96"/>
      <c r="H752" s="14"/>
      <c r="I752" s="14"/>
      <c r="J752" s="14"/>
      <c r="K752" s="14"/>
      <c r="L752" s="14"/>
      <c r="M752" s="14"/>
      <c r="N752" s="14"/>
      <c r="O752" s="14"/>
      <c r="P752" s="14"/>
    </row>
    <row r="753">
      <c r="A753" s="12"/>
      <c r="D753" s="95"/>
      <c r="E753" s="14"/>
      <c r="F753" s="96"/>
      <c r="H753" s="14"/>
      <c r="I753" s="14"/>
      <c r="J753" s="14"/>
      <c r="K753" s="14"/>
      <c r="L753" s="14"/>
      <c r="M753" s="14"/>
      <c r="N753" s="14"/>
      <c r="O753" s="14"/>
      <c r="P753" s="14"/>
    </row>
    <row r="754">
      <c r="A754" s="12"/>
      <c r="D754" s="95"/>
      <c r="E754" s="14"/>
      <c r="F754" s="96"/>
      <c r="H754" s="14"/>
      <c r="I754" s="14"/>
      <c r="J754" s="14"/>
      <c r="K754" s="14"/>
      <c r="L754" s="14"/>
      <c r="M754" s="14"/>
      <c r="N754" s="14"/>
      <c r="O754" s="14"/>
      <c r="P754" s="14"/>
    </row>
    <row r="755">
      <c r="A755" s="12"/>
      <c r="D755" s="95"/>
      <c r="E755" s="14"/>
      <c r="F755" s="96"/>
      <c r="H755" s="14"/>
      <c r="I755" s="14"/>
      <c r="J755" s="14"/>
      <c r="K755" s="14"/>
      <c r="L755" s="14"/>
      <c r="M755" s="14"/>
      <c r="N755" s="14"/>
      <c r="O755" s="14"/>
      <c r="P755" s="14"/>
    </row>
    <row r="756">
      <c r="A756" s="12"/>
      <c r="D756" s="95"/>
      <c r="E756" s="14"/>
      <c r="F756" s="96"/>
      <c r="H756" s="14"/>
      <c r="I756" s="14"/>
      <c r="J756" s="14"/>
      <c r="K756" s="14"/>
      <c r="L756" s="14"/>
      <c r="M756" s="14"/>
      <c r="N756" s="14"/>
      <c r="O756" s="14"/>
      <c r="P756" s="14"/>
    </row>
    <row r="757">
      <c r="A757" s="12"/>
      <c r="D757" s="95"/>
      <c r="E757" s="14"/>
      <c r="F757" s="96"/>
      <c r="H757" s="14"/>
      <c r="I757" s="14"/>
      <c r="J757" s="14"/>
      <c r="K757" s="14"/>
      <c r="L757" s="14"/>
      <c r="M757" s="14"/>
      <c r="N757" s="14"/>
      <c r="O757" s="14"/>
      <c r="P757" s="14"/>
    </row>
    <row r="758">
      <c r="A758" s="12"/>
      <c r="D758" s="95"/>
      <c r="E758" s="14"/>
      <c r="F758" s="96"/>
      <c r="H758" s="14"/>
      <c r="I758" s="14"/>
      <c r="J758" s="14"/>
      <c r="K758" s="14"/>
      <c r="L758" s="14"/>
      <c r="M758" s="14"/>
      <c r="N758" s="14"/>
      <c r="O758" s="14"/>
      <c r="P758" s="14"/>
    </row>
    <row r="759">
      <c r="A759" s="12"/>
      <c r="D759" s="95"/>
      <c r="E759" s="14"/>
      <c r="F759" s="96"/>
      <c r="H759" s="14"/>
      <c r="I759" s="14"/>
      <c r="J759" s="14"/>
      <c r="K759" s="14"/>
      <c r="L759" s="14"/>
      <c r="M759" s="14"/>
      <c r="N759" s="14"/>
      <c r="O759" s="14"/>
      <c r="P759" s="14"/>
    </row>
    <row r="760">
      <c r="A760" s="12"/>
      <c r="D760" s="95"/>
      <c r="E760" s="14"/>
      <c r="F760" s="96"/>
      <c r="H760" s="14"/>
      <c r="I760" s="14"/>
      <c r="J760" s="14"/>
      <c r="K760" s="14"/>
      <c r="L760" s="14"/>
      <c r="M760" s="14"/>
      <c r="N760" s="14"/>
      <c r="O760" s="14"/>
      <c r="P760" s="14"/>
    </row>
    <row r="761">
      <c r="A761" s="12"/>
      <c r="D761" s="95"/>
      <c r="E761" s="14"/>
      <c r="F761" s="96"/>
      <c r="H761" s="14"/>
      <c r="I761" s="14"/>
      <c r="J761" s="14"/>
      <c r="K761" s="14"/>
      <c r="L761" s="14"/>
      <c r="M761" s="14"/>
      <c r="N761" s="14"/>
      <c r="O761" s="14"/>
      <c r="P761" s="14"/>
    </row>
    <row r="762">
      <c r="A762" s="12"/>
      <c r="D762" s="95"/>
      <c r="E762" s="14"/>
      <c r="F762" s="96"/>
      <c r="H762" s="14"/>
      <c r="I762" s="14"/>
      <c r="J762" s="14"/>
      <c r="K762" s="14"/>
      <c r="L762" s="14"/>
      <c r="M762" s="14"/>
      <c r="N762" s="14"/>
      <c r="O762" s="14"/>
      <c r="P762" s="14"/>
    </row>
    <row r="763">
      <c r="A763" s="12"/>
      <c r="D763" s="95"/>
      <c r="E763" s="14"/>
      <c r="F763" s="96"/>
      <c r="H763" s="14"/>
      <c r="I763" s="14"/>
      <c r="J763" s="14"/>
      <c r="K763" s="14"/>
      <c r="L763" s="14"/>
      <c r="M763" s="14"/>
      <c r="N763" s="14"/>
      <c r="O763" s="14"/>
      <c r="P763" s="14"/>
    </row>
    <row r="764">
      <c r="A764" s="12"/>
      <c r="D764" s="95"/>
      <c r="E764" s="14"/>
      <c r="F764" s="96"/>
      <c r="H764" s="14"/>
      <c r="I764" s="14"/>
      <c r="J764" s="14"/>
      <c r="K764" s="14"/>
      <c r="L764" s="14"/>
      <c r="M764" s="14"/>
      <c r="N764" s="14"/>
      <c r="O764" s="14"/>
      <c r="P764" s="14"/>
    </row>
    <row r="765">
      <c r="A765" s="12"/>
      <c r="D765" s="95"/>
      <c r="E765" s="14"/>
      <c r="F765" s="96"/>
      <c r="H765" s="14"/>
      <c r="I765" s="14"/>
      <c r="J765" s="14"/>
      <c r="K765" s="14"/>
      <c r="L765" s="14"/>
      <c r="M765" s="14"/>
      <c r="N765" s="14"/>
      <c r="O765" s="14"/>
      <c r="P765" s="14"/>
    </row>
    <row r="766">
      <c r="A766" s="12"/>
      <c r="D766" s="95"/>
      <c r="E766" s="14"/>
      <c r="F766" s="96"/>
      <c r="H766" s="14"/>
      <c r="I766" s="14"/>
      <c r="J766" s="14"/>
      <c r="K766" s="14"/>
      <c r="L766" s="14"/>
      <c r="M766" s="14"/>
      <c r="N766" s="14"/>
      <c r="O766" s="14"/>
      <c r="P766" s="14"/>
    </row>
    <row r="767">
      <c r="A767" s="12"/>
      <c r="D767" s="95"/>
      <c r="E767" s="14"/>
      <c r="F767" s="96"/>
      <c r="H767" s="14"/>
      <c r="I767" s="14"/>
      <c r="J767" s="14"/>
      <c r="K767" s="14"/>
      <c r="L767" s="14"/>
      <c r="M767" s="14"/>
      <c r="N767" s="14"/>
      <c r="O767" s="14"/>
      <c r="P767" s="14"/>
    </row>
    <row r="768">
      <c r="A768" s="12"/>
      <c r="D768" s="95"/>
      <c r="E768" s="14"/>
      <c r="F768" s="96"/>
      <c r="H768" s="14"/>
      <c r="I768" s="14"/>
      <c r="J768" s="14"/>
      <c r="K768" s="14"/>
      <c r="L768" s="14"/>
      <c r="M768" s="14"/>
      <c r="N768" s="14"/>
      <c r="O768" s="14"/>
      <c r="P768" s="14"/>
    </row>
    <row r="769">
      <c r="A769" s="12"/>
      <c r="D769" s="95"/>
      <c r="E769" s="14"/>
      <c r="F769" s="96"/>
      <c r="H769" s="14"/>
      <c r="I769" s="14"/>
      <c r="J769" s="14"/>
      <c r="K769" s="14"/>
      <c r="L769" s="14"/>
      <c r="M769" s="14"/>
      <c r="N769" s="14"/>
      <c r="O769" s="14"/>
      <c r="P769" s="14"/>
    </row>
    <row r="770">
      <c r="A770" s="12"/>
      <c r="D770" s="95"/>
      <c r="E770" s="14"/>
      <c r="F770" s="96"/>
      <c r="H770" s="14"/>
      <c r="I770" s="14"/>
      <c r="J770" s="14"/>
      <c r="K770" s="14"/>
      <c r="L770" s="14"/>
      <c r="M770" s="14"/>
      <c r="N770" s="14"/>
      <c r="O770" s="14"/>
      <c r="P770" s="14"/>
    </row>
    <row r="771">
      <c r="A771" s="12"/>
      <c r="D771" s="95"/>
      <c r="E771" s="14"/>
      <c r="F771" s="96"/>
      <c r="H771" s="14"/>
      <c r="I771" s="14"/>
      <c r="J771" s="14"/>
      <c r="K771" s="14"/>
      <c r="L771" s="14"/>
      <c r="M771" s="14"/>
      <c r="N771" s="14"/>
      <c r="O771" s="14"/>
      <c r="P771" s="14"/>
    </row>
    <row r="772">
      <c r="A772" s="12"/>
      <c r="D772" s="95"/>
      <c r="E772" s="14"/>
      <c r="F772" s="96"/>
      <c r="H772" s="14"/>
      <c r="I772" s="14"/>
      <c r="J772" s="14"/>
      <c r="K772" s="14"/>
      <c r="L772" s="14"/>
      <c r="M772" s="14"/>
      <c r="N772" s="14"/>
      <c r="O772" s="14"/>
      <c r="P772" s="14"/>
    </row>
    <row r="773">
      <c r="A773" s="12"/>
      <c r="D773" s="95"/>
      <c r="E773" s="14"/>
      <c r="F773" s="96"/>
      <c r="H773" s="14"/>
      <c r="I773" s="14"/>
      <c r="J773" s="14"/>
      <c r="K773" s="14"/>
      <c r="L773" s="14"/>
      <c r="M773" s="14"/>
      <c r="N773" s="14"/>
      <c r="O773" s="14"/>
      <c r="P773" s="14"/>
    </row>
    <row r="774">
      <c r="A774" s="12"/>
      <c r="D774" s="95"/>
      <c r="E774" s="14"/>
      <c r="F774" s="96"/>
      <c r="H774" s="14"/>
      <c r="I774" s="14"/>
      <c r="J774" s="14"/>
      <c r="K774" s="14"/>
      <c r="L774" s="14"/>
      <c r="M774" s="14"/>
      <c r="N774" s="14"/>
      <c r="O774" s="14"/>
      <c r="P774" s="14"/>
    </row>
    <row r="775">
      <c r="A775" s="12"/>
      <c r="D775" s="95"/>
      <c r="E775" s="14"/>
      <c r="F775" s="96"/>
      <c r="H775" s="14"/>
      <c r="I775" s="14"/>
      <c r="J775" s="14"/>
      <c r="K775" s="14"/>
      <c r="L775" s="14"/>
      <c r="M775" s="14"/>
      <c r="N775" s="14"/>
      <c r="O775" s="14"/>
      <c r="P775" s="14"/>
    </row>
    <row r="776">
      <c r="A776" s="12"/>
      <c r="D776" s="95"/>
      <c r="E776" s="14"/>
      <c r="F776" s="96"/>
      <c r="H776" s="14"/>
      <c r="I776" s="14"/>
      <c r="J776" s="14"/>
      <c r="K776" s="14"/>
      <c r="L776" s="14"/>
      <c r="M776" s="14"/>
      <c r="N776" s="14"/>
      <c r="O776" s="14"/>
      <c r="P776" s="14"/>
    </row>
    <row r="777">
      <c r="A777" s="12"/>
      <c r="D777" s="95"/>
      <c r="E777" s="14"/>
      <c r="F777" s="96"/>
      <c r="H777" s="14"/>
      <c r="I777" s="14"/>
      <c r="J777" s="14"/>
      <c r="K777" s="14"/>
      <c r="L777" s="14"/>
      <c r="M777" s="14"/>
      <c r="N777" s="14"/>
      <c r="O777" s="14"/>
      <c r="P777" s="14"/>
    </row>
    <row r="778">
      <c r="A778" s="12"/>
      <c r="D778" s="95"/>
      <c r="E778" s="14"/>
      <c r="F778" s="96"/>
      <c r="H778" s="14"/>
      <c r="I778" s="14"/>
      <c r="J778" s="14"/>
      <c r="K778" s="14"/>
      <c r="L778" s="14"/>
      <c r="M778" s="14"/>
      <c r="N778" s="14"/>
      <c r="O778" s="14"/>
      <c r="P778" s="14"/>
    </row>
    <row r="779">
      <c r="A779" s="12"/>
      <c r="D779" s="95"/>
      <c r="E779" s="14"/>
      <c r="F779" s="96"/>
      <c r="H779" s="14"/>
      <c r="I779" s="14"/>
      <c r="J779" s="14"/>
      <c r="K779" s="14"/>
      <c r="L779" s="14"/>
      <c r="M779" s="14"/>
      <c r="N779" s="14"/>
      <c r="O779" s="14"/>
      <c r="P779" s="14"/>
    </row>
    <row r="780">
      <c r="A780" s="12"/>
      <c r="D780" s="95"/>
      <c r="E780" s="14"/>
      <c r="F780" s="96"/>
      <c r="H780" s="14"/>
      <c r="I780" s="14"/>
      <c r="J780" s="14"/>
      <c r="K780" s="14"/>
      <c r="L780" s="14"/>
      <c r="M780" s="14"/>
      <c r="N780" s="14"/>
      <c r="O780" s="14"/>
      <c r="P780" s="14"/>
    </row>
    <row r="781">
      <c r="A781" s="12"/>
      <c r="D781" s="95"/>
      <c r="E781" s="14"/>
      <c r="F781" s="96"/>
      <c r="H781" s="14"/>
      <c r="I781" s="14"/>
      <c r="J781" s="14"/>
      <c r="K781" s="14"/>
      <c r="L781" s="14"/>
      <c r="M781" s="14"/>
      <c r="N781" s="14"/>
      <c r="O781" s="14"/>
      <c r="P781" s="14"/>
    </row>
    <row r="782">
      <c r="A782" s="12"/>
      <c r="D782" s="95"/>
      <c r="E782" s="14"/>
      <c r="F782" s="96"/>
      <c r="H782" s="14"/>
      <c r="I782" s="14"/>
      <c r="J782" s="14"/>
      <c r="K782" s="14"/>
      <c r="L782" s="14"/>
      <c r="M782" s="14"/>
      <c r="N782" s="14"/>
      <c r="O782" s="14"/>
      <c r="P782" s="14"/>
    </row>
    <row r="783">
      <c r="A783" s="12"/>
      <c r="D783" s="95"/>
      <c r="E783" s="14"/>
      <c r="F783" s="96"/>
      <c r="H783" s="14"/>
      <c r="I783" s="14"/>
      <c r="J783" s="14"/>
      <c r="K783" s="14"/>
      <c r="L783" s="14"/>
      <c r="M783" s="14"/>
      <c r="N783" s="14"/>
      <c r="O783" s="14"/>
      <c r="P783" s="14"/>
    </row>
    <row r="784">
      <c r="A784" s="12"/>
      <c r="D784" s="95"/>
      <c r="E784" s="14"/>
      <c r="F784" s="96"/>
      <c r="H784" s="14"/>
      <c r="I784" s="14"/>
      <c r="J784" s="14"/>
      <c r="K784" s="14"/>
      <c r="L784" s="14"/>
      <c r="M784" s="14"/>
      <c r="N784" s="14"/>
      <c r="O784" s="14"/>
      <c r="P784" s="14"/>
    </row>
    <row r="785">
      <c r="A785" s="12"/>
      <c r="D785" s="95"/>
      <c r="E785" s="14"/>
      <c r="F785" s="96"/>
      <c r="H785" s="14"/>
      <c r="I785" s="14"/>
      <c r="J785" s="14"/>
      <c r="K785" s="14"/>
      <c r="L785" s="14"/>
      <c r="M785" s="14"/>
      <c r="N785" s="14"/>
      <c r="O785" s="14"/>
      <c r="P785" s="14"/>
    </row>
    <row r="786">
      <c r="A786" s="12"/>
      <c r="D786" s="95"/>
      <c r="E786" s="14"/>
      <c r="F786" s="96"/>
      <c r="H786" s="14"/>
      <c r="I786" s="14"/>
      <c r="J786" s="14"/>
      <c r="K786" s="14"/>
      <c r="L786" s="14"/>
      <c r="M786" s="14"/>
      <c r="N786" s="14"/>
      <c r="O786" s="14"/>
      <c r="P786" s="14"/>
    </row>
    <row r="787">
      <c r="A787" s="12"/>
      <c r="D787" s="95"/>
      <c r="E787" s="14"/>
      <c r="F787" s="96"/>
      <c r="H787" s="14"/>
      <c r="I787" s="14"/>
      <c r="J787" s="14"/>
      <c r="K787" s="14"/>
      <c r="L787" s="14"/>
      <c r="M787" s="14"/>
      <c r="N787" s="14"/>
      <c r="O787" s="14"/>
      <c r="P787" s="14"/>
    </row>
    <row r="788">
      <c r="A788" s="12"/>
      <c r="D788" s="95"/>
      <c r="E788" s="14"/>
      <c r="F788" s="96"/>
      <c r="H788" s="14"/>
      <c r="I788" s="14"/>
      <c r="J788" s="14"/>
      <c r="K788" s="14"/>
      <c r="L788" s="14"/>
      <c r="M788" s="14"/>
      <c r="N788" s="14"/>
      <c r="O788" s="14"/>
      <c r="P788" s="14"/>
    </row>
    <row r="789">
      <c r="A789" s="12"/>
      <c r="D789" s="95"/>
      <c r="E789" s="14"/>
      <c r="F789" s="96"/>
      <c r="H789" s="14"/>
      <c r="I789" s="14"/>
      <c r="J789" s="14"/>
      <c r="K789" s="14"/>
      <c r="L789" s="14"/>
      <c r="M789" s="14"/>
      <c r="N789" s="14"/>
      <c r="O789" s="14"/>
      <c r="P789" s="14"/>
    </row>
    <row r="790">
      <c r="A790" s="12"/>
      <c r="D790" s="95"/>
      <c r="E790" s="14"/>
      <c r="F790" s="96"/>
      <c r="H790" s="14"/>
      <c r="I790" s="14"/>
      <c r="J790" s="14"/>
      <c r="K790" s="14"/>
      <c r="L790" s="14"/>
      <c r="M790" s="14"/>
      <c r="N790" s="14"/>
      <c r="O790" s="14"/>
      <c r="P790" s="14"/>
    </row>
    <row r="791">
      <c r="A791" s="12"/>
      <c r="D791" s="95"/>
      <c r="E791" s="14"/>
      <c r="F791" s="96"/>
      <c r="H791" s="14"/>
      <c r="I791" s="14"/>
      <c r="J791" s="14"/>
      <c r="K791" s="14"/>
      <c r="L791" s="14"/>
      <c r="M791" s="14"/>
      <c r="N791" s="14"/>
      <c r="O791" s="14"/>
      <c r="P791" s="14"/>
    </row>
    <row r="792">
      <c r="A792" s="12"/>
      <c r="D792" s="95"/>
      <c r="E792" s="14"/>
      <c r="F792" s="96"/>
      <c r="H792" s="14"/>
      <c r="I792" s="14"/>
      <c r="J792" s="14"/>
      <c r="K792" s="14"/>
      <c r="L792" s="14"/>
      <c r="M792" s="14"/>
      <c r="N792" s="14"/>
      <c r="O792" s="14"/>
      <c r="P792" s="14"/>
    </row>
    <row r="793">
      <c r="A793" s="12"/>
      <c r="D793" s="95"/>
      <c r="E793" s="14"/>
      <c r="F793" s="96"/>
      <c r="H793" s="14"/>
      <c r="I793" s="14"/>
      <c r="J793" s="14"/>
      <c r="K793" s="14"/>
      <c r="L793" s="14"/>
      <c r="M793" s="14"/>
      <c r="N793" s="14"/>
      <c r="O793" s="14"/>
      <c r="P793" s="14"/>
    </row>
    <row r="794">
      <c r="A794" s="12"/>
      <c r="D794" s="95"/>
      <c r="E794" s="14"/>
      <c r="F794" s="96"/>
      <c r="H794" s="14"/>
      <c r="I794" s="14"/>
      <c r="J794" s="14"/>
      <c r="K794" s="14"/>
      <c r="L794" s="14"/>
      <c r="M794" s="14"/>
      <c r="N794" s="14"/>
      <c r="O794" s="14"/>
      <c r="P794" s="14"/>
    </row>
    <row r="795">
      <c r="A795" s="12"/>
      <c r="D795" s="95"/>
      <c r="E795" s="14"/>
      <c r="F795" s="96"/>
      <c r="H795" s="14"/>
      <c r="I795" s="14"/>
      <c r="J795" s="14"/>
      <c r="K795" s="14"/>
      <c r="L795" s="14"/>
      <c r="M795" s="14"/>
      <c r="N795" s="14"/>
      <c r="O795" s="14"/>
      <c r="P795" s="14"/>
    </row>
    <row r="796">
      <c r="A796" s="12"/>
      <c r="D796" s="95"/>
      <c r="E796" s="14"/>
      <c r="F796" s="96"/>
      <c r="H796" s="14"/>
      <c r="I796" s="14"/>
      <c r="J796" s="14"/>
      <c r="K796" s="14"/>
      <c r="L796" s="14"/>
      <c r="M796" s="14"/>
      <c r="N796" s="14"/>
      <c r="O796" s="14"/>
      <c r="P796" s="14"/>
    </row>
    <row r="797">
      <c r="A797" s="12"/>
      <c r="D797" s="95"/>
      <c r="E797" s="14"/>
      <c r="F797" s="96"/>
      <c r="H797" s="14"/>
      <c r="I797" s="14"/>
      <c r="J797" s="14"/>
      <c r="K797" s="14"/>
      <c r="L797" s="14"/>
      <c r="M797" s="14"/>
      <c r="N797" s="14"/>
      <c r="O797" s="14"/>
      <c r="P797" s="14"/>
    </row>
    <row r="798">
      <c r="A798" s="12"/>
      <c r="D798" s="95"/>
      <c r="E798" s="14"/>
      <c r="F798" s="96"/>
      <c r="H798" s="14"/>
      <c r="I798" s="14"/>
      <c r="J798" s="14"/>
      <c r="K798" s="14"/>
      <c r="L798" s="14"/>
      <c r="M798" s="14"/>
      <c r="N798" s="14"/>
      <c r="O798" s="14"/>
      <c r="P798" s="14"/>
    </row>
    <row r="799">
      <c r="A799" s="12"/>
      <c r="D799" s="95"/>
      <c r="E799" s="14"/>
      <c r="F799" s="96"/>
      <c r="H799" s="14"/>
      <c r="I799" s="14"/>
      <c r="J799" s="14"/>
      <c r="K799" s="14"/>
      <c r="L799" s="14"/>
      <c r="M799" s="14"/>
      <c r="N799" s="14"/>
      <c r="O799" s="14"/>
      <c r="P799" s="14"/>
    </row>
    <row r="800">
      <c r="A800" s="12"/>
      <c r="D800" s="95"/>
      <c r="E800" s="14"/>
      <c r="F800" s="96"/>
      <c r="H800" s="14"/>
      <c r="I800" s="14"/>
      <c r="J800" s="14"/>
      <c r="K800" s="14"/>
      <c r="L800" s="14"/>
      <c r="M800" s="14"/>
      <c r="N800" s="14"/>
      <c r="O800" s="14"/>
      <c r="P800" s="14"/>
    </row>
    <row r="801">
      <c r="A801" s="12"/>
      <c r="D801" s="95"/>
      <c r="E801" s="14"/>
      <c r="F801" s="96"/>
      <c r="H801" s="14"/>
      <c r="I801" s="14"/>
      <c r="J801" s="14"/>
      <c r="K801" s="14"/>
      <c r="L801" s="14"/>
      <c r="M801" s="14"/>
      <c r="N801" s="14"/>
      <c r="O801" s="14"/>
      <c r="P801" s="14"/>
    </row>
    <row r="802">
      <c r="A802" s="12"/>
      <c r="D802" s="95"/>
      <c r="E802" s="14"/>
      <c r="F802" s="96"/>
      <c r="H802" s="14"/>
      <c r="I802" s="14"/>
      <c r="J802" s="14"/>
      <c r="K802" s="14"/>
      <c r="L802" s="14"/>
      <c r="M802" s="14"/>
      <c r="N802" s="14"/>
      <c r="O802" s="14"/>
      <c r="P802" s="14"/>
    </row>
    <row r="803">
      <c r="A803" s="12"/>
      <c r="D803" s="95"/>
      <c r="E803" s="14"/>
      <c r="F803" s="96"/>
      <c r="H803" s="14"/>
      <c r="I803" s="14"/>
      <c r="J803" s="14"/>
      <c r="K803" s="14"/>
      <c r="L803" s="14"/>
      <c r="M803" s="14"/>
      <c r="N803" s="14"/>
      <c r="O803" s="14"/>
      <c r="P803" s="14"/>
    </row>
    <row r="804">
      <c r="A804" s="12"/>
      <c r="D804" s="95"/>
      <c r="E804" s="14"/>
      <c r="F804" s="96"/>
      <c r="H804" s="14"/>
      <c r="I804" s="14"/>
      <c r="J804" s="14"/>
      <c r="K804" s="14"/>
      <c r="L804" s="14"/>
      <c r="M804" s="14"/>
      <c r="N804" s="14"/>
      <c r="O804" s="14"/>
      <c r="P804" s="14"/>
    </row>
    <row r="805">
      <c r="A805" s="12"/>
      <c r="D805" s="95"/>
      <c r="E805" s="14"/>
      <c r="F805" s="96"/>
      <c r="H805" s="14"/>
      <c r="I805" s="14"/>
      <c r="J805" s="14"/>
      <c r="K805" s="14"/>
      <c r="L805" s="14"/>
      <c r="M805" s="14"/>
      <c r="N805" s="14"/>
      <c r="O805" s="14"/>
      <c r="P805" s="14"/>
    </row>
    <row r="806">
      <c r="A806" s="12"/>
      <c r="D806" s="95"/>
      <c r="E806" s="14"/>
      <c r="F806" s="96"/>
      <c r="H806" s="14"/>
      <c r="I806" s="14"/>
      <c r="J806" s="14"/>
      <c r="K806" s="14"/>
      <c r="L806" s="14"/>
      <c r="M806" s="14"/>
      <c r="N806" s="14"/>
      <c r="O806" s="14"/>
      <c r="P806" s="14"/>
    </row>
    <row r="807">
      <c r="A807" s="12"/>
      <c r="D807" s="95"/>
      <c r="E807" s="14"/>
      <c r="F807" s="96"/>
      <c r="H807" s="14"/>
      <c r="I807" s="14"/>
      <c r="J807" s="14"/>
      <c r="K807" s="14"/>
      <c r="L807" s="14"/>
      <c r="M807" s="14"/>
      <c r="N807" s="14"/>
      <c r="O807" s="14"/>
      <c r="P807" s="14"/>
    </row>
    <row r="808">
      <c r="A808" s="12"/>
      <c r="D808" s="95"/>
      <c r="E808" s="14"/>
      <c r="F808" s="96"/>
      <c r="H808" s="14"/>
      <c r="I808" s="14"/>
      <c r="J808" s="14"/>
      <c r="K808" s="14"/>
      <c r="L808" s="14"/>
      <c r="M808" s="14"/>
      <c r="N808" s="14"/>
      <c r="O808" s="14"/>
      <c r="P808" s="14"/>
    </row>
    <row r="809">
      <c r="A809" s="12"/>
      <c r="D809" s="95"/>
      <c r="E809" s="14"/>
      <c r="F809" s="96"/>
      <c r="H809" s="14"/>
      <c r="I809" s="14"/>
      <c r="J809" s="14"/>
      <c r="K809" s="14"/>
      <c r="L809" s="14"/>
      <c r="M809" s="14"/>
      <c r="N809" s="14"/>
      <c r="O809" s="14"/>
      <c r="P809" s="14"/>
    </row>
    <row r="810">
      <c r="A810" s="12"/>
      <c r="D810" s="95"/>
      <c r="E810" s="14"/>
      <c r="F810" s="96"/>
      <c r="H810" s="14"/>
      <c r="I810" s="14"/>
      <c r="J810" s="14"/>
      <c r="K810" s="14"/>
      <c r="L810" s="14"/>
      <c r="M810" s="14"/>
      <c r="N810" s="14"/>
      <c r="O810" s="14"/>
      <c r="P810" s="14"/>
    </row>
    <row r="811">
      <c r="A811" s="12"/>
      <c r="D811" s="95"/>
      <c r="E811" s="14"/>
      <c r="F811" s="96"/>
      <c r="H811" s="14"/>
      <c r="I811" s="14"/>
      <c r="J811" s="14"/>
      <c r="K811" s="14"/>
      <c r="L811" s="14"/>
      <c r="M811" s="14"/>
      <c r="N811" s="14"/>
      <c r="O811" s="14"/>
      <c r="P811" s="14"/>
    </row>
    <row r="812">
      <c r="A812" s="12"/>
      <c r="D812" s="95"/>
      <c r="E812" s="14"/>
      <c r="F812" s="96"/>
      <c r="H812" s="14"/>
      <c r="I812" s="14"/>
      <c r="J812" s="14"/>
      <c r="K812" s="14"/>
      <c r="L812" s="14"/>
      <c r="M812" s="14"/>
      <c r="N812" s="14"/>
      <c r="O812" s="14"/>
      <c r="P812" s="14"/>
    </row>
    <row r="813">
      <c r="A813" s="12"/>
      <c r="D813" s="95"/>
      <c r="E813" s="14"/>
      <c r="F813" s="96"/>
      <c r="H813" s="14"/>
      <c r="I813" s="14"/>
      <c r="J813" s="14"/>
      <c r="K813" s="14"/>
      <c r="L813" s="14"/>
      <c r="M813" s="14"/>
      <c r="N813" s="14"/>
      <c r="O813" s="14"/>
      <c r="P813" s="14"/>
    </row>
    <row r="814">
      <c r="A814" s="12"/>
      <c r="D814" s="95"/>
      <c r="E814" s="14"/>
      <c r="F814" s="96"/>
      <c r="H814" s="14"/>
      <c r="I814" s="14"/>
      <c r="J814" s="14"/>
      <c r="K814" s="14"/>
      <c r="L814" s="14"/>
      <c r="M814" s="14"/>
      <c r="N814" s="14"/>
      <c r="O814" s="14"/>
      <c r="P814" s="14"/>
    </row>
    <row r="815">
      <c r="A815" s="12"/>
      <c r="D815" s="95"/>
      <c r="E815" s="14"/>
      <c r="F815" s="96"/>
      <c r="H815" s="14"/>
      <c r="I815" s="14"/>
      <c r="J815" s="14"/>
      <c r="K815" s="14"/>
      <c r="L815" s="14"/>
      <c r="M815" s="14"/>
      <c r="N815" s="14"/>
      <c r="O815" s="14"/>
      <c r="P815" s="14"/>
    </row>
    <row r="816">
      <c r="A816" s="12"/>
      <c r="D816" s="95"/>
      <c r="E816" s="14"/>
      <c r="F816" s="96"/>
      <c r="H816" s="14"/>
      <c r="I816" s="14"/>
      <c r="J816" s="14"/>
      <c r="K816" s="14"/>
      <c r="L816" s="14"/>
      <c r="M816" s="14"/>
      <c r="N816" s="14"/>
      <c r="O816" s="14"/>
      <c r="P816" s="14"/>
    </row>
    <row r="817">
      <c r="A817" s="12"/>
      <c r="D817" s="95"/>
      <c r="E817" s="14"/>
      <c r="F817" s="96"/>
      <c r="H817" s="14"/>
      <c r="I817" s="14"/>
      <c r="J817" s="14"/>
      <c r="K817" s="14"/>
      <c r="L817" s="14"/>
      <c r="M817" s="14"/>
      <c r="N817" s="14"/>
      <c r="O817" s="14"/>
      <c r="P817" s="14"/>
    </row>
    <row r="818">
      <c r="A818" s="12"/>
      <c r="D818" s="95"/>
      <c r="E818" s="14"/>
      <c r="F818" s="96"/>
      <c r="H818" s="14"/>
      <c r="I818" s="14"/>
      <c r="J818" s="14"/>
      <c r="K818" s="14"/>
      <c r="L818" s="14"/>
      <c r="M818" s="14"/>
      <c r="N818" s="14"/>
      <c r="O818" s="14"/>
      <c r="P818" s="14"/>
    </row>
    <row r="819">
      <c r="A819" s="12"/>
      <c r="D819" s="95"/>
      <c r="E819" s="14"/>
      <c r="F819" s="96"/>
      <c r="H819" s="14"/>
      <c r="I819" s="14"/>
      <c r="J819" s="14"/>
      <c r="K819" s="14"/>
      <c r="L819" s="14"/>
      <c r="M819" s="14"/>
      <c r="N819" s="14"/>
      <c r="O819" s="14"/>
      <c r="P819" s="14"/>
    </row>
    <row r="820">
      <c r="A820" s="12"/>
      <c r="D820" s="95"/>
      <c r="E820" s="14"/>
      <c r="F820" s="96"/>
      <c r="H820" s="14"/>
      <c r="I820" s="14"/>
      <c r="J820" s="14"/>
      <c r="K820" s="14"/>
      <c r="L820" s="14"/>
      <c r="M820" s="14"/>
      <c r="N820" s="14"/>
      <c r="O820" s="14"/>
      <c r="P820" s="14"/>
    </row>
    <row r="821">
      <c r="A821" s="12"/>
      <c r="D821" s="95"/>
      <c r="E821" s="14"/>
      <c r="F821" s="96"/>
      <c r="H821" s="14"/>
      <c r="I821" s="14"/>
      <c r="J821" s="14"/>
      <c r="K821" s="14"/>
      <c r="L821" s="14"/>
      <c r="M821" s="14"/>
      <c r="N821" s="14"/>
      <c r="O821" s="14"/>
      <c r="P821" s="14"/>
    </row>
    <row r="822">
      <c r="A822" s="12"/>
      <c r="D822" s="95"/>
      <c r="E822" s="14"/>
      <c r="F822" s="96"/>
      <c r="H822" s="14"/>
      <c r="I822" s="14"/>
      <c r="J822" s="14"/>
      <c r="K822" s="14"/>
      <c r="L822" s="14"/>
      <c r="M822" s="14"/>
      <c r="N822" s="14"/>
      <c r="O822" s="14"/>
      <c r="P822" s="14"/>
    </row>
    <row r="823">
      <c r="A823" s="12"/>
      <c r="D823" s="95"/>
      <c r="E823" s="14"/>
      <c r="F823" s="96"/>
      <c r="H823" s="14"/>
      <c r="I823" s="14"/>
      <c r="J823" s="14"/>
      <c r="K823" s="14"/>
      <c r="L823" s="14"/>
      <c r="M823" s="14"/>
      <c r="N823" s="14"/>
      <c r="O823" s="14"/>
      <c r="P823" s="14"/>
    </row>
    <row r="824">
      <c r="A824" s="12"/>
      <c r="D824" s="95"/>
      <c r="E824" s="14"/>
      <c r="F824" s="96"/>
      <c r="H824" s="14"/>
      <c r="I824" s="14"/>
      <c r="J824" s="14"/>
      <c r="K824" s="14"/>
      <c r="L824" s="14"/>
      <c r="M824" s="14"/>
      <c r="N824" s="14"/>
      <c r="O824" s="14"/>
      <c r="P824" s="14"/>
    </row>
    <row r="825">
      <c r="A825" s="12"/>
      <c r="D825" s="95"/>
      <c r="E825" s="14"/>
      <c r="F825" s="96"/>
      <c r="H825" s="14"/>
      <c r="I825" s="14"/>
      <c r="J825" s="14"/>
      <c r="K825" s="14"/>
      <c r="L825" s="14"/>
      <c r="M825" s="14"/>
      <c r="N825" s="14"/>
      <c r="O825" s="14"/>
      <c r="P825" s="14"/>
    </row>
    <row r="826">
      <c r="A826" s="12"/>
      <c r="D826" s="95"/>
      <c r="E826" s="14"/>
      <c r="F826" s="96"/>
      <c r="H826" s="14"/>
      <c r="I826" s="14"/>
      <c r="J826" s="14"/>
      <c r="K826" s="14"/>
      <c r="L826" s="14"/>
      <c r="M826" s="14"/>
      <c r="N826" s="14"/>
      <c r="O826" s="14"/>
      <c r="P826" s="14"/>
    </row>
    <row r="827">
      <c r="A827" s="12"/>
      <c r="D827" s="95"/>
      <c r="E827" s="14"/>
      <c r="F827" s="96"/>
      <c r="H827" s="14"/>
      <c r="I827" s="14"/>
      <c r="J827" s="14"/>
      <c r="K827" s="14"/>
      <c r="L827" s="14"/>
      <c r="M827" s="14"/>
      <c r="N827" s="14"/>
      <c r="O827" s="14"/>
      <c r="P827" s="14"/>
    </row>
    <row r="828">
      <c r="A828" s="12"/>
      <c r="D828" s="95"/>
      <c r="E828" s="14"/>
      <c r="F828" s="96"/>
      <c r="H828" s="14"/>
      <c r="I828" s="14"/>
      <c r="J828" s="14"/>
      <c r="K828" s="14"/>
      <c r="L828" s="14"/>
      <c r="M828" s="14"/>
      <c r="N828" s="14"/>
      <c r="O828" s="14"/>
      <c r="P828" s="14"/>
    </row>
    <row r="829">
      <c r="A829" s="12"/>
      <c r="D829" s="95"/>
      <c r="E829" s="14"/>
      <c r="F829" s="96"/>
      <c r="H829" s="14"/>
      <c r="I829" s="14"/>
      <c r="J829" s="14"/>
      <c r="K829" s="14"/>
      <c r="L829" s="14"/>
      <c r="M829" s="14"/>
      <c r="N829" s="14"/>
      <c r="O829" s="14"/>
      <c r="P829" s="14"/>
    </row>
    <row r="830">
      <c r="A830" s="12"/>
      <c r="D830" s="95"/>
      <c r="E830" s="14"/>
      <c r="F830" s="96"/>
      <c r="H830" s="14"/>
      <c r="I830" s="14"/>
      <c r="J830" s="14"/>
      <c r="K830" s="14"/>
      <c r="L830" s="14"/>
      <c r="M830" s="14"/>
      <c r="N830" s="14"/>
      <c r="O830" s="14"/>
      <c r="P830" s="14"/>
    </row>
    <row r="831">
      <c r="A831" s="12"/>
      <c r="D831" s="95"/>
      <c r="E831" s="14"/>
      <c r="F831" s="96"/>
      <c r="H831" s="14"/>
      <c r="I831" s="14"/>
      <c r="J831" s="14"/>
      <c r="K831" s="14"/>
      <c r="L831" s="14"/>
      <c r="M831" s="14"/>
      <c r="N831" s="14"/>
      <c r="O831" s="14"/>
      <c r="P831" s="14"/>
    </row>
    <row r="832">
      <c r="A832" s="12"/>
      <c r="D832" s="95"/>
      <c r="E832" s="14"/>
      <c r="F832" s="96"/>
      <c r="H832" s="14"/>
      <c r="I832" s="14"/>
      <c r="J832" s="14"/>
      <c r="K832" s="14"/>
      <c r="L832" s="14"/>
      <c r="M832" s="14"/>
      <c r="N832" s="14"/>
      <c r="O832" s="14"/>
      <c r="P832" s="14"/>
    </row>
    <row r="833">
      <c r="A833" s="12"/>
      <c r="D833" s="95"/>
      <c r="E833" s="14"/>
      <c r="F833" s="96"/>
      <c r="H833" s="14"/>
      <c r="I833" s="14"/>
      <c r="J833" s="14"/>
      <c r="K833" s="14"/>
      <c r="L833" s="14"/>
      <c r="M833" s="14"/>
      <c r="N833" s="14"/>
      <c r="O833" s="14"/>
      <c r="P833" s="14"/>
    </row>
    <row r="834">
      <c r="A834" s="12"/>
      <c r="D834" s="95"/>
      <c r="E834" s="14"/>
      <c r="F834" s="96"/>
      <c r="H834" s="14"/>
      <c r="I834" s="14"/>
      <c r="J834" s="14"/>
      <c r="K834" s="14"/>
      <c r="L834" s="14"/>
      <c r="M834" s="14"/>
      <c r="N834" s="14"/>
      <c r="O834" s="14"/>
      <c r="P834" s="14"/>
    </row>
    <row r="835">
      <c r="A835" s="12"/>
      <c r="D835" s="95"/>
      <c r="E835" s="14"/>
      <c r="F835" s="96"/>
      <c r="H835" s="14"/>
      <c r="I835" s="14"/>
      <c r="J835" s="14"/>
      <c r="K835" s="14"/>
      <c r="L835" s="14"/>
      <c r="M835" s="14"/>
      <c r="N835" s="14"/>
      <c r="O835" s="14"/>
      <c r="P835" s="14"/>
    </row>
    <row r="836">
      <c r="A836" s="12"/>
      <c r="D836" s="95"/>
      <c r="E836" s="14"/>
      <c r="F836" s="96"/>
      <c r="H836" s="14"/>
      <c r="I836" s="14"/>
      <c r="J836" s="14"/>
      <c r="K836" s="14"/>
      <c r="L836" s="14"/>
      <c r="M836" s="14"/>
      <c r="N836" s="14"/>
      <c r="O836" s="14"/>
      <c r="P836" s="14"/>
    </row>
    <row r="837">
      <c r="A837" s="12"/>
      <c r="D837" s="95"/>
      <c r="E837" s="14"/>
      <c r="F837" s="96"/>
      <c r="H837" s="14"/>
      <c r="I837" s="14"/>
      <c r="J837" s="14"/>
      <c r="K837" s="14"/>
      <c r="L837" s="14"/>
      <c r="M837" s="14"/>
      <c r="N837" s="14"/>
      <c r="O837" s="14"/>
      <c r="P837" s="14"/>
    </row>
    <row r="838">
      <c r="A838" s="12"/>
      <c r="D838" s="95"/>
      <c r="E838" s="14"/>
      <c r="F838" s="96"/>
      <c r="H838" s="14"/>
      <c r="I838" s="14"/>
      <c r="J838" s="14"/>
      <c r="K838" s="14"/>
      <c r="L838" s="14"/>
      <c r="M838" s="14"/>
      <c r="N838" s="14"/>
      <c r="O838" s="14"/>
      <c r="P838" s="14"/>
    </row>
    <row r="839">
      <c r="A839" s="12"/>
      <c r="D839" s="95"/>
      <c r="E839" s="14"/>
      <c r="F839" s="96"/>
      <c r="H839" s="14"/>
      <c r="I839" s="14"/>
      <c r="J839" s="14"/>
      <c r="K839" s="14"/>
      <c r="L839" s="14"/>
      <c r="M839" s="14"/>
      <c r="N839" s="14"/>
      <c r="O839" s="14"/>
      <c r="P839" s="14"/>
    </row>
    <row r="840">
      <c r="A840" s="12"/>
      <c r="D840" s="95"/>
      <c r="E840" s="14"/>
      <c r="F840" s="96"/>
      <c r="H840" s="14"/>
      <c r="I840" s="14"/>
      <c r="J840" s="14"/>
      <c r="K840" s="14"/>
      <c r="L840" s="14"/>
      <c r="M840" s="14"/>
      <c r="N840" s="14"/>
      <c r="O840" s="14"/>
      <c r="P840" s="14"/>
    </row>
    <row r="841">
      <c r="A841" s="12"/>
      <c r="D841" s="95"/>
      <c r="E841" s="14"/>
      <c r="F841" s="96"/>
      <c r="H841" s="14"/>
      <c r="I841" s="14"/>
      <c r="J841" s="14"/>
      <c r="K841" s="14"/>
      <c r="L841" s="14"/>
      <c r="M841" s="14"/>
      <c r="N841" s="14"/>
      <c r="O841" s="14"/>
      <c r="P841" s="14"/>
    </row>
    <row r="842">
      <c r="A842" s="12"/>
      <c r="D842" s="95"/>
      <c r="E842" s="14"/>
      <c r="F842" s="96"/>
      <c r="H842" s="14"/>
      <c r="I842" s="14"/>
      <c r="J842" s="14"/>
      <c r="K842" s="14"/>
      <c r="L842" s="14"/>
      <c r="M842" s="14"/>
      <c r="N842" s="14"/>
      <c r="O842" s="14"/>
      <c r="P842" s="14"/>
    </row>
    <row r="843">
      <c r="A843" s="12"/>
      <c r="D843" s="95"/>
      <c r="E843" s="14"/>
      <c r="F843" s="96"/>
      <c r="H843" s="14"/>
      <c r="I843" s="14"/>
      <c r="J843" s="14"/>
      <c r="K843" s="14"/>
      <c r="L843" s="14"/>
      <c r="M843" s="14"/>
      <c r="N843" s="14"/>
      <c r="O843" s="14"/>
      <c r="P843" s="14"/>
    </row>
    <row r="844">
      <c r="A844" s="12"/>
      <c r="D844" s="95"/>
      <c r="E844" s="14"/>
      <c r="F844" s="96"/>
      <c r="H844" s="14"/>
      <c r="I844" s="14"/>
      <c r="J844" s="14"/>
      <c r="K844" s="14"/>
      <c r="L844" s="14"/>
      <c r="M844" s="14"/>
      <c r="N844" s="14"/>
      <c r="O844" s="14"/>
      <c r="P844" s="14"/>
    </row>
    <row r="845">
      <c r="A845" s="12"/>
      <c r="D845" s="95"/>
      <c r="E845" s="14"/>
      <c r="F845" s="96"/>
      <c r="H845" s="14"/>
      <c r="I845" s="14"/>
      <c r="J845" s="14"/>
      <c r="K845" s="14"/>
      <c r="L845" s="14"/>
      <c r="M845" s="14"/>
      <c r="N845" s="14"/>
      <c r="O845" s="14"/>
      <c r="P845" s="14"/>
    </row>
    <row r="846">
      <c r="A846" s="12"/>
      <c r="D846" s="95"/>
      <c r="E846" s="14"/>
      <c r="F846" s="96"/>
      <c r="H846" s="14"/>
      <c r="I846" s="14"/>
      <c r="J846" s="14"/>
      <c r="K846" s="14"/>
      <c r="L846" s="14"/>
      <c r="M846" s="14"/>
      <c r="N846" s="14"/>
      <c r="O846" s="14"/>
      <c r="P846" s="14"/>
    </row>
    <row r="847">
      <c r="A847" s="12"/>
      <c r="D847" s="95"/>
      <c r="E847" s="14"/>
      <c r="F847" s="96"/>
      <c r="H847" s="14"/>
      <c r="I847" s="14"/>
      <c r="J847" s="14"/>
      <c r="K847" s="14"/>
      <c r="L847" s="14"/>
      <c r="M847" s="14"/>
      <c r="N847" s="14"/>
      <c r="O847" s="14"/>
      <c r="P847" s="14"/>
    </row>
    <row r="848">
      <c r="A848" s="12"/>
      <c r="D848" s="95"/>
      <c r="E848" s="14"/>
      <c r="F848" s="96"/>
      <c r="H848" s="14"/>
      <c r="I848" s="14"/>
      <c r="J848" s="14"/>
      <c r="K848" s="14"/>
      <c r="L848" s="14"/>
      <c r="M848" s="14"/>
      <c r="N848" s="14"/>
      <c r="O848" s="14"/>
      <c r="P848" s="14"/>
    </row>
    <row r="849">
      <c r="A849" s="12"/>
      <c r="D849" s="95"/>
      <c r="E849" s="14"/>
      <c r="F849" s="96"/>
      <c r="H849" s="14"/>
      <c r="I849" s="14"/>
      <c r="J849" s="14"/>
      <c r="K849" s="14"/>
      <c r="L849" s="14"/>
      <c r="M849" s="14"/>
      <c r="N849" s="14"/>
      <c r="O849" s="14"/>
      <c r="P849" s="14"/>
    </row>
    <row r="850">
      <c r="A850" s="12"/>
      <c r="D850" s="95"/>
      <c r="E850" s="14"/>
      <c r="F850" s="96"/>
      <c r="H850" s="14"/>
      <c r="I850" s="14"/>
      <c r="J850" s="14"/>
      <c r="K850" s="14"/>
      <c r="L850" s="14"/>
      <c r="M850" s="14"/>
      <c r="N850" s="14"/>
      <c r="O850" s="14"/>
      <c r="P850" s="14"/>
    </row>
    <row r="851">
      <c r="A851" s="12"/>
      <c r="D851" s="95"/>
      <c r="E851" s="14"/>
      <c r="F851" s="96"/>
      <c r="H851" s="14"/>
      <c r="I851" s="14"/>
      <c r="J851" s="14"/>
      <c r="K851" s="14"/>
      <c r="L851" s="14"/>
      <c r="M851" s="14"/>
      <c r="N851" s="14"/>
      <c r="O851" s="14"/>
      <c r="P851" s="14"/>
    </row>
    <row r="852">
      <c r="A852" s="12"/>
      <c r="D852" s="95"/>
      <c r="E852" s="14"/>
      <c r="F852" s="96"/>
      <c r="H852" s="14"/>
      <c r="I852" s="14"/>
      <c r="J852" s="14"/>
      <c r="K852" s="14"/>
      <c r="L852" s="14"/>
      <c r="M852" s="14"/>
      <c r="N852" s="14"/>
      <c r="O852" s="14"/>
      <c r="P852" s="14"/>
    </row>
    <row r="853">
      <c r="A853" s="12"/>
      <c r="D853" s="95"/>
      <c r="E853" s="14"/>
      <c r="F853" s="96"/>
      <c r="H853" s="14"/>
      <c r="I853" s="14"/>
      <c r="J853" s="14"/>
      <c r="K853" s="14"/>
      <c r="L853" s="14"/>
      <c r="M853" s="14"/>
      <c r="N853" s="14"/>
      <c r="O853" s="14"/>
      <c r="P853" s="14"/>
    </row>
    <row r="854">
      <c r="A854" s="12"/>
      <c r="D854" s="95"/>
      <c r="E854" s="14"/>
      <c r="F854" s="96"/>
      <c r="H854" s="14"/>
      <c r="I854" s="14"/>
      <c r="J854" s="14"/>
      <c r="K854" s="14"/>
      <c r="L854" s="14"/>
      <c r="M854" s="14"/>
      <c r="N854" s="14"/>
      <c r="O854" s="14"/>
      <c r="P854" s="14"/>
    </row>
    <row r="855">
      <c r="A855" s="12"/>
      <c r="D855" s="95"/>
      <c r="E855" s="14"/>
      <c r="F855" s="96"/>
      <c r="H855" s="14"/>
      <c r="I855" s="14"/>
      <c r="J855" s="14"/>
      <c r="K855" s="14"/>
      <c r="L855" s="14"/>
      <c r="M855" s="14"/>
      <c r="N855" s="14"/>
      <c r="O855" s="14"/>
      <c r="P855" s="14"/>
    </row>
    <row r="856">
      <c r="A856" s="12"/>
      <c r="D856" s="95"/>
      <c r="E856" s="14"/>
      <c r="F856" s="96"/>
      <c r="H856" s="14"/>
      <c r="I856" s="14"/>
      <c r="J856" s="14"/>
      <c r="K856" s="14"/>
      <c r="L856" s="14"/>
      <c r="M856" s="14"/>
      <c r="N856" s="14"/>
      <c r="O856" s="14"/>
      <c r="P856" s="14"/>
    </row>
    <row r="857">
      <c r="A857" s="12"/>
      <c r="D857" s="95"/>
      <c r="E857" s="14"/>
      <c r="F857" s="96"/>
      <c r="H857" s="14"/>
      <c r="I857" s="14"/>
      <c r="J857" s="14"/>
      <c r="K857" s="14"/>
      <c r="L857" s="14"/>
      <c r="M857" s="14"/>
      <c r="N857" s="14"/>
      <c r="O857" s="14"/>
      <c r="P857" s="14"/>
    </row>
    <row r="858">
      <c r="A858" s="12"/>
      <c r="D858" s="95"/>
      <c r="E858" s="14"/>
      <c r="F858" s="96"/>
      <c r="H858" s="14"/>
      <c r="I858" s="14"/>
      <c r="J858" s="14"/>
      <c r="K858" s="14"/>
      <c r="L858" s="14"/>
      <c r="M858" s="14"/>
      <c r="N858" s="14"/>
      <c r="O858" s="14"/>
      <c r="P858" s="14"/>
    </row>
    <row r="859">
      <c r="A859" s="12"/>
      <c r="D859" s="95"/>
      <c r="E859" s="14"/>
      <c r="F859" s="96"/>
      <c r="H859" s="14"/>
      <c r="I859" s="14"/>
      <c r="J859" s="14"/>
      <c r="K859" s="14"/>
      <c r="L859" s="14"/>
      <c r="M859" s="14"/>
      <c r="N859" s="14"/>
      <c r="O859" s="14"/>
      <c r="P859" s="14"/>
    </row>
    <row r="860">
      <c r="A860" s="12"/>
      <c r="D860" s="95"/>
      <c r="E860" s="14"/>
      <c r="F860" s="96"/>
      <c r="H860" s="14"/>
      <c r="I860" s="14"/>
      <c r="J860" s="14"/>
      <c r="K860" s="14"/>
      <c r="L860" s="14"/>
      <c r="M860" s="14"/>
      <c r="N860" s="14"/>
      <c r="O860" s="14"/>
      <c r="P860" s="14"/>
    </row>
    <row r="861">
      <c r="A861" s="12"/>
      <c r="D861" s="95"/>
      <c r="E861" s="14"/>
      <c r="F861" s="96"/>
      <c r="H861" s="14"/>
      <c r="I861" s="14"/>
      <c r="J861" s="14"/>
      <c r="K861" s="14"/>
      <c r="L861" s="14"/>
      <c r="M861" s="14"/>
      <c r="N861" s="14"/>
      <c r="O861" s="14"/>
      <c r="P861" s="14"/>
    </row>
    <row r="862">
      <c r="A862" s="12"/>
      <c r="D862" s="95"/>
      <c r="E862" s="14"/>
      <c r="F862" s="96"/>
      <c r="H862" s="14"/>
      <c r="I862" s="14"/>
      <c r="J862" s="14"/>
      <c r="K862" s="14"/>
      <c r="L862" s="14"/>
      <c r="M862" s="14"/>
      <c r="N862" s="14"/>
      <c r="O862" s="14"/>
      <c r="P862" s="14"/>
    </row>
    <row r="863">
      <c r="A863" s="12"/>
      <c r="D863" s="95"/>
      <c r="E863" s="14"/>
      <c r="F863" s="96"/>
      <c r="H863" s="14"/>
      <c r="I863" s="14"/>
      <c r="J863" s="14"/>
      <c r="K863" s="14"/>
      <c r="L863" s="14"/>
      <c r="M863" s="14"/>
      <c r="N863" s="14"/>
      <c r="O863" s="14"/>
      <c r="P863" s="14"/>
    </row>
    <row r="864">
      <c r="A864" s="12"/>
      <c r="D864" s="95"/>
      <c r="E864" s="14"/>
      <c r="F864" s="96"/>
      <c r="H864" s="14"/>
      <c r="I864" s="14"/>
      <c r="J864" s="14"/>
      <c r="K864" s="14"/>
      <c r="L864" s="14"/>
      <c r="M864" s="14"/>
      <c r="N864" s="14"/>
      <c r="O864" s="14"/>
      <c r="P864" s="14"/>
    </row>
    <row r="865">
      <c r="A865" s="12"/>
      <c r="D865" s="95"/>
      <c r="E865" s="14"/>
      <c r="F865" s="96"/>
      <c r="H865" s="14"/>
      <c r="I865" s="14"/>
      <c r="J865" s="14"/>
      <c r="K865" s="14"/>
      <c r="L865" s="14"/>
      <c r="M865" s="14"/>
      <c r="N865" s="14"/>
      <c r="O865" s="14"/>
      <c r="P865" s="14"/>
    </row>
    <row r="866">
      <c r="A866" s="12"/>
      <c r="D866" s="95"/>
      <c r="E866" s="14"/>
      <c r="F866" s="96"/>
      <c r="H866" s="14"/>
      <c r="I866" s="14"/>
      <c r="J866" s="14"/>
      <c r="K866" s="14"/>
      <c r="L866" s="14"/>
      <c r="M866" s="14"/>
      <c r="N866" s="14"/>
      <c r="O866" s="14"/>
      <c r="P866" s="14"/>
    </row>
    <row r="867">
      <c r="A867" s="12"/>
      <c r="D867" s="95"/>
      <c r="E867" s="14"/>
      <c r="F867" s="96"/>
      <c r="H867" s="14"/>
      <c r="I867" s="14"/>
      <c r="J867" s="14"/>
      <c r="K867" s="14"/>
      <c r="L867" s="14"/>
      <c r="M867" s="14"/>
      <c r="N867" s="14"/>
      <c r="O867" s="14"/>
      <c r="P867" s="14"/>
    </row>
    <row r="868">
      <c r="A868" s="12"/>
      <c r="D868" s="95"/>
      <c r="E868" s="14"/>
      <c r="F868" s="96"/>
      <c r="H868" s="14"/>
      <c r="I868" s="14"/>
      <c r="J868" s="14"/>
      <c r="K868" s="14"/>
      <c r="L868" s="14"/>
      <c r="M868" s="14"/>
      <c r="N868" s="14"/>
      <c r="O868" s="14"/>
      <c r="P868" s="14"/>
    </row>
    <row r="869">
      <c r="A869" s="12"/>
      <c r="D869" s="95"/>
      <c r="E869" s="14"/>
      <c r="F869" s="96"/>
      <c r="H869" s="14"/>
      <c r="I869" s="14"/>
      <c r="J869" s="14"/>
      <c r="K869" s="14"/>
      <c r="L869" s="14"/>
      <c r="M869" s="14"/>
      <c r="N869" s="14"/>
      <c r="O869" s="14"/>
      <c r="P869" s="14"/>
    </row>
    <row r="870">
      <c r="A870" s="12"/>
      <c r="D870" s="95"/>
      <c r="E870" s="14"/>
      <c r="F870" s="96"/>
      <c r="H870" s="14"/>
      <c r="I870" s="14"/>
      <c r="J870" s="14"/>
      <c r="K870" s="14"/>
      <c r="L870" s="14"/>
      <c r="M870" s="14"/>
      <c r="N870" s="14"/>
      <c r="O870" s="14"/>
      <c r="P870" s="14"/>
    </row>
    <row r="871">
      <c r="A871" s="12"/>
      <c r="D871" s="95"/>
      <c r="E871" s="14"/>
      <c r="F871" s="96"/>
      <c r="H871" s="14"/>
      <c r="I871" s="14"/>
      <c r="J871" s="14"/>
      <c r="K871" s="14"/>
      <c r="L871" s="14"/>
      <c r="M871" s="14"/>
      <c r="N871" s="14"/>
      <c r="O871" s="14"/>
      <c r="P871" s="14"/>
    </row>
    <row r="872">
      <c r="A872" s="12"/>
      <c r="D872" s="95"/>
      <c r="E872" s="14"/>
      <c r="F872" s="96"/>
      <c r="H872" s="14"/>
      <c r="I872" s="14"/>
      <c r="J872" s="14"/>
      <c r="K872" s="14"/>
      <c r="L872" s="14"/>
      <c r="M872" s="14"/>
      <c r="N872" s="14"/>
      <c r="O872" s="14"/>
      <c r="P872" s="14"/>
    </row>
    <row r="873">
      <c r="A873" s="12"/>
      <c r="D873" s="95"/>
      <c r="E873" s="14"/>
      <c r="F873" s="96"/>
      <c r="H873" s="14"/>
      <c r="I873" s="14"/>
      <c r="J873" s="14"/>
      <c r="K873" s="14"/>
      <c r="L873" s="14"/>
      <c r="M873" s="14"/>
      <c r="N873" s="14"/>
      <c r="O873" s="14"/>
      <c r="P873" s="14"/>
    </row>
    <row r="874">
      <c r="A874" s="12"/>
      <c r="D874" s="95"/>
      <c r="E874" s="14"/>
      <c r="F874" s="96"/>
      <c r="H874" s="14"/>
      <c r="I874" s="14"/>
      <c r="J874" s="14"/>
      <c r="K874" s="14"/>
      <c r="L874" s="14"/>
      <c r="M874" s="14"/>
      <c r="N874" s="14"/>
      <c r="O874" s="14"/>
      <c r="P874" s="14"/>
    </row>
    <row r="875">
      <c r="A875" s="12"/>
      <c r="D875" s="95"/>
      <c r="E875" s="14"/>
      <c r="F875" s="96"/>
      <c r="H875" s="14"/>
      <c r="I875" s="14"/>
      <c r="J875" s="14"/>
      <c r="K875" s="14"/>
      <c r="L875" s="14"/>
      <c r="M875" s="14"/>
      <c r="N875" s="14"/>
      <c r="O875" s="14"/>
      <c r="P875" s="14"/>
    </row>
    <row r="876">
      <c r="A876" s="12"/>
      <c r="D876" s="95"/>
      <c r="E876" s="14"/>
      <c r="F876" s="96"/>
      <c r="H876" s="14"/>
      <c r="I876" s="14"/>
      <c r="J876" s="14"/>
      <c r="K876" s="14"/>
      <c r="L876" s="14"/>
      <c r="M876" s="14"/>
      <c r="N876" s="14"/>
      <c r="O876" s="14"/>
      <c r="P876" s="14"/>
    </row>
    <row r="877">
      <c r="A877" s="12"/>
      <c r="D877" s="95"/>
      <c r="E877" s="14"/>
      <c r="F877" s="96"/>
      <c r="H877" s="14"/>
      <c r="I877" s="14"/>
      <c r="J877" s="14"/>
      <c r="K877" s="14"/>
      <c r="L877" s="14"/>
      <c r="M877" s="14"/>
      <c r="N877" s="14"/>
      <c r="O877" s="14"/>
      <c r="P877" s="14"/>
    </row>
    <row r="878">
      <c r="A878" s="12"/>
      <c r="D878" s="95"/>
      <c r="E878" s="14"/>
      <c r="F878" s="96"/>
      <c r="H878" s="14"/>
      <c r="I878" s="14"/>
      <c r="J878" s="14"/>
      <c r="K878" s="14"/>
      <c r="L878" s="14"/>
      <c r="M878" s="14"/>
      <c r="N878" s="14"/>
      <c r="O878" s="14"/>
      <c r="P878" s="14"/>
    </row>
    <row r="879">
      <c r="A879" s="12"/>
      <c r="D879" s="95"/>
      <c r="E879" s="14"/>
      <c r="F879" s="96"/>
      <c r="H879" s="14"/>
      <c r="I879" s="14"/>
      <c r="J879" s="14"/>
      <c r="K879" s="14"/>
      <c r="L879" s="14"/>
      <c r="M879" s="14"/>
      <c r="N879" s="14"/>
      <c r="O879" s="14"/>
      <c r="P879" s="14"/>
    </row>
    <row r="880">
      <c r="A880" s="12"/>
      <c r="D880" s="95"/>
      <c r="E880" s="14"/>
      <c r="F880" s="96"/>
      <c r="H880" s="14"/>
      <c r="I880" s="14"/>
      <c r="J880" s="14"/>
      <c r="K880" s="14"/>
      <c r="L880" s="14"/>
      <c r="M880" s="14"/>
      <c r="N880" s="14"/>
      <c r="O880" s="14"/>
      <c r="P880" s="14"/>
    </row>
    <row r="881">
      <c r="A881" s="12"/>
      <c r="D881" s="95"/>
      <c r="E881" s="14"/>
      <c r="F881" s="96"/>
      <c r="H881" s="14"/>
      <c r="I881" s="14"/>
      <c r="J881" s="14"/>
      <c r="K881" s="14"/>
      <c r="L881" s="14"/>
      <c r="M881" s="14"/>
      <c r="N881" s="14"/>
      <c r="O881" s="14"/>
      <c r="P881" s="14"/>
    </row>
    <row r="882">
      <c r="A882" s="12"/>
      <c r="D882" s="95"/>
      <c r="E882" s="14"/>
      <c r="F882" s="96"/>
      <c r="H882" s="14"/>
      <c r="I882" s="14"/>
      <c r="J882" s="14"/>
      <c r="K882" s="14"/>
      <c r="L882" s="14"/>
      <c r="M882" s="14"/>
      <c r="N882" s="14"/>
      <c r="O882" s="14"/>
      <c r="P882" s="14"/>
    </row>
    <row r="883">
      <c r="A883" s="12"/>
      <c r="D883" s="95"/>
      <c r="E883" s="14"/>
      <c r="F883" s="96"/>
      <c r="H883" s="14"/>
      <c r="I883" s="14"/>
      <c r="J883" s="14"/>
      <c r="K883" s="14"/>
      <c r="L883" s="14"/>
      <c r="M883" s="14"/>
      <c r="N883" s="14"/>
      <c r="O883" s="14"/>
      <c r="P883" s="14"/>
    </row>
    <row r="884">
      <c r="A884" s="12"/>
      <c r="D884" s="95"/>
      <c r="E884" s="14"/>
      <c r="F884" s="96"/>
      <c r="H884" s="14"/>
      <c r="I884" s="14"/>
      <c r="J884" s="14"/>
      <c r="K884" s="14"/>
      <c r="L884" s="14"/>
      <c r="M884" s="14"/>
      <c r="N884" s="14"/>
      <c r="O884" s="14"/>
      <c r="P884" s="14"/>
    </row>
    <row r="885">
      <c r="A885" s="12"/>
      <c r="D885" s="95"/>
      <c r="E885" s="14"/>
      <c r="F885" s="96"/>
      <c r="H885" s="14"/>
      <c r="I885" s="14"/>
      <c r="J885" s="14"/>
      <c r="K885" s="14"/>
      <c r="L885" s="14"/>
      <c r="M885" s="14"/>
      <c r="N885" s="14"/>
      <c r="O885" s="14"/>
      <c r="P885" s="14"/>
    </row>
    <row r="886">
      <c r="A886" s="12"/>
      <c r="D886" s="95"/>
      <c r="E886" s="14"/>
      <c r="F886" s="96"/>
      <c r="H886" s="14"/>
      <c r="I886" s="14"/>
      <c r="J886" s="14"/>
      <c r="K886" s="14"/>
      <c r="L886" s="14"/>
      <c r="M886" s="14"/>
      <c r="N886" s="14"/>
      <c r="O886" s="14"/>
      <c r="P886" s="14"/>
    </row>
    <row r="887">
      <c r="A887" s="12"/>
      <c r="D887" s="95"/>
      <c r="E887" s="14"/>
      <c r="F887" s="96"/>
      <c r="H887" s="14"/>
      <c r="I887" s="14"/>
      <c r="J887" s="14"/>
      <c r="K887" s="14"/>
      <c r="L887" s="14"/>
      <c r="M887" s="14"/>
      <c r="N887" s="14"/>
      <c r="O887" s="14"/>
      <c r="P887" s="14"/>
    </row>
    <row r="888">
      <c r="A888" s="12"/>
      <c r="D888" s="95"/>
      <c r="E888" s="14"/>
      <c r="F888" s="96"/>
      <c r="H888" s="14"/>
      <c r="I888" s="14"/>
      <c r="J888" s="14"/>
      <c r="K888" s="14"/>
      <c r="L888" s="14"/>
      <c r="M888" s="14"/>
      <c r="N888" s="14"/>
      <c r="O888" s="14"/>
      <c r="P888" s="14"/>
    </row>
    <row r="889">
      <c r="A889" s="12"/>
      <c r="D889" s="95"/>
      <c r="E889" s="14"/>
      <c r="F889" s="96"/>
      <c r="H889" s="14"/>
      <c r="I889" s="14"/>
      <c r="J889" s="14"/>
      <c r="K889" s="14"/>
      <c r="L889" s="14"/>
      <c r="M889" s="14"/>
      <c r="N889" s="14"/>
      <c r="O889" s="14"/>
      <c r="P889" s="14"/>
    </row>
    <row r="890">
      <c r="A890" s="12"/>
      <c r="D890" s="95"/>
      <c r="E890" s="14"/>
      <c r="F890" s="96"/>
      <c r="H890" s="14"/>
      <c r="I890" s="14"/>
      <c r="J890" s="14"/>
      <c r="K890" s="14"/>
      <c r="L890" s="14"/>
      <c r="M890" s="14"/>
      <c r="N890" s="14"/>
      <c r="O890" s="14"/>
      <c r="P890" s="14"/>
    </row>
    <row r="891">
      <c r="A891" s="12"/>
      <c r="D891" s="95"/>
      <c r="E891" s="14"/>
      <c r="F891" s="96"/>
      <c r="H891" s="14"/>
      <c r="I891" s="14"/>
      <c r="J891" s="14"/>
      <c r="K891" s="14"/>
      <c r="L891" s="14"/>
      <c r="M891" s="14"/>
      <c r="N891" s="14"/>
      <c r="O891" s="14"/>
      <c r="P891" s="14"/>
    </row>
    <row r="892">
      <c r="A892" s="12"/>
      <c r="D892" s="95"/>
      <c r="E892" s="14"/>
      <c r="F892" s="96"/>
      <c r="H892" s="14"/>
      <c r="I892" s="14"/>
      <c r="J892" s="14"/>
      <c r="K892" s="14"/>
      <c r="L892" s="14"/>
      <c r="M892" s="14"/>
      <c r="N892" s="14"/>
      <c r="O892" s="14"/>
      <c r="P892" s="14"/>
    </row>
    <row r="893">
      <c r="A893" s="12"/>
      <c r="D893" s="95"/>
      <c r="E893" s="14"/>
      <c r="F893" s="96"/>
      <c r="H893" s="14"/>
      <c r="I893" s="14"/>
      <c r="J893" s="14"/>
      <c r="K893" s="14"/>
      <c r="L893" s="14"/>
      <c r="M893" s="14"/>
      <c r="N893" s="14"/>
      <c r="O893" s="14"/>
      <c r="P893" s="14"/>
    </row>
    <row r="894">
      <c r="A894" s="12"/>
      <c r="D894" s="95"/>
      <c r="E894" s="14"/>
      <c r="F894" s="96"/>
      <c r="H894" s="14"/>
      <c r="I894" s="14"/>
      <c r="J894" s="14"/>
      <c r="K894" s="14"/>
      <c r="L894" s="14"/>
      <c r="M894" s="14"/>
      <c r="N894" s="14"/>
      <c r="O894" s="14"/>
      <c r="P894" s="14"/>
    </row>
    <row r="895">
      <c r="A895" s="12"/>
      <c r="D895" s="95"/>
      <c r="E895" s="14"/>
      <c r="F895" s="96"/>
      <c r="H895" s="14"/>
      <c r="I895" s="14"/>
      <c r="J895" s="14"/>
      <c r="K895" s="14"/>
      <c r="L895" s="14"/>
      <c r="M895" s="14"/>
      <c r="N895" s="14"/>
      <c r="O895" s="14"/>
      <c r="P895" s="14"/>
    </row>
    <row r="896">
      <c r="A896" s="12"/>
      <c r="D896" s="95"/>
      <c r="E896" s="14"/>
      <c r="F896" s="96"/>
      <c r="H896" s="14"/>
      <c r="I896" s="14"/>
      <c r="J896" s="14"/>
      <c r="K896" s="14"/>
      <c r="L896" s="14"/>
      <c r="M896" s="14"/>
      <c r="N896" s="14"/>
      <c r="O896" s="14"/>
      <c r="P896" s="14"/>
    </row>
    <row r="897">
      <c r="A897" s="12"/>
      <c r="D897" s="95"/>
      <c r="E897" s="14"/>
      <c r="F897" s="96"/>
      <c r="H897" s="14"/>
      <c r="I897" s="14"/>
      <c r="J897" s="14"/>
      <c r="K897" s="14"/>
      <c r="L897" s="14"/>
      <c r="M897" s="14"/>
      <c r="N897" s="14"/>
      <c r="O897" s="14"/>
      <c r="P897" s="14"/>
    </row>
    <row r="898">
      <c r="A898" s="12"/>
      <c r="D898" s="95"/>
      <c r="E898" s="14"/>
      <c r="F898" s="96"/>
      <c r="H898" s="14"/>
      <c r="I898" s="14"/>
      <c r="J898" s="14"/>
      <c r="K898" s="14"/>
      <c r="L898" s="14"/>
      <c r="M898" s="14"/>
      <c r="N898" s="14"/>
      <c r="O898" s="14"/>
      <c r="P898" s="14"/>
    </row>
    <row r="899">
      <c r="A899" s="12"/>
      <c r="D899" s="95"/>
      <c r="E899" s="14"/>
      <c r="F899" s="96"/>
      <c r="H899" s="14"/>
      <c r="I899" s="14"/>
      <c r="J899" s="14"/>
      <c r="K899" s="14"/>
      <c r="L899" s="14"/>
      <c r="M899" s="14"/>
      <c r="N899" s="14"/>
      <c r="O899" s="14"/>
      <c r="P899" s="14"/>
    </row>
    <row r="900">
      <c r="A900" s="12"/>
      <c r="D900" s="95"/>
      <c r="E900" s="14"/>
      <c r="F900" s="96"/>
      <c r="H900" s="14"/>
      <c r="I900" s="14"/>
      <c r="J900" s="14"/>
      <c r="K900" s="14"/>
      <c r="L900" s="14"/>
      <c r="M900" s="14"/>
      <c r="N900" s="14"/>
      <c r="O900" s="14"/>
      <c r="P900" s="14"/>
    </row>
    <row r="901">
      <c r="A901" s="12"/>
      <c r="D901" s="95"/>
      <c r="E901" s="14"/>
      <c r="F901" s="96"/>
      <c r="H901" s="14"/>
      <c r="I901" s="14"/>
      <c r="J901" s="14"/>
      <c r="K901" s="14"/>
      <c r="L901" s="14"/>
      <c r="M901" s="14"/>
      <c r="N901" s="14"/>
      <c r="O901" s="14"/>
      <c r="P901" s="14"/>
    </row>
    <row r="902">
      <c r="A902" s="12"/>
      <c r="D902" s="95"/>
      <c r="E902" s="14"/>
      <c r="F902" s="96"/>
      <c r="H902" s="14"/>
      <c r="I902" s="14"/>
      <c r="J902" s="14"/>
      <c r="K902" s="14"/>
      <c r="L902" s="14"/>
      <c r="M902" s="14"/>
      <c r="N902" s="14"/>
      <c r="O902" s="14"/>
      <c r="P902" s="14"/>
    </row>
    <row r="903">
      <c r="A903" s="12"/>
      <c r="D903" s="95"/>
      <c r="E903" s="14"/>
      <c r="F903" s="96"/>
      <c r="H903" s="14"/>
      <c r="I903" s="14"/>
      <c r="J903" s="14"/>
      <c r="K903" s="14"/>
      <c r="L903" s="14"/>
      <c r="M903" s="14"/>
      <c r="N903" s="14"/>
      <c r="O903" s="14"/>
      <c r="P903" s="14"/>
    </row>
    <row r="904">
      <c r="A904" s="12"/>
      <c r="D904" s="95"/>
      <c r="E904" s="14"/>
      <c r="F904" s="96"/>
      <c r="H904" s="14"/>
      <c r="I904" s="14"/>
      <c r="J904" s="14"/>
      <c r="K904" s="14"/>
      <c r="L904" s="14"/>
      <c r="M904" s="14"/>
      <c r="N904" s="14"/>
      <c r="O904" s="14"/>
      <c r="P904" s="14"/>
    </row>
    <row r="905">
      <c r="A905" s="12"/>
      <c r="D905" s="95"/>
      <c r="E905" s="14"/>
      <c r="F905" s="96"/>
      <c r="H905" s="14"/>
      <c r="I905" s="14"/>
      <c r="J905" s="14"/>
      <c r="K905" s="14"/>
      <c r="L905" s="14"/>
      <c r="M905" s="14"/>
      <c r="N905" s="14"/>
      <c r="O905" s="14"/>
      <c r="P905" s="14"/>
    </row>
    <row r="906">
      <c r="A906" s="12"/>
      <c r="D906" s="95"/>
      <c r="E906" s="14"/>
      <c r="F906" s="96"/>
      <c r="H906" s="14"/>
      <c r="I906" s="14"/>
      <c r="J906" s="14"/>
      <c r="K906" s="14"/>
      <c r="L906" s="14"/>
      <c r="M906" s="14"/>
      <c r="N906" s="14"/>
      <c r="O906" s="14"/>
      <c r="P906" s="14"/>
    </row>
    <row r="907">
      <c r="A907" s="12"/>
      <c r="D907" s="95"/>
      <c r="E907" s="14"/>
      <c r="F907" s="96"/>
      <c r="H907" s="14"/>
      <c r="I907" s="14"/>
      <c r="J907" s="14"/>
      <c r="K907" s="14"/>
      <c r="L907" s="14"/>
      <c r="M907" s="14"/>
      <c r="N907" s="14"/>
      <c r="O907" s="14"/>
      <c r="P907" s="14"/>
    </row>
    <row r="908">
      <c r="A908" s="12"/>
      <c r="D908" s="95"/>
      <c r="E908" s="14"/>
      <c r="F908" s="96"/>
      <c r="H908" s="14"/>
      <c r="I908" s="14"/>
      <c r="J908" s="14"/>
      <c r="K908" s="14"/>
      <c r="L908" s="14"/>
      <c r="M908" s="14"/>
      <c r="N908" s="14"/>
      <c r="O908" s="14"/>
      <c r="P908" s="14"/>
    </row>
    <row r="909">
      <c r="A909" s="12"/>
      <c r="D909" s="95"/>
      <c r="E909" s="14"/>
      <c r="F909" s="96"/>
      <c r="H909" s="14"/>
      <c r="I909" s="14"/>
      <c r="J909" s="14"/>
      <c r="K909" s="14"/>
      <c r="L909" s="14"/>
      <c r="M909" s="14"/>
      <c r="N909" s="14"/>
      <c r="O909" s="14"/>
      <c r="P909" s="14"/>
    </row>
    <row r="910">
      <c r="A910" s="12"/>
      <c r="D910" s="95"/>
      <c r="E910" s="14"/>
      <c r="F910" s="96"/>
      <c r="H910" s="14"/>
      <c r="I910" s="14"/>
      <c r="J910" s="14"/>
      <c r="K910" s="14"/>
      <c r="L910" s="14"/>
      <c r="M910" s="14"/>
      <c r="N910" s="14"/>
      <c r="O910" s="14"/>
      <c r="P910" s="14"/>
    </row>
    <row r="911">
      <c r="A911" s="12"/>
      <c r="D911" s="95"/>
      <c r="E911" s="14"/>
      <c r="F911" s="96"/>
      <c r="H911" s="14"/>
      <c r="I911" s="14"/>
      <c r="J911" s="14"/>
      <c r="K911" s="14"/>
      <c r="L911" s="14"/>
      <c r="M911" s="14"/>
      <c r="N911" s="14"/>
      <c r="O911" s="14"/>
      <c r="P911" s="14"/>
    </row>
    <row r="912">
      <c r="A912" s="12"/>
      <c r="D912" s="95"/>
      <c r="E912" s="14"/>
      <c r="F912" s="96"/>
      <c r="H912" s="14"/>
      <c r="I912" s="14"/>
      <c r="J912" s="14"/>
      <c r="K912" s="14"/>
      <c r="L912" s="14"/>
      <c r="M912" s="14"/>
      <c r="N912" s="14"/>
      <c r="O912" s="14"/>
      <c r="P912" s="14"/>
    </row>
    <row r="913">
      <c r="A913" s="12"/>
      <c r="D913" s="95"/>
      <c r="E913" s="14"/>
      <c r="F913" s="96"/>
      <c r="H913" s="14"/>
      <c r="I913" s="14"/>
      <c r="J913" s="14"/>
      <c r="K913" s="14"/>
      <c r="L913" s="14"/>
      <c r="M913" s="14"/>
      <c r="N913" s="14"/>
      <c r="O913" s="14"/>
      <c r="P913" s="14"/>
    </row>
    <row r="914">
      <c r="A914" s="12"/>
      <c r="D914" s="95"/>
      <c r="E914" s="14"/>
      <c r="F914" s="96"/>
      <c r="H914" s="14"/>
      <c r="I914" s="14"/>
      <c r="J914" s="14"/>
      <c r="K914" s="14"/>
      <c r="L914" s="14"/>
      <c r="M914" s="14"/>
      <c r="N914" s="14"/>
      <c r="O914" s="14"/>
      <c r="P914" s="14"/>
    </row>
    <row r="915">
      <c r="A915" s="12"/>
      <c r="D915" s="95"/>
      <c r="E915" s="14"/>
      <c r="F915" s="96"/>
      <c r="H915" s="14"/>
      <c r="I915" s="14"/>
      <c r="J915" s="14"/>
      <c r="K915" s="14"/>
      <c r="L915" s="14"/>
      <c r="M915" s="14"/>
      <c r="N915" s="14"/>
      <c r="O915" s="14"/>
      <c r="P915" s="14"/>
    </row>
    <row r="916">
      <c r="A916" s="12"/>
      <c r="D916" s="95"/>
      <c r="E916" s="14"/>
      <c r="F916" s="96"/>
      <c r="H916" s="14"/>
      <c r="I916" s="14"/>
      <c r="J916" s="14"/>
      <c r="K916" s="14"/>
      <c r="L916" s="14"/>
      <c r="M916" s="14"/>
      <c r="N916" s="14"/>
      <c r="O916" s="14"/>
      <c r="P916" s="14"/>
    </row>
    <row r="917">
      <c r="A917" s="12"/>
      <c r="D917" s="95"/>
      <c r="E917" s="14"/>
      <c r="F917" s="96"/>
      <c r="H917" s="14"/>
      <c r="I917" s="14"/>
      <c r="J917" s="14"/>
      <c r="K917" s="14"/>
      <c r="L917" s="14"/>
      <c r="M917" s="14"/>
      <c r="N917" s="14"/>
      <c r="O917" s="14"/>
      <c r="P917" s="14"/>
    </row>
    <row r="918">
      <c r="A918" s="12"/>
      <c r="D918" s="95"/>
      <c r="E918" s="14"/>
      <c r="F918" s="96"/>
      <c r="H918" s="14"/>
      <c r="I918" s="14"/>
      <c r="J918" s="14"/>
      <c r="K918" s="14"/>
      <c r="L918" s="14"/>
      <c r="M918" s="14"/>
      <c r="N918" s="14"/>
      <c r="O918" s="14"/>
      <c r="P918" s="14"/>
    </row>
    <row r="919">
      <c r="A919" s="12"/>
      <c r="D919" s="95"/>
      <c r="E919" s="14"/>
      <c r="F919" s="96"/>
      <c r="H919" s="14"/>
      <c r="I919" s="14"/>
      <c r="J919" s="14"/>
      <c r="K919" s="14"/>
      <c r="L919" s="14"/>
      <c r="M919" s="14"/>
      <c r="N919" s="14"/>
      <c r="O919" s="14"/>
      <c r="P919" s="14"/>
    </row>
    <row r="920">
      <c r="A920" s="12"/>
      <c r="D920" s="95"/>
      <c r="E920" s="14"/>
      <c r="F920" s="96"/>
      <c r="H920" s="14"/>
      <c r="I920" s="14"/>
      <c r="J920" s="14"/>
      <c r="K920" s="14"/>
      <c r="L920" s="14"/>
      <c r="M920" s="14"/>
      <c r="N920" s="14"/>
      <c r="O920" s="14"/>
      <c r="P920" s="14"/>
    </row>
    <row r="921">
      <c r="A921" s="12"/>
      <c r="D921" s="95"/>
      <c r="E921" s="14"/>
      <c r="F921" s="96"/>
      <c r="H921" s="14"/>
      <c r="I921" s="14"/>
      <c r="J921" s="14"/>
      <c r="K921" s="14"/>
      <c r="L921" s="14"/>
      <c r="M921" s="14"/>
      <c r="N921" s="14"/>
      <c r="O921" s="14"/>
      <c r="P921" s="14"/>
    </row>
    <row r="922">
      <c r="A922" s="12"/>
      <c r="D922" s="95"/>
      <c r="E922" s="14"/>
      <c r="F922" s="96"/>
      <c r="H922" s="14"/>
      <c r="I922" s="14"/>
      <c r="J922" s="14"/>
      <c r="K922" s="14"/>
      <c r="L922" s="14"/>
      <c r="M922" s="14"/>
      <c r="N922" s="14"/>
      <c r="O922" s="14"/>
      <c r="P922" s="14"/>
    </row>
    <row r="923">
      <c r="A923" s="12"/>
      <c r="D923" s="95"/>
      <c r="E923" s="14"/>
      <c r="F923" s="96"/>
      <c r="H923" s="14"/>
      <c r="I923" s="14"/>
      <c r="J923" s="14"/>
      <c r="K923" s="14"/>
      <c r="L923" s="14"/>
      <c r="M923" s="14"/>
      <c r="N923" s="14"/>
      <c r="O923" s="14"/>
      <c r="P923" s="14"/>
    </row>
    <row r="924">
      <c r="A924" s="12"/>
      <c r="D924" s="95"/>
      <c r="E924" s="14"/>
      <c r="F924" s="96"/>
      <c r="H924" s="14"/>
      <c r="I924" s="14"/>
      <c r="J924" s="14"/>
      <c r="K924" s="14"/>
      <c r="L924" s="14"/>
      <c r="M924" s="14"/>
      <c r="N924" s="14"/>
      <c r="O924" s="14"/>
      <c r="P924" s="14"/>
    </row>
    <row r="925">
      <c r="A925" s="12"/>
      <c r="D925" s="95"/>
      <c r="E925" s="14"/>
      <c r="F925" s="96"/>
      <c r="H925" s="14"/>
      <c r="I925" s="14"/>
      <c r="J925" s="14"/>
      <c r="K925" s="14"/>
      <c r="L925" s="14"/>
      <c r="M925" s="14"/>
      <c r="N925" s="14"/>
      <c r="O925" s="14"/>
      <c r="P925" s="14"/>
    </row>
    <row r="926">
      <c r="A926" s="12"/>
      <c r="D926" s="95"/>
      <c r="E926" s="14"/>
      <c r="F926" s="96"/>
      <c r="H926" s="14"/>
      <c r="I926" s="14"/>
      <c r="J926" s="14"/>
      <c r="K926" s="14"/>
      <c r="L926" s="14"/>
      <c r="M926" s="14"/>
      <c r="N926" s="14"/>
      <c r="O926" s="14"/>
      <c r="P926" s="14"/>
    </row>
    <row r="927">
      <c r="A927" s="12"/>
      <c r="D927" s="95"/>
      <c r="E927" s="14"/>
      <c r="F927" s="96"/>
      <c r="H927" s="14"/>
      <c r="I927" s="14"/>
      <c r="J927" s="14"/>
      <c r="K927" s="14"/>
      <c r="L927" s="14"/>
      <c r="M927" s="14"/>
      <c r="N927" s="14"/>
      <c r="O927" s="14"/>
      <c r="P927" s="14"/>
    </row>
    <row r="928">
      <c r="A928" s="12"/>
      <c r="D928" s="95"/>
      <c r="E928" s="14"/>
      <c r="F928" s="96"/>
      <c r="H928" s="14"/>
      <c r="I928" s="14"/>
      <c r="J928" s="14"/>
      <c r="K928" s="14"/>
      <c r="L928" s="14"/>
      <c r="M928" s="14"/>
      <c r="N928" s="14"/>
      <c r="O928" s="14"/>
      <c r="P928" s="14"/>
    </row>
    <row r="929">
      <c r="A929" s="12"/>
      <c r="D929" s="95"/>
      <c r="E929" s="14"/>
      <c r="F929" s="96"/>
      <c r="H929" s="14"/>
      <c r="I929" s="14"/>
      <c r="J929" s="14"/>
      <c r="K929" s="14"/>
      <c r="L929" s="14"/>
      <c r="M929" s="14"/>
      <c r="N929" s="14"/>
      <c r="O929" s="14"/>
      <c r="P929" s="14"/>
    </row>
    <row r="930">
      <c r="A930" s="12"/>
      <c r="D930" s="95"/>
      <c r="E930" s="14"/>
      <c r="F930" s="96"/>
      <c r="H930" s="14"/>
      <c r="I930" s="14"/>
      <c r="J930" s="14"/>
      <c r="K930" s="14"/>
      <c r="L930" s="14"/>
      <c r="M930" s="14"/>
      <c r="N930" s="14"/>
      <c r="O930" s="14"/>
      <c r="P930" s="14"/>
    </row>
    <row r="931">
      <c r="A931" s="12"/>
      <c r="D931" s="95"/>
      <c r="E931" s="14"/>
      <c r="F931" s="96"/>
      <c r="H931" s="14"/>
      <c r="I931" s="14"/>
      <c r="J931" s="14"/>
      <c r="K931" s="14"/>
      <c r="L931" s="14"/>
      <c r="M931" s="14"/>
      <c r="N931" s="14"/>
      <c r="O931" s="14"/>
      <c r="P931" s="14"/>
    </row>
    <row r="932">
      <c r="A932" s="12"/>
      <c r="D932" s="95"/>
      <c r="E932" s="14"/>
      <c r="F932" s="96"/>
      <c r="H932" s="14"/>
      <c r="I932" s="14"/>
      <c r="J932" s="14"/>
      <c r="K932" s="14"/>
      <c r="L932" s="14"/>
      <c r="M932" s="14"/>
      <c r="N932" s="14"/>
      <c r="O932" s="14"/>
      <c r="P932" s="14"/>
    </row>
    <row r="933">
      <c r="A933" s="12"/>
      <c r="D933" s="95"/>
      <c r="E933" s="14"/>
      <c r="F933" s="96"/>
      <c r="H933" s="14"/>
      <c r="I933" s="14"/>
      <c r="J933" s="14"/>
      <c r="K933" s="14"/>
      <c r="L933" s="14"/>
      <c r="M933" s="14"/>
      <c r="N933" s="14"/>
      <c r="O933" s="14"/>
      <c r="P933" s="14"/>
    </row>
    <row r="934">
      <c r="A934" s="12"/>
      <c r="D934" s="95"/>
      <c r="E934" s="14"/>
      <c r="F934" s="96"/>
      <c r="H934" s="14"/>
      <c r="I934" s="14"/>
      <c r="J934" s="14"/>
      <c r="K934" s="14"/>
      <c r="L934" s="14"/>
      <c r="M934" s="14"/>
      <c r="N934" s="14"/>
      <c r="O934" s="14"/>
      <c r="P934" s="14"/>
    </row>
    <row r="935">
      <c r="A935" s="12"/>
      <c r="D935" s="95"/>
      <c r="E935" s="14"/>
      <c r="F935" s="96"/>
      <c r="H935" s="14"/>
      <c r="I935" s="14"/>
      <c r="J935" s="14"/>
      <c r="K935" s="14"/>
      <c r="L935" s="14"/>
      <c r="M935" s="14"/>
      <c r="N935" s="14"/>
      <c r="O935" s="14"/>
      <c r="P935" s="14"/>
    </row>
    <row r="936">
      <c r="A936" s="12"/>
      <c r="D936" s="95"/>
      <c r="E936" s="14"/>
      <c r="F936" s="96"/>
      <c r="H936" s="14"/>
      <c r="I936" s="14"/>
      <c r="J936" s="14"/>
      <c r="K936" s="14"/>
      <c r="L936" s="14"/>
      <c r="M936" s="14"/>
      <c r="N936" s="14"/>
      <c r="O936" s="14"/>
      <c r="P936" s="14"/>
    </row>
    <row r="937">
      <c r="A937" s="12"/>
      <c r="D937" s="95"/>
      <c r="E937" s="14"/>
      <c r="F937" s="96"/>
      <c r="H937" s="14"/>
      <c r="I937" s="14"/>
      <c r="J937" s="14"/>
      <c r="K937" s="14"/>
      <c r="L937" s="14"/>
      <c r="M937" s="14"/>
      <c r="N937" s="14"/>
      <c r="O937" s="14"/>
      <c r="P937" s="14"/>
    </row>
    <row r="938">
      <c r="A938" s="12"/>
      <c r="D938" s="95"/>
      <c r="E938" s="14"/>
      <c r="F938" s="96"/>
      <c r="H938" s="14"/>
      <c r="I938" s="14"/>
      <c r="J938" s="14"/>
      <c r="K938" s="14"/>
      <c r="L938" s="14"/>
      <c r="M938" s="14"/>
      <c r="N938" s="14"/>
      <c r="O938" s="14"/>
      <c r="P938" s="14"/>
    </row>
    <row r="939">
      <c r="A939" s="12"/>
      <c r="D939" s="95"/>
      <c r="E939" s="14"/>
      <c r="F939" s="96"/>
      <c r="H939" s="14"/>
      <c r="I939" s="14"/>
      <c r="J939" s="14"/>
      <c r="K939" s="14"/>
      <c r="L939" s="14"/>
      <c r="M939" s="14"/>
      <c r="N939" s="14"/>
      <c r="O939" s="14"/>
      <c r="P939" s="14"/>
    </row>
    <row r="940">
      <c r="A940" s="12"/>
      <c r="D940" s="95"/>
      <c r="E940" s="14"/>
      <c r="F940" s="96"/>
      <c r="H940" s="14"/>
      <c r="I940" s="14"/>
      <c r="J940" s="14"/>
      <c r="K940" s="14"/>
      <c r="L940" s="14"/>
      <c r="M940" s="14"/>
      <c r="N940" s="14"/>
      <c r="O940" s="14"/>
      <c r="P940" s="14"/>
    </row>
    <row r="941">
      <c r="A941" s="12"/>
      <c r="D941" s="95"/>
      <c r="E941" s="14"/>
      <c r="F941" s="96"/>
      <c r="H941" s="14"/>
      <c r="I941" s="14"/>
      <c r="J941" s="14"/>
      <c r="K941" s="14"/>
      <c r="L941" s="14"/>
      <c r="M941" s="14"/>
      <c r="N941" s="14"/>
      <c r="O941" s="14"/>
      <c r="P941" s="14"/>
    </row>
    <row r="942">
      <c r="A942" s="12"/>
      <c r="D942" s="95"/>
      <c r="E942" s="14"/>
      <c r="F942" s="96"/>
      <c r="H942" s="14"/>
      <c r="I942" s="14"/>
      <c r="J942" s="14"/>
      <c r="K942" s="14"/>
      <c r="L942" s="14"/>
      <c r="M942" s="14"/>
      <c r="N942" s="14"/>
      <c r="O942" s="14"/>
      <c r="P942" s="14"/>
    </row>
    <row r="943">
      <c r="A943" s="12"/>
      <c r="D943" s="95"/>
      <c r="E943" s="14"/>
      <c r="F943" s="96"/>
      <c r="H943" s="14"/>
      <c r="I943" s="14"/>
      <c r="J943" s="14"/>
      <c r="K943" s="14"/>
      <c r="L943" s="14"/>
      <c r="M943" s="14"/>
      <c r="N943" s="14"/>
      <c r="O943" s="14"/>
      <c r="P943" s="14"/>
    </row>
    <row r="944">
      <c r="A944" s="12"/>
      <c r="D944" s="95"/>
      <c r="E944" s="14"/>
      <c r="F944" s="96"/>
      <c r="H944" s="14"/>
      <c r="I944" s="14"/>
      <c r="J944" s="14"/>
      <c r="K944" s="14"/>
      <c r="L944" s="14"/>
      <c r="M944" s="14"/>
      <c r="N944" s="14"/>
      <c r="O944" s="14"/>
      <c r="P944" s="14"/>
    </row>
    <row r="945">
      <c r="A945" s="12"/>
      <c r="D945" s="95"/>
      <c r="E945" s="14"/>
      <c r="F945" s="96"/>
      <c r="H945" s="14"/>
      <c r="I945" s="14"/>
      <c r="J945" s="14"/>
      <c r="K945" s="14"/>
      <c r="L945" s="14"/>
      <c r="M945" s="14"/>
      <c r="N945" s="14"/>
      <c r="O945" s="14"/>
      <c r="P945" s="14"/>
    </row>
    <row r="946">
      <c r="A946" s="12"/>
      <c r="D946" s="95"/>
      <c r="E946" s="14"/>
      <c r="F946" s="96"/>
      <c r="H946" s="14"/>
      <c r="I946" s="14"/>
      <c r="J946" s="14"/>
      <c r="K946" s="14"/>
      <c r="L946" s="14"/>
      <c r="M946" s="14"/>
      <c r="N946" s="14"/>
      <c r="O946" s="14"/>
      <c r="P946" s="14"/>
    </row>
    <row r="947">
      <c r="A947" s="12"/>
      <c r="D947" s="95"/>
      <c r="E947" s="14"/>
      <c r="F947" s="96"/>
      <c r="H947" s="14"/>
      <c r="I947" s="14"/>
      <c r="J947" s="14"/>
      <c r="K947" s="14"/>
      <c r="L947" s="14"/>
      <c r="M947" s="14"/>
      <c r="N947" s="14"/>
      <c r="O947" s="14"/>
      <c r="P947" s="14"/>
    </row>
    <row r="948">
      <c r="A948" s="12"/>
      <c r="D948" s="95"/>
      <c r="E948" s="14"/>
      <c r="F948" s="96"/>
      <c r="H948" s="14"/>
      <c r="I948" s="14"/>
      <c r="J948" s="14"/>
      <c r="K948" s="14"/>
      <c r="L948" s="14"/>
      <c r="M948" s="14"/>
      <c r="N948" s="14"/>
      <c r="O948" s="14"/>
      <c r="P948" s="14"/>
    </row>
    <row r="949">
      <c r="A949" s="12"/>
      <c r="D949" s="95"/>
      <c r="E949" s="14"/>
      <c r="F949" s="96"/>
      <c r="H949" s="14"/>
      <c r="I949" s="14"/>
      <c r="J949" s="14"/>
      <c r="K949" s="14"/>
      <c r="L949" s="14"/>
      <c r="M949" s="14"/>
      <c r="N949" s="14"/>
      <c r="O949" s="14"/>
      <c r="P949" s="14"/>
    </row>
    <row r="950">
      <c r="A950" s="12"/>
      <c r="D950" s="95"/>
      <c r="E950" s="14"/>
      <c r="F950" s="96"/>
      <c r="H950" s="14"/>
      <c r="I950" s="14"/>
      <c r="J950" s="14"/>
      <c r="K950" s="14"/>
      <c r="L950" s="14"/>
      <c r="M950" s="14"/>
      <c r="N950" s="14"/>
      <c r="O950" s="14"/>
      <c r="P950" s="14"/>
    </row>
    <row r="951">
      <c r="A951" s="12"/>
      <c r="D951" s="95"/>
      <c r="E951" s="14"/>
      <c r="F951" s="96"/>
      <c r="H951" s="14"/>
      <c r="I951" s="14"/>
      <c r="J951" s="14"/>
      <c r="K951" s="14"/>
      <c r="L951" s="14"/>
      <c r="M951" s="14"/>
      <c r="N951" s="14"/>
      <c r="O951" s="14"/>
      <c r="P951" s="14"/>
    </row>
    <row r="952">
      <c r="A952" s="12"/>
      <c r="D952" s="95"/>
      <c r="E952" s="14"/>
      <c r="F952" s="96"/>
      <c r="H952" s="14"/>
      <c r="I952" s="14"/>
      <c r="J952" s="14"/>
      <c r="K952" s="14"/>
      <c r="L952" s="14"/>
      <c r="M952" s="14"/>
      <c r="N952" s="14"/>
      <c r="O952" s="14"/>
      <c r="P952" s="14"/>
    </row>
    <row r="953">
      <c r="A953" s="12"/>
      <c r="D953" s="95"/>
      <c r="E953" s="14"/>
      <c r="F953" s="96"/>
      <c r="H953" s="14"/>
      <c r="I953" s="14"/>
      <c r="J953" s="14"/>
      <c r="K953" s="14"/>
      <c r="L953" s="14"/>
      <c r="M953" s="14"/>
      <c r="N953" s="14"/>
      <c r="O953" s="14"/>
      <c r="P953" s="14"/>
    </row>
    <row r="954">
      <c r="A954" s="12"/>
      <c r="D954" s="95"/>
      <c r="E954" s="14"/>
      <c r="F954" s="96"/>
      <c r="H954" s="14"/>
      <c r="I954" s="14"/>
      <c r="J954" s="14"/>
      <c r="K954" s="14"/>
      <c r="L954" s="14"/>
      <c r="M954" s="14"/>
      <c r="N954" s="14"/>
      <c r="O954" s="14"/>
      <c r="P954" s="14"/>
    </row>
    <row r="955">
      <c r="A955" s="12"/>
      <c r="D955" s="95"/>
      <c r="E955" s="14"/>
      <c r="F955" s="96"/>
      <c r="H955" s="14"/>
      <c r="I955" s="14"/>
      <c r="J955" s="14"/>
      <c r="K955" s="14"/>
      <c r="L955" s="14"/>
      <c r="M955" s="14"/>
      <c r="N955" s="14"/>
      <c r="O955" s="14"/>
      <c r="P955" s="14"/>
    </row>
    <row r="956">
      <c r="A956" s="12"/>
      <c r="D956" s="95"/>
      <c r="E956" s="14"/>
      <c r="F956" s="96"/>
      <c r="H956" s="14"/>
      <c r="I956" s="14"/>
      <c r="J956" s="14"/>
      <c r="K956" s="14"/>
      <c r="L956" s="14"/>
      <c r="M956" s="14"/>
      <c r="N956" s="14"/>
      <c r="O956" s="14"/>
      <c r="P956" s="14"/>
    </row>
    <row r="957">
      <c r="A957" s="12"/>
      <c r="D957" s="95"/>
      <c r="E957" s="14"/>
      <c r="F957" s="96"/>
      <c r="H957" s="14"/>
      <c r="I957" s="14"/>
      <c r="J957" s="14"/>
      <c r="K957" s="14"/>
      <c r="L957" s="14"/>
      <c r="M957" s="14"/>
      <c r="N957" s="14"/>
      <c r="O957" s="14"/>
      <c r="P957" s="14"/>
    </row>
    <row r="958">
      <c r="A958" s="12"/>
      <c r="D958" s="95"/>
      <c r="E958" s="14"/>
      <c r="F958" s="96"/>
      <c r="H958" s="14"/>
      <c r="I958" s="14"/>
      <c r="J958" s="14"/>
      <c r="K958" s="14"/>
      <c r="L958" s="14"/>
      <c r="M958" s="14"/>
      <c r="N958" s="14"/>
      <c r="O958" s="14"/>
      <c r="P958" s="14"/>
    </row>
    <row r="959">
      <c r="A959" s="12"/>
      <c r="D959" s="95"/>
      <c r="E959" s="14"/>
      <c r="F959" s="96"/>
      <c r="H959" s="14"/>
      <c r="I959" s="14"/>
      <c r="J959" s="14"/>
      <c r="K959" s="14"/>
      <c r="L959" s="14"/>
      <c r="M959" s="14"/>
      <c r="N959" s="14"/>
      <c r="O959" s="14"/>
      <c r="P959" s="14"/>
    </row>
    <row r="960">
      <c r="A960" s="12"/>
      <c r="D960" s="95"/>
      <c r="E960" s="14"/>
      <c r="F960" s="96"/>
      <c r="H960" s="14"/>
      <c r="I960" s="14"/>
      <c r="J960" s="14"/>
      <c r="K960" s="14"/>
      <c r="L960" s="14"/>
      <c r="M960" s="14"/>
      <c r="N960" s="14"/>
      <c r="O960" s="14"/>
      <c r="P960" s="14"/>
    </row>
    <row r="961">
      <c r="A961" s="12"/>
      <c r="D961" s="95"/>
      <c r="E961" s="14"/>
      <c r="F961" s="96"/>
      <c r="H961" s="14"/>
      <c r="I961" s="14"/>
      <c r="J961" s="14"/>
      <c r="K961" s="14"/>
      <c r="L961" s="14"/>
      <c r="M961" s="14"/>
      <c r="N961" s="14"/>
      <c r="O961" s="14"/>
      <c r="P961" s="14"/>
    </row>
    <row r="962">
      <c r="A962" s="12"/>
      <c r="D962" s="95"/>
      <c r="E962" s="14"/>
      <c r="F962" s="96"/>
      <c r="H962" s="14"/>
      <c r="I962" s="14"/>
      <c r="J962" s="14"/>
      <c r="K962" s="14"/>
      <c r="L962" s="14"/>
      <c r="M962" s="14"/>
      <c r="N962" s="14"/>
      <c r="O962" s="14"/>
      <c r="P962" s="14"/>
    </row>
    <row r="963">
      <c r="A963" s="12"/>
      <c r="D963" s="95"/>
      <c r="E963" s="14"/>
      <c r="F963" s="96"/>
      <c r="H963" s="14"/>
      <c r="I963" s="14"/>
      <c r="J963" s="14"/>
      <c r="K963" s="14"/>
      <c r="L963" s="14"/>
      <c r="M963" s="14"/>
      <c r="N963" s="14"/>
      <c r="O963" s="14"/>
      <c r="P963" s="14"/>
    </row>
    <row r="964">
      <c r="A964" s="12"/>
      <c r="D964" s="95"/>
      <c r="E964" s="14"/>
      <c r="F964" s="96"/>
      <c r="H964" s="14"/>
      <c r="I964" s="14"/>
      <c r="J964" s="14"/>
      <c r="K964" s="14"/>
      <c r="L964" s="14"/>
      <c r="M964" s="14"/>
      <c r="N964" s="14"/>
      <c r="O964" s="14"/>
      <c r="P964" s="14"/>
    </row>
    <row r="965">
      <c r="A965" s="12"/>
      <c r="D965" s="95"/>
      <c r="E965" s="14"/>
      <c r="F965" s="96"/>
      <c r="H965" s="14"/>
      <c r="I965" s="14"/>
      <c r="J965" s="14"/>
      <c r="K965" s="14"/>
      <c r="L965" s="14"/>
      <c r="M965" s="14"/>
      <c r="N965" s="14"/>
      <c r="O965" s="14"/>
      <c r="P965" s="14"/>
    </row>
    <row r="966">
      <c r="A966" s="12"/>
      <c r="D966" s="95"/>
      <c r="E966" s="14"/>
      <c r="F966" s="96"/>
      <c r="H966" s="14"/>
      <c r="I966" s="14"/>
      <c r="J966" s="14"/>
      <c r="K966" s="14"/>
      <c r="L966" s="14"/>
      <c r="M966" s="14"/>
      <c r="N966" s="14"/>
      <c r="O966" s="14"/>
      <c r="P966" s="14"/>
    </row>
    <row r="967">
      <c r="A967" s="12"/>
      <c r="D967" s="95"/>
      <c r="E967" s="14"/>
      <c r="F967" s="96"/>
      <c r="H967" s="14"/>
      <c r="I967" s="14"/>
      <c r="J967" s="14"/>
      <c r="K967" s="14"/>
      <c r="L967" s="14"/>
      <c r="M967" s="14"/>
      <c r="N967" s="14"/>
      <c r="O967" s="14"/>
      <c r="P967" s="14"/>
    </row>
    <row r="968">
      <c r="A968" s="12"/>
      <c r="D968" s="95"/>
      <c r="E968" s="14"/>
      <c r="F968" s="96"/>
      <c r="H968" s="14"/>
      <c r="I968" s="14"/>
      <c r="J968" s="14"/>
      <c r="K968" s="14"/>
      <c r="L968" s="14"/>
      <c r="M968" s="14"/>
      <c r="N968" s="14"/>
      <c r="O968" s="14"/>
      <c r="P968" s="14"/>
    </row>
    <row r="969">
      <c r="A969" s="12"/>
      <c r="D969" s="95"/>
      <c r="E969" s="14"/>
      <c r="F969" s="96"/>
      <c r="H969" s="14"/>
      <c r="I969" s="14"/>
      <c r="J969" s="14"/>
      <c r="K969" s="14"/>
      <c r="L969" s="14"/>
      <c r="M969" s="14"/>
      <c r="N969" s="14"/>
      <c r="O969" s="14"/>
      <c r="P969" s="14"/>
    </row>
    <row r="970">
      <c r="A970" s="12"/>
      <c r="D970" s="95"/>
      <c r="E970" s="14"/>
      <c r="F970" s="96"/>
      <c r="H970" s="14"/>
      <c r="I970" s="14"/>
      <c r="J970" s="14"/>
      <c r="K970" s="14"/>
      <c r="L970" s="14"/>
      <c r="M970" s="14"/>
      <c r="N970" s="14"/>
      <c r="O970" s="14"/>
      <c r="P970" s="14"/>
    </row>
    <row r="971">
      <c r="A971" s="12"/>
      <c r="D971" s="95"/>
      <c r="E971" s="14"/>
      <c r="F971" s="96"/>
      <c r="H971" s="14"/>
      <c r="I971" s="14"/>
      <c r="J971" s="14"/>
      <c r="K971" s="14"/>
      <c r="L971" s="14"/>
      <c r="M971" s="14"/>
      <c r="N971" s="14"/>
      <c r="O971" s="14"/>
      <c r="P971" s="14"/>
    </row>
    <row r="972">
      <c r="A972" s="12"/>
      <c r="D972" s="95"/>
      <c r="E972" s="14"/>
      <c r="F972" s="96"/>
      <c r="H972" s="14"/>
      <c r="I972" s="14"/>
      <c r="J972" s="14"/>
      <c r="K972" s="14"/>
      <c r="L972" s="14"/>
      <c r="M972" s="14"/>
      <c r="N972" s="14"/>
      <c r="O972" s="14"/>
      <c r="P972" s="14"/>
    </row>
    <row r="973">
      <c r="A973" s="12"/>
      <c r="D973" s="95"/>
      <c r="E973" s="14"/>
      <c r="F973" s="96"/>
      <c r="H973" s="14"/>
      <c r="I973" s="14"/>
      <c r="J973" s="14"/>
      <c r="K973" s="14"/>
      <c r="L973" s="14"/>
      <c r="M973" s="14"/>
      <c r="N973" s="14"/>
      <c r="O973" s="14"/>
      <c r="P973" s="14"/>
    </row>
    <row r="974">
      <c r="A974" s="12"/>
      <c r="D974" s="95"/>
      <c r="E974" s="14"/>
      <c r="F974" s="96"/>
      <c r="H974" s="14"/>
      <c r="I974" s="14"/>
      <c r="J974" s="14"/>
      <c r="K974" s="14"/>
      <c r="L974" s="14"/>
      <c r="M974" s="14"/>
      <c r="N974" s="14"/>
      <c r="O974" s="14"/>
      <c r="P974" s="14"/>
    </row>
    <row r="975">
      <c r="A975" s="12"/>
      <c r="D975" s="95"/>
      <c r="E975" s="14"/>
      <c r="F975" s="96"/>
      <c r="H975" s="14"/>
      <c r="I975" s="14"/>
      <c r="J975" s="14"/>
      <c r="K975" s="14"/>
      <c r="L975" s="14"/>
      <c r="M975" s="14"/>
      <c r="N975" s="14"/>
      <c r="O975" s="14"/>
      <c r="P975" s="14"/>
    </row>
    <row r="976">
      <c r="A976" s="12"/>
      <c r="D976" s="95"/>
      <c r="E976" s="14"/>
      <c r="F976" s="96"/>
      <c r="H976" s="14"/>
      <c r="I976" s="14"/>
      <c r="J976" s="14"/>
      <c r="K976" s="14"/>
      <c r="L976" s="14"/>
      <c r="M976" s="14"/>
      <c r="N976" s="14"/>
      <c r="O976" s="14"/>
      <c r="P976" s="14"/>
    </row>
    <row r="977">
      <c r="A977" s="12"/>
      <c r="D977" s="95"/>
      <c r="E977" s="14"/>
      <c r="F977" s="96"/>
      <c r="H977" s="14"/>
      <c r="I977" s="14"/>
      <c r="J977" s="14"/>
      <c r="K977" s="14"/>
      <c r="L977" s="14"/>
      <c r="M977" s="14"/>
      <c r="N977" s="14"/>
      <c r="O977" s="14"/>
      <c r="P977" s="14"/>
    </row>
    <row r="978">
      <c r="A978" s="12"/>
      <c r="D978" s="95"/>
      <c r="E978" s="14"/>
      <c r="F978" s="96"/>
      <c r="H978" s="14"/>
      <c r="I978" s="14"/>
      <c r="J978" s="14"/>
      <c r="K978" s="14"/>
      <c r="L978" s="14"/>
      <c r="M978" s="14"/>
      <c r="N978" s="14"/>
      <c r="O978" s="14"/>
      <c r="P978" s="14"/>
    </row>
    <row r="979">
      <c r="A979" s="12"/>
      <c r="D979" s="95"/>
      <c r="E979" s="14"/>
      <c r="F979" s="96"/>
      <c r="H979" s="14"/>
      <c r="I979" s="14"/>
      <c r="J979" s="14"/>
      <c r="K979" s="14"/>
      <c r="L979" s="14"/>
      <c r="M979" s="14"/>
      <c r="N979" s="14"/>
      <c r="O979" s="14"/>
      <c r="P979" s="14"/>
    </row>
    <row r="980">
      <c r="A980" s="12"/>
      <c r="D980" s="95"/>
      <c r="E980" s="14"/>
      <c r="F980" s="96"/>
      <c r="H980" s="14"/>
      <c r="I980" s="14"/>
      <c r="J980" s="14"/>
      <c r="K980" s="14"/>
      <c r="L980" s="14"/>
      <c r="M980" s="14"/>
      <c r="N980" s="14"/>
      <c r="O980" s="14"/>
      <c r="P980" s="14"/>
    </row>
    <row r="981">
      <c r="A981" s="12"/>
      <c r="D981" s="95"/>
      <c r="E981" s="14"/>
      <c r="F981" s="96"/>
      <c r="H981" s="14"/>
      <c r="I981" s="14"/>
      <c r="J981" s="14"/>
      <c r="K981" s="14"/>
      <c r="L981" s="14"/>
      <c r="M981" s="14"/>
      <c r="N981" s="14"/>
      <c r="O981" s="14"/>
      <c r="P981" s="14"/>
    </row>
    <row r="982">
      <c r="A982" s="12"/>
      <c r="D982" s="95"/>
      <c r="E982" s="14"/>
      <c r="F982" s="96"/>
      <c r="H982" s="14"/>
      <c r="I982" s="14"/>
      <c r="J982" s="14"/>
      <c r="K982" s="14"/>
      <c r="L982" s="14"/>
      <c r="M982" s="14"/>
      <c r="N982" s="14"/>
      <c r="O982" s="14"/>
      <c r="P982" s="14"/>
    </row>
    <row r="983">
      <c r="A983" s="12"/>
      <c r="D983" s="95"/>
      <c r="E983" s="14"/>
      <c r="F983" s="96"/>
      <c r="H983" s="14"/>
      <c r="I983" s="14"/>
      <c r="J983" s="14"/>
      <c r="K983" s="14"/>
      <c r="L983" s="14"/>
      <c r="M983" s="14"/>
      <c r="N983" s="14"/>
      <c r="O983" s="14"/>
      <c r="P983" s="14"/>
    </row>
    <row r="984">
      <c r="A984" s="12"/>
      <c r="D984" s="95"/>
      <c r="E984" s="14"/>
      <c r="F984" s="96"/>
      <c r="H984" s="14"/>
      <c r="I984" s="14"/>
      <c r="J984" s="14"/>
      <c r="K984" s="14"/>
      <c r="L984" s="14"/>
      <c r="M984" s="14"/>
      <c r="N984" s="14"/>
      <c r="O984" s="14"/>
      <c r="P984" s="14"/>
    </row>
    <row r="985">
      <c r="A985" s="12"/>
      <c r="D985" s="95"/>
      <c r="E985" s="14"/>
      <c r="F985" s="96"/>
      <c r="H985" s="14"/>
      <c r="I985" s="14"/>
      <c r="J985" s="14"/>
      <c r="K985" s="14"/>
      <c r="L985" s="14"/>
      <c r="M985" s="14"/>
      <c r="N985" s="14"/>
      <c r="O985" s="14"/>
      <c r="P985" s="14"/>
    </row>
    <row r="986">
      <c r="A986" s="12"/>
      <c r="D986" s="95"/>
      <c r="E986" s="14"/>
      <c r="F986" s="96"/>
      <c r="H986" s="14"/>
      <c r="I986" s="14"/>
      <c r="J986" s="14"/>
      <c r="K986" s="14"/>
      <c r="L986" s="14"/>
      <c r="M986" s="14"/>
      <c r="N986" s="14"/>
      <c r="O986" s="14"/>
      <c r="P986" s="14"/>
    </row>
    <row r="987">
      <c r="A987" s="12"/>
      <c r="D987" s="95"/>
      <c r="E987" s="14"/>
      <c r="F987" s="96"/>
      <c r="H987" s="14"/>
      <c r="I987" s="14"/>
      <c r="J987" s="14"/>
      <c r="K987" s="14"/>
      <c r="L987" s="14"/>
      <c r="M987" s="14"/>
      <c r="N987" s="14"/>
      <c r="O987" s="14"/>
      <c r="P987" s="14"/>
    </row>
    <row r="988">
      <c r="A988" s="12"/>
      <c r="D988" s="95"/>
      <c r="E988" s="14"/>
      <c r="F988" s="96"/>
      <c r="H988" s="14"/>
      <c r="I988" s="14"/>
      <c r="J988" s="14"/>
      <c r="K988" s="14"/>
      <c r="L988" s="14"/>
      <c r="M988" s="14"/>
      <c r="N988" s="14"/>
      <c r="O988" s="14"/>
      <c r="P988" s="14"/>
    </row>
    <row r="989">
      <c r="A989" s="12"/>
      <c r="D989" s="95"/>
      <c r="E989" s="14"/>
      <c r="F989" s="96"/>
      <c r="H989" s="14"/>
      <c r="I989" s="14"/>
      <c r="J989" s="14"/>
      <c r="K989" s="14"/>
      <c r="L989" s="14"/>
      <c r="M989" s="14"/>
      <c r="N989" s="14"/>
      <c r="O989" s="14"/>
      <c r="P989" s="14"/>
    </row>
    <row r="990">
      <c r="A990" s="12"/>
      <c r="D990" s="95"/>
      <c r="E990" s="14"/>
      <c r="F990" s="96"/>
      <c r="H990" s="14"/>
      <c r="I990" s="14"/>
      <c r="J990" s="14"/>
      <c r="K990" s="14"/>
      <c r="L990" s="14"/>
      <c r="M990" s="14"/>
      <c r="N990" s="14"/>
      <c r="O990" s="14"/>
      <c r="P990" s="14"/>
    </row>
    <row r="991">
      <c r="A991" s="12"/>
      <c r="D991" s="95"/>
      <c r="E991" s="14"/>
      <c r="F991" s="96"/>
      <c r="H991" s="14"/>
      <c r="I991" s="14"/>
      <c r="J991" s="14"/>
      <c r="K991" s="14"/>
      <c r="L991" s="14"/>
      <c r="M991" s="14"/>
      <c r="N991" s="14"/>
      <c r="O991" s="14"/>
      <c r="P991" s="14"/>
    </row>
    <row r="992">
      <c r="A992" s="12"/>
      <c r="D992" s="95"/>
      <c r="E992" s="14"/>
      <c r="F992" s="96"/>
      <c r="H992" s="14"/>
      <c r="I992" s="14"/>
      <c r="J992" s="14"/>
      <c r="K992" s="14"/>
      <c r="L992" s="14"/>
      <c r="M992" s="14"/>
      <c r="N992" s="14"/>
      <c r="O992" s="14"/>
      <c r="P992" s="14"/>
    </row>
    <row r="993">
      <c r="A993" s="12"/>
      <c r="D993" s="95"/>
      <c r="E993" s="14"/>
      <c r="F993" s="96"/>
      <c r="H993" s="14"/>
      <c r="I993" s="14"/>
      <c r="J993" s="14"/>
      <c r="K993" s="14"/>
      <c r="L993" s="14"/>
      <c r="M993" s="14"/>
      <c r="N993" s="14"/>
      <c r="O993" s="14"/>
      <c r="P993" s="14"/>
    </row>
    <row r="994">
      <c r="A994" s="12"/>
      <c r="D994" s="95"/>
      <c r="E994" s="14"/>
      <c r="F994" s="96"/>
      <c r="H994" s="14"/>
      <c r="I994" s="14"/>
      <c r="J994" s="14"/>
      <c r="K994" s="14"/>
      <c r="L994" s="14"/>
      <c r="M994" s="14"/>
      <c r="N994" s="14"/>
      <c r="O994" s="14"/>
      <c r="P994" s="14"/>
    </row>
    <row r="995">
      <c r="A995" s="12"/>
      <c r="D995" s="95"/>
      <c r="E995" s="14"/>
      <c r="F995" s="96"/>
      <c r="H995" s="14"/>
      <c r="I995" s="14"/>
      <c r="J995" s="14"/>
      <c r="K995" s="14"/>
      <c r="L995" s="14"/>
      <c r="M995" s="14"/>
      <c r="N995" s="14"/>
      <c r="O995" s="14"/>
      <c r="P995" s="14"/>
    </row>
    <row r="996">
      <c r="A996" s="12"/>
      <c r="D996" s="95"/>
      <c r="E996" s="14"/>
      <c r="F996" s="96"/>
      <c r="H996" s="14"/>
      <c r="I996" s="14"/>
      <c r="J996" s="14"/>
      <c r="K996" s="14"/>
      <c r="L996" s="14"/>
      <c r="M996" s="14"/>
      <c r="N996" s="14"/>
      <c r="O996" s="14"/>
      <c r="P996" s="14"/>
    </row>
    <row r="997">
      <c r="A997" s="12"/>
      <c r="D997" s="95"/>
      <c r="E997" s="14"/>
      <c r="F997" s="96"/>
      <c r="H997" s="14"/>
      <c r="I997" s="14"/>
      <c r="J997" s="14"/>
      <c r="K997" s="14"/>
      <c r="L997" s="14"/>
      <c r="M997" s="14"/>
      <c r="N997" s="14"/>
      <c r="O997" s="14"/>
      <c r="P997" s="14"/>
    </row>
    <row r="998">
      <c r="A998" s="12"/>
      <c r="D998" s="95"/>
      <c r="E998" s="14"/>
      <c r="F998" s="96"/>
      <c r="H998" s="14"/>
      <c r="I998" s="14"/>
      <c r="J998" s="14"/>
      <c r="K998" s="14"/>
      <c r="L998" s="14"/>
      <c r="M998" s="14"/>
      <c r="N998" s="14"/>
      <c r="O998" s="14"/>
      <c r="P998" s="14"/>
    </row>
    <row r="999">
      <c r="A999" s="12"/>
      <c r="D999" s="95"/>
      <c r="E999" s="14"/>
      <c r="F999" s="96"/>
      <c r="H999" s="14"/>
      <c r="I999" s="14"/>
      <c r="J999" s="14"/>
      <c r="K999" s="14"/>
      <c r="L999" s="14"/>
      <c r="M999" s="14"/>
      <c r="N999" s="14"/>
      <c r="O999" s="14"/>
      <c r="P999" s="14"/>
    </row>
    <row r="1000">
      <c r="A1000" s="12"/>
      <c r="D1000" s="95"/>
      <c r="E1000" s="14"/>
      <c r="F1000" s="96"/>
      <c r="H1000" s="14"/>
      <c r="I1000" s="14"/>
      <c r="J1000" s="14"/>
      <c r="K1000" s="14"/>
      <c r="L1000" s="14"/>
      <c r="M1000" s="14"/>
      <c r="N1000" s="14"/>
      <c r="O1000" s="14"/>
      <c r="P1000" s="14"/>
    </row>
    <row r="1001">
      <c r="A1001" s="12"/>
      <c r="D1001" s="95"/>
      <c r="E1001" s="14"/>
      <c r="F1001" s="96"/>
      <c r="H1001" s="14"/>
      <c r="I1001" s="14"/>
      <c r="J1001" s="14"/>
      <c r="K1001" s="14"/>
      <c r="L1001" s="14"/>
      <c r="M1001" s="14"/>
      <c r="N1001" s="14"/>
      <c r="O1001" s="14"/>
      <c r="P1001" s="14"/>
    </row>
    <row r="1002">
      <c r="A1002" s="12"/>
      <c r="D1002" s="95"/>
      <c r="E1002" s="14"/>
      <c r="F1002" s="96"/>
      <c r="H1002" s="14"/>
      <c r="I1002" s="14"/>
      <c r="J1002" s="14"/>
      <c r="K1002" s="14"/>
      <c r="L1002" s="14"/>
      <c r="M1002" s="14"/>
      <c r="N1002" s="14"/>
      <c r="O1002" s="14"/>
      <c r="P1002" s="14"/>
    </row>
    <row r="1003">
      <c r="A1003" s="12"/>
      <c r="D1003" s="95"/>
      <c r="E1003" s="14"/>
      <c r="F1003" s="96"/>
      <c r="H1003" s="14"/>
      <c r="I1003" s="14"/>
      <c r="J1003" s="14"/>
      <c r="K1003" s="14"/>
      <c r="L1003" s="14"/>
      <c r="M1003" s="14"/>
      <c r="N1003" s="14"/>
      <c r="O1003" s="14"/>
      <c r="P1003" s="14"/>
    </row>
    <row r="1004">
      <c r="A1004" s="12"/>
      <c r="D1004" s="95"/>
      <c r="E1004" s="14"/>
      <c r="F1004" s="96"/>
      <c r="H1004" s="14"/>
      <c r="I1004" s="14"/>
      <c r="J1004" s="14"/>
      <c r="K1004" s="14"/>
      <c r="L1004" s="14"/>
      <c r="M1004" s="14"/>
      <c r="N1004" s="14"/>
      <c r="O1004" s="14"/>
      <c r="P1004" s="14"/>
    </row>
    <row r="1005">
      <c r="A1005" s="12"/>
      <c r="D1005" s="95"/>
      <c r="E1005" s="14"/>
      <c r="F1005" s="96"/>
      <c r="H1005" s="14"/>
      <c r="I1005" s="14"/>
      <c r="J1005" s="14"/>
      <c r="K1005" s="14"/>
      <c r="L1005" s="14"/>
      <c r="M1005" s="14"/>
      <c r="N1005" s="14"/>
      <c r="O1005" s="14"/>
      <c r="P1005" s="14"/>
    </row>
    <row r="1006">
      <c r="A1006" s="12"/>
      <c r="D1006" s="95"/>
      <c r="E1006" s="14"/>
      <c r="F1006" s="96"/>
      <c r="H1006" s="14"/>
      <c r="I1006" s="14"/>
      <c r="J1006" s="14"/>
      <c r="K1006" s="14"/>
      <c r="L1006" s="14"/>
      <c r="M1006" s="14"/>
      <c r="N1006" s="14"/>
      <c r="O1006" s="14"/>
      <c r="P1006" s="14"/>
    </row>
    <row r="1007">
      <c r="A1007" s="12"/>
      <c r="D1007" s="95"/>
      <c r="E1007" s="14"/>
      <c r="F1007" s="96"/>
      <c r="H1007" s="14"/>
      <c r="I1007" s="14"/>
      <c r="J1007" s="14"/>
      <c r="K1007" s="14"/>
      <c r="L1007" s="14"/>
      <c r="M1007" s="14"/>
      <c r="N1007" s="14"/>
      <c r="O1007" s="14"/>
      <c r="P1007" s="14"/>
    </row>
    <row r="1008">
      <c r="A1008" s="12"/>
      <c r="D1008" s="95"/>
      <c r="E1008" s="14"/>
      <c r="F1008" s="96"/>
      <c r="H1008" s="14"/>
      <c r="I1008" s="14"/>
      <c r="J1008" s="14"/>
      <c r="K1008" s="14"/>
      <c r="L1008" s="14"/>
      <c r="M1008" s="14"/>
      <c r="N1008" s="14"/>
      <c r="O1008" s="14"/>
      <c r="P1008" s="14"/>
    </row>
    <row r="1009">
      <c r="A1009" s="12"/>
      <c r="D1009" s="95"/>
      <c r="E1009" s="14"/>
      <c r="F1009" s="96"/>
      <c r="H1009" s="14"/>
      <c r="I1009" s="14"/>
      <c r="J1009" s="14"/>
      <c r="K1009" s="14"/>
      <c r="L1009" s="14"/>
      <c r="M1009" s="14"/>
      <c r="N1009" s="14"/>
      <c r="O1009" s="14"/>
      <c r="P1009" s="14"/>
    </row>
    <row r="1010">
      <c r="A1010" s="12"/>
      <c r="D1010" s="95"/>
      <c r="E1010" s="14"/>
      <c r="F1010" s="96"/>
      <c r="H1010" s="14"/>
      <c r="I1010" s="14"/>
      <c r="J1010" s="14"/>
      <c r="K1010" s="14"/>
      <c r="L1010" s="14"/>
      <c r="M1010" s="14"/>
      <c r="N1010" s="14"/>
      <c r="O1010" s="14"/>
      <c r="P1010" s="14"/>
    </row>
    <row r="1011">
      <c r="A1011" s="12"/>
      <c r="D1011" s="95"/>
      <c r="E1011" s="14"/>
      <c r="F1011" s="96"/>
      <c r="H1011" s="14"/>
      <c r="I1011" s="14"/>
      <c r="J1011" s="14"/>
      <c r="K1011" s="14"/>
      <c r="L1011" s="14"/>
      <c r="M1011" s="14"/>
      <c r="N1011" s="14"/>
      <c r="O1011" s="14"/>
      <c r="P1011" s="14"/>
    </row>
    <row r="1012">
      <c r="A1012" s="12"/>
      <c r="D1012" s="95"/>
      <c r="E1012" s="14"/>
      <c r="F1012" s="96"/>
      <c r="H1012" s="14"/>
      <c r="I1012" s="14"/>
      <c r="J1012" s="14"/>
      <c r="K1012" s="14"/>
      <c r="L1012" s="14"/>
      <c r="M1012" s="14"/>
      <c r="N1012" s="14"/>
      <c r="O1012" s="14"/>
      <c r="P1012" s="14"/>
    </row>
    <row r="1013">
      <c r="A1013" s="12"/>
      <c r="D1013" s="95"/>
      <c r="E1013" s="14"/>
      <c r="F1013" s="96"/>
      <c r="H1013" s="14"/>
      <c r="I1013" s="14"/>
      <c r="J1013" s="14"/>
      <c r="K1013" s="14"/>
      <c r="L1013" s="14"/>
      <c r="M1013" s="14"/>
      <c r="N1013" s="14"/>
      <c r="O1013" s="14"/>
      <c r="P1013" s="14"/>
    </row>
    <row r="1014">
      <c r="A1014" s="12"/>
      <c r="D1014" s="95"/>
      <c r="E1014" s="14"/>
      <c r="F1014" s="96"/>
      <c r="H1014" s="14"/>
      <c r="I1014" s="14"/>
      <c r="J1014" s="14"/>
      <c r="K1014" s="14"/>
      <c r="L1014" s="14"/>
      <c r="M1014" s="14"/>
      <c r="N1014" s="14"/>
      <c r="O1014" s="14"/>
      <c r="P1014" s="14"/>
    </row>
    <row r="1015">
      <c r="A1015" s="12"/>
      <c r="D1015" s="95"/>
      <c r="E1015" s="14"/>
      <c r="F1015" s="96"/>
      <c r="H1015" s="14"/>
      <c r="I1015" s="14"/>
      <c r="J1015" s="14"/>
      <c r="K1015" s="14"/>
      <c r="L1015" s="14"/>
      <c r="M1015" s="14"/>
      <c r="N1015" s="14"/>
      <c r="O1015" s="14"/>
      <c r="P1015" s="14"/>
    </row>
    <row r="1016">
      <c r="A1016" s="12"/>
      <c r="D1016" s="95"/>
      <c r="E1016" s="14"/>
      <c r="F1016" s="96"/>
      <c r="H1016" s="14"/>
      <c r="I1016" s="14"/>
      <c r="J1016" s="14"/>
      <c r="K1016" s="14"/>
      <c r="L1016" s="14"/>
      <c r="M1016" s="14"/>
      <c r="N1016" s="14"/>
      <c r="O1016" s="14"/>
      <c r="P1016" s="14"/>
    </row>
    <row r="1017">
      <c r="A1017" s="12"/>
      <c r="D1017" s="95"/>
      <c r="E1017" s="14"/>
      <c r="F1017" s="96"/>
      <c r="H1017" s="14"/>
      <c r="I1017" s="14"/>
      <c r="J1017" s="14"/>
      <c r="K1017" s="14"/>
      <c r="L1017" s="14"/>
      <c r="M1017" s="14"/>
      <c r="N1017" s="14"/>
      <c r="O1017" s="14"/>
      <c r="P1017" s="14"/>
    </row>
    <row r="1018">
      <c r="A1018" s="12"/>
      <c r="D1018" s="95"/>
      <c r="E1018" s="14"/>
      <c r="F1018" s="96"/>
      <c r="H1018" s="14"/>
      <c r="I1018" s="14"/>
      <c r="J1018" s="14"/>
      <c r="K1018" s="14"/>
      <c r="L1018" s="14"/>
      <c r="M1018" s="14"/>
      <c r="N1018" s="14"/>
      <c r="O1018" s="14"/>
      <c r="P1018" s="14"/>
    </row>
    <row r="1019">
      <c r="A1019" s="12"/>
      <c r="D1019" s="95"/>
      <c r="E1019" s="14"/>
      <c r="F1019" s="96"/>
      <c r="H1019" s="14"/>
      <c r="I1019" s="14"/>
      <c r="J1019" s="14"/>
      <c r="K1019" s="14"/>
      <c r="L1019" s="14"/>
      <c r="M1019" s="14"/>
      <c r="N1019" s="14"/>
      <c r="O1019" s="14"/>
      <c r="P1019" s="14"/>
    </row>
    <row r="1020">
      <c r="A1020" s="12"/>
      <c r="D1020" s="95"/>
      <c r="E1020" s="14"/>
      <c r="F1020" s="96"/>
      <c r="H1020" s="14"/>
      <c r="I1020" s="14"/>
      <c r="J1020" s="14"/>
      <c r="K1020" s="14"/>
      <c r="L1020" s="14"/>
      <c r="M1020" s="14"/>
      <c r="N1020" s="14"/>
      <c r="O1020" s="14"/>
      <c r="P1020" s="14"/>
    </row>
    <row r="1021">
      <c r="A1021" s="12"/>
      <c r="D1021" s="95"/>
      <c r="E1021" s="14"/>
      <c r="F1021" s="96"/>
      <c r="H1021" s="14"/>
      <c r="I1021" s="14"/>
      <c r="J1021" s="14"/>
      <c r="K1021" s="14"/>
      <c r="L1021" s="14"/>
      <c r="M1021" s="14"/>
      <c r="N1021" s="14"/>
      <c r="O1021" s="14"/>
      <c r="P1021" s="14"/>
    </row>
  </sheetData>
  <conditionalFormatting sqref="H2:P48">
    <cfRule type="cellIs" dxfId="8" priority="1" operator="equal">
      <formula>0</formula>
    </cfRule>
  </conditionalFormatting>
  <conditionalFormatting sqref="H2:H48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48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48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48">
    <cfRule type="colorScale" priority="5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L2:L48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48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48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48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55:C62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55:F62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(Camp Nou)"</formula1>
    </dataValidation>
    <dataValidation type="custom" allowBlank="1" showDropDown="1" sqref="F51:F52">
      <formula1>OR(NOT(ISERROR(DATEVALUE(F51))), AND(ISNUMBER(F51), LEFT(CELL("format", F51))="D"))</formula1>
    </dataValidation>
    <dataValidation type="list" allowBlank="1" showDropDown="1" sqref="C2:C48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20.38"/>
    <col customWidth="1" min="3" max="3" width="15.5"/>
    <col customWidth="1" min="4" max="4" width="34.5"/>
    <col customWidth="1" min="5" max="5" width="9.25"/>
    <col customWidth="1" min="6" max="6" width="28.0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97" t="s">
        <v>48</v>
      </c>
      <c r="B1" s="98" t="s">
        <v>49</v>
      </c>
      <c r="C1" s="98" t="s">
        <v>50</v>
      </c>
      <c r="D1" s="99" t="s">
        <v>56</v>
      </c>
      <c r="E1" s="100" t="s">
        <v>57</v>
      </c>
      <c r="F1" s="101" t="s">
        <v>52</v>
      </c>
      <c r="G1" s="102" t="s">
        <v>53</v>
      </c>
      <c r="H1" s="100" t="s">
        <v>4</v>
      </c>
      <c r="I1" s="100" t="s">
        <v>58</v>
      </c>
      <c r="J1" s="100" t="s">
        <v>59</v>
      </c>
      <c r="K1" s="100" t="s">
        <v>60</v>
      </c>
      <c r="L1" s="100" t="s">
        <v>61</v>
      </c>
      <c r="M1" s="100" t="s">
        <v>62</v>
      </c>
      <c r="N1" s="100" t="s">
        <v>63</v>
      </c>
      <c r="O1" s="103" t="s">
        <v>64</v>
      </c>
      <c r="P1" s="100" t="s">
        <v>65</v>
      </c>
    </row>
    <row r="2" ht="22.5" customHeight="1">
      <c r="A2" s="104">
        <v>1.0</v>
      </c>
      <c r="B2" s="105" t="s">
        <v>173</v>
      </c>
      <c r="C2" s="106" t="s">
        <v>67</v>
      </c>
      <c r="D2" s="107" t="s">
        <v>83</v>
      </c>
      <c r="E2" s="108" t="str">
        <f>IMAGE("https://flagcdn.com/w320/es.png")</f>
        <v/>
      </c>
      <c r="F2" s="109">
        <v>34957.0</v>
      </c>
      <c r="G2" s="110">
        <f t="shared" ref="G2:G59" si="1">DATEDIF(F2,TODAY(),"Y")</f>
        <v>30</v>
      </c>
      <c r="H2" s="111">
        <f>1+1+1+1+1+1+1</f>
        <v>7</v>
      </c>
      <c r="I2" s="111">
        <f>90+90+90+90+90+90+90</f>
        <v>630</v>
      </c>
      <c r="J2" s="111"/>
      <c r="K2" s="111"/>
      <c r="L2" s="111"/>
      <c r="M2" s="111"/>
      <c r="N2" s="111">
        <f>1+1+1+1+1</f>
        <v>5</v>
      </c>
      <c r="O2" s="111">
        <f t="shared" ref="O2:O40" si="2">J2+K2</f>
        <v>0</v>
      </c>
      <c r="P2" s="111"/>
    </row>
    <row r="3" ht="22.5" customHeight="1">
      <c r="A3" s="104">
        <v>2.0</v>
      </c>
      <c r="B3" s="105" t="s">
        <v>174</v>
      </c>
      <c r="C3" s="106" t="s">
        <v>70</v>
      </c>
      <c r="D3" s="107" t="s">
        <v>175</v>
      </c>
      <c r="E3" s="108" t="str">
        <f>IMAGE("https://flagcdn.com/w320/fr.png")</f>
        <v/>
      </c>
      <c r="F3" s="109">
        <v>36974.0</v>
      </c>
      <c r="G3" s="110">
        <f t="shared" si="1"/>
        <v>24</v>
      </c>
      <c r="H3" s="111">
        <f t="shared" ref="H3:H4" si="3">1+1+1+1+1</f>
        <v>5</v>
      </c>
      <c r="I3" s="111">
        <f>90+90+90+90+90</f>
        <v>450</v>
      </c>
      <c r="J3" s="111"/>
      <c r="K3" s="111"/>
      <c r="L3" s="111">
        <f>1</f>
        <v>1</v>
      </c>
      <c r="M3" s="111"/>
      <c r="N3" s="111"/>
      <c r="O3" s="111">
        <f t="shared" si="2"/>
        <v>0</v>
      </c>
      <c r="P3" s="111"/>
    </row>
    <row r="4" ht="22.5" customHeight="1">
      <c r="A4" s="104">
        <v>3.0</v>
      </c>
      <c r="B4" s="105" t="s">
        <v>176</v>
      </c>
      <c r="C4" s="106" t="s">
        <v>70</v>
      </c>
      <c r="D4" s="107" t="s">
        <v>177</v>
      </c>
      <c r="E4" s="108" t="str">
        <f>IMAGE("https://flagcdn.com/w320/es.png")</f>
        <v/>
      </c>
      <c r="F4" s="109">
        <v>38165.0</v>
      </c>
      <c r="G4" s="110">
        <f t="shared" si="1"/>
        <v>21</v>
      </c>
      <c r="H4" s="111">
        <f t="shared" si="3"/>
        <v>5</v>
      </c>
      <c r="I4" s="111">
        <f>90+16+19+90+74</f>
        <v>289</v>
      </c>
      <c r="J4" s="111"/>
      <c r="K4" s="111"/>
      <c r="L4" s="111"/>
      <c r="M4" s="111"/>
      <c r="N4" s="111"/>
      <c r="O4" s="111">
        <f t="shared" si="2"/>
        <v>0</v>
      </c>
      <c r="P4" s="111"/>
    </row>
    <row r="5" ht="22.5" customHeight="1">
      <c r="A5" s="104">
        <v>4.0</v>
      </c>
      <c r="B5" s="105" t="s">
        <v>178</v>
      </c>
      <c r="C5" s="106" t="s">
        <v>70</v>
      </c>
      <c r="D5" s="107" t="s">
        <v>94</v>
      </c>
      <c r="E5" s="108" t="str">
        <f>IMAGE("https://flagcdn.com/w320/gb-eng.png")</f>
        <v/>
      </c>
      <c r="F5" s="109">
        <v>35711.0</v>
      </c>
      <c r="G5" s="110">
        <f t="shared" si="1"/>
        <v>28</v>
      </c>
      <c r="H5" s="111">
        <f>1+1+1+1+1+1</f>
        <v>6</v>
      </c>
      <c r="I5" s="112">
        <f>57+8+18+11+82+27</f>
        <v>203</v>
      </c>
      <c r="J5" s="111"/>
      <c r="K5" s="111"/>
      <c r="L5" s="111">
        <f>1</f>
        <v>1</v>
      </c>
      <c r="M5" s="111"/>
      <c r="N5" s="111"/>
      <c r="O5" s="111">
        <f t="shared" si="2"/>
        <v>0</v>
      </c>
      <c r="P5" s="111"/>
    </row>
    <row r="6" ht="22.5" customHeight="1">
      <c r="A6" s="104">
        <v>5.0</v>
      </c>
      <c r="B6" s="105" t="s">
        <v>179</v>
      </c>
      <c r="C6" s="106" t="s">
        <v>70</v>
      </c>
      <c r="D6" s="107" t="s">
        <v>180</v>
      </c>
      <c r="E6" s="108" t="str">
        <f>IMAGE("https://flagcdn.com/w320/ec.png")</f>
        <v/>
      </c>
      <c r="F6" s="109">
        <v>37265.0</v>
      </c>
      <c r="G6" s="110">
        <f t="shared" si="1"/>
        <v>24</v>
      </c>
      <c r="H6" s="111">
        <f>1+1+1</f>
        <v>3</v>
      </c>
      <c r="I6" s="111">
        <f>1+72+62</f>
        <v>135</v>
      </c>
      <c r="J6" s="111"/>
      <c r="K6" s="111"/>
      <c r="L6" s="111"/>
      <c r="M6" s="111"/>
      <c r="N6" s="111"/>
      <c r="O6" s="111">
        <f t="shared" si="2"/>
        <v>0</v>
      </c>
      <c r="P6" s="111"/>
    </row>
    <row r="7" ht="22.5" customHeight="1">
      <c r="A7" s="104">
        <v>6.0</v>
      </c>
      <c r="B7" s="113" t="s">
        <v>181</v>
      </c>
      <c r="C7" s="106" t="s">
        <v>70</v>
      </c>
      <c r="D7" s="107" t="s">
        <v>182</v>
      </c>
      <c r="E7" s="108" t="str">
        <f>IMAGE("https://flagcdn.com/w320/br.png")</f>
        <v/>
      </c>
      <c r="F7" s="109">
        <v>35783.0</v>
      </c>
      <c r="G7" s="110">
        <f t="shared" si="1"/>
        <v>28</v>
      </c>
      <c r="H7" s="111">
        <f>1+1+1+1+1</f>
        <v>5</v>
      </c>
      <c r="I7" s="111">
        <f>90+74+71+90+16</f>
        <v>341</v>
      </c>
      <c r="J7" s="111">
        <f t="shared" ref="J7:L7" si="4">1</f>
        <v>1</v>
      </c>
      <c r="K7" s="111">
        <f t="shared" si="4"/>
        <v>1</v>
      </c>
      <c r="L7" s="111">
        <f t="shared" si="4"/>
        <v>1</v>
      </c>
      <c r="M7" s="111"/>
      <c r="N7" s="111"/>
      <c r="O7" s="111">
        <f t="shared" si="2"/>
        <v>2</v>
      </c>
      <c r="P7" s="111"/>
    </row>
    <row r="8" ht="22.5" customHeight="1">
      <c r="A8" s="104">
        <v>7.0</v>
      </c>
      <c r="B8" s="105" t="s">
        <v>183</v>
      </c>
      <c r="C8" s="106" t="s">
        <v>82</v>
      </c>
      <c r="D8" s="107" t="s">
        <v>184</v>
      </c>
      <c r="E8" s="108" t="str">
        <f>IMAGE("https://flagcdn.com/w320/gb-eng.png")</f>
        <v/>
      </c>
      <c r="F8" s="109">
        <v>37139.0</v>
      </c>
      <c r="G8" s="110">
        <f t="shared" si="1"/>
        <v>24</v>
      </c>
      <c r="H8" s="111">
        <f>1+1+1+1+1+1</f>
        <v>6</v>
      </c>
      <c r="I8" s="111">
        <f>18+90+90+67+20+90</f>
        <v>375</v>
      </c>
      <c r="J8" s="111">
        <f t="shared" ref="J8:K8" si="5">1+1</f>
        <v>2</v>
      </c>
      <c r="K8" s="111">
        <f t="shared" si="5"/>
        <v>2</v>
      </c>
      <c r="L8" s="111"/>
      <c r="M8" s="111"/>
      <c r="N8" s="111"/>
      <c r="O8" s="111">
        <f t="shared" si="2"/>
        <v>4</v>
      </c>
      <c r="P8" s="111"/>
    </row>
    <row r="9" ht="22.5" customHeight="1">
      <c r="A9" s="104">
        <v>8.0</v>
      </c>
      <c r="B9" s="105" t="s">
        <v>185</v>
      </c>
      <c r="C9" s="106" t="s">
        <v>79</v>
      </c>
      <c r="D9" s="107" t="s">
        <v>96</v>
      </c>
      <c r="E9" s="108" t="str">
        <f>IMAGE("https://flagcdn.com/w320/no.png")</f>
        <v/>
      </c>
      <c r="F9" s="109">
        <v>36146.0</v>
      </c>
      <c r="G9" s="110">
        <f t="shared" si="1"/>
        <v>27</v>
      </c>
      <c r="H9" s="111">
        <f>1+1+1</f>
        <v>3</v>
      </c>
      <c r="I9" s="111">
        <f>90+11+71</f>
        <v>172</v>
      </c>
      <c r="J9" s="111"/>
      <c r="K9" s="111">
        <f>1</f>
        <v>1</v>
      </c>
      <c r="L9" s="111"/>
      <c r="M9" s="111"/>
      <c r="N9" s="111"/>
      <c r="O9" s="111">
        <f t="shared" si="2"/>
        <v>1</v>
      </c>
      <c r="P9" s="111"/>
    </row>
    <row r="10" ht="22.5" customHeight="1">
      <c r="A10" s="114">
        <v>9.0</v>
      </c>
      <c r="B10" s="113" t="s">
        <v>186</v>
      </c>
      <c r="C10" s="106" t="s">
        <v>82</v>
      </c>
      <c r="D10" s="107" t="s">
        <v>182</v>
      </c>
      <c r="E10" s="115" t="str">
        <f>IMAGE("https://flagcdn.com/w320/br.png")</f>
        <v/>
      </c>
      <c r="F10" s="109">
        <v>35523.0</v>
      </c>
      <c r="G10" s="110">
        <f t="shared" si="1"/>
        <v>28</v>
      </c>
      <c r="H10" s="111">
        <f>1+1</f>
        <v>2</v>
      </c>
      <c r="I10" s="111">
        <f>29+74</f>
        <v>103</v>
      </c>
      <c r="J10" s="111">
        <f>2</f>
        <v>2</v>
      </c>
      <c r="K10" s="111"/>
      <c r="L10" s="111"/>
      <c r="M10" s="111"/>
      <c r="N10" s="111"/>
      <c r="O10" s="111">
        <f t="shared" si="2"/>
        <v>2</v>
      </c>
      <c r="P10" s="111"/>
    </row>
    <row r="11" ht="22.5" customHeight="1">
      <c r="A11" s="104">
        <v>10.0</v>
      </c>
      <c r="B11" s="105" t="s">
        <v>187</v>
      </c>
      <c r="C11" s="106" t="s">
        <v>79</v>
      </c>
      <c r="D11" s="107" t="s">
        <v>188</v>
      </c>
      <c r="E11" s="108" t="str">
        <f>IMAGE("https://flagcdn.com/w320/gb-eng.png")</f>
        <v/>
      </c>
      <c r="F11" s="109">
        <v>35975.0</v>
      </c>
      <c r="G11" s="110">
        <f t="shared" si="1"/>
        <v>27</v>
      </c>
      <c r="H11" s="111">
        <f t="shared" ref="H11:H13" si="6">1+1+1+1+1+1</f>
        <v>6</v>
      </c>
      <c r="I11" s="111">
        <f>70+18+71+26+79+63</f>
        <v>327</v>
      </c>
      <c r="J11" s="111"/>
      <c r="K11" s="111">
        <f>1+1</f>
        <v>2</v>
      </c>
      <c r="L11" s="111"/>
      <c r="M11" s="111"/>
      <c r="N11" s="111"/>
      <c r="O11" s="111">
        <f t="shared" si="2"/>
        <v>2</v>
      </c>
      <c r="P11" s="111"/>
    </row>
    <row r="12" ht="22.5" customHeight="1">
      <c r="A12" s="104">
        <v>11.0</v>
      </c>
      <c r="B12" s="113" t="s">
        <v>189</v>
      </c>
      <c r="C12" s="106" t="s">
        <v>82</v>
      </c>
      <c r="D12" s="107" t="s">
        <v>190</v>
      </c>
      <c r="E12" s="108" t="str">
        <f>IMAGE("https://flagcdn.com/w320/br.png")</f>
        <v/>
      </c>
      <c r="F12" s="109">
        <v>37060.0</v>
      </c>
      <c r="G12" s="110">
        <f t="shared" si="1"/>
        <v>24</v>
      </c>
      <c r="H12" s="111">
        <f t="shared" si="6"/>
        <v>6</v>
      </c>
      <c r="I12" s="111">
        <f>20+72+90+23+90+12</f>
        <v>307</v>
      </c>
      <c r="J12" s="111">
        <f>1+1+1+1+1</f>
        <v>5</v>
      </c>
      <c r="K12" s="111">
        <f>1</f>
        <v>1</v>
      </c>
      <c r="L12" s="111"/>
      <c r="M12" s="111"/>
      <c r="N12" s="111"/>
      <c r="O12" s="111">
        <f t="shared" si="2"/>
        <v>6</v>
      </c>
      <c r="P12" s="111"/>
    </row>
    <row r="13" ht="22.5" customHeight="1">
      <c r="A13" s="104">
        <v>12.0</v>
      </c>
      <c r="B13" s="105" t="s">
        <v>191</v>
      </c>
      <c r="C13" s="106" t="s">
        <v>70</v>
      </c>
      <c r="D13" s="107" t="s">
        <v>192</v>
      </c>
      <c r="E13" s="108" t="str">
        <f>IMAGE("https://flagcdn.com/w320/nl.png")</f>
        <v/>
      </c>
      <c r="F13" s="109">
        <v>37059.0</v>
      </c>
      <c r="G13" s="110">
        <f t="shared" si="1"/>
        <v>24</v>
      </c>
      <c r="H13" s="111">
        <f t="shared" si="6"/>
        <v>6</v>
      </c>
      <c r="I13" s="111">
        <f>90+33+82+72+79+63</f>
        <v>419</v>
      </c>
      <c r="J13" s="111">
        <f>1</f>
        <v>1</v>
      </c>
      <c r="K13" s="111"/>
      <c r="L13" s="111"/>
      <c r="M13" s="111"/>
      <c r="N13" s="111"/>
      <c r="O13" s="111">
        <f t="shared" si="2"/>
        <v>1</v>
      </c>
      <c r="P13" s="111"/>
    </row>
    <row r="14" ht="22.5" customHeight="1">
      <c r="A14" s="104">
        <v>13.0</v>
      </c>
      <c r="B14" s="105" t="s">
        <v>193</v>
      </c>
      <c r="C14" s="106" t="s">
        <v>67</v>
      </c>
      <c r="D14" s="107" t="s">
        <v>83</v>
      </c>
      <c r="E14" s="108" t="str">
        <f>IMAGE("https://flagcdn.com/w320/es.png")</f>
        <v/>
      </c>
      <c r="F14" s="109">
        <v>34610.0</v>
      </c>
      <c r="G14" s="110">
        <f t="shared" si="1"/>
        <v>31</v>
      </c>
      <c r="H14" s="111">
        <f t="shared" ref="H14:I14" si="7">0</f>
        <v>0</v>
      </c>
      <c r="I14" s="111">
        <f t="shared" si="7"/>
        <v>0</v>
      </c>
      <c r="J14" s="111"/>
      <c r="K14" s="111"/>
      <c r="L14" s="111"/>
      <c r="M14" s="111"/>
      <c r="N14" s="111"/>
      <c r="O14" s="111">
        <f t="shared" si="2"/>
        <v>0</v>
      </c>
      <c r="P14" s="111"/>
    </row>
    <row r="15" ht="22.5" customHeight="1">
      <c r="A15" s="104">
        <v>14.0</v>
      </c>
      <c r="B15" s="105" t="s">
        <v>194</v>
      </c>
      <c r="C15" s="106" t="s">
        <v>82</v>
      </c>
      <c r="D15" s="107" t="s">
        <v>195</v>
      </c>
      <c r="E15" s="108" t="str">
        <f>IMAGE("https://flagcdn.com/w320/se.png")</f>
        <v/>
      </c>
      <c r="F15" s="109">
        <v>35950.0</v>
      </c>
      <c r="G15" s="110">
        <f t="shared" si="1"/>
        <v>27</v>
      </c>
      <c r="H15" s="111">
        <f>1+1+1+1+1</f>
        <v>5</v>
      </c>
      <c r="I15" s="111">
        <f>64+90+82+61+16</f>
        <v>313</v>
      </c>
      <c r="J15" s="111">
        <f>2+1</f>
        <v>3</v>
      </c>
      <c r="K15" s="111">
        <f>1</f>
        <v>1</v>
      </c>
      <c r="L15" s="111"/>
      <c r="M15" s="111"/>
      <c r="N15" s="111"/>
      <c r="O15" s="111">
        <f t="shared" si="2"/>
        <v>4</v>
      </c>
      <c r="P15" s="111"/>
    </row>
    <row r="16" ht="22.5" customHeight="1">
      <c r="A16" s="104">
        <v>16.0</v>
      </c>
      <c r="B16" s="105" t="s">
        <v>196</v>
      </c>
      <c r="C16" s="106" t="s">
        <v>79</v>
      </c>
      <c r="D16" s="107" t="s">
        <v>73</v>
      </c>
      <c r="E16" s="108" t="str">
        <f>IMAGE("https://flagcdn.com/w320/dk.png")</f>
        <v/>
      </c>
      <c r="F16" s="109">
        <v>34403.0</v>
      </c>
      <c r="G16" s="110">
        <f t="shared" si="1"/>
        <v>31</v>
      </c>
      <c r="H16" s="111">
        <f>1+1+1+1</f>
        <v>4</v>
      </c>
      <c r="I16" s="111">
        <f>1+19+90+90</f>
        <v>200</v>
      </c>
      <c r="J16" s="111"/>
      <c r="K16" s="111"/>
      <c r="L16" s="111">
        <f>1+1</f>
        <v>2</v>
      </c>
      <c r="M16" s="111"/>
      <c r="N16" s="111"/>
      <c r="O16" s="111">
        <f t="shared" si="2"/>
        <v>0</v>
      </c>
      <c r="P16" s="111"/>
    </row>
    <row r="17" ht="22.5" customHeight="1">
      <c r="A17" s="104">
        <v>19.0</v>
      </c>
      <c r="B17" s="105" t="s">
        <v>197</v>
      </c>
      <c r="C17" s="106" t="s">
        <v>82</v>
      </c>
      <c r="D17" s="107" t="s">
        <v>89</v>
      </c>
      <c r="E17" s="108" t="str">
        <f>IMAGE("https://flagcdn.com/w320/be.png")</f>
        <v/>
      </c>
      <c r="F17" s="109">
        <v>34672.0</v>
      </c>
      <c r="G17" s="110">
        <f t="shared" si="1"/>
        <v>31</v>
      </c>
      <c r="H17" s="111">
        <f>1+1+1+1+1</f>
        <v>5</v>
      </c>
      <c r="I17" s="111">
        <f>26+72+72+37+78</f>
        <v>285</v>
      </c>
      <c r="J17" s="111">
        <f>1</f>
        <v>1</v>
      </c>
      <c r="K17" s="111">
        <f>1+1+2</f>
        <v>4</v>
      </c>
      <c r="L17" s="111"/>
      <c r="M17" s="111"/>
      <c r="N17" s="111"/>
      <c r="O17" s="111">
        <f t="shared" si="2"/>
        <v>5</v>
      </c>
      <c r="P17" s="111"/>
    </row>
    <row r="18" ht="22.5" customHeight="1">
      <c r="A18" s="104">
        <v>20.0</v>
      </c>
      <c r="B18" s="105" t="s">
        <v>198</v>
      </c>
      <c r="C18" s="106" t="s">
        <v>82</v>
      </c>
      <c r="D18" s="107" t="s">
        <v>199</v>
      </c>
      <c r="E18" s="108" t="str">
        <f t="shared" ref="E18:E19" si="8">IMAGE("https://flagcdn.com/w320/gb-eng.png")</f>
        <v/>
      </c>
      <c r="F18" s="109">
        <v>37325.0</v>
      </c>
      <c r="G18" s="110">
        <f t="shared" si="1"/>
        <v>23</v>
      </c>
      <c r="H18" s="111">
        <f t="shared" ref="H18:H19" si="9">1+1+1</f>
        <v>3</v>
      </c>
      <c r="I18" s="111">
        <f>89+53+70</f>
        <v>212</v>
      </c>
      <c r="J18" s="111">
        <f>1+2</f>
        <v>3</v>
      </c>
      <c r="K18" s="111"/>
      <c r="L18" s="111">
        <f t="shared" ref="L18:L19" si="10">1</f>
        <v>1</v>
      </c>
      <c r="M18" s="111"/>
      <c r="N18" s="111"/>
      <c r="O18" s="111">
        <f t="shared" si="2"/>
        <v>3</v>
      </c>
      <c r="P18" s="111"/>
    </row>
    <row r="19" ht="22.5" customHeight="1">
      <c r="A19" s="116">
        <v>22.0</v>
      </c>
      <c r="B19" s="117" t="s">
        <v>200</v>
      </c>
      <c r="C19" s="118" t="s">
        <v>79</v>
      </c>
      <c r="D19" s="119" t="s">
        <v>201</v>
      </c>
      <c r="E19" s="120" t="str">
        <f t="shared" si="8"/>
        <v/>
      </c>
      <c r="F19" s="121">
        <v>39162.0</v>
      </c>
      <c r="G19" s="122">
        <f t="shared" si="1"/>
        <v>18</v>
      </c>
      <c r="H19" s="123">
        <f t="shared" si="9"/>
        <v>3</v>
      </c>
      <c r="I19" s="123">
        <f>19+64+19</f>
        <v>102</v>
      </c>
      <c r="J19" s="123"/>
      <c r="K19" s="123"/>
      <c r="L19" s="123">
        <f t="shared" si="10"/>
        <v>1</v>
      </c>
      <c r="M19" s="123"/>
      <c r="N19" s="123"/>
      <c r="O19" s="111">
        <f t="shared" si="2"/>
        <v>0</v>
      </c>
      <c r="P19" s="123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22.5" customHeight="1">
      <c r="A20" s="104">
        <v>23.0</v>
      </c>
      <c r="B20" s="105" t="s">
        <v>202</v>
      </c>
      <c r="C20" s="106" t="s">
        <v>79</v>
      </c>
      <c r="D20" s="107" t="s">
        <v>83</v>
      </c>
      <c r="E20" s="108" t="str">
        <f>IMAGE("https://flagcdn.com/w320/es.png")</f>
        <v/>
      </c>
      <c r="F20" s="109">
        <v>35238.0</v>
      </c>
      <c r="G20" s="110">
        <f t="shared" si="1"/>
        <v>29</v>
      </c>
      <c r="H20" s="111">
        <f>1+1+1+1+1+1+1</f>
        <v>7</v>
      </c>
      <c r="I20" s="111">
        <f>90+58+8+90+90+90+90</f>
        <v>516</v>
      </c>
      <c r="J20" s="111">
        <f>2</f>
        <v>2</v>
      </c>
      <c r="K20" s="111"/>
      <c r="L20" s="111">
        <f>1+1+1</f>
        <v>3</v>
      </c>
      <c r="M20" s="111"/>
      <c r="N20" s="111"/>
      <c r="O20" s="111">
        <f t="shared" si="2"/>
        <v>2</v>
      </c>
      <c r="P20" s="111"/>
    </row>
    <row r="21" ht="22.5" customHeight="1">
      <c r="A21" s="104">
        <v>29.0</v>
      </c>
      <c r="B21" s="105" t="s">
        <v>203</v>
      </c>
      <c r="C21" s="106" t="s">
        <v>82</v>
      </c>
      <c r="D21" s="107" t="s">
        <v>204</v>
      </c>
      <c r="E21" s="108" t="str">
        <f>IMAGE("https://flagcdn.com/w320/de.png")</f>
        <v/>
      </c>
      <c r="F21" s="109">
        <v>36322.0</v>
      </c>
      <c r="G21" s="110">
        <f t="shared" si="1"/>
        <v>26</v>
      </c>
      <c r="H21" s="111"/>
      <c r="I21" s="111"/>
      <c r="J21" s="111"/>
      <c r="K21" s="111"/>
      <c r="L21" s="111"/>
      <c r="M21" s="111"/>
      <c r="N21" s="111"/>
      <c r="O21" s="111">
        <f t="shared" si="2"/>
        <v>0</v>
      </c>
      <c r="P21" s="111"/>
    </row>
    <row r="22" ht="22.5" customHeight="1">
      <c r="A22" s="104">
        <v>33.0</v>
      </c>
      <c r="B22" s="105" t="s">
        <v>205</v>
      </c>
      <c r="C22" s="106" t="s">
        <v>70</v>
      </c>
      <c r="D22" s="107" t="s">
        <v>206</v>
      </c>
      <c r="E22" s="108" t="str">
        <f>IMAGE("https://flagcdn.com/w320/it.png")</f>
        <v/>
      </c>
      <c r="F22" s="109">
        <v>37395.0</v>
      </c>
      <c r="G22" s="110">
        <f t="shared" si="1"/>
        <v>23</v>
      </c>
      <c r="H22" s="111">
        <f>1+1+1</f>
        <v>3</v>
      </c>
      <c r="I22" s="111">
        <f>89+23+28</f>
        <v>140</v>
      </c>
      <c r="J22" s="111"/>
      <c r="K22" s="111">
        <f>1</f>
        <v>1</v>
      </c>
      <c r="L22" s="111"/>
      <c r="M22" s="111"/>
      <c r="N22" s="111"/>
      <c r="O22" s="111">
        <f t="shared" si="2"/>
        <v>1</v>
      </c>
      <c r="P22" s="111"/>
    </row>
    <row r="23" ht="22.5" customHeight="1">
      <c r="A23" s="114">
        <v>35.0</v>
      </c>
      <c r="B23" s="124" t="s">
        <v>207</v>
      </c>
      <c r="C23" s="125" t="s">
        <v>67</v>
      </c>
      <c r="D23" s="126" t="s">
        <v>208</v>
      </c>
      <c r="E23" s="108" t="str">
        <f>IMAGE("https://flagcdn.com/w320/gb-eng.png")</f>
        <v/>
      </c>
      <c r="F23" s="127">
        <v>38789.0</v>
      </c>
      <c r="G23" s="110">
        <f t="shared" si="1"/>
        <v>19</v>
      </c>
      <c r="H23" s="111">
        <f t="shared" ref="H23:I23" si="11">0</f>
        <v>0</v>
      </c>
      <c r="I23" s="111">
        <f t="shared" si="11"/>
        <v>0</v>
      </c>
      <c r="J23" s="111"/>
      <c r="K23" s="111"/>
      <c r="L23" s="111"/>
      <c r="M23" s="111"/>
      <c r="N23" s="111"/>
      <c r="O23" s="111">
        <f t="shared" si="2"/>
        <v>0</v>
      </c>
      <c r="P23" s="111"/>
    </row>
    <row r="24" ht="22.5" customHeight="1">
      <c r="A24" s="104">
        <v>36.0</v>
      </c>
      <c r="B24" s="105" t="s">
        <v>209</v>
      </c>
      <c r="C24" s="106" t="s">
        <v>79</v>
      </c>
      <c r="D24" s="107" t="s">
        <v>83</v>
      </c>
      <c r="E24" s="108" t="str">
        <f>IMAGE("https://flagcdn.com/w320/es.png")</f>
        <v/>
      </c>
      <c r="F24" s="109">
        <v>36496.0</v>
      </c>
      <c r="G24" s="110">
        <f t="shared" si="1"/>
        <v>26</v>
      </c>
      <c r="H24" s="111">
        <f>1+1+1+1+1+1</f>
        <v>6</v>
      </c>
      <c r="I24" s="111">
        <f>90+90+71+90+90+90</f>
        <v>521</v>
      </c>
      <c r="J24" s="111"/>
      <c r="K24" s="111">
        <f>2</f>
        <v>2</v>
      </c>
      <c r="L24" s="111">
        <f>1+1+1</f>
        <v>3</v>
      </c>
      <c r="M24" s="111"/>
      <c r="N24" s="111"/>
      <c r="O24" s="111">
        <f t="shared" si="2"/>
        <v>2</v>
      </c>
      <c r="P24" s="111"/>
    </row>
    <row r="25" ht="22.5" customHeight="1">
      <c r="A25" s="128">
        <v>38.0</v>
      </c>
      <c r="B25" s="129" t="s">
        <v>210</v>
      </c>
      <c r="C25" s="130" t="s">
        <v>79</v>
      </c>
      <c r="D25" s="131" t="s">
        <v>94</v>
      </c>
      <c r="E25" s="132" t="str">
        <f t="shared" ref="E25:E28" si="12">IMAGE("https://flagcdn.com/w320/gb-eng.png")</f>
        <v/>
      </c>
      <c r="F25" s="133">
        <v>39010.0</v>
      </c>
      <c r="G25" s="122">
        <f t="shared" si="1"/>
        <v>19</v>
      </c>
      <c r="H25" s="134">
        <v>0.0</v>
      </c>
      <c r="I25" s="134">
        <v>0.0</v>
      </c>
      <c r="J25" s="123"/>
      <c r="K25" s="123"/>
      <c r="L25" s="123"/>
      <c r="M25" s="123"/>
      <c r="N25" s="123"/>
      <c r="O25" s="111">
        <f t="shared" si="2"/>
        <v>0</v>
      </c>
      <c r="P25" s="123"/>
    </row>
    <row r="26" ht="22.5" hidden="1" customHeight="1">
      <c r="A26" s="128">
        <v>39.0</v>
      </c>
      <c r="B26" s="129" t="s">
        <v>211</v>
      </c>
      <c r="C26" s="130" t="s">
        <v>79</v>
      </c>
      <c r="D26" s="131" t="s">
        <v>212</v>
      </c>
      <c r="E26" s="132" t="str">
        <f t="shared" si="12"/>
        <v/>
      </c>
      <c r="F26" s="133">
        <v>38726.0</v>
      </c>
      <c r="G26" s="122">
        <f t="shared" si="1"/>
        <v>20</v>
      </c>
      <c r="H26" s="123"/>
      <c r="I26" s="123"/>
      <c r="J26" s="123"/>
      <c r="K26" s="123"/>
      <c r="L26" s="123"/>
      <c r="M26" s="123"/>
      <c r="N26" s="123"/>
      <c r="O26" s="111">
        <f t="shared" si="2"/>
        <v>0</v>
      </c>
      <c r="P26" s="1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22.5" hidden="1" customHeight="1">
      <c r="A27" s="128">
        <v>40.0</v>
      </c>
      <c r="B27" s="129" t="s">
        <v>213</v>
      </c>
      <c r="C27" s="130" t="s">
        <v>82</v>
      </c>
      <c r="D27" s="131" t="s">
        <v>94</v>
      </c>
      <c r="E27" s="132" t="str">
        <f t="shared" si="12"/>
        <v/>
      </c>
      <c r="F27" s="133">
        <v>38729.0</v>
      </c>
      <c r="G27" s="122">
        <f t="shared" si="1"/>
        <v>20</v>
      </c>
      <c r="H27" s="123"/>
      <c r="I27" s="123"/>
      <c r="J27" s="123"/>
      <c r="K27" s="123"/>
      <c r="L27" s="123"/>
      <c r="M27" s="123"/>
      <c r="N27" s="123"/>
      <c r="O27" s="111">
        <f t="shared" si="2"/>
        <v>0</v>
      </c>
      <c r="P27" s="1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104">
        <v>41.0</v>
      </c>
      <c r="B28" s="105" t="s">
        <v>214</v>
      </c>
      <c r="C28" s="106" t="s">
        <v>79</v>
      </c>
      <c r="D28" s="107" t="s">
        <v>215</v>
      </c>
      <c r="E28" s="108" t="str">
        <f t="shared" si="12"/>
        <v/>
      </c>
      <c r="F28" s="109">
        <v>36174.0</v>
      </c>
      <c r="G28" s="110">
        <f t="shared" si="1"/>
        <v>27</v>
      </c>
      <c r="H28" s="111">
        <f>1+1+1+1+1+1</f>
        <v>6</v>
      </c>
      <c r="I28" s="111">
        <f>90+32+90+80+90+27</f>
        <v>409</v>
      </c>
      <c r="J28" s="111"/>
      <c r="K28" s="111">
        <f>1+1</f>
        <v>2</v>
      </c>
      <c r="L28" s="111">
        <f>1+1+1</f>
        <v>3</v>
      </c>
      <c r="M28" s="111"/>
      <c r="N28" s="111"/>
      <c r="O28" s="111">
        <f t="shared" si="2"/>
        <v>2</v>
      </c>
      <c r="P28" s="111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22.5" hidden="1" customHeight="1">
      <c r="A29" s="128">
        <v>42.0</v>
      </c>
      <c r="B29" s="129" t="s">
        <v>216</v>
      </c>
      <c r="C29" s="130" t="s">
        <v>70</v>
      </c>
      <c r="D29" s="131" t="s">
        <v>217</v>
      </c>
      <c r="E29" s="132" t="str">
        <f>IMAGE("https://flagcdn.com/w320/eg.png")</f>
        <v/>
      </c>
      <c r="F29" s="133">
        <v>39043.0</v>
      </c>
      <c r="G29" s="122">
        <f t="shared" si="1"/>
        <v>19</v>
      </c>
      <c r="H29" s="123"/>
      <c r="I29" s="123"/>
      <c r="J29" s="123"/>
      <c r="K29" s="123"/>
      <c r="L29" s="123"/>
      <c r="M29" s="123"/>
      <c r="N29" s="123"/>
      <c r="O29" s="111">
        <f t="shared" si="2"/>
        <v>0</v>
      </c>
      <c r="P29" s="1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22.5" hidden="1" customHeight="1">
      <c r="A30" s="128">
        <v>44.0</v>
      </c>
      <c r="B30" s="129" t="s">
        <v>218</v>
      </c>
      <c r="C30" s="130" t="s">
        <v>70</v>
      </c>
      <c r="D30" s="131" t="s">
        <v>219</v>
      </c>
      <c r="E30" s="132" t="str">
        <f>IMAGE("https://flagcdn.com/w320/al.png")</f>
        <v/>
      </c>
      <c r="F30" s="133">
        <v>38629.0</v>
      </c>
      <c r="G30" s="122">
        <f t="shared" si="1"/>
        <v>20</v>
      </c>
      <c r="H30" s="123"/>
      <c r="I30" s="123"/>
      <c r="J30" s="123"/>
      <c r="K30" s="123"/>
      <c r="L30" s="123"/>
      <c r="M30" s="123"/>
      <c r="N30" s="123"/>
      <c r="O30" s="111">
        <f t="shared" si="2"/>
        <v>0</v>
      </c>
      <c r="P30" s="1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ht="22.5" customHeight="1">
      <c r="A31" s="128">
        <v>45.0</v>
      </c>
      <c r="B31" s="129" t="s">
        <v>220</v>
      </c>
      <c r="C31" s="130" t="s">
        <v>82</v>
      </c>
      <c r="D31" s="131" t="s">
        <v>221</v>
      </c>
      <c r="E31" s="132" t="str">
        <f>IMAGE("https://flagcdn.com/w320/sl.png")</f>
        <v/>
      </c>
      <c r="F31" s="133">
        <v>38935.0</v>
      </c>
      <c r="G31" s="122">
        <f t="shared" si="1"/>
        <v>19</v>
      </c>
      <c r="H31" s="123"/>
      <c r="I31" s="123"/>
      <c r="J31" s="123"/>
      <c r="K31" s="123"/>
      <c r="L31" s="123"/>
      <c r="M31" s="123"/>
      <c r="N31" s="123"/>
      <c r="O31" s="111">
        <f t="shared" si="2"/>
        <v>0</v>
      </c>
      <c r="P31" s="1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ht="22.5" customHeight="1">
      <c r="A32" s="128">
        <v>48.0</v>
      </c>
      <c r="B32" s="129" t="s">
        <v>222</v>
      </c>
      <c r="C32" s="130" t="s">
        <v>70</v>
      </c>
      <c r="D32" s="131" t="s">
        <v>223</v>
      </c>
      <c r="E32" s="132" t="str">
        <f t="shared" ref="E32:E34" si="13">IMAGE("https://flagcdn.com/w320/gb-eng.png")</f>
        <v/>
      </c>
      <c r="F32" s="133">
        <v>38924.0</v>
      </c>
      <c r="G32" s="122">
        <f t="shared" si="1"/>
        <v>19</v>
      </c>
      <c r="H32" s="134">
        <v>0.0</v>
      </c>
      <c r="I32" s="134">
        <v>0.0</v>
      </c>
      <c r="J32" s="123"/>
      <c r="K32" s="123"/>
      <c r="L32" s="123"/>
      <c r="M32" s="123"/>
      <c r="N32" s="123"/>
      <c r="O32" s="111">
        <f t="shared" si="2"/>
        <v>0</v>
      </c>
      <c r="P32" s="1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ht="22.5" customHeight="1">
      <c r="A33" s="116">
        <v>49.0</v>
      </c>
      <c r="B33" s="117" t="s">
        <v>224</v>
      </c>
      <c r="C33" s="118" t="s">
        <v>70</v>
      </c>
      <c r="D33" s="119" t="s">
        <v>225</v>
      </c>
      <c r="E33" s="120" t="str">
        <f t="shared" si="13"/>
        <v/>
      </c>
      <c r="F33" s="121">
        <v>38986.0</v>
      </c>
      <c r="G33" s="122">
        <f t="shared" si="1"/>
        <v>19</v>
      </c>
      <c r="H33" s="123">
        <f>1+1+1+1+1+1</f>
        <v>6</v>
      </c>
      <c r="I33" s="123">
        <f>90+90+18+67+90+90</f>
        <v>445</v>
      </c>
      <c r="J33" s="123"/>
      <c r="K33" s="123">
        <f>1+1</f>
        <v>2</v>
      </c>
      <c r="L33" s="123">
        <f>1</f>
        <v>1</v>
      </c>
      <c r="M33" s="123"/>
      <c r="N33" s="123"/>
      <c r="O33" s="111">
        <f t="shared" si="2"/>
        <v>2</v>
      </c>
      <c r="P33" s="1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ht="22.5" hidden="1" customHeight="1">
      <c r="A34" s="128">
        <v>50.0</v>
      </c>
      <c r="B34" s="129" t="s">
        <v>226</v>
      </c>
      <c r="C34" s="130" t="s">
        <v>82</v>
      </c>
      <c r="D34" s="131" t="s">
        <v>227</v>
      </c>
      <c r="E34" s="132" t="str">
        <f t="shared" si="13"/>
        <v/>
      </c>
      <c r="F34" s="133">
        <v>39047.0</v>
      </c>
      <c r="G34" s="122">
        <f t="shared" si="1"/>
        <v>19</v>
      </c>
      <c r="H34" s="123"/>
      <c r="I34" s="123"/>
      <c r="J34" s="123"/>
      <c r="K34" s="123"/>
      <c r="L34" s="123"/>
      <c r="M34" s="123"/>
      <c r="N34" s="123"/>
      <c r="O34" s="111">
        <f t="shared" si="2"/>
        <v>0</v>
      </c>
      <c r="P34" s="1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ht="22.5" hidden="1" customHeight="1">
      <c r="A35" s="128">
        <v>51.0</v>
      </c>
      <c r="B35" s="129" t="s">
        <v>228</v>
      </c>
      <c r="C35" s="130" t="s">
        <v>67</v>
      </c>
      <c r="D35" s="131" t="s">
        <v>229</v>
      </c>
      <c r="E35" s="132" t="str">
        <f>IMAGE("https://flagcdn.com/w320/co.png")</f>
        <v/>
      </c>
      <c r="F35" s="133">
        <v>38623.0</v>
      </c>
      <c r="G35" s="122">
        <f t="shared" si="1"/>
        <v>20</v>
      </c>
      <c r="H35" s="123"/>
      <c r="I35" s="123"/>
      <c r="J35" s="123"/>
      <c r="K35" s="123"/>
      <c r="L35" s="123"/>
      <c r="M35" s="123"/>
      <c r="N35" s="123"/>
      <c r="O35" s="111">
        <f t="shared" si="2"/>
        <v>0</v>
      </c>
      <c r="P35" s="1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ht="22.5" customHeight="1">
      <c r="A36" s="128">
        <v>53.0</v>
      </c>
      <c r="B36" s="129" t="s">
        <v>230</v>
      </c>
      <c r="C36" s="130" t="s">
        <v>79</v>
      </c>
      <c r="D36" s="131" t="s">
        <v>231</v>
      </c>
      <c r="E36" s="132" t="str">
        <f>IMAGE("https://flagcdn.com/w320/gb-eng.png")</f>
        <v/>
      </c>
      <c r="F36" s="133">
        <v>38192.0</v>
      </c>
      <c r="G36" s="122">
        <f t="shared" si="1"/>
        <v>21</v>
      </c>
      <c r="H36" s="134">
        <v>0.0</v>
      </c>
      <c r="I36" s="134">
        <v>0.0</v>
      </c>
      <c r="J36" s="123"/>
      <c r="K36" s="123"/>
      <c r="L36" s="123"/>
      <c r="M36" s="123"/>
      <c r="N36" s="123"/>
      <c r="O36" s="111">
        <f t="shared" si="2"/>
        <v>0</v>
      </c>
      <c r="P36" s="1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ht="22.5" hidden="1" customHeight="1">
      <c r="A37" s="128">
        <v>54.0</v>
      </c>
      <c r="B37" s="129" t="s">
        <v>232</v>
      </c>
      <c r="C37" s="130" t="s">
        <v>70</v>
      </c>
      <c r="D37" s="131" t="s">
        <v>233</v>
      </c>
      <c r="E37" s="132" t="str">
        <f>IMAGE("https://flagcdn.com/w320/gb-wls.png")</f>
        <v/>
      </c>
      <c r="F37" s="133">
        <v>38992.0</v>
      </c>
      <c r="G37" s="122">
        <f t="shared" si="1"/>
        <v>19</v>
      </c>
      <c r="H37" s="123"/>
      <c r="I37" s="123"/>
      <c r="J37" s="123"/>
      <c r="K37" s="123"/>
      <c r="L37" s="123"/>
      <c r="M37" s="123"/>
      <c r="N37" s="123"/>
      <c r="O37" s="111">
        <f t="shared" si="2"/>
        <v>0</v>
      </c>
      <c r="P37" s="123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</row>
    <row r="38" ht="22.5" customHeight="1">
      <c r="A38" s="104">
        <v>56.0</v>
      </c>
      <c r="B38" s="105" t="s">
        <v>234</v>
      </c>
      <c r="C38" s="106" t="s">
        <v>79</v>
      </c>
      <c r="D38" s="107" t="s">
        <v>94</v>
      </c>
      <c r="E38" s="108" t="str">
        <f t="shared" ref="E38:E42" si="14">IMAGE("https://flagcdn.com/w320/gb-eng.png")</f>
        <v/>
      </c>
      <c r="F38" s="109">
        <v>40168.0</v>
      </c>
      <c r="G38" s="110">
        <f t="shared" si="1"/>
        <v>16</v>
      </c>
      <c r="H38" s="111">
        <f>1</f>
        <v>1</v>
      </c>
      <c r="I38" s="111">
        <f>18</f>
        <v>18</v>
      </c>
      <c r="J38" s="111"/>
      <c r="K38" s="111"/>
      <c r="L38" s="111"/>
      <c r="M38" s="111"/>
      <c r="N38" s="111"/>
      <c r="O38" s="111">
        <f t="shared" si="2"/>
        <v>0</v>
      </c>
      <c r="P38" s="111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ht="22.5" hidden="1" customHeight="1">
      <c r="A39" s="128">
        <v>70.0</v>
      </c>
      <c r="B39" s="129" t="s">
        <v>235</v>
      </c>
      <c r="C39" s="130" t="s">
        <v>70</v>
      </c>
      <c r="D39" s="131" t="s">
        <v>94</v>
      </c>
      <c r="E39" s="132" t="str">
        <f t="shared" si="14"/>
        <v/>
      </c>
      <c r="F39" s="133">
        <v>39365.0</v>
      </c>
      <c r="G39" s="122">
        <f t="shared" si="1"/>
        <v>18</v>
      </c>
      <c r="H39" s="123"/>
      <c r="I39" s="123"/>
      <c r="J39" s="123"/>
      <c r="K39" s="123"/>
      <c r="L39" s="123"/>
      <c r="M39" s="123"/>
      <c r="N39" s="123"/>
      <c r="O39" s="111">
        <f t="shared" si="2"/>
        <v>0</v>
      </c>
      <c r="P39" s="1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ht="22.5" customHeight="1">
      <c r="A40" s="128">
        <v>71.0</v>
      </c>
      <c r="B40" s="129" t="s">
        <v>236</v>
      </c>
      <c r="C40" s="130" t="s">
        <v>79</v>
      </c>
      <c r="D40" s="131" t="s">
        <v>94</v>
      </c>
      <c r="E40" s="132" t="str">
        <f t="shared" si="14"/>
        <v/>
      </c>
      <c r="F40" s="133">
        <v>39443.0</v>
      </c>
      <c r="G40" s="122">
        <f t="shared" si="1"/>
        <v>18</v>
      </c>
      <c r="H40" s="123">
        <f>1</f>
        <v>1</v>
      </c>
      <c r="I40" s="123">
        <f>10</f>
        <v>10</v>
      </c>
      <c r="J40" s="123"/>
      <c r="K40" s="123"/>
      <c r="L40" s="123"/>
      <c r="M40" s="123"/>
      <c r="N40" s="123"/>
      <c r="O40" s="111">
        <f t="shared" si="2"/>
        <v>0</v>
      </c>
      <c r="P40" s="1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ht="22.5" hidden="1" customHeight="1">
      <c r="A41" s="128">
        <v>72.0</v>
      </c>
      <c r="B41" s="129" t="s">
        <v>237</v>
      </c>
      <c r="C41" s="130" t="s">
        <v>79</v>
      </c>
      <c r="D41" s="131" t="s">
        <v>238</v>
      </c>
      <c r="E41" s="132" t="str">
        <f t="shared" si="14"/>
        <v/>
      </c>
      <c r="F41" s="133">
        <v>39467.0</v>
      </c>
      <c r="G41" s="122">
        <f t="shared" si="1"/>
        <v>18</v>
      </c>
      <c r="H41" s="123"/>
      <c r="I41" s="123"/>
      <c r="J41" s="123"/>
      <c r="K41" s="123"/>
      <c r="L41" s="123"/>
      <c r="M41" s="123"/>
      <c r="N41" s="123"/>
      <c r="O41" s="123"/>
      <c r="P41" s="1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ht="22.5" hidden="1" customHeight="1">
      <c r="A42" s="128">
        <v>73.0</v>
      </c>
      <c r="B42" s="129" t="s">
        <v>239</v>
      </c>
      <c r="C42" s="130" t="s">
        <v>79</v>
      </c>
      <c r="D42" s="131" t="s">
        <v>94</v>
      </c>
      <c r="E42" s="132" t="str">
        <f t="shared" si="14"/>
        <v/>
      </c>
      <c r="F42" s="133">
        <v>39458.0</v>
      </c>
      <c r="G42" s="122">
        <f t="shared" si="1"/>
        <v>18</v>
      </c>
      <c r="H42" s="123"/>
      <c r="I42" s="123"/>
      <c r="J42" s="123"/>
      <c r="K42" s="123"/>
      <c r="L42" s="123"/>
      <c r="M42" s="123"/>
      <c r="N42" s="123"/>
      <c r="O42" s="123"/>
      <c r="P42" s="1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ht="22.5" hidden="1" customHeight="1">
      <c r="A43" s="128">
        <v>74.0</v>
      </c>
      <c r="B43" s="129" t="s">
        <v>240</v>
      </c>
      <c r="C43" s="130" t="s">
        <v>79</v>
      </c>
      <c r="D43" s="131" t="s">
        <v>241</v>
      </c>
      <c r="E43" s="132" t="str">
        <f>IMAGE("https://flagcdn.com/w320/gb-wls.png")</f>
        <v/>
      </c>
      <c r="F43" s="133">
        <v>39465.0</v>
      </c>
      <c r="G43" s="122">
        <f t="shared" si="1"/>
        <v>18</v>
      </c>
      <c r="H43" s="123"/>
      <c r="I43" s="123"/>
      <c r="J43" s="123"/>
      <c r="K43" s="123"/>
      <c r="L43" s="123"/>
      <c r="M43" s="123"/>
      <c r="N43" s="123"/>
      <c r="O43" s="123"/>
      <c r="P43" s="123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ht="22.5" hidden="1" customHeight="1">
      <c r="A44" s="128">
        <v>75.0</v>
      </c>
      <c r="B44" s="129" t="s">
        <v>242</v>
      </c>
      <c r="C44" s="130" t="s">
        <v>70</v>
      </c>
      <c r="D44" s="131" t="s">
        <v>94</v>
      </c>
      <c r="E44" s="132" t="str">
        <f t="shared" ref="E44:E47" si="15">IMAGE("https://flagcdn.com/w320/gb-eng.png")</f>
        <v/>
      </c>
      <c r="F44" s="133">
        <v>39542.0</v>
      </c>
      <c r="G44" s="122">
        <f t="shared" si="1"/>
        <v>17</v>
      </c>
      <c r="H44" s="123"/>
      <c r="I44" s="123"/>
      <c r="J44" s="123"/>
      <c r="K44" s="123"/>
      <c r="L44" s="123"/>
      <c r="M44" s="123"/>
      <c r="N44" s="123"/>
      <c r="O44" s="123"/>
      <c r="P44" s="123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ht="22.5" hidden="1" customHeight="1">
      <c r="A45" s="128">
        <v>77.0</v>
      </c>
      <c r="B45" s="129" t="s">
        <v>243</v>
      </c>
      <c r="C45" s="130" t="s">
        <v>70</v>
      </c>
      <c r="D45" s="131" t="s">
        <v>94</v>
      </c>
      <c r="E45" s="132" t="str">
        <f t="shared" si="15"/>
        <v/>
      </c>
      <c r="F45" s="133">
        <v>39430.0</v>
      </c>
      <c r="G45" s="122">
        <f t="shared" si="1"/>
        <v>18</v>
      </c>
      <c r="H45" s="123"/>
      <c r="I45" s="123"/>
      <c r="J45" s="123"/>
      <c r="K45" s="123"/>
      <c r="L45" s="123"/>
      <c r="M45" s="123"/>
      <c r="N45" s="123"/>
      <c r="O45" s="123"/>
      <c r="P45" s="123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ht="22.5" hidden="1" customHeight="1">
      <c r="A46" s="128">
        <v>78.0</v>
      </c>
      <c r="B46" s="129" t="s">
        <v>244</v>
      </c>
      <c r="C46" s="130" t="s">
        <v>67</v>
      </c>
      <c r="D46" s="131" t="s">
        <v>94</v>
      </c>
      <c r="E46" s="132" t="str">
        <f t="shared" si="15"/>
        <v/>
      </c>
      <c r="F46" s="133">
        <v>39644.0</v>
      </c>
      <c r="G46" s="122">
        <f t="shared" si="1"/>
        <v>17</v>
      </c>
      <c r="H46" s="123"/>
      <c r="I46" s="123"/>
      <c r="J46" s="123"/>
      <c r="K46" s="123"/>
      <c r="L46" s="123"/>
      <c r="M46" s="123"/>
      <c r="N46" s="123"/>
      <c r="O46" s="123"/>
      <c r="P46" s="123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ht="22.5" hidden="1" customHeight="1">
      <c r="A47" s="128">
        <v>79.0</v>
      </c>
      <c r="B47" s="129" t="s">
        <v>245</v>
      </c>
      <c r="C47" s="130" t="s">
        <v>67</v>
      </c>
      <c r="D47" s="131" t="s">
        <v>246</v>
      </c>
      <c r="E47" s="132" t="str">
        <f t="shared" si="15"/>
        <v/>
      </c>
      <c r="F47" s="133">
        <v>39338.0</v>
      </c>
      <c r="G47" s="122">
        <f t="shared" si="1"/>
        <v>18</v>
      </c>
      <c r="H47" s="123"/>
      <c r="I47" s="123"/>
      <c r="J47" s="123"/>
      <c r="K47" s="123"/>
      <c r="L47" s="123"/>
      <c r="M47" s="123"/>
      <c r="N47" s="123"/>
      <c r="O47" s="123"/>
      <c r="P47" s="123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ht="22.5" hidden="1" customHeight="1">
      <c r="A48" s="128">
        <v>80.0</v>
      </c>
      <c r="B48" s="129" t="s">
        <v>247</v>
      </c>
      <c r="C48" s="130" t="s">
        <v>82</v>
      </c>
      <c r="D48" s="131" t="s">
        <v>248</v>
      </c>
      <c r="E48" s="132" t="str">
        <f>IMAGE("https://flagcdn.com/w320/rs.png")</f>
        <v/>
      </c>
      <c r="F48" s="133">
        <v>39467.0</v>
      </c>
      <c r="G48" s="122">
        <f t="shared" si="1"/>
        <v>18</v>
      </c>
      <c r="H48" s="123"/>
      <c r="I48" s="123"/>
      <c r="J48" s="123"/>
      <c r="K48" s="123"/>
      <c r="L48" s="123"/>
      <c r="M48" s="123"/>
      <c r="N48" s="123"/>
      <c r="O48" s="123"/>
      <c r="P48" s="123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ht="22.5" hidden="1" customHeight="1">
      <c r="A49" s="128">
        <v>81.0</v>
      </c>
      <c r="B49" s="129" t="s">
        <v>249</v>
      </c>
      <c r="C49" s="130" t="s">
        <v>79</v>
      </c>
      <c r="D49" s="131" t="s">
        <v>94</v>
      </c>
      <c r="E49" s="132" t="str">
        <f t="shared" ref="E49:E56" si="16">IMAGE("https://flagcdn.com/w320/gb-eng.png")</f>
        <v/>
      </c>
      <c r="F49" s="133">
        <v>39723.0</v>
      </c>
      <c r="G49" s="122">
        <f t="shared" si="1"/>
        <v>17</v>
      </c>
      <c r="H49" s="123"/>
      <c r="I49" s="123"/>
      <c r="J49" s="123"/>
      <c r="K49" s="123"/>
      <c r="L49" s="123"/>
      <c r="M49" s="123"/>
      <c r="N49" s="123"/>
      <c r="O49" s="123"/>
      <c r="P49" s="123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ht="22.5" hidden="1" customHeight="1">
      <c r="A50" s="128">
        <v>82.0</v>
      </c>
      <c r="B50" s="129" t="s">
        <v>250</v>
      </c>
      <c r="C50" s="130" t="s">
        <v>82</v>
      </c>
      <c r="D50" s="131" t="s">
        <v>251</v>
      </c>
      <c r="E50" s="132" t="str">
        <f t="shared" si="16"/>
        <v/>
      </c>
      <c r="F50" s="133">
        <v>39701.0</v>
      </c>
      <c r="G50" s="122">
        <f t="shared" si="1"/>
        <v>17</v>
      </c>
      <c r="H50" s="123"/>
      <c r="I50" s="123"/>
      <c r="J50" s="123"/>
      <c r="K50" s="123"/>
      <c r="L50" s="123"/>
      <c r="M50" s="123"/>
      <c r="N50" s="123"/>
      <c r="O50" s="123"/>
      <c r="P50" s="123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ht="22.5" hidden="1" customHeight="1">
      <c r="A51" s="128">
        <v>84.0</v>
      </c>
      <c r="B51" s="129" t="s">
        <v>252</v>
      </c>
      <c r="C51" s="130" t="s">
        <v>79</v>
      </c>
      <c r="D51" s="131" t="s">
        <v>253</v>
      </c>
      <c r="E51" s="132" t="str">
        <f t="shared" si="16"/>
        <v/>
      </c>
      <c r="F51" s="133">
        <v>39699.0</v>
      </c>
      <c r="G51" s="122">
        <f t="shared" si="1"/>
        <v>17</v>
      </c>
      <c r="H51" s="123"/>
      <c r="I51" s="123"/>
      <c r="J51" s="123"/>
      <c r="K51" s="123"/>
      <c r="L51" s="123"/>
      <c r="M51" s="123"/>
      <c r="N51" s="123"/>
      <c r="O51" s="123"/>
      <c r="P51" s="123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ht="22.5" hidden="1" customHeight="1">
      <c r="A52" s="128">
        <v>85.0</v>
      </c>
      <c r="B52" s="129" t="s">
        <v>254</v>
      </c>
      <c r="C52" s="130" t="s">
        <v>70</v>
      </c>
      <c r="D52" s="131" t="s">
        <v>94</v>
      </c>
      <c r="E52" s="132" t="str">
        <f t="shared" si="16"/>
        <v/>
      </c>
      <c r="F52" s="133">
        <v>39835.0</v>
      </c>
      <c r="G52" s="122">
        <f t="shared" si="1"/>
        <v>17</v>
      </c>
      <c r="H52" s="123"/>
      <c r="I52" s="123"/>
      <c r="J52" s="123"/>
      <c r="K52" s="123"/>
      <c r="L52" s="123"/>
      <c r="M52" s="123"/>
      <c r="N52" s="123"/>
      <c r="O52" s="123"/>
      <c r="P52" s="123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ht="22.5" hidden="1" customHeight="1">
      <c r="A53" s="128">
        <v>86.0</v>
      </c>
      <c r="B53" s="129" t="s">
        <v>255</v>
      </c>
      <c r="C53" s="130" t="s">
        <v>70</v>
      </c>
      <c r="D53" s="131" t="s">
        <v>256</v>
      </c>
      <c r="E53" s="132" t="str">
        <f t="shared" si="16"/>
        <v/>
      </c>
      <c r="F53" s="133">
        <v>39712.0</v>
      </c>
      <c r="G53" s="122">
        <f t="shared" si="1"/>
        <v>17</v>
      </c>
      <c r="H53" s="123"/>
      <c r="I53" s="123"/>
      <c r="J53" s="123"/>
      <c r="K53" s="123"/>
      <c r="L53" s="123"/>
      <c r="M53" s="123"/>
      <c r="N53" s="123"/>
      <c r="O53" s="123"/>
      <c r="P53" s="123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ht="22.5" hidden="1" customHeight="1">
      <c r="A54" s="128">
        <v>88.0</v>
      </c>
      <c r="B54" s="129" t="s">
        <v>257</v>
      </c>
      <c r="C54" s="130" t="s">
        <v>70</v>
      </c>
      <c r="D54" s="131" t="s">
        <v>94</v>
      </c>
      <c r="E54" s="132" t="str">
        <f t="shared" si="16"/>
        <v/>
      </c>
      <c r="F54" s="133">
        <v>39823.0</v>
      </c>
      <c r="G54" s="122">
        <f t="shared" si="1"/>
        <v>17</v>
      </c>
      <c r="H54" s="123"/>
      <c r="I54" s="123"/>
      <c r="J54" s="123"/>
      <c r="K54" s="123"/>
      <c r="L54" s="123"/>
      <c r="M54" s="123"/>
      <c r="N54" s="123"/>
      <c r="O54" s="123"/>
      <c r="P54" s="123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ht="22.5" customHeight="1">
      <c r="A55" s="128">
        <v>89.0</v>
      </c>
      <c r="B55" s="129" t="s">
        <v>258</v>
      </c>
      <c r="C55" s="130" t="s">
        <v>70</v>
      </c>
      <c r="D55" s="131" t="s">
        <v>94</v>
      </c>
      <c r="E55" s="132" t="str">
        <f t="shared" si="16"/>
        <v/>
      </c>
      <c r="F55" s="133">
        <v>40054.0</v>
      </c>
      <c r="G55" s="122">
        <f t="shared" si="1"/>
        <v>16</v>
      </c>
      <c r="H55" s="134">
        <f>1</f>
        <v>1</v>
      </c>
      <c r="I55" s="134">
        <f>8</f>
        <v>8</v>
      </c>
      <c r="J55" s="123"/>
      <c r="K55" s="123"/>
      <c r="L55" s="123"/>
      <c r="M55" s="123"/>
      <c r="N55" s="123"/>
      <c r="O55" s="123"/>
      <c r="P55" s="123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ht="22.5" hidden="1" customHeight="1">
      <c r="A56" s="136">
        <v>90.0</v>
      </c>
      <c r="B56" s="137" t="s">
        <v>259</v>
      </c>
      <c r="C56" s="138" t="s">
        <v>79</v>
      </c>
      <c r="D56" s="139" t="s">
        <v>260</v>
      </c>
      <c r="E56" s="140" t="str">
        <f t="shared" si="16"/>
        <v/>
      </c>
      <c r="F56" s="141">
        <v>39845.0</v>
      </c>
      <c r="G56" s="142">
        <f t="shared" si="1"/>
        <v>16</v>
      </c>
      <c r="H56" s="143"/>
      <c r="I56" s="143"/>
      <c r="J56" s="143"/>
      <c r="K56" s="143"/>
      <c r="L56" s="143"/>
      <c r="M56" s="143"/>
      <c r="N56" s="143"/>
      <c r="O56" s="143"/>
      <c r="P56" s="143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 ht="22.5" hidden="1" customHeight="1">
      <c r="A57" s="144">
        <v>91.0</v>
      </c>
      <c r="B57" s="145" t="s">
        <v>261</v>
      </c>
      <c r="C57" s="146" t="s">
        <v>70</v>
      </c>
      <c r="D57" s="147" t="s">
        <v>262</v>
      </c>
      <c r="E57" s="148" t="str">
        <f>IMAGE("https://flagcdn.com/w320/pl.png")</f>
        <v/>
      </c>
      <c r="F57" s="149">
        <v>39893.0</v>
      </c>
      <c r="G57" s="142">
        <f t="shared" si="1"/>
        <v>16</v>
      </c>
      <c r="H57" s="143"/>
      <c r="I57" s="143"/>
      <c r="J57" s="143"/>
      <c r="K57" s="143"/>
      <c r="L57" s="143"/>
      <c r="M57" s="143"/>
      <c r="N57" s="143"/>
      <c r="O57" s="143"/>
      <c r="P57" s="143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ht="22.5" hidden="1" customHeight="1">
      <c r="A58" s="144">
        <v>92.0</v>
      </c>
      <c r="B58" s="145" t="s">
        <v>263</v>
      </c>
      <c r="C58" s="146" t="s">
        <v>70</v>
      </c>
      <c r="D58" s="147" t="s">
        <v>94</v>
      </c>
      <c r="E58" s="148" t="str">
        <f t="shared" ref="E58:E59" si="17">IMAGE("https://flagcdn.com/w320/gb-eng.png")</f>
        <v/>
      </c>
      <c r="F58" s="149">
        <v>39867.0</v>
      </c>
      <c r="G58" s="142">
        <f t="shared" si="1"/>
        <v>16</v>
      </c>
      <c r="H58" s="143"/>
      <c r="I58" s="143"/>
      <c r="J58" s="143"/>
      <c r="K58" s="143"/>
      <c r="L58" s="143"/>
      <c r="M58" s="143"/>
      <c r="N58" s="143"/>
      <c r="O58" s="143"/>
      <c r="P58" s="143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 ht="22.5" hidden="1" customHeight="1">
      <c r="A59" s="144">
        <v>93.0</v>
      </c>
      <c r="B59" s="145" t="s">
        <v>264</v>
      </c>
      <c r="C59" s="146" t="s">
        <v>67</v>
      </c>
      <c r="D59" s="147" t="s">
        <v>94</v>
      </c>
      <c r="E59" s="148" t="str">
        <f t="shared" si="17"/>
        <v/>
      </c>
      <c r="F59" s="149">
        <v>39715.0</v>
      </c>
      <c r="G59" s="142">
        <f t="shared" si="1"/>
        <v>17</v>
      </c>
      <c r="H59" s="143"/>
      <c r="I59" s="143"/>
      <c r="J59" s="143"/>
      <c r="K59" s="143"/>
      <c r="L59" s="143"/>
      <c r="M59" s="143"/>
      <c r="N59" s="143"/>
      <c r="O59" s="143"/>
      <c r="P59" s="143"/>
    </row>
    <row r="60">
      <c r="A60" s="18"/>
      <c r="B60" s="18"/>
      <c r="C60" s="18"/>
      <c r="D60" s="64"/>
      <c r="E60" s="65"/>
      <c r="F60" s="18"/>
      <c r="G60" s="18"/>
      <c r="H60" s="73">
        <f t="shared" ref="H60:P60" si="18">SUM(H2:H59)</f>
        <v>111</v>
      </c>
      <c r="I60" s="73">
        <f t="shared" si="18"/>
        <v>6930</v>
      </c>
      <c r="J60" s="73">
        <f t="shared" si="18"/>
        <v>20</v>
      </c>
      <c r="K60" s="73">
        <f t="shared" si="18"/>
        <v>19</v>
      </c>
      <c r="L60" s="73">
        <f t="shared" si="18"/>
        <v>17</v>
      </c>
      <c r="M60" s="73">
        <f t="shared" si="18"/>
        <v>0</v>
      </c>
      <c r="N60" s="73">
        <f t="shared" si="18"/>
        <v>5</v>
      </c>
      <c r="O60" s="73">
        <f t="shared" si="18"/>
        <v>39</v>
      </c>
      <c r="P60" s="73">
        <f t="shared" si="18"/>
        <v>0</v>
      </c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22.5" customHeight="1">
      <c r="A61" s="97" t="s">
        <v>48</v>
      </c>
      <c r="B61" s="98" t="s">
        <v>49</v>
      </c>
      <c r="C61" s="98" t="s">
        <v>265</v>
      </c>
      <c r="D61" s="150" t="s">
        <v>56</v>
      </c>
      <c r="E61" s="97" t="s">
        <v>57</v>
      </c>
      <c r="F61" s="98" t="s">
        <v>52</v>
      </c>
      <c r="G61" s="98" t="s">
        <v>53</v>
      </c>
      <c r="H61" s="98" t="s">
        <v>4</v>
      </c>
      <c r="I61" s="98" t="s">
        <v>5</v>
      </c>
      <c r="J61" s="98" t="s">
        <v>6</v>
      </c>
      <c r="K61" s="98" t="s">
        <v>7</v>
      </c>
      <c r="L61" s="98" t="s">
        <v>8</v>
      </c>
      <c r="M61" s="98" t="s">
        <v>9</v>
      </c>
      <c r="N61" s="98" t="s">
        <v>10</v>
      </c>
      <c r="O61" s="15"/>
      <c r="P61" s="15"/>
    </row>
    <row r="62" ht="22.5" customHeight="1">
      <c r="A62" s="151"/>
      <c r="B62" s="151" t="s">
        <v>266</v>
      </c>
      <c r="C62" s="152" t="s">
        <v>153</v>
      </c>
      <c r="D62" s="153" t="s">
        <v>83</v>
      </c>
      <c r="E62" s="154" t="str">
        <f>IMAGE("https://flagcdn.com/w320/es.png")</f>
        <v/>
      </c>
      <c r="F62" s="155">
        <v>30036.0</v>
      </c>
      <c r="G62" s="156">
        <f>DATEDIF(F62,TODAY(),"Y")</f>
        <v>43</v>
      </c>
      <c r="H62" s="157">
        <f>L62+M62+N62</f>
        <v>7</v>
      </c>
      <c r="I62" s="157">
        <f>(3*L62)+M62</f>
        <v>21</v>
      </c>
      <c r="J62" s="157">
        <f>2+2+4+3+3+3+3</f>
        <v>20</v>
      </c>
      <c r="K62" s="157">
        <f>1+1</f>
        <v>2</v>
      </c>
      <c r="L62" s="158">
        <f>1+1+1+1+1+1+1</f>
        <v>7</v>
      </c>
      <c r="M62" s="159">
        <f t="shared" ref="M62:N62" si="19">0</f>
        <v>0</v>
      </c>
      <c r="N62" s="160">
        <f t="shared" si="19"/>
        <v>0</v>
      </c>
    </row>
    <row r="63">
      <c r="A63" s="18"/>
      <c r="B63" s="18"/>
      <c r="C63" s="18"/>
      <c r="D63" s="64"/>
      <c r="E63" s="65"/>
      <c r="F63" s="18"/>
      <c r="G63" s="18"/>
      <c r="H63" s="11">
        <f>SUM(trenerArsenal[mecze])</f>
        <v>7</v>
      </c>
      <c r="I63" s="11">
        <f>SUM(trenerArsenal[punkty])</f>
        <v>21</v>
      </c>
      <c r="J63" s="11">
        <f>SUM(trenerArsenal[strzelone])</f>
        <v>20</v>
      </c>
      <c r="K63" s="11">
        <f>SUM(trenerArsenal[stracone])</f>
        <v>2</v>
      </c>
      <c r="L63" s="11">
        <f>SUM(trenerArsenal[wygrane])</f>
        <v>7</v>
      </c>
      <c r="M63" s="11">
        <f>SUM(trenerArsenal[remisy])</f>
        <v>0</v>
      </c>
      <c r="N63" s="11">
        <f>SUM(trenerArsenal[porażki])</f>
        <v>0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22.5" customHeight="1">
      <c r="A64" s="97" t="s">
        <v>156</v>
      </c>
      <c r="B64" s="100" t="s">
        <v>157</v>
      </c>
      <c r="C64" s="100" t="s">
        <v>158</v>
      </c>
      <c r="D64" s="102" t="s">
        <v>267</v>
      </c>
      <c r="E64" s="100" t="s">
        <v>160</v>
      </c>
      <c r="F64" s="100" t="s">
        <v>161</v>
      </c>
    </row>
    <row r="65" ht="22.5" customHeight="1">
      <c r="A65" s="86">
        <v>1.0</v>
      </c>
      <c r="B65" s="87" t="s">
        <v>40</v>
      </c>
      <c r="C65" s="87" t="s">
        <v>12</v>
      </c>
      <c r="D65" s="88" t="s">
        <v>268</v>
      </c>
      <c r="E65" s="161" t="s">
        <v>162</v>
      </c>
      <c r="F65" s="87" t="s">
        <v>269</v>
      </c>
    </row>
    <row r="66" ht="22.5" customHeight="1">
      <c r="A66" s="86">
        <v>2.0</v>
      </c>
      <c r="B66" s="87" t="s">
        <v>12</v>
      </c>
      <c r="C66" s="87" t="s">
        <v>38</v>
      </c>
      <c r="D66" s="88" t="s">
        <v>270</v>
      </c>
      <c r="E66" s="161" t="s">
        <v>271</v>
      </c>
      <c r="F66" s="87" t="s">
        <v>272</v>
      </c>
    </row>
    <row r="67" ht="22.5" customHeight="1">
      <c r="A67" s="86">
        <v>3.0</v>
      </c>
      <c r="B67" s="87" t="s">
        <v>12</v>
      </c>
      <c r="C67" s="87" t="s">
        <v>273</v>
      </c>
      <c r="D67" s="88" t="s">
        <v>274</v>
      </c>
      <c r="E67" s="161" t="s">
        <v>164</v>
      </c>
      <c r="F67" s="87" t="s">
        <v>272</v>
      </c>
    </row>
    <row r="68" ht="22.5" customHeight="1">
      <c r="A68" s="86">
        <v>4.0</v>
      </c>
      <c r="B68" s="87" t="s">
        <v>45</v>
      </c>
      <c r="C68" s="87" t="s">
        <v>12</v>
      </c>
      <c r="D68" s="88" t="s">
        <v>275</v>
      </c>
      <c r="E68" s="161" t="s">
        <v>168</v>
      </c>
      <c r="F68" s="87" t="s">
        <v>276</v>
      </c>
    </row>
    <row r="69" ht="22.5" customHeight="1">
      <c r="A69" s="86">
        <v>5.0</v>
      </c>
      <c r="B69" s="87" t="s">
        <v>12</v>
      </c>
      <c r="C69" s="87" t="s">
        <v>13</v>
      </c>
      <c r="D69" s="88" t="s">
        <v>277</v>
      </c>
      <c r="E69" s="89">
        <v>45717.0</v>
      </c>
      <c r="F69" s="87" t="s">
        <v>272</v>
      </c>
    </row>
    <row r="70" ht="22.5" customHeight="1">
      <c r="A70" s="86">
        <v>6.0</v>
      </c>
      <c r="B70" s="87" t="s">
        <v>39</v>
      </c>
      <c r="C70" s="87" t="s">
        <v>12</v>
      </c>
      <c r="D70" s="88" t="s">
        <v>278</v>
      </c>
      <c r="E70" s="161" t="s">
        <v>168</v>
      </c>
      <c r="F70" s="87" t="s">
        <v>279</v>
      </c>
    </row>
    <row r="71" ht="22.5" customHeight="1">
      <c r="A71" s="86">
        <v>7.0</v>
      </c>
      <c r="B71" s="87" t="s">
        <v>16</v>
      </c>
      <c r="C71" s="87" t="s">
        <v>12</v>
      </c>
      <c r="D71" s="88" t="s">
        <v>280</v>
      </c>
      <c r="E71" s="89">
        <v>46025.0</v>
      </c>
      <c r="F71" s="87" t="s">
        <v>281</v>
      </c>
    </row>
    <row r="72" ht="22.5" customHeight="1">
      <c r="A72" s="90">
        <v>8.0</v>
      </c>
      <c r="B72" s="91" t="s">
        <v>12</v>
      </c>
      <c r="C72" s="91" t="s">
        <v>47</v>
      </c>
      <c r="D72" s="92"/>
      <c r="E72" s="93"/>
      <c r="F72" s="94" t="s">
        <v>272</v>
      </c>
    </row>
    <row r="73">
      <c r="D73" s="95"/>
      <c r="E73" s="14"/>
    </row>
    <row r="74">
      <c r="D74" s="95"/>
      <c r="E74" s="14"/>
    </row>
    <row r="75">
      <c r="D75" s="95"/>
      <c r="E75" s="14"/>
    </row>
    <row r="76">
      <c r="D76" s="95"/>
      <c r="E76" s="14"/>
    </row>
    <row r="77">
      <c r="D77" s="95"/>
      <c r="E77" s="14"/>
    </row>
    <row r="78">
      <c r="D78" s="95"/>
      <c r="E78" s="14"/>
    </row>
    <row r="79">
      <c r="D79" s="95"/>
      <c r="E79" s="14"/>
    </row>
    <row r="80">
      <c r="D80" s="95"/>
      <c r="E80" s="14"/>
    </row>
    <row r="81">
      <c r="D81" s="95"/>
      <c r="E81" s="14"/>
    </row>
    <row r="82">
      <c r="D82" s="95"/>
      <c r="E82" s="14"/>
    </row>
    <row r="83">
      <c r="D83" s="95"/>
      <c r="E83" s="14"/>
    </row>
    <row r="84">
      <c r="D84" s="95"/>
      <c r="E84" s="14"/>
    </row>
    <row r="85">
      <c r="D85" s="95"/>
      <c r="E85" s="14"/>
    </row>
    <row r="86">
      <c r="D86" s="95"/>
      <c r="E86" s="14"/>
    </row>
    <row r="87">
      <c r="D87" s="95"/>
      <c r="E87" s="14"/>
    </row>
    <row r="88">
      <c r="D88" s="95"/>
      <c r="E88" s="14"/>
    </row>
    <row r="89">
      <c r="D89" s="95"/>
      <c r="E89" s="14"/>
    </row>
    <row r="90">
      <c r="D90" s="95"/>
      <c r="E90" s="14"/>
    </row>
    <row r="91">
      <c r="D91" s="95"/>
      <c r="E91" s="14"/>
    </row>
    <row r="92">
      <c r="D92" s="95"/>
      <c r="E92" s="14"/>
    </row>
    <row r="93">
      <c r="D93" s="95"/>
      <c r="E93" s="14"/>
    </row>
    <row r="94">
      <c r="D94" s="95"/>
      <c r="E94" s="14"/>
    </row>
    <row r="95">
      <c r="D95" s="95"/>
      <c r="E95" s="14"/>
    </row>
    <row r="96">
      <c r="D96" s="95"/>
      <c r="E96" s="14"/>
    </row>
    <row r="97">
      <c r="D97" s="95"/>
      <c r="E97" s="14"/>
    </row>
    <row r="98">
      <c r="D98" s="95"/>
      <c r="E98" s="14"/>
    </row>
    <row r="99">
      <c r="D99" s="95"/>
      <c r="E99" s="14"/>
    </row>
    <row r="100">
      <c r="D100" s="95"/>
      <c r="E100" s="14"/>
    </row>
    <row r="101">
      <c r="D101" s="95"/>
      <c r="E101" s="14"/>
    </row>
    <row r="102">
      <c r="D102" s="95"/>
      <c r="E102" s="14"/>
    </row>
    <row r="103">
      <c r="D103" s="95"/>
      <c r="E103" s="14"/>
    </row>
    <row r="104">
      <c r="D104" s="95"/>
      <c r="E104" s="14"/>
    </row>
    <row r="105">
      <c r="D105" s="95"/>
      <c r="E105" s="14"/>
    </row>
    <row r="106">
      <c r="D106" s="95"/>
      <c r="E106" s="14"/>
    </row>
    <row r="107">
      <c r="D107" s="95"/>
      <c r="E107" s="14"/>
    </row>
    <row r="108">
      <c r="D108" s="95"/>
      <c r="E108" s="14"/>
    </row>
    <row r="109">
      <c r="D109" s="95"/>
      <c r="E109" s="14"/>
    </row>
    <row r="110">
      <c r="D110" s="95"/>
      <c r="E110" s="14"/>
    </row>
    <row r="111">
      <c r="D111" s="95"/>
      <c r="E111" s="14"/>
    </row>
    <row r="112">
      <c r="D112" s="95"/>
      <c r="E112" s="14"/>
    </row>
    <row r="113">
      <c r="D113" s="95"/>
      <c r="E113" s="14"/>
    </row>
    <row r="114">
      <c r="D114" s="95"/>
      <c r="E114" s="14"/>
    </row>
    <row r="115">
      <c r="D115" s="95"/>
      <c r="E115" s="14"/>
    </row>
    <row r="116">
      <c r="D116" s="95"/>
      <c r="E116" s="14"/>
    </row>
    <row r="117">
      <c r="D117" s="95"/>
      <c r="E117" s="14"/>
    </row>
    <row r="118">
      <c r="D118" s="95"/>
      <c r="E118" s="14"/>
    </row>
    <row r="119">
      <c r="D119" s="95"/>
      <c r="E119" s="14"/>
    </row>
    <row r="120">
      <c r="D120" s="95"/>
      <c r="E120" s="14"/>
    </row>
    <row r="121">
      <c r="D121" s="95"/>
      <c r="E121" s="14"/>
    </row>
    <row r="122">
      <c r="D122" s="95"/>
      <c r="E122" s="14"/>
    </row>
    <row r="123">
      <c r="D123" s="95"/>
      <c r="E123" s="14"/>
    </row>
    <row r="124">
      <c r="D124" s="95"/>
      <c r="E124" s="14"/>
    </row>
    <row r="125">
      <c r="D125" s="95"/>
      <c r="E125" s="14"/>
    </row>
    <row r="126">
      <c r="D126" s="95"/>
      <c r="E126" s="14"/>
    </row>
    <row r="127">
      <c r="D127" s="95"/>
      <c r="E127" s="14"/>
    </row>
    <row r="128">
      <c r="D128" s="95"/>
      <c r="E128" s="14"/>
    </row>
    <row r="129">
      <c r="D129" s="95"/>
      <c r="E129" s="14"/>
    </row>
    <row r="130">
      <c r="D130" s="95"/>
      <c r="E130" s="14"/>
    </row>
    <row r="131">
      <c r="D131" s="95"/>
      <c r="E131" s="14"/>
    </row>
    <row r="132">
      <c r="D132" s="95"/>
      <c r="E132" s="14"/>
    </row>
    <row r="133">
      <c r="D133" s="95"/>
      <c r="E133" s="14"/>
    </row>
    <row r="134">
      <c r="D134" s="95"/>
      <c r="E134" s="14"/>
    </row>
    <row r="135">
      <c r="D135" s="95"/>
      <c r="E135" s="14"/>
    </row>
    <row r="136">
      <c r="D136" s="95"/>
      <c r="E136" s="14"/>
    </row>
    <row r="137">
      <c r="D137" s="95"/>
      <c r="E137" s="14"/>
    </row>
    <row r="138">
      <c r="D138" s="95"/>
      <c r="E138" s="14"/>
    </row>
    <row r="139">
      <c r="D139" s="95"/>
      <c r="E139" s="14"/>
    </row>
    <row r="140">
      <c r="D140" s="95"/>
      <c r="E140" s="14"/>
    </row>
    <row r="141">
      <c r="D141" s="95"/>
      <c r="E141" s="14"/>
    </row>
    <row r="142">
      <c r="D142" s="95"/>
      <c r="E142" s="14"/>
    </row>
    <row r="143">
      <c r="D143" s="95"/>
      <c r="E143" s="14"/>
    </row>
    <row r="144">
      <c r="D144" s="95"/>
      <c r="E144" s="14"/>
    </row>
    <row r="145">
      <c r="D145" s="95"/>
      <c r="E145" s="14"/>
    </row>
    <row r="146">
      <c r="D146" s="95"/>
      <c r="E146" s="14"/>
    </row>
    <row r="147">
      <c r="D147" s="95"/>
      <c r="E147" s="14"/>
    </row>
    <row r="148">
      <c r="D148" s="95"/>
      <c r="E148" s="14"/>
    </row>
    <row r="149">
      <c r="D149" s="95"/>
      <c r="E149" s="14"/>
    </row>
    <row r="150">
      <c r="D150" s="95"/>
      <c r="E150" s="14"/>
    </row>
    <row r="151">
      <c r="D151" s="95"/>
      <c r="E151" s="14"/>
    </row>
    <row r="152">
      <c r="D152" s="95"/>
      <c r="E152" s="14"/>
    </row>
    <row r="153">
      <c r="D153" s="95"/>
      <c r="E153" s="14"/>
    </row>
    <row r="154">
      <c r="D154" s="95"/>
      <c r="E154" s="14"/>
    </row>
    <row r="155">
      <c r="D155" s="95"/>
      <c r="E155" s="14"/>
    </row>
    <row r="156">
      <c r="D156" s="95"/>
      <c r="E156" s="14"/>
    </row>
    <row r="157">
      <c r="D157" s="95"/>
      <c r="E157" s="14"/>
    </row>
    <row r="158">
      <c r="D158" s="95"/>
      <c r="E158" s="14"/>
    </row>
    <row r="159">
      <c r="D159" s="95"/>
      <c r="E159" s="14"/>
    </row>
    <row r="160">
      <c r="D160" s="95"/>
      <c r="E160" s="14"/>
    </row>
    <row r="161">
      <c r="D161" s="95"/>
      <c r="E161" s="14"/>
    </row>
    <row r="162">
      <c r="D162" s="95"/>
      <c r="E162" s="14"/>
    </row>
    <row r="163">
      <c r="D163" s="95"/>
      <c r="E163" s="14"/>
    </row>
    <row r="164">
      <c r="D164" s="95"/>
      <c r="E164" s="14"/>
    </row>
    <row r="165">
      <c r="D165" s="95"/>
      <c r="E165" s="14"/>
    </row>
    <row r="166">
      <c r="D166" s="95"/>
      <c r="E166" s="14"/>
    </row>
    <row r="167">
      <c r="D167" s="95"/>
      <c r="E167" s="14"/>
    </row>
    <row r="168">
      <c r="D168" s="95"/>
      <c r="E168" s="14"/>
    </row>
    <row r="169">
      <c r="D169" s="95"/>
      <c r="E169" s="14"/>
    </row>
    <row r="170">
      <c r="D170" s="95"/>
      <c r="E170" s="14"/>
    </row>
    <row r="171">
      <c r="D171" s="95"/>
      <c r="E171" s="14"/>
    </row>
    <row r="172">
      <c r="D172" s="95"/>
      <c r="E172" s="14"/>
    </row>
    <row r="173">
      <c r="D173" s="95"/>
      <c r="E173" s="14"/>
    </row>
    <row r="174">
      <c r="D174" s="95"/>
      <c r="E174" s="14"/>
    </row>
    <row r="175">
      <c r="D175" s="95"/>
      <c r="E175" s="14"/>
    </row>
    <row r="176">
      <c r="D176" s="95"/>
      <c r="E176" s="14"/>
    </row>
    <row r="177">
      <c r="D177" s="95"/>
      <c r="E177" s="14"/>
    </row>
    <row r="178">
      <c r="D178" s="95"/>
      <c r="E178" s="14"/>
    </row>
    <row r="179">
      <c r="D179" s="95"/>
      <c r="E179" s="14"/>
    </row>
    <row r="180">
      <c r="D180" s="95"/>
      <c r="E180" s="14"/>
    </row>
    <row r="181">
      <c r="D181" s="95"/>
      <c r="E181" s="14"/>
    </row>
    <row r="182">
      <c r="D182" s="95"/>
      <c r="E182" s="14"/>
    </row>
    <row r="183">
      <c r="D183" s="95"/>
      <c r="E183" s="14"/>
    </row>
    <row r="184">
      <c r="D184" s="95"/>
      <c r="E184" s="14"/>
    </row>
    <row r="185">
      <c r="D185" s="95"/>
      <c r="E185" s="14"/>
    </row>
    <row r="186">
      <c r="D186" s="95"/>
      <c r="E186" s="14"/>
    </row>
    <row r="187">
      <c r="D187" s="95"/>
      <c r="E187" s="14"/>
    </row>
    <row r="188">
      <c r="D188" s="95"/>
      <c r="E188" s="14"/>
    </row>
    <row r="189">
      <c r="D189" s="95"/>
      <c r="E189" s="14"/>
    </row>
    <row r="190">
      <c r="D190" s="95"/>
      <c r="E190" s="14"/>
    </row>
    <row r="191">
      <c r="D191" s="95"/>
      <c r="E191" s="14"/>
    </row>
    <row r="192">
      <c r="D192" s="95"/>
      <c r="E192" s="14"/>
    </row>
    <row r="193">
      <c r="D193" s="95"/>
      <c r="E193" s="14"/>
    </row>
    <row r="194">
      <c r="D194" s="95"/>
      <c r="E194" s="14"/>
    </row>
    <row r="195">
      <c r="D195" s="95"/>
      <c r="E195" s="14"/>
    </row>
    <row r="196">
      <c r="D196" s="95"/>
      <c r="E196" s="14"/>
    </row>
    <row r="197">
      <c r="D197" s="95"/>
      <c r="E197" s="14"/>
    </row>
    <row r="198">
      <c r="D198" s="95"/>
      <c r="E198" s="14"/>
    </row>
    <row r="199">
      <c r="D199" s="95"/>
      <c r="E199" s="14"/>
    </row>
    <row r="200">
      <c r="D200" s="95"/>
      <c r="E200" s="14"/>
    </row>
    <row r="201">
      <c r="D201" s="95"/>
      <c r="E201" s="14"/>
    </row>
    <row r="202">
      <c r="D202" s="95"/>
      <c r="E202" s="14"/>
    </row>
    <row r="203">
      <c r="D203" s="95"/>
      <c r="E203" s="14"/>
    </row>
    <row r="204">
      <c r="D204" s="95"/>
      <c r="E204" s="14"/>
    </row>
    <row r="205">
      <c r="D205" s="95"/>
      <c r="E205" s="14"/>
    </row>
    <row r="206">
      <c r="D206" s="95"/>
      <c r="E206" s="14"/>
    </row>
    <row r="207">
      <c r="D207" s="95"/>
      <c r="E207" s="14"/>
    </row>
    <row r="208">
      <c r="D208" s="95"/>
      <c r="E208" s="14"/>
    </row>
    <row r="209">
      <c r="D209" s="95"/>
      <c r="E209" s="14"/>
    </row>
    <row r="210">
      <c r="D210" s="95"/>
      <c r="E210" s="14"/>
    </row>
    <row r="211">
      <c r="D211" s="95"/>
      <c r="E211" s="14"/>
    </row>
    <row r="212">
      <c r="D212" s="95"/>
      <c r="E212" s="14"/>
    </row>
    <row r="213">
      <c r="D213" s="95"/>
      <c r="E213" s="14"/>
    </row>
    <row r="214">
      <c r="D214" s="95"/>
      <c r="E214" s="14"/>
    </row>
    <row r="215">
      <c r="D215" s="95"/>
      <c r="E215" s="14"/>
    </row>
    <row r="216">
      <c r="D216" s="95"/>
      <c r="E216" s="14"/>
    </row>
    <row r="217">
      <c r="D217" s="95"/>
      <c r="E217" s="14"/>
    </row>
    <row r="218">
      <c r="D218" s="95"/>
      <c r="E218" s="14"/>
    </row>
    <row r="219">
      <c r="D219" s="95"/>
      <c r="E219" s="14"/>
    </row>
    <row r="220">
      <c r="D220" s="95"/>
      <c r="E220" s="14"/>
    </row>
    <row r="221">
      <c r="D221" s="95"/>
      <c r="E221" s="14"/>
    </row>
    <row r="222">
      <c r="D222" s="95"/>
      <c r="E222" s="14"/>
    </row>
    <row r="223">
      <c r="D223" s="95"/>
      <c r="E223" s="14"/>
    </row>
    <row r="224">
      <c r="D224" s="95"/>
      <c r="E224" s="14"/>
    </row>
    <row r="225">
      <c r="D225" s="95"/>
      <c r="E225" s="14"/>
    </row>
    <row r="226">
      <c r="D226" s="95"/>
      <c r="E226" s="14"/>
    </row>
    <row r="227">
      <c r="D227" s="95"/>
      <c r="E227" s="14"/>
    </row>
    <row r="228">
      <c r="D228" s="95"/>
      <c r="E228" s="14"/>
    </row>
    <row r="229">
      <c r="D229" s="95"/>
      <c r="E229" s="14"/>
    </row>
    <row r="230">
      <c r="D230" s="95"/>
      <c r="E230" s="14"/>
    </row>
    <row r="231">
      <c r="D231" s="95"/>
      <c r="E231" s="14"/>
    </row>
    <row r="232">
      <c r="D232" s="95"/>
      <c r="E232" s="14"/>
    </row>
    <row r="233">
      <c r="D233" s="95"/>
      <c r="E233" s="14"/>
    </row>
    <row r="234">
      <c r="D234" s="95"/>
      <c r="E234" s="14"/>
    </row>
    <row r="235">
      <c r="D235" s="95"/>
      <c r="E235" s="14"/>
    </row>
    <row r="236">
      <c r="D236" s="95"/>
      <c r="E236" s="14"/>
    </row>
    <row r="237">
      <c r="D237" s="95"/>
      <c r="E237" s="14"/>
    </row>
    <row r="238">
      <c r="D238" s="95"/>
      <c r="E238" s="14"/>
    </row>
    <row r="239">
      <c r="D239" s="95"/>
      <c r="E239" s="14"/>
    </row>
    <row r="240">
      <c r="D240" s="95"/>
      <c r="E240" s="14"/>
    </row>
    <row r="241">
      <c r="D241" s="95"/>
      <c r="E241" s="14"/>
    </row>
    <row r="242">
      <c r="D242" s="95"/>
      <c r="E242" s="14"/>
    </row>
    <row r="243">
      <c r="D243" s="95"/>
      <c r="E243" s="14"/>
    </row>
    <row r="244">
      <c r="D244" s="95"/>
      <c r="E244" s="14"/>
    </row>
    <row r="245">
      <c r="D245" s="95"/>
      <c r="E245" s="14"/>
    </row>
    <row r="246">
      <c r="D246" s="95"/>
      <c r="E246" s="14"/>
    </row>
    <row r="247">
      <c r="D247" s="95"/>
      <c r="E247" s="14"/>
    </row>
    <row r="248">
      <c r="D248" s="95"/>
      <c r="E248" s="14"/>
    </row>
    <row r="249">
      <c r="D249" s="95"/>
      <c r="E249" s="14"/>
    </row>
    <row r="250">
      <c r="D250" s="95"/>
      <c r="E250" s="14"/>
    </row>
    <row r="251">
      <c r="D251" s="95"/>
      <c r="E251" s="14"/>
    </row>
    <row r="252">
      <c r="D252" s="95"/>
      <c r="E252" s="14"/>
    </row>
    <row r="253">
      <c r="D253" s="95"/>
      <c r="E253" s="14"/>
    </row>
    <row r="254">
      <c r="D254" s="95"/>
      <c r="E254" s="14"/>
    </row>
    <row r="255">
      <c r="D255" s="95"/>
      <c r="E255" s="14"/>
    </row>
    <row r="256">
      <c r="D256" s="95"/>
      <c r="E256" s="14"/>
    </row>
    <row r="257">
      <c r="D257" s="95"/>
      <c r="E257" s="14"/>
    </row>
    <row r="258">
      <c r="D258" s="95"/>
      <c r="E258" s="14"/>
    </row>
    <row r="259">
      <c r="D259" s="95"/>
      <c r="E259" s="14"/>
    </row>
    <row r="260">
      <c r="D260" s="95"/>
      <c r="E260" s="14"/>
    </row>
    <row r="261">
      <c r="D261" s="95"/>
      <c r="E261" s="14"/>
    </row>
    <row r="262">
      <c r="D262" s="95"/>
      <c r="E262" s="14"/>
    </row>
    <row r="263">
      <c r="D263" s="95"/>
      <c r="E263" s="14"/>
    </row>
    <row r="264">
      <c r="D264" s="95"/>
      <c r="E264" s="14"/>
    </row>
    <row r="265">
      <c r="D265" s="95"/>
      <c r="E265" s="14"/>
    </row>
    <row r="266">
      <c r="D266" s="95"/>
      <c r="E266" s="14"/>
    </row>
    <row r="267">
      <c r="D267" s="95"/>
      <c r="E267" s="14"/>
    </row>
    <row r="268">
      <c r="D268" s="95"/>
      <c r="E268" s="14"/>
    </row>
    <row r="269">
      <c r="D269" s="95"/>
      <c r="E269" s="14"/>
    </row>
    <row r="270">
      <c r="D270" s="95"/>
      <c r="E270" s="14"/>
    </row>
    <row r="271">
      <c r="D271" s="95"/>
      <c r="E271" s="14"/>
    </row>
    <row r="272">
      <c r="D272" s="95"/>
      <c r="E272" s="14"/>
    </row>
    <row r="273">
      <c r="D273" s="95"/>
      <c r="E273" s="14"/>
    </row>
    <row r="274">
      <c r="D274" s="95"/>
      <c r="E274" s="14"/>
    </row>
    <row r="275">
      <c r="D275" s="95"/>
      <c r="E275" s="14"/>
    </row>
    <row r="276">
      <c r="D276" s="95"/>
      <c r="E276" s="14"/>
    </row>
    <row r="277">
      <c r="D277" s="95"/>
      <c r="E277" s="14"/>
    </row>
    <row r="278">
      <c r="D278" s="95"/>
      <c r="E278" s="14"/>
    </row>
    <row r="279">
      <c r="D279" s="95"/>
      <c r="E279" s="14"/>
    </row>
    <row r="280">
      <c r="D280" s="95"/>
      <c r="E280" s="14"/>
    </row>
    <row r="281">
      <c r="D281" s="95"/>
      <c r="E281" s="14"/>
    </row>
    <row r="282">
      <c r="D282" s="95"/>
      <c r="E282" s="14"/>
    </row>
    <row r="283">
      <c r="D283" s="95"/>
      <c r="E283" s="14"/>
    </row>
    <row r="284">
      <c r="D284" s="95"/>
      <c r="E284" s="14"/>
    </row>
    <row r="285">
      <c r="D285" s="95"/>
      <c r="E285" s="14"/>
    </row>
    <row r="286">
      <c r="D286" s="95"/>
      <c r="E286" s="14"/>
    </row>
    <row r="287">
      <c r="D287" s="95"/>
      <c r="E287" s="14"/>
    </row>
    <row r="288">
      <c r="D288" s="95"/>
      <c r="E288" s="14"/>
    </row>
    <row r="289">
      <c r="D289" s="95"/>
      <c r="E289" s="14"/>
    </row>
    <row r="290">
      <c r="D290" s="95"/>
      <c r="E290" s="14"/>
    </row>
    <row r="291">
      <c r="D291" s="95"/>
      <c r="E291" s="14"/>
    </row>
    <row r="292">
      <c r="D292" s="95"/>
      <c r="E292" s="14"/>
    </row>
    <row r="293">
      <c r="D293" s="95"/>
      <c r="E293" s="14"/>
    </row>
    <row r="294">
      <c r="D294" s="95"/>
      <c r="E294" s="14"/>
    </row>
    <row r="295">
      <c r="D295" s="95"/>
      <c r="E295" s="14"/>
    </row>
    <row r="296">
      <c r="D296" s="95"/>
      <c r="E296" s="14"/>
    </row>
    <row r="297">
      <c r="D297" s="95"/>
      <c r="E297" s="14"/>
    </row>
    <row r="298">
      <c r="D298" s="95"/>
      <c r="E298" s="14"/>
    </row>
    <row r="299">
      <c r="D299" s="95"/>
      <c r="E299" s="14"/>
    </row>
    <row r="300">
      <c r="D300" s="95"/>
      <c r="E300" s="14"/>
    </row>
    <row r="301">
      <c r="D301" s="95"/>
      <c r="E301" s="14"/>
    </row>
    <row r="302">
      <c r="D302" s="95"/>
      <c r="E302" s="14"/>
    </row>
    <row r="303">
      <c r="D303" s="95"/>
      <c r="E303" s="14"/>
    </row>
    <row r="304">
      <c r="D304" s="95"/>
      <c r="E304" s="14"/>
    </row>
    <row r="305">
      <c r="D305" s="95"/>
      <c r="E305" s="14"/>
    </row>
    <row r="306">
      <c r="D306" s="95"/>
      <c r="E306" s="14"/>
    </row>
    <row r="307">
      <c r="D307" s="95"/>
      <c r="E307" s="14"/>
    </row>
    <row r="308">
      <c r="D308" s="95"/>
      <c r="E308" s="14"/>
    </row>
    <row r="309">
      <c r="D309" s="95"/>
      <c r="E309" s="14"/>
    </row>
    <row r="310">
      <c r="D310" s="95"/>
      <c r="E310" s="14"/>
    </row>
    <row r="311">
      <c r="D311" s="95"/>
      <c r="E311" s="14"/>
    </row>
    <row r="312">
      <c r="D312" s="95"/>
      <c r="E312" s="14"/>
    </row>
    <row r="313">
      <c r="D313" s="95"/>
      <c r="E313" s="14"/>
    </row>
    <row r="314">
      <c r="D314" s="95"/>
      <c r="E314" s="14"/>
    </row>
    <row r="315">
      <c r="D315" s="95"/>
      <c r="E315" s="14"/>
    </row>
    <row r="316">
      <c r="D316" s="95"/>
      <c r="E316" s="14"/>
    </row>
    <row r="317">
      <c r="D317" s="95"/>
      <c r="E317" s="14"/>
    </row>
    <row r="318">
      <c r="D318" s="95"/>
      <c r="E318" s="14"/>
    </row>
    <row r="319">
      <c r="D319" s="95"/>
      <c r="E319" s="14"/>
    </row>
    <row r="320">
      <c r="D320" s="95"/>
      <c r="E320" s="14"/>
    </row>
    <row r="321">
      <c r="D321" s="95"/>
      <c r="E321" s="14"/>
    </row>
    <row r="322">
      <c r="D322" s="95"/>
      <c r="E322" s="14"/>
    </row>
    <row r="323">
      <c r="D323" s="95"/>
      <c r="E323" s="14"/>
    </row>
    <row r="324">
      <c r="D324" s="95"/>
      <c r="E324" s="14"/>
    </row>
    <row r="325">
      <c r="D325" s="95"/>
      <c r="E325" s="14"/>
    </row>
    <row r="326">
      <c r="D326" s="95"/>
      <c r="E326" s="14"/>
    </row>
    <row r="327">
      <c r="D327" s="95"/>
      <c r="E327" s="14"/>
    </row>
    <row r="328">
      <c r="D328" s="95"/>
      <c r="E328" s="14"/>
    </row>
    <row r="329">
      <c r="D329" s="95"/>
      <c r="E329" s="14"/>
    </row>
    <row r="330">
      <c r="D330" s="95"/>
      <c r="E330" s="14"/>
    </row>
    <row r="331">
      <c r="D331" s="95"/>
      <c r="E331" s="14"/>
    </row>
    <row r="332">
      <c r="D332" s="95"/>
      <c r="E332" s="14"/>
    </row>
    <row r="333">
      <c r="D333" s="95"/>
      <c r="E333" s="14"/>
    </row>
    <row r="334">
      <c r="D334" s="95"/>
      <c r="E334" s="14"/>
    </row>
    <row r="335">
      <c r="D335" s="95"/>
      <c r="E335" s="14"/>
    </row>
    <row r="336">
      <c r="D336" s="95"/>
      <c r="E336" s="14"/>
    </row>
    <row r="337">
      <c r="D337" s="95"/>
      <c r="E337" s="14"/>
    </row>
    <row r="338">
      <c r="D338" s="95"/>
      <c r="E338" s="14"/>
    </row>
    <row r="339">
      <c r="D339" s="95"/>
      <c r="E339" s="14"/>
    </row>
    <row r="340">
      <c r="D340" s="95"/>
      <c r="E340" s="14"/>
    </row>
    <row r="341">
      <c r="D341" s="95"/>
      <c r="E341" s="14"/>
    </row>
    <row r="342">
      <c r="D342" s="95"/>
      <c r="E342" s="14"/>
    </row>
    <row r="343">
      <c r="D343" s="95"/>
      <c r="E343" s="14"/>
    </row>
    <row r="344">
      <c r="D344" s="95"/>
      <c r="E344" s="14"/>
    </row>
    <row r="345">
      <c r="D345" s="95"/>
      <c r="E345" s="14"/>
    </row>
    <row r="346">
      <c r="D346" s="95"/>
      <c r="E346" s="14"/>
    </row>
    <row r="347">
      <c r="D347" s="95"/>
      <c r="E347" s="14"/>
    </row>
    <row r="348">
      <c r="D348" s="95"/>
      <c r="E348" s="14"/>
    </row>
    <row r="349">
      <c r="D349" s="95"/>
      <c r="E349" s="14"/>
    </row>
    <row r="350">
      <c r="D350" s="95"/>
      <c r="E350" s="14"/>
    </row>
    <row r="351">
      <c r="D351" s="95"/>
      <c r="E351" s="14"/>
    </row>
    <row r="352">
      <c r="D352" s="95"/>
      <c r="E352" s="14"/>
    </row>
    <row r="353">
      <c r="D353" s="95"/>
      <c r="E353" s="14"/>
    </row>
    <row r="354">
      <c r="D354" s="95"/>
      <c r="E354" s="14"/>
    </row>
    <row r="355">
      <c r="D355" s="95"/>
      <c r="E355" s="14"/>
    </row>
    <row r="356">
      <c r="D356" s="95"/>
      <c r="E356" s="14"/>
    </row>
    <row r="357">
      <c r="D357" s="95"/>
      <c r="E357" s="14"/>
    </row>
    <row r="358">
      <c r="D358" s="95"/>
      <c r="E358" s="14"/>
    </row>
    <row r="359">
      <c r="D359" s="95"/>
      <c r="E359" s="14"/>
    </row>
    <row r="360">
      <c r="D360" s="95"/>
      <c r="E360" s="14"/>
    </row>
    <row r="361">
      <c r="D361" s="95"/>
      <c r="E361" s="14"/>
    </row>
    <row r="362">
      <c r="D362" s="95"/>
      <c r="E362" s="14"/>
    </row>
    <row r="363">
      <c r="D363" s="95"/>
      <c r="E363" s="14"/>
    </row>
    <row r="364">
      <c r="D364" s="95"/>
      <c r="E364" s="14"/>
    </row>
    <row r="365">
      <c r="D365" s="95"/>
      <c r="E365" s="14"/>
    </row>
    <row r="366">
      <c r="D366" s="95"/>
      <c r="E366" s="14"/>
    </row>
    <row r="367">
      <c r="D367" s="95"/>
      <c r="E367" s="14"/>
    </row>
    <row r="368">
      <c r="D368" s="95"/>
      <c r="E368" s="14"/>
    </row>
    <row r="369">
      <c r="D369" s="95"/>
      <c r="E369" s="14"/>
    </row>
    <row r="370">
      <c r="D370" s="95"/>
      <c r="E370" s="14"/>
    </row>
    <row r="371">
      <c r="D371" s="95"/>
      <c r="E371" s="14"/>
    </row>
    <row r="372">
      <c r="D372" s="95"/>
      <c r="E372" s="14"/>
    </row>
    <row r="373">
      <c r="D373" s="95"/>
      <c r="E373" s="14"/>
    </row>
    <row r="374">
      <c r="D374" s="95"/>
      <c r="E374" s="14"/>
    </row>
    <row r="375">
      <c r="D375" s="95"/>
      <c r="E375" s="14"/>
    </row>
    <row r="376">
      <c r="D376" s="95"/>
      <c r="E376" s="14"/>
    </row>
    <row r="377">
      <c r="D377" s="95"/>
      <c r="E377" s="14"/>
    </row>
    <row r="378">
      <c r="D378" s="95"/>
      <c r="E378" s="14"/>
    </row>
    <row r="379">
      <c r="D379" s="95"/>
      <c r="E379" s="14"/>
    </row>
    <row r="380">
      <c r="D380" s="95"/>
      <c r="E380" s="14"/>
    </row>
    <row r="381">
      <c r="D381" s="95"/>
      <c r="E381" s="14"/>
    </row>
    <row r="382">
      <c r="D382" s="95"/>
      <c r="E382" s="14"/>
    </row>
    <row r="383">
      <c r="D383" s="95"/>
      <c r="E383" s="14"/>
    </row>
    <row r="384">
      <c r="D384" s="95"/>
      <c r="E384" s="14"/>
    </row>
    <row r="385">
      <c r="D385" s="95"/>
      <c r="E385" s="14"/>
    </row>
    <row r="386">
      <c r="D386" s="95"/>
      <c r="E386" s="14"/>
    </row>
    <row r="387">
      <c r="D387" s="95"/>
      <c r="E387" s="14"/>
    </row>
    <row r="388">
      <c r="D388" s="95"/>
      <c r="E388" s="14"/>
    </row>
    <row r="389">
      <c r="D389" s="95"/>
      <c r="E389" s="14"/>
    </row>
    <row r="390">
      <c r="D390" s="95"/>
      <c r="E390" s="14"/>
    </row>
    <row r="391">
      <c r="D391" s="95"/>
      <c r="E391" s="14"/>
    </row>
    <row r="392">
      <c r="D392" s="95"/>
      <c r="E392" s="14"/>
    </row>
    <row r="393">
      <c r="D393" s="95"/>
      <c r="E393" s="14"/>
    </row>
    <row r="394">
      <c r="D394" s="95"/>
      <c r="E394" s="14"/>
    </row>
    <row r="395">
      <c r="D395" s="95"/>
      <c r="E395" s="14"/>
    </row>
    <row r="396">
      <c r="D396" s="95"/>
      <c r="E396" s="14"/>
    </row>
    <row r="397">
      <c r="D397" s="95"/>
      <c r="E397" s="14"/>
    </row>
    <row r="398">
      <c r="D398" s="95"/>
      <c r="E398" s="14"/>
    </row>
    <row r="399">
      <c r="D399" s="95"/>
      <c r="E399" s="14"/>
    </row>
    <row r="400">
      <c r="D400" s="95"/>
      <c r="E400" s="14"/>
    </row>
    <row r="401">
      <c r="D401" s="95"/>
      <c r="E401" s="14"/>
    </row>
    <row r="402">
      <c r="D402" s="95"/>
      <c r="E402" s="14"/>
    </row>
    <row r="403">
      <c r="D403" s="95"/>
      <c r="E403" s="14"/>
    </row>
    <row r="404">
      <c r="D404" s="95"/>
      <c r="E404" s="14"/>
    </row>
    <row r="405">
      <c r="D405" s="95"/>
      <c r="E405" s="14"/>
    </row>
    <row r="406">
      <c r="D406" s="95"/>
      <c r="E406" s="14"/>
    </row>
    <row r="407">
      <c r="D407" s="95"/>
      <c r="E407" s="14"/>
    </row>
    <row r="408">
      <c r="D408" s="95"/>
      <c r="E408" s="14"/>
    </row>
    <row r="409">
      <c r="D409" s="95"/>
      <c r="E409" s="14"/>
    </row>
    <row r="410">
      <c r="D410" s="95"/>
      <c r="E410" s="14"/>
    </row>
    <row r="411">
      <c r="D411" s="95"/>
      <c r="E411" s="14"/>
    </row>
    <row r="412">
      <c r="D412" s="95"/>
      <c r="E412" s="14"/>
    </row>
    <row r="413">
      <c r="D413" s="95"/>
      <c r="E413" s="14"/>
    </row>
    <row r="414">
      <c r="D414" s="95"/>
      <c r="E414" s="14"/>
    </row>
    <row r="415">
      <c r="D415" s="95"/>
      <c r="E415" s="14"/>
    </row>
    <row r="416">
      <c r="D416" s="95"/>
      <c r="E416" s="14"/>
    </row>
    <row r="417">
      <c r="D417" s="95"/>
      <c r="E417" s="14"/>
    </row>
    <row r="418">
      <c r="D418" s="95"/>
      <c r="E418" s="14"/>
    </row>
    <row r="419">
      <c r="D419" s="95"/>
      <c r="E419" s="14"/>
    </row>
    <row r="420">
      <c r="D420" s="95"/>
      <c r="E420" s="14"/>
    </row>
    <row r="421">
      <c r="D421" s="95"/>
      <c r="E421" s="14"/>
    </row>
    <row r="422">
      <c r="D422" s="95"/>
      <c r="E422" s="14"/>
    </row>
    <row r="423">
      <c r="D423" s="95"/>
      <c r="E423" s="14"/>
    </row>
    <row r="424">
      <c r="D424" s="95"/>
      <c r="E424" s="14"/>
    </row>
    <row r="425">
      <c r="D425" s="95"/>
      <c r="E425" s="14"/>
    </row>
    <row r="426">
      <c r="D426" s="95"/>
      <c r="E426" s="14"/>
    </row>
    <row r="427">
      <c r="D427" s="95"/>
      <c r="E427" s="14"/>
    </row>
    <row r="428">
      <c r="D428" s="95"/>
      <c r="E428" s="14"/>
    </row>
    <row r="429">
      <c r="D429" s="95"/>
      <c r="E429" s="14"/>
    </row>
    <row r="430">
      <c r="D430" s="95"/>
      <c r="E430" s="14"/>
    </row>
    <row r="431">
      <c r="D431" s="95"/>
      <c r="E431" s="14"/>
    </row>
    <row r="432">
      <c r="D432" s="95"/>
      <c r="E432" s="14"/>
    </row>
    <row r="433">
      <c r="D433" s="95"/>
      <c r="E433" s="14"/>
    </row>
    <row r="434">
      <c r="D434" s="95"/>
      <c r="E434" s="14"/>
    </row>
    <row r="435">
      <c r="D435" s="95"/>
      <c r="E435" s="14"/>
    </row>
    <row r="436">
      <c r="D436" s="95"/>
      <c r="E436" s="14"/>
    </row>
    <row r="437">
      <c r="D437" s="95"/>
      <c r="E437" s="14"/>
    </row>
    <row r="438">
      <c r="D438" s="95"/>
      <c r="E438" s="14"/>
    </row>
    <row r="439">
      <c r="D439" s="95"/>
      <c r="E439" s="14"/>
    </row>
    <row r="440">
      <c r="D440" s="95"/>
      <c r="E440" s="14"/>
    </row>
    <row r="441">
      <c r="D441" s="95"/>
      <c r="E441" s="14"/>
    </row>
    <row r="442">
      <c r="D442" s="95"/>
      <c r="E442" s="14"/>
    </row>
    <row r="443">
      <c r="D443" s="95"/>
      <c r="E443" s="14"/>
    </row>
    <row r="444">
      <c r="D444" s="95"/>
      <c r="E444" s="14"/>
    </row>
    <row r="445">
      <c r="D445" s="95"/>
      <c r="E445" s="14"/>
    </row>
    <row r="446">
      <c r="D446" s="95"/>
      <c r="E446" s="14"/>
    </row>
    <row r="447">
      <c r="D447" s="95"/>
      <c r="E447" s="14"/>
    </row>
    <row r="448">
      <c r="D448" s="95"/>
      <c r="E448" s="14"/>
    </row>
    <row r="449">
      <c r="D449" s="95"/>
      <c r="E449" s="14"/>
    </row>
    <row r="450">
      <c r="D450" s="95"/>
      <c r="E450" s="14"/>
    </row>
    <row r="451">
      <c r="D451" s="95"/>
      <c r="E451" s="14"/>
    </row>
    <row r="452">
      <c r="D452" s="95"/>
      <c r="E452" s="14"/>
    </row>
    <row r="453">
      <c r="D453" s="95"/>
      <c r="E453" s="14"/>
    </row>
    <row r="454">
      <c r="D454" s="95"/>
      <c r="E454" s="14"/>
    </row>
    <row r="455">
      <c r="D455" s="95"/>
      <c r="E455" s="14"/>
    </row>
    <row r="456">
      <c r="D456" s="95"/>
      <c r="E456" s="14"/>
    </row>
    <row r="457">
      <c r="D457" s="95"/>
      <c r="E457" s="14"/>
    </row>
    <row r="458">
      <c r="D458" s="95"/>
      <c r="E458" s="14"/>
    </row>
    <row r="459">
      <c r="D459" s="95"/>
      <c r="E459" s="14"/>
    </row>
    <row r="460">
      <c r="D460" s="95"/>
      <c r="E460" s="14"/>
    </row>
    <row r="461">
      <c r="D461" s="95"/>
      <c r="E461" s="14"/>
    </row>
    <row r="462">
      <c r="D462" s="95"/>
      <c r="E462" s="14"/>
    </row>
    <row r="463">
      <c r="D463" s="95"/>
      <c r="E463" s="14"/>
    </row>
    <row r="464">
      <c r="D464" s="95"/>
      <c r="E464" s="14"/>
    </row>
    <row r="465">
      <c r="D465" s="95"/>
      <c r="E465" s="14"/>
    </row>
    <row r="466">
      <c r="D466" s="95"/>
      <c r="E466" s="14"/>
    </row>
    <row r="467">
      <c r="D467" s="95"/>
      <c r="E467" s="14"/>
    </row>
    <row r="468">
      <c r="D468" s="95"/>
      <c r="E468" s="14"/>
    </row>
    <row r="469">
      <c r="D469" s="95"/>
      <c r="E469" s="14"/>
    </row>
    <row r="470">
      <c r="D470" s="95"/>
      <c r="E470" s="14"/>
    </row>
    <row r="471">
      <c r="D471" s="95"/>
      <c r="E471" s="14"/>
    </row>
    <row r="472">
      <c r="D472" s="95"/>
      <c r="E472" s="14"/>
    </row>
    <row r="473">
      <c r="D473" s="95"/>
      <c r="E473" s="14"/>
    </row>
    <row r="474">
      <c r="D474" s="95"/>
      <c r="E474" s="14"/>
    </row>
    <row r="475">
      <c r="D475" s="95"/>
      <c r="E475" s="14"/>
    </row>
    <row r="476">
      <c r="D476" s="95"/>
      <c r="E476" s="14"/>
    </row>
    <row r="477">
      <c r="D477" s="95"/>
      <c r="E477" s="14"/>
    </row>
    <row r="478">
      <c r="D478" s="95"/>
      <c r="E478" s="14"/>
    </row>
    <row r="479">
      <c r="D479" s="95"/>
      <c r="E479" s="14"/>
    </row>
    <row r="480">
      <c r="D480" s="95"/>
      <c r="E480" s="14"/>
    </row>
    <row r="481">
      <c r="D481" s="95"/>
      <c r="E481" s="14"/>
    </row>
    <row r="482">
      <c r="D482" s="95"/>
      <c r="E482" s="14"/>
    </row>
    <row r="483">
      <c r="D483" s="95"/>
      <c r="E483" s="14"/>
    </row>
    <row r="484">
      <c r="D484" s="95"/>
      <c r="E484" s="14"/>
    </row>
    <row r="485">
      <c r="D485" s="95"/>
      <c r="E485" s="14"/>
    </row>
    <row r="486">
      <c r="D486" s="95"/>
      <c r="E486" s="14"/>
    </row>
    <row r="487">
      <c r="D487" s="95"/>
      <c r="E487" s="14"/>
    </row>
    <row r="488">
      <c r="D488" s="95"/>
      <c r="E488" s="14"/>
    </row>
    <row r="489">
      <c r="D489" s="95"/>
      <c r="E489" s="14"/>
    </row>
    <row r="490">
      <c r="D490" s="95"/>
      <c r="E490" s="14"/>
    </row>
    <row r="491">
      <c r="D491" s="95"/>
      <c r="E491" s="14"/>
    </row>
    <row r="492">
      <c r="D492" s="95"/>
      <c r="E492" s="14"/>
    </row>
    <row r="493">
      <c r="D493" s="95"/>
      <c r="E493" s="14"/>
    </row>
    <row r="494">
      <c r="D494" s="95"/>
      <c r="E494" s="14"/>
    </row>
    <row r="495">
      <c r="D495" s="95"/>
      <c r="E495" s="14"/>
    </row>
    <row r="496">
      <c r="D496" s="95"/>
      <c r="E496" s="14"/>
    </row>
    <row r="497">
      <c r="D497" s="95"/>
      <c r="E497" s="14"/>
    </row>
    <row r="498">
      <c r="D498" s="95"/>
      <c r="E498" s="14"/>
    </row>
    <row r="499">
      <c r="D499" s="95"/>
      <c r="E499" s="14"/>
    </row>
    <row r="500">
      <c r="D500" s="95"/>
      <c r="E500" s="14"/>
    </row>
    <row r="501">
      <c r="D501" s="95"/>
      <c r="E501" s="14"/>
    </row>
    <row r="502">
      <c r="D502" s="95"/>
      <c r="E502" s="14"/>
    </row>
    <row r="503">
      <c r="D503" s="95"/>
      <c r="E503" s="14"/>
    </row>
    <row r="504">
      <c r="D504" s="95"/>
      <c r="E504" s="14"/>
    </row>
    <row r="505">
      <c r="D505" s="95"/>
      <c r="E505" s="14"/>
    </row>
    <row r="506">
      <c r="D506" s="95"/>
      <c r="E506" s="14"/>
    </row>
    <row r="507">
      <c r="D507" s="95"/>
      <c r="E507" s="14"/>
    </row>
    <row r="508">
      <c r="D508" s="95"/>
      <c r="E508" s="14"/>
    </row>
    <row r="509">
      <c r="D509" s="95"/>
      <c r="E509" s="14"/>
    </row>
    <row r="510">
      <c r="D510" s="95"/>
      <c r="E510" s="14"/>
    </row>
    <row r="511">
      <c r="D511" s="95"/>
      <c r="E511" s="14"/>
    </row>
    <row r="512">
      <c r="D512" s="95"/>
      <c r="E512" s="14"/>
    </row>
    <row r="513">
      <c r="D513" s="95"/>
      <c r="E513" s="14"/>
    </row>
    <row r="514">
      <c r="D514" s="95"/>
      <c r="E514" s="14"/>
    </row>
    <row r="515">
      <c r="D515" s="95"/>
      <c r="E515" s="14"/>
    </row>
    <row r="516">
      <c r="D516" s="95"/>
      <c r="E516" s="14"/>
    </row>
    <row r="517">
      <c r="D517" s="95"/>
      <c r="E517" s="14"/>
    </row>
    <row r="518">
      <c r="D518" s="95"/>
      <c r="E518" s="14"/>
    </row>
    <row r="519">
      <c r="D519" s="95"/>
      <c r="E519" s="14"/>
    </row>
    <row r="520">
      <c r="D520" s="95"/>
      <c r="E520" s="14"/>
    </row>
    <row r="521">
      <c r="D521" s="95"/>
      <c r="E521" s="14"/>
    </row>
    <row r="522">
      <c r="D522" s="95"/>
      <c r="E522" s="14"/>
    </row>
    <row r="523">
      <c r="D523" s="95"/>
      <c r="E523" s="14"/>
    </row>
    <row r="524">
      <c r="D524" s="95"/>
      <c r="E524" s="14"/>
    </row>
    <row r="525">
      <c r="D525" s="95"/>
      <c r="E525" s="14"/>
    </row>
    <row r="526">
      <c r="D526" s="95"/>
      <c r="E526" s="14"/>
    </row>
    <row r="527">
      <c r="D527" s="95"/>
      <c r="E527" s="14"/>
    </row>
    <row r="528">
      <c r="D528" s="95"/>
      <c r="E528" s="14"/>
    </row>
    <row r="529">
      <c r="D529" s="95"/>
      <c r="E529" s="14"/>
    </row>
    <row r="530">
      <c r="D530" s="95"/>
      <c r="E530" s="14"/>
    </row>
    <row r="531">
      <c r="D531" s="95"/>
      <c r="E531" s="14"/>
    </row>
    <row r="532">
      <c r="D532" s="95"/>
      <c r="E532" s="14"/>
    </row>
    <row r="533">
      <c r="D533" s="95"/>
      <c r="E533" s="14"/>
    </row>
    <row r="534">
      <c r="D534" s="95"/>
      <c r="E534" s="14"/>
    </row>
    <row r="535">
      <c r="D535" s="95"/>
      <c r="E535" s="14"/>
    </row>
    <row r="536">
      <c r="D536" s="95"/>
      <c r="E536" s="14"/>
    </row>
    <row r="537">
      <c r="D537" s="95"/>
      <c r="E537" s="14"/>
    </row>
    <row r="538">
      <c r="D538" s="95"/>
      <c r="E538" s="14"/>
    </row>
    <row r="539">
      <c r="D539" s="95"/>
      <c r="E539" s="14"/>
    </row>
    <row r="540">
      <c r="D540" s="95"/>
      <c r="E540" s="14"/>
    </row>
    <row r="541">
      <c r="D541" s="95"/>
      <c r="E541" s="14"/>
    </row>
    <row r="542">
      <c r="D542" s="95"/>
      <c r="E542" s="14"/>
    </row>
    <row r="543">
      <c r="D543" s="95"/>
      <c r="E543" s="14"/>
    </row>
    <row r="544">
      <c r="D544" s="95"/>
      <c r="E544" s="14"/>
    </row>
    <row r="545">
      <c r="D545" s="95"/>
      <c r="E545" s="14"/>
    </row>
    <row r="546">
      <c r="D546" s="95"/>
      <c r="E546" s="14"/>
    </row>
    <row r="547">
      <c r="D547" s="95"/>
      <c r="E547" s="14"/>
    </row>
    <row r="548">
      <c r="D548" s="95"/>
      <c r="E548" s="14"/>
    </row>
    <row r="549">
      <c r="D549" s="95"/>
      <c r="E549" s="14"/>
    </row>
    <row r="550">
      <c r="D550" s="95"/>
      <c r="E550" s="14"/>
    </row>
    <row r="551">
      <c r="D551" s="95"/>
      <c r="E551" s="14"/>
    </row>
    <row r="552">
      <c r="D552" s="95"/>
      <c r="E552" s="14"/>
    </row>
    <row r="553">
      <c r="D553" s="95"/>
      <c r="E553" s="14"/>
    </row>
    <row r="554">
      <c r="D554" s="95"/>
      <c r="E554" s="14"/>
    </row>
    <row r="555">
      <c r="D555" s="95"/>
      <c r="E555" s="14"/>
    </row>
    <row r="556">
      <c r="D556" s="95"/>
      <c r="E556" s="14"/>
    </row>
    <row r="557">
      <c r="D557" s="95"/>
      <c r="E557" s="14"/>
    </row>
    <row r="558">
      <c r="D558" s="95"/>
      <c r="E558" s="14"/>
    </row>
    <row r="559">
      <c r="D559" s="95"/>
      <c r="E559" s="14"/>
    </row>
    <row r="560">
      <c r="D560" s="95"/>
      <c r="E560" s="14"/>
    </row>
    <row r="561">
      <c r="D561" s="95"/>
      <c r="E561" s="14"/>
    </row>
    <row r="562">
      <c r="D562" s="95"/>
      <c r="E562" s="14"/>
    </row>
    <row r="563">
      <c r="D563" s="95"/>
      <c r="E563" s="14"/>
    </row>
    <row r="564">
      <c r="D564" s="95"/>
      <c r="E564" s="14"/>
    </row>
    <row r="565">
      <c r="D565" s="95"/>
      <c r="E565" s="14"/>
    </row>
    <row r="566">
      <c r="D566" s="95"/>
      <c r="E566" s="14"/>
    </row>
    <row r="567">
      <c r="D567" s="95"/>
      <c r="E567" s="14"/>
    </row>
    <row r="568">
      <c r="D568" s="95"/>
      <c r="E568" s="14"/>
    </row>
    <row r="569">
      <c r="D569" s="95"/>
      <c r="E569" s="14"/>
    </row>
    <row r="570">
      <c r="D570" s="95"/>
      <c r="E570" s="14"/>
    </row>
    <row r="571">
      <c r="D571" s="95"/>
      <c r="E571" s="14"/>
    </row>
    <row r="572">
      <c r="D572" s="95"/>
      <c r="E572" s="14"/>
    </row>
    <row r="573">
      <c r="D573" s="95"/>
      <c r="E573" s="14"/>
    </row>
    <row r="574">
      <c r="D574" s="95"/>
      <c r="E574" s="14"/>
    </row>
    <row r="575">
      <c r="D575" s="95"/>
      <c r="E575" s="14"/>
    </row>
    <row r="576">
      <c r="D576" s="95"/>
      <c r="E576" s="14"/>
    </row>
    <row r="577">
      <c r="D577" s="95"/>
      <c r="E577" s="14"/>
    </row>
    <row r="578">
      <c r="D578" s="95"/>
      <c r="E578" s="14"/>
    </row>
    <row r="579">
      <c r="D579" s="95"/>
      <c r="E579" s="14"/>
    </row>
    <row r="580">
      <c r="D580" s="95"/>
      <c r="E580" s="14"/>
    </row>
    <row r="581">
      <c r="D581" s="95"/>
      <c r="E581" s="14"/>
    </row>
    <row r="582">
      <c r="D582" s="95"/>
      <c r="E582" s="14"/>
    </row>
    <row r="583">
      <c r="D583" s="95"/>
      <c r="E583" s="14"/>
    </row>
    <row r="584">
      <c r="D584" s="95"/>
      <c r="E584" s="14"/>
    </row>
    <row r="585">
      <c r="D585" s="95"/>
      <c r="E585" s="14"/>
    </row>
    <row r="586">
      <c r="D586" s="95"/>
      <c r="E586" s="14"/>
    </row>
    <row r="587">
      <c r="D587" s="95"/>
      <c r="E587" s="14"/>
    </row>
    <row r="588">
      <c r="D588" s="95"/>
      <c r="E588" s="14"/>
    </row>
    <row r="589">
      <c r="D589" s="95"/>
      <c r="E589" s="14"/>
    </row>
    <row r="590">
      <c r="D590" s="95"/>
      <c r="E590" s="14"/>
    </row>
    <row r="591">
      <c r="D591" s="95"/>
      <c r="E591" s="14"/>
    </row>
    <row r="592">
      <c r="D592" s="95"/>
      <c r="E592" s="14"/>
    </row>
    <row r="593">
      <c r="D593" s="95"/>
      <c r="E593" s="14"/>
    </row>
    <row r="594">
      <c r="D594" s="95"/>
      <c r="E594" s="14"/>
    </row>
    <row r="595">
      <c r="D595" s="95"/>
      <c r="E595" s="14"/>
    </row>
    <row r="596">
      <c r="D596" s="95"/>
      <c r="E596" s="14"/>
    </row>
    <row r="597">
      <c r="D597" s="95"/>
      <c r="E597" s="14"/>
    </row>
    <row r="598">
      <c r="D598" s="95"/>
      <c r="E598" s="14"/>
    </row>
    <row r="599">
      <c r="D599" s="95"/>
      <c r="E599" s="14"/>
    </row>
    <row r="600">
      <c r="D600" s="95"/>
      <c r="E600" s="14"/>
    </row>
    <row r="601">
      <c r="D601" s="95"/>
      <c r="E601" s="14"/>
    </row>
    <row r="602">
      <c r="D602" s="95"/>
      <c r="E602" s="14"/>
    </row>
    <row r="603">
      <c r="D603" s="95"/>
      <c r="E603" s="14"/>
    </row>
    <row r="604">
      <c r="D604" s="95"/>
      <c r="E604" s="14"/>
    </row>
    <row r="605">
      <c r="D605" s="95"/>
      <c r="E605" s="14"/>
    </row>
    <row r="606">
      <c r="D606" s="95"/>
      <c r="E606" s="14"/>
    </row>
    <row r="607">
      <c r="D607" s="95"/>
      <c r="E607" s="14"/>
    </row>
    <row r="608">
      <c r="D608" s="95"/>
      <c r="E608" s="14"/>
    </row>
    <row r="609">
      <c r="D609" s="95"/>
      <c r="E609" s="14"/>
    </row>
    <row r="610">
      <c r="D610" s="95"/>
      <c r="E610" s="14"/>
    </row>
    <row r="611">
      <c r="D611" s="95"/>
      <c r="E611" s="14"/>
    </row>
    <row r="612">
      <c r="D612" s="95"/>
      <c r="E612" s="14"/>
    </row>
    <row r="613">
      <c r="D613" s="95"/>
      <c r="E613" s="14"/>
    </row>
    <row r="614">
      <c r="D614" s="95"/>
      <c r="E614" s="14"/>
    </row>
    <row r="615">
      <c r="D615" s="95"/>
      <c r="E615" s="14"/>
    </row>
    <row r="616">
      <c r="D616" s="95"/>
      <c r="E616" s="14"/>
    </row>
    <row r="617">
      <c r="D617" s="95"/>
      <c r="E617" s="14"/>
    </row>
    <row r="618">
      <c r="D618" s="95"/>
      <c r="E618" s="14"/>
    </row>
    <row r="619">
      <c r="D619" s="95"/>
      <c r="E619" s="14"/>
    </row>
    <row r="620">
      <c r="D620" s="95"/>
      <c r="E620" s="14"/>
    </row>
    <row r="621">
      <c r="D621" s="95"/>
      <c r="E621" s="14"/>
    </row>
    <row r="622">
      <c r="D622" s="95"/>
      <c r="E622" s="14"/>
    </row>
    <row r="623">
      <c r="D623" s="95"/>
      <c r="E623" s="14"/>
    </row>
    <row r="624">
      <c r="D624" s="95"/>
      <c r="E624" s="14"/>
    </row>
    <row r="625">
      <c r="D625" s="95"/>
      <c r="E625" s="14"/>
    </row>
    <row r="626">
      <c r="D626" s="95"/>
      <c r="E626" s="14"/>
    </row>
    <row r="627">
      <c r="D627" s="95"/>
      <c r="E627" s="14"/>
    </row>
    <row r="628">
      <c r="D628" s="95"/>
      <c r="E628" s="14"/>
    </row>
    <row r="629">
      <c r="D629" s="95"/>
      <c r="E629" s="14"/>
    </row>
    <row r="630">
      <c r="D630" s="95"/>
      <c r="E630" s="14"/>
    </row>
    <row r="631">
      <c r="D631" s="95"/>
      <c r="E631" s="14"/>
    </row>
    <row r="632">
      <c r="D632" s="95"/>
      <c r="E632" s="14"/>
    </row>
    <row r="633">
      <c r="D633" s="95"/>
      <c r="E633" s="14"/>
    </row>
    <row r="634">
      <c r="D634" s="95"/>
      <c r="E634" s="14"/>
    </row>
    <row r="635">
      <c r="D635" s="95"/>
      <c r="E635" s="14"/>
    </row>
    <row r="636">
      <c r="D636" s="95"/>
      <c r="E636" s="14"/>
    </row>
    <row r="637">
      <c r="D637" s="95"/>
      <c r="E637" s="14"/>
    </row>
    <row r="638">
      <c r="D638" s="95"/>
      <c r="E638" s="14"/>
    </row>
    <row r="639">
      <c r="D639" s="95"/>
      <c r="E639" s="14"/>
    </row>
    <row r="640">
      <c r="D640" s="95"/>
      <c r="E640" s="14"/>
    </row>
    <row r="641">
      <c r="D641" s="95"/>
      <c r="E641" s="14"/>
    </row>
    <row r="642">
      <c r="D642" s="95"/>
      <c r="E642" s="14"/>
    </row>
    <row r="643">
      <c r="D643" s="95"/>
      <c r="E643" s="14"/>
    </row>
    <row r="644">
      <c r="D644" s="95"/>
      <c r="E644" s="14"/>
    </row>
    <row r="645">
      <c r="D645" s="95"/>
      <c r="E645" s="14"/>
    </row>
    <row r="646">
      <c r="D646" s="95"/>
      <c r="E646" s="14"/>
    </row>
    <row r="647">
      <c r="D647" s="95"/>
      <c r="E647" s="14"/>
    </row>
    <row r="648">
      <c r="D648" s="95"/>
      <c r="E648" s="14"/>
    </row>
    <row r="649">
      <c r="D649" s="95"/>
      <c r="E649" s="14"/>
    </row>
    <row r="650">
      <c r="D650" s="95"/>
      <c r="E650" s="14"/>
    </row>
    <row r="651">
      <c r="D651" s="95"/>
      <c r="E651" s="14"/>
    </row>
    <row r="652">
      <c r="D652" s="95"/>
      <c r="E652" s="14"/>
    </row>
    <row r="653">
      <c r="D653" s="95"/>
      <c r="E653" s="14"/>
    </row>
    <row r="654">
      <c r="D654" s="95"/>
      <c r="E654" s="14"/>
    </row>
    <row r="655">
      <c r="D655" s="95"/>
      <c r="E655" s="14"/>
    </row>
    <row r="656">
      <c r="D656" s="95"/>
      <c r="E656" s="14"/>
    </row>
    <row r="657">
      <c r="D657" s="95"/>
      <c r="E657" s="14"/>
    </row>
    <row r="658">
      <c r="D658" s="95"/>
      <c r="E658" s="14"/>
    </row>
    <row r="659">
      <c r="D659" s="95"/>
      <c r="E659" s="14"/>
    </row>
    <row r="660">
      <c r="D660" s="95"/>
      <c r="E660" s="14"/>
    </row>
    <row r="661">
      <c r="D661" s="95"/>
      <c r="E661" s="14"/>
    </row>
    <row r="662">
      <c r="D662" s="95"/>
      <c r="E662" s="14"/>
    </row>
    <row r="663">
      <c r="D663" s="95"/>
      <c r="E663" s="14"/>
    </row>
    <row r="664">
      <c r="D664" s="95"/>
      <c r="E664" s="14"/>
    </row>
    <row r="665">
      <c r="D665" s="95"/>
      <c r="E665" s="14"/>
    </row>
    <row r="666">
      <c r="D666" s="95"/>
      <c r="E666" s="14"/>
    </row>
    <row r="667">
      <c r="D667" s="95"/>
      <c r="E667" s="14"/>
    </row>
    <row r="668">
      <c r="D668" s="95"/>
      <c r="E668" s="14"/>
    </row>
    <row r="669">
      <c r="D669" s="95"/>
      <c r="E669" s="14"/>
    </row>
    <row r="670">
      <c r="D670" s="95"/>
      <c r="E670" s="14"/>
    </row>
    <row r="671">
      <c r="D671" s="95"/>
      <c r="E671" s="14"/>
    </row>
    <row r="672">
      <c r="D672" s="95"/>
      <c r="E672" s="14"/>
    </row>
    <row r="673">
      <c r="D673" s="95"/>
      <c r="E673" s="14"/>
    </row>
    <row r="674">
      <c r="D674" s="95"/>
      <c r="E674" s="14"/>
    </row>
    <row r="675">
      <c r="D675" s="95"/>
      <c r="E675" s="14"/>
    </row>
    <row r="676">
      <c r="D676" s="95"/>
      <c r="E676" s="14"/>
    </row>
    <row r="677">
      <c r="D677" s="95"/>
      <c r="E677" s="14"/>
    </row>
    <row r="678">
      <c r="D678" s="95"/>
      <c r="E678" s="14"/>
    </row>
    <row r="679">
      <c r="D679" s="95"/>
      <c r="E679" s="14"/>
    </row>
    <row r="680">
      <c r="D680" s="95"/>
      <c r="E680" s="14"/>
    </row>
    <row r="681">
      <c r="D681" s="95"/>
      <c r="E681" s="14"/>
    </row>
    <row r="682">
      <c r="D682" s="95"/>
      <c r="E682" s="14"/>
    </row>
    <row r="683">
      <c r="D683" s="95"/>
      <c r="E683" s="14"/>
    </row>
    <row r="684">
      <c r="D684" s="95"/>
      <c r="E684" s="14"/>
    </row>
    <row r="685">
      <c r="D685" s="95"/>
      <c r="E685" s="14"/>
    </row>
    <row r="686">
      <c r="D686" s="95"/>
      <c r="E686" s="14"/>
    </row>
    <row r="687">
      <c r="D687" s="95"/>
      <c r="E687" s="14"/>
    </row>
    <row r="688">
      <c r="D688" s="95"/>
      <c r="E688" s="14"/>
    </row>
    <row r="689">
      <c r="D689" s="95"/>
      <c r="E689" s="14"/>
    </row>
    <row r="690">
      <c r="D690" s="95"/>
      <c r="E690" s="14"/>
    </row>
    <row r="691">
      <c r="D691" s="95"/>
      <c r="E691" s="14"/>
    </row>
    <row r="692">
      <c r="D692" s="95"/>
      <c r="E692" s="14"/>
    </row>
    <row r="693">
      <c r="D693" s="95"/>
      <c r="E693" s="14"/>
    </row>
    <row r="694">
      <c r="D694" s="95"/>
      <c r="E694" s="14"/>
    </row>
    <row r="695">
      <c r="D695" s="95"/>
      <c r="E695" s="14"/>
    </row>
    <row r="696">
      <c r="D696" s="95"/>
      <c r="E696" s="14"/>
    </row>
    <row r="697">
      <c r="D697" s="95"/>
      <c r="E697" s="14"/>
    </row>
    <row r="698">
      <c r="D698" s="95"/>
      <c r="E698" s="14"/>
    </row>
    <row r="699">
      <c r="D699" s="95"/>
      <c r="E699" s="14"/>
    </row>
    <row r="700">
      <c r="D700" s="95"/>
      <c r="E700" s="14"/>
    </row>
    <row r="701">
      <c r="D701" s="95"/>
      <c r="E701" s="14"/>
    </row>
    <row r="702">
      <c r="D702" s="95"/>
      <c r="E702" s="14"/>
    </row>
    <row r="703">
      <c r="D703" s="95"/>
      <c r="E703" s="14"/>
    </row>
    <row r="704">
      <c r="D704" s="95"/>
      <c r="E704" s="14"/>
    </row>
    <row r="705">
      <c r="D705" s="95"/>
      <c r="E705" s="14"/>
    </row>
    <row r="706">
      <c r="D706" s="95"/>
      <c r="E706" s="14"/>
    </row>
    <row r="707">
      <c r="D707" s="95"/>
      <c r="E707" s="14"/>
    </row>
    <row r="708">
      <c r="D708" s="95"/>
      <c r="E708" s="14"/>
    </row>
    <row r="709">
      <c r="D709" s="95"/>
      <c r="E709" s="14"/>
    </row>
    <row r="710">
      <c r="D710" s="95"/>
      <c r="E710" s="14"/>
    </row>
    <row r="711">
      <c r="D711" s="95"/>
      <c r="E711" s="14"/>
    </row>
    <row r="712">
      <c r="D712" s="95"/>
      <c r="E712" s="14"/>
    </row>
    <row r="713">
      <c r="D713" s="95"/>
      <c r="E713" s="14"/>
    </row>
    <row r="714">
      <c r="D714" s="95"/>
      <c r="E714" s="14"/>
    </row>
    <row r="715">
      <c r="D715" s="95"/>
      <c r="E715" s="14"/>
    </row>
    <row r="716">
      <c r="D716" s="95"/>
      <c r="E716" s="14"/>
    </row>
    <row r="717">
      <c r="D717" s="95"/>
      <c r="E717" s="14"/>
    </row>
    <row r="718">
      <c r="D718" s="95"/>
      <c r="E718" s="14"/>
    </row>
    <row r="719">
      <c r="D719" s="95"/>
      <c r="E719" s="14"/>
    </row>
    <row r="720">
      <c r="D720" s="95"/>
      <c r="E720" s="14"/>
    </row>
    <row r="721">
      <c r="D721" s="95"/>
      <c r="E721" s="14"/>
    </row>
    <row r="722">
      <c r="D722" s="95"/>
      <c r="E722" s="14"/>
    </row>
    <row r="723">
      <c r="D723" s="95"/>
      <c r="E723" s="14"/>
    </row>
    <row r="724">
      <c r="D724" s="95"/>
      <c r="E724" s="14"/>
    </row>
    <row r="725">
      <c r="D725" s="95"/>
      <c r="E725" s="14"/>
    </row>
    <row r="726">
      <c r="D726" s="95"/>
      <c r="E726" s="14"/>
    </row>
    <row r="727">
      <c r="D727" s="95"/>
      <c r="E727" s="14"/>
    </row>
    <row r="728">
      <c r="D728" s="95"/>
      <c r="E728" s="14"/>
    </row>
    <row r="729">
      <c r="D729" s="95"/>
      <c r="E729" s="14"/>
    </row>
    <row r="730">
      <c r="D730" s="95"/>
      <c r="E730" s="14"/>
    </row>
    <row r="731">
      <c r="D731" s="95"/>
      <c r="E731" s="14"/>
    </row>
    <row r="732">
      <c r="D732" s="95"/>
      <c r="E732" s="14"/>
    </row>
    <row r="733">
      <c r="D733" s="95"/>
      <c r="E733" s="14"/>
    </row>
    <row r="734">
      <c r="D734" s="95"/>
      <c r="E734" s="14"/>
    </row>
    <row r="735">
      <c r="D735" s="95"/>
      <c r="E735" s="14"/>
    </row>
    <row r="736">
      <c r="D736" s="95"/>
      <c r="E736" s="14"/>
    </row>
    <row r="737">
      <c r="D737" s="95"/>
      <c r="E737" s="14"/>
    </row>
    <row r="738">
      <c r="D738" s="95"/>
      <c r="E738" s="14"/>
    </row>
    <row r="739">
      <c r="D739" s="95"/>
      <c r="E739" s="14"/>
    </row>
    <row r="740">
      <c r="D740" s="95"/>
      <c r="E740" s="14"/>
    </row>
    <row r="741">
      <c r="D741" s="95"/>
      <c r="E741" s="14"/>
    </row>
    <row r="742">
      <c r="D742" s="95"/>
      <c r="E742" s="14"/>
    </row>
    <row r="743">
      <c r="D743" s="95"/>
      <c r="E743" s="14"/>
    </row>
    <row r="744">
      <c r="D744" s="95"/>
      <c r="E744" s="14"/>
    </row>
    <row r="745">
      <c r="D745" s="95"/>
      <c r="E745" s="14"/>
    </row>
    <row r="746">
      <c r="D746" s="95"/>
      <c r="E746" s="14"/>
    </row>
    <row r="747">
      <c r="D747" s="95"/>
      <c r="E747" s="14"/>
    </row>
    <row r="748">
      <c r="D748" s="95"/>
      <c r="E748" s="14"/>
    </row>
    <row r="749">
      <c r="D749" s="95"/>
      <c r="E749" s="14"/>
    </row>
    <row r="750">
      <c r="D750" s="95"/>
      <c r="E750" s="14"/>
    </row>
    <row r="751">
      <c r="D751" s="95"/>
      <c r="E751" s="14"/>
    </row>
    <row r="752">
      <c r="D752" s="95"/>
      <c r="E752" s="14"/>
    </row>
    <row r="753">
      <c r="D753" s="95"/>
      <c r="E753" s="14"/>
    </row>
    <row r="754">
      <c r="D754" s="95"/>
      <c r="E754" s="14"/>
    </row>
    <row r="755">
      <c r="D755" s="95"/>
      <c r="E755" s="14"/>
    </row>
    <row r="756">
      <c r="D756" s="95"/>
      <c r="E756" s="14"/>
    </row>
    <row r="757">
      <c r="D757" s="95"/>
      <c r="E757" s="14"/>
    </row>
    <row r="758">
      <c r="D758" s="95"/>
      <c r="E758" s="14"/>
    </row>
    <row r="759">
      <c r="D759" s="95"/>
      <c r="E759" s="14"/>
    </row>
    <row r="760">
      <c r="D760" s="95"/>
      <c r="E760" s="14"/>
    </row>
    <row r="761">
      <c r="D761" s="95"/>
      <c r="E761" s="14"/>
    </row>
    <row r="762">
      <c r="D762" s="95"/>
      <c r="E762" s="14"/>
    </row>
    <row r="763">
      <c r="D763" s="95"/>
      <c r="E763" s="14"/>
    </row>
    <row r="764">
      <c r="D764" s="95"/>
      <c r="E764" s="14"/>
    </row>
    <row r="765">
      <c r="D765" s="95"/>
      <c r="E765" s="14"/>
    </row>
    <row r="766">
      <c r="D766" s="95"/>
      <c r="E766" s="14"/>
    </row>
    <row r="767">
      <c r="D767" s="95"/>
      <c r="E767" s="14"/>
    </row>
    <row r="768">
      <c r="D768" s="95"/>
      <c r="E768" s="14"/>
    </row>
    <row r="769">
      <c r="D769" s="95"/>
      <c r="E769" s="14"/>
    </row>
    <row r="770">
      <c r="D770" s="95"/>
      <c r="E770" s="14"/>
    </row>
    <row r="771">
      <c r="D771" s="95"/>
      <c r="E771" s="14"/>
    </row>
    <row r="772">
      <c r="D772" s="95"/>
      <c r="E772" s="14"/>
    </row>
    <row r="773">
      <c r="D773" s="95"/>
      <c r="E773" s="14"/>
    </row>
    <row r="774">
      <c r="D774" s="95"/>
      <c r="E774" s="14"/>
    </row>
    <row r="775">
      <c r="D775" s="95"/>
      <c r="E775" s="14"/>
    </row>
    <row r="776">
      <c r="D776" s="95"/>
      <c r="E776" s="14"/>
    </row>
    <row r="777">
      <c r="D777" s="95"/>
      <c r="E777" s="14"/>
    </row>
    <row r="778">
      <c r="D778" s="95"/>
      <c r="E778" s="14"/>
    </row>
    <row r="779">
      <c r="D779" s="95"/>
      <c r="E779" s="14"/>
    </row>
    <row r="780">
      <c r="D780" s="95"/>
      <c r="E780" s="14"/>
    </row>
    <row r="781">
      <c r="D781" s="95"/>
      <c r="E781" s="14"/>
    </row>
    <row r="782">
      <c r="D782" s="95"/>
      <c r="E782" s="14"/>
    </row>
    <row r="783">
      <c r="D783" s="95"/>
      <c r="E783" s="14"/>
    </row>
    <row r="784">
      <c r="D784" s="95"/>
      <c r="E784" s="14"/>
    </row>
    <row r="785">
      <c r="D785" s="95"/>
      <c r="E785" s="14"/>
    </row>
    <row r="786">
      <c r="D786" s="95"/>
      <c r="E786" s="14"/>
    </row>
    <row r="787">
      <c r="D787" s="95"/>
      <c r="E787" s="14"/>
    </row>
    <row r="788">
      <c r="D788" s="95"/>
      <c r="E788" s="14"/>
    </row>
    <row r="789">
      <c r="D789" s="95"/>
      <c r="E789" s="14"/>
    </row>
    <row r="790">
      <c r="D790" s="95"/>
      <c r="E790" s="14"/>
    </row>
    <row r="791">
      <c r="D791" s="95"/>
      <c r="E791" s="14"/>
    </row>
    <row r="792">
      <c r="D792" s="95"/>
      <c r="E792" s="14"/>
    </row>
    <row r="793">
      <c r="D793" s="95"/>
      <c r="E793" s="14"/>
    </row>
    <row r="794">
      <c r="D794" s="95"/>
      <c r="E794" s="14"/>
    </row>
    <row r="795">
      <c r="D795" s="95"/>
      <c r="E795" s="14"/>
    </row>
    <row r="796">
      <c r="D796" s="95"/>
      <c r="E796" s="14"/>
    </row>
    <row r="797">
      <c r="D797" s="95"/>
      <c r="E797" s="14"/>
    </row>
    <row r="798">
      <c r="D798" s="95"/>
      <c r="E798" s="14"/>
    </row>
    <row r="799">
      <c r="D799" s="95"/>
      <c r="E799" s="14"/>
    </row>
    <row r="800">
      <c r="D800" s="95"/>
      <c r="E800" s="14"/>
    </row>
    <row r="801">
      <c r="D801" s="95"/>
      <c r="E801" s="14"/>
    </row>
    <row r="802">
      <c r="D802" s="95"/>
      <c r="E802" s="14"/>
    </row>
    <row r="803">
      <c r="D803" s="95"/>
      <c r="E803" s="14"/>
    </row>
    <row r="804">
      <c r="D804" s="95"/>
      <c r="E804" s="14"/>
    </row>
    <row r="805">
      <c r="D805" s="95"/>
      <c r="E805" s="14"/>
    </row>
    <row r="806">
      <c r="D806" s="95"/>
      <c r="E806" s="14"/>
    </row>
    <row r="807">
      <c r="D807" s="95"/>
      <c r="E807" s="14"/>
    </row>
    <row r="808">
      <c r="D808" s="95"/>
      <c r="E808" s="14"/>
    </row>
    <row r="809">
      <c r="D809" s="95"/>
      <c r="E809" s="14"/>
    </row>
    <row r="810">
      <c r="D810" s="95"/>
      <c r="E810" s="14"/>
    </row>
    <row r="811">
      <c r="D811" s="95"/>
      <c r="E811" s="14"/>
    </row>
    <row r="812">
      <c r="D812" s="95"/>
      <c r="E812" s="14"/>
    </row>
    <row r="813">
      <c r="D813" s="95"/>
      <c r="E813" s="14"/>
    </row>
    <row r="814">
      <c r="D814" s="95"/>
      <c r="E814" s="14"/>
    </row>
    <row r="815">
      <c r="D815" s="95"/>
      <c r="E815" s="14"/>
    </row>
    <row r="816">
      <c r="D816" s="95"/>
      <c r="E816" s="14"/>
    </row>
    <row r="817">
      <c r="D817" s="95"/>
      <c r="E817" s="14"/>
    </row>
    <row r="818">
      <c r="D818" s="95"/>
      <c r="E818" s="14"/>
    </row>
    <row r="819">
      <c r="D819" s="95"/>
      <c r="E819" s="14"/>
    </row>
    <row r="820">
      <c r="D820" s="95"/>
      <c r="E820" s="14"/>
    </row>
    <row r="821">
      <c r="D821" s="95"/>
      <c r="E821" s="14"/>
    </row>
    <row r="822">
      <c r="D822" s="95"/>
      <c r="E822" s="14"/>
    </row>
    <row r="823">
      <c r="D823" s="95"/>
      <c r="E823" s="14"/>
    </row>
    <row r="824">
      <c r="D824" s="95"/>
      <c r="E824" s="14"/>
    </row>
    <row r="825">
      <c r="D825" s="95"/>
      <c r="E825" s="14"/>
    </row>
    <row r="826">
      <c r="D826" s="95"/>
      <c r="E826" s="14"/>
    </row>
    <row r="827">
      <c r="D827" s="95"/>
      <c r="E827" s="14"/>
    </row>
    <row r="828">
      <c r="D828" s="95"/>
      <c r="E828" s="14"/>
    </row>
    <row r="829">
      <c r="D829" s="95"/>
      <c r="E829" s="14"/>
    </row>
    <row r="830">
      <c r="D830" s="95"/>
      <c r="E830" s="14"/>
    </row>
    <row r="831">
      <c r="D831" s="95"/>
      <c r="E831" s="14"/>
    </row>
    <row r="832">
      <c r="D832" s="95"/>
      <c r="E832" s="14"/>
    </row>
    <row r="833">
      <c r="D833" s="95"/>
      <c r="E833" s="14"/>
    </row>
    <row r="834">
      <c r="D834" s="95"/>
      <c r="E834" s="14"/>
    </row>
    <row r="835">
      <c r="D835" s="95"/>
      <c r="E835" s="14"/>
    </row>
    <row r="836">
      <c r="D836" s="95"/>
      <c r="E836" s="14"/>
    </row>
    <row r="837">
      <c r="D837" s="95"/>
      <c r="E837" s="14"/>
    </row>
    <row r="838">
      <c r="D838" s="95"/>
      <c r="E838" s="14"/>
    </row>
    <row r="839">
      <c r="D839" s="95"/>
      <c r="E839" s="14"/>
    </row>
    <row r="840">
      <c r="D840" s="95"/>
      <c r="E840" s="14"/>
    </row>
    <row r="841">
      <c r="D841" s="95"/>
      <c r="E841" s="14"/>
    </row>
    <row r="842">
      <c r="D842" s="95"/>
      <c r="E842" s="14"/>
    </row>
    <row r="843">
      <c r="D843" s="95"/>
      <c r="E843" s="14"/>
    </row>
    <row r="844">
      <c r="D844" s="95"/>
      <c r="E844" s="14"/>
    </row>
    <row r="845">
      <c r="D845" s="95"/>
      <c r="E845" s="14"/>
    </row>
    <row r="846">
      <c r="D846" s="95"/>
      <c r="E846" s="14"/>
    </row>
    <row r="847">
      <c r="D847" s="95"/>
      <c r="E847" s="14"/>
    </row>
    <row r="848">
      <c r="D848" s="95"/>
      <c r="E848" s="14"/>
    </row>
    <row r="849">
      <c r="D849" s="95"/>
      <c r="E849" s="14"/>
    </row>
    <row r="850">
      <c r="D850" s="95"/>
      <c r="E850" s="14"/>
    </row>
    <row r="851">
      <c r="D851" s="95"/>
      <c r="E851" s="14"/>
    </row>
    <row r="852">
      <c r="D852" s="95"/>
      <c r="E852" s="14"/>
    </row>
    <row r="853">
      <c r="D853" s="95"/>
      <c r="E853" s="14"/>
    </row>
    <row r="854">
      <c r="D854" s="95"/>
      <c r="E854" s="14"/>
    </row>
    <row r="855">
      <c r="D855" s="95"/>
      <c r="E855" s="14"/>
    </row>
    <row r="856">
      <c r="D856" s="95"/>
      <c r="E856" s="14"/>
    </row>
    <row r="857">
      <c r="D857" s="95"/>
      <c r="E857" s="14"/>
    </row>
    <row r="858">
      <c r="D858" s="95"/>
      <c r="E858" s="14"/>
    </row>
    <row r="859">
      <c r="D859" s="95"/>
      <c r="E859" s="14"/>
    </row>
    <row r="860">
      <c r="D860" s="95"/>
      <c r="E860" s="14"/>
    </row>
    <row r="861">
      <c r="D861" s="95"/>
      <c r="E861" s="14"/>
    </row>
    <row r="862">
      <c r="D862" s="95"/>
      <c r="E862" s="14"/>
    </row>
    <row r="863">
      <c r="D863" s="95"/>
      <c r="E863" s="14"/>
    </row>
    <row r="864">
      <c r="D864" s="95"/>
      <c r="E864" s="14"/>
    </row>
    <row r="865">
      <c r="D865" s="95"/>
      <c r="E865" s="14"/>
    </row>
    <row r="866">
      <c r="D866" s="95"/>
      <c r="E866" s="14"/>
    </row>
    <row r="867">
      <c r="D867" s="95"/>
      <c r="E867" s="14"/>
    </row>
    <row r="868">
      <c r="D868" s="95"/>
      <c r="E868" s="14"/>
    </row>
    <row r="869">
      <c r="D869" s="95"/>
      <c r="E869" s="14"/>
    </row>
    <row r="870">
      <c r="D870" s="95"/>
      <c r="E870" s="14"/>
    </row>
    <row r="871">
      <c r="D871" s="95"/>
      <c r="E871" s="14"/>
    </row>
    <row r="872">
      <c r="D872" s="95"/>
      <c r="E872" s="14"/>
    </row>
    <row r="873">
      <c r="D873" s="95"/>
      <c r="E873" s="14"/>
    </row>
    <row r="874">
      <c r="D874" s="95"/>
      <c r="E874" s="14"/>
    </row>
    <row r="875">
      <c r="D875" s="95"/>
      <c r="E875" s="14"/>
    </row>
    <row r="876">
      <c r="D876" s="95"/>
      <c r="E876" s="14"/>
    </row>
    <row r="877">
      <c r="D877" s="95"/>
      <c r="E877" s="14"/>
    </row>
    <row r="878">
      <c r="D878" s="95"/>
      <c r="E878" s="14"/>
    </row>
    <row r="879">
      <c r="D879" s="95"/>
      <c r="E879" s="14"/>
    </row>
    <row r="880">
      <c r="D880" s="95"/>
      <c r="E880" s="14"/>
    </row>
    <row r="881">
      <c r="D881" s="95"/>
      <c r="E881" s="14"/>
    </row>
    <row r="882">
      <c r="D882" s="95"/>
      <c r="E882" s="14"/>
    </row>
    <row r="883">
      <c r="D883" s="95"/>
      <c r="E883" s="14"/>
    </row>
    <row r="884">
      <c r="D884" s="95"/>
      <c r="E884" s="14"/>
    </row>
    <row r="885">
      <c r="D885" s="95"/>
      <c r="E885" s="14"/>
    </row>
    <row r="886">
      <c r="D886" s="95"/>
      <c r="E886" s="14"/>
    </row>
    <row r="887">
      <c r="D887" s="95"/>
      <c r="E887" s="14"/>
    </row>
    <row r="888">
      <c r="D888" s="95"/>
      <c r="E888" s="14"/>
    </row>
    <row r="889">
      <c r="D889" s="95"/>
      <c r="E889" s="14"/>
    </row>
    <row r="890">
      <c r="D890" s="95"/>
      <c r="E890" s="14"/>
    </row>
    <row r="891">
      <c r="D891" s="95"/>
      <c r="E891" s="14"/>
    </row>
    <row r="892">
      <c r="D892" s="95"/>
      <c r="E892" s="14"/>
    </row>
    <row r="893">
      <c r="D893" s="95"/>
      <c r="E893" s="14"/>
    </row>
    <row r="894">
      <c r="D894" s="95"/>
      <c r="E894" s="14"/>
    </row>
    <row r="895">
      <c r="D895" s="95"/>
      <c r="E895" s="14"/>
    </row>
    <row r="896">
      <c r="D896" s="95"/>
      <c r="E896" s="14"/>
    </row>
    <row r="897">
      <c r="D897" s="95"/>
      <c r="E897" s="14"/>
    </row>
    <row r="898">
      <c r="D898" s="95"/>
      <c r="E898" s="14"/>
    </row>
    <row r="899">
      <c r="D899" s="95"/>
      <c r="E899" s="14"/>
    </row>
    <row r="900">
      <c r="D900" s="95"/>
      <c r="E900" s="14"/>
    </row>
    <row r="901">
      <c r="D901" s="95"/>
      <c r="E901" s="14"/>
    </row>
    <row r="902">
      <c r="D902" s="95"/>
      <c r="E902" s="14"/>
    </row>
    <row r="903">
      <c r="D903" s="95"/>
      <c r="E903" s="14"/>
    </row>
    <row r="904">
      <c r="D904" s="95"/>
      <c r="E904" s="14"/>
    </row>
    <row r="905">
      <c r="D905" s="95"/>
      <c r="E905" s="14"/>
    </row>
    <row r="906">
      <c r="D906" s="95"/>
      <c r="E906" s="14"/>
    </row>
    <row r="907">
      <c r="D907" s="95"/>
      <c r="E907" s="14"/>
    </row>
    <row r="908">
      <c r="D908" s="95"/>
      <c r="E908" s="14"/>
    </row>
    <row r="909">
      <c r="D909" s="95"/>
      <c r="E909" s="14"/>
    </row>
    <row r="910">
      <c r="D910" s="95"/>
      <c r="E910" s="14"/>
    </row>
    <row r="911">
      <c r="D911" s="95"/>
      <c r="E911" s="14"/>
    </row>
    <row r="912">
      <c r="D912" s="95"/>
      <c r="E912" s="14"/>
    </row>
    <row r="913">
      <c r="D913" s="95"/>
      <c r="E913" s="14"/>
    </row>
    <row r="914">
      <c r="D914" s="95"/>
      <c r="E914" s="14"/>
    </row>
    <row r="915">
      <c r="D915" s="95"/>
      <c r="E915" s="14"/>
    </row>
    <row r="916">
      <c r="D916" s="95"/>
      <c r="E916" s="14"/>
    </row>
    <row r="917">
      <c r="D917" s="95"/>
      <c r="E917" s="14"/>
    </row>
    <row r="918">
      <c r="D918" s="95"/>
      <c r="E918" s="14"/>
    </row>
    <row r="919">
      <c r="D919" s="95"/>
      <c r="E919" s="14"/>
    </row>
    <row r="920">
      <c r="D920" s="95"/>
      <c r="E920" s="14"/>
    </row>
    <row r="921">
      <c r="D921" s="95"/>
      <c r="E921" s="14"/>
    </row>
    <row r="922">
      <c r="D922" s="95"/>
      <c r="E922" s="14"/>
    </row>
    <row r="923">
      <c r="D923" s="95"/>
      <c r="E923" s="14"/>
    </row>
    <row r="924">
      <c r="D924" s="95"/>
      <c r="E924" s="14"/>
    </row>
    <row r="925">
      <c r="D925" s="95"/>
      <c r="E925" s="14"/>
    </row>
    <row r="926">
      <c r="D926" s="95"/>
      <c r="E926" s="14"/>
    </row>
    <row r="927">
      <c r="D927" s="95"/>
      <c r="E927" s="14"/>
    </row>
    <row r="928">
      <c r="D928" s="95"/>
      <c r="E928" s="14"/>
    </row>
    <row r="929">
      <c r="D929" s="95"/>
      <c r="E929" s="14"/>
    </row>
    <row r="930">
      <c r="D930" s="95"/>
      <c r="E930" s="14"/>
    </row>
    <row r="931">
      <c r="D931" s="95"/>
      <c r="E931" s="14"/>
    </row>
    <row r="932">
      <c r="D932" s="95"/>
      <c r="E932" s="14"/>
    </row>
    <row r="933">
      <c r="D933" s="95"/>
      <c r="E933" s="14"/>
    </row>
    <row r="934">
      <c r="D934" s="95"/>
      <c r="E934" s="14"/>
    </row>
    <row r="935">
      <c r="D935" s="95"/>
      <c r="E935" s="14"/>
    </row>
    <row r="936">
      <c r="D936" s="95"/>
      <c r="E936" s="14"/>
    </row>
    <row r="937">
      <c r="D937" s="95"/>
      <c r="E937" s="14"/>
    </row>
    <row r="938">
      <c r="D938" s="95"/>
      <c r="E938" s="14"/>
    </row>
    <row r="939">
      <c r="D939" s="95"/>
      <c r="E939" s="14"/>
    </row>
    <row r="940">
      <c r="D940" s="95"/>
      <c r="E940" s="14"/>
    </row>
    <row r="941">
      <c r="D941" s="95"/>
      <c r="E941" s="14"/>
    </row>
    <row r="942">
      <c r="D942" s="95"/>
      <c r="E942" s="14"/>
    </row>
    <row r="943">
      <c r="D943" s="95"/>
      <c r="E943" s="14"/>
    </row>
    <row r="944">
      <c r="D944" s="95"/>
      <c r="E944" s="14"/>
    </row>
    <row r="945">
      <c r="D945" s="95"/>
      <c r="E945" s="14"/>
    </row>
    <row r="946">
      <c r="D946" s="95"/>
      <c r="E946" s="14"/>
    </row>
    <row r="947">
      <c r="D947" s="95"/>
      <c r="E947" s="14"/>
    </row>
    <row r="948">
      <c r="D948" s="95"/>
      <c r="E948" s="14"/>
    </row>
    <row r="949">
      <c r="D949" s="95"/>
      <c r="E949" s="14"/>
    </row>
    <row r="950">
      <c r="D950" s="95"/>
      <c r="E950" s="14"/>
    </row>
    <row r="951">
      <c r="D951" s="95"/>
      <c r="E951" s="14"/>
    </row>
    <row r="952">
      <c r="D952" s="95"/>
      <c r="E952" s="14"/>
    </row>
    <row r="953">
      <c r="D953" s="95"/>
      <c r="E953" s="14"/>
    </row>
    <row r="954">
      <c r="D954" s="95"/>
      <c r="E954" s="14"/>
    </row>
    <row r="955">
      <c r="D955" s="95"/>
      <c r="E955" s="14"/>
    </row>
    <row r="956">
      <c r="D956" s="95"/>
      <c r="E956" s="14"/>
    </row>
    <row r="957">
      <c r="D957" s="95"/>
      <c r="E957" s="14"/>
    </row>
    <row r="958">
      <c r="D958" s="95"/>
      <c r="E958" s="14"/>
    </row>
    <row r="959">
      <c r="D959" s="95"/>
      <c r="E959" s="14"/>
    </row>
    <row r="960">
      <c r="D960" s="95"/>
      <c r="E960" s="14"/>
    </row>
    <row r="961">
      <c r="D961" s="95"/>
      <c r="E961" s="14"/>
    </row>
    <row r="962">
      <c r="D962" s="95"/>
      <c r="E962" s="14"/>
    </row>
    <row r="963">
      <c r="D963" s="95"/>
      <c r="E963" s="14"/>
    </row>
    <row r="964">
      <c r="D964" s="95"/>
      <c r="E964" s="14"/>
    </row>
    <row r="965">
      <c r="D965" s="95"/>
      <c r="E965" s="14"/>
    </row>
    <row r="966">
      <c r="D966" s="95"/>
      <c r="E966" s="14"/>
    </row>
    <row r="967">
      <c r="D967" s="95"/>
      <c r="E967" s="14"/>
    </row>
    <row r="968">
      <c r="D968" s="95"/>
      <c r="E968" s="14"/>
    </row>
    <row r="969">
      <c r="D969" s="95"/>
      <c r="E969" s="14"/>
    </row>
    <row r="970">
      <c r="D970" s="95"/>
      <c r="E970" s="14"/>
    </row>
    <row r="971">
      <c r="D971" s="95"/>
      <c r="E971" s="14"/>
    </row>
    <row r="972">
      <c r="D972" s="95"/>
      <c r="E972" s="14"/>
    </row>
    <row r="973">
      <c r="D973" s="95"/>
      <c r="E973" s="14"/>
    </row>
    <row r="974">
      <c r="D974" s="95"/>
      <c r="E974" s="14"/>
    </row>
    <row r="975">
      <c r="D975" s="95"/>
      <c r="E975" s="14"/>
    </row>
    <row r="976">
      <c r="D976" s="95"/>
      <c r="E976" s="14"/>
    </row>
    <row r="977">
      <c r="D977" s="95"/>
      <c r="E977" s="14"/>
    </row>
    <row r="978">
      <c r="D978" s="95"/>
      <c r="E978" s="14"/>
    </row>
    <row r="979">
      <c r="D979" s="95"/>
      <c r="E979" s="14"/>
    </row>
    <row r="980">
      <c r="D980" s="95"/>
      <c r="E980" s="14"/>
    </row>
    <row r="981">
      <c r="D981" s="95"/>
      <c r="E981" s="14"/>
    </row>
    <row r="982">
      <c r="D982" s="95"/>
      <c r="E982" s="14"/>
    </row>
    <row r="983">
      <c r="D983" s="95"/>
      <c r="E983" s="14"/>
    </row>
    <row r="984">
      <c r="D984" s="95"/>
      <c r="E984" s="14"/>
    </row>
    <row r="985">
      <c r="D985" s="95"/>
      <c r="E985" s="14"/>
    </row>
    <row r="986">
      <c r="D986" s="95"/>
      <c r="E986" s="14"/>
    </row>
    <row r="987">
      <c r="D987" s="95"/>
      <c r="E987" s="14"/>
    </row>
    <row r="988">
      <c r="D988" s="95"/>
      <c r="E988" s="14"/>
    </row>
    <row r="989">
      <c r="D989" s="95"/>
      <c r="E989" s="14"/>
    </row>
    <row r="990">
      <c r="D990" s="95"/>
      <c r="E990" s="14"/>
    </row>
    <row r="991">
      <c r="D991" s="95"/>
      <c r="E991" s="14"/>
    </row>
    <row r="992">
      <c r="D992" s="95"/>
      <c r="E992" s="14"/>
    </row>
    <row r="993">
      <c r="D993" s="95"/>
      <c r="E993" s="14"/>
    </row>
    <row r="994">
      <c r="D994" s="95"/>
      <c r="E994" s="14"/>
    </row>
    <row r="995">
      <c r="D995" s="95"/>
      <c r="E995" s="14"/>
    </row>
    <row r="996">
      <c r="D996" s="95"/>
      <c r="E996" s="14"/>
    </row>
    <row r="997">
      <c r="D997" s="95"/>
      <c r="E997" s="14"/>
    </row>
    <row r="998">
      <c r="D998" s="95"/>
      <c r="E998" s="14"/>
    </row>
    <row r="999">
      <c r="D999" s="95"/>
      <c r="E999" s="14"/>
    </row>
    <row r="1000">
      <c r="D1000" s="95"/>
      <c r="E1000" s="14"/>
    </row>
    <row r="1001">
      <c r="D1001" s="95"/>
      <c r="E1001" s="14"/>
    </row>
    <row r="1002">
      <c r="D1002" s="95"/>
      <c r="E1002" s="14"/>
    </row>
    <row r="1003">
      <c r="D1003" s="95"/>
      <c r="E1003" s="14"/>
    </row>
    <row r="1004">
      <c r="D1004" s="95"/>
      <c r="E1004" s="14"/>
    </row>
    <row r="1005">
      <c r="D1005" s="95"/>
      <c r="E1005" s="14"/>
    </row>
    <row r="1006">
      <c r="D1006" s="95"/>
      <c r="E1006" s="14"/>
    </row>
    <row r="1007">
      <c r="D1007" s="95"/>
      <c r="E1007" s="14"/>
    </row>
    <row r="1008">
      <c r="D1008" s="95"/>
      <c r="E1008" s="14"/>
    </row>
    <row r="1009">
      <c r="D1009" s="95"/>
      <c r="E1009" s="14"/>
    </row>
    <row r="1010">
      <c r="D1010" s="95"/>
      <c r="E1010" s="14"/>
    </row>
    <row r="1011">
      <c r="D1011" s="95"/>
      <c r="E1011" s="14"/>
    </row>
    <row r="1012">
      <c r="D1012" s="95"/>
      <c r="E1012" s="14"/>
    </row>
    <row r="1013">
      <c r="D1013" s="95"/>
      <c r="E1013" s="14"/>
    </row>
    <row r="1014">
      <c r="D1014" s="95"/>
      <c r="E1014" s="14"/>
    </row>
    <row r="1015">
      <c r="D1015" s="95"/>
      <c r="E1015" s="14"/>
    </row>
    <row r="1016">
      <c r="D1016" s="95"/>
      <c r="E1016" s="14"/>
    </row>
    <row r="1017">
      <c r="D1017" s="95"/>
      <c r="E1017" s="14"/>
    </row>
    <row r="1018">
      <c r="D1018" s="95"/>
      <c r="E1018" s="14"/>
    </row>
    <row r="1019">
      <c r="D1019" s="95"/>
      <c r="E1019" s="14"/>
    </row>
    <row r="1020">
      <c r="D1020" s="95"/>
      <c r="E1020" s="14"/>
    </row>
    <row r="1021">
      <c r="D1021" s="95"/>
      <c r="E1021" s="14"/>
    </row>
    <row r="1022">
      <c r="D1022" s="95"/>
      <c r="E1022" s="14"/>
    </row>
    <row r="1023">
      <c r="D1023" s="95"/>
      <c r="E1023" s="14"/>
    </row>
    <row r="1024">
      <c r="D1024" s="95"/>
      <c r="E1024" s="14"/>
    </row>
    <row r="1025">
      <c r="D1025" s="95"/>
      <c r="E1025" s="14"/>
    </row>
    <row r="1026">
      <c r="D1026" s="95"/>
      <c r="E1026" s="14"/>
    </row>
    <row r="1027">
      <c r="D1027" s="95"/>
      <c r="E1027" s="14"/>
    </row>
    <row r="1028">
      <c r="D1028" s="95"/>
      <c r="E1028" s="14"/>
    </row>
    <row r="1029">
      <c r="D1029" s="95"/>
      <c r="E1029" s="14"/>
    </row>
    <row r="1030">
      <c r="D1030" s="95"/>
      <c r="E1030" s="14"/>
    </row>
    <row r="1031">
      <c r="D1031" s="95"/>
      <c r="E1031" s="14"/>
    </row>
    <row r="1032">
      <c r="D1032" s="95"/>
      <c r="E1032" s="14"/>
    </row>
    <row r="1033">
      <c r="D1033" s="95"/>
      <c r="E1033" s="14"/>
    </row>
    <row r="1034">
      <c r="D1034" s="95"/>
      <c r="E1034" s="14"/>
    </row>
    <row r="1035">
      <c r="D1035" s="95"/>
      <c r="E1035" s="14"/>
    </row>
    <row r="1036">
      <c r="D1036" s="95"/>
      <c r="E1036" s="14"/>
    </row>
  </sheetData>
  <conditionalFormatting sqref="H2:P59">
    <cfRule type="cellIs" dxfId="9" priority="1" operator="equal">
      <formula>0</formula>
    </cfRule>
  </conditionalFormatting>
  <conditionalFormatting sqref="O2:P59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59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59">
    <cfRule type="colorScale" priority="4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59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59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59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59">
    <cfRule type="colorScale" priority="8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H2:H59">
    <cfRule type="colorScale" priority="9">
      <colorScale>
        <cfvo type="min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65:C72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65:F72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(Camp Nou)"</formula1>
    </dataValidation>
    <dataValidation type="custom" allowBlank="1" showDropDown="1" sqref="F62">
      <formula1>OR(NOT(ISERROR(DATEVALUE(F62))), AND(ISNUMBER(F62), LEFT(CELL("format", F62))="D"))</formula1>
    </dataValidation>
    <dataValidation type="list" allowBlank="1" showDropDown="1" sqref="C2:C59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8.5"/>
    <col customWidth="1" min="3" max="3" width="14.5"/>
    <col customWidth="1" min="4" max="4" width="34.0"/>
    <col customWidth="1" min="5" max="5" width="9.25"/>
    <col customWidth="1" min="6" max="6" width="33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6" width="17.75"/>
  </cols>
  <sheetData>
    <row r="1" ht="22.5" customHeight="1">
      <c r="A1" s="162" t="s">
        <v>48</v>
      </c>
      <c r="B1" s="163" t="s">
        <v>49</v>
      </c>
      <c r="C1" s="163" t="s">
        <v>50</v>
      </c>
      <c r="D1" s="164" t="s">
        <v>56</v>
      </c>
      <c r="E1" s="162" t="s">
        <v>57</v>
      </c>
      <c r="F1" s="165" t="s">
        <v>52</v>
      </c>
      <c r="G1" s="166" t="s">
        <v>53</v>
      </c>
      <c r="H1" s="162" t="s">
        <v>4</v>
      </c>
      <c r="I1" s="162" t="s">
        <v>58</v>
      </c>
      <c r="J1" s="162" t="s">
        <v>59</v>
      </c>
      <c r="K1" s="162" t="s">
        <v>60</v>
      </c>
      <c r="L1" s="162" t="s">
        <v>61</v>
      </c>
      <c r="M1" s="162" t="s">
        <v>62</v>
      </c>
      <c r="N1" s="162" t="s">
        <v>63</v>
      </c>
      <c r="O1" s="167" t="s">
        <v>282</v>
      </c>
      <c r="P1" s="162" t="s">
        <v>65</v>
      </c>
    </row>
    <row r="2" ht="22.5" customHeight="1">
      <c r="A2" s="168">
        <v>3.0</v>
      </c>
      <c r="B2" s="169" t="s">
        <v>283</v>
      </c>
      <c r="C2" s="170" t="s">
        <v>70</v>
      </c>
      <c r="D2" s="171" t="s">
        <v>284</v>
      </c>
      <c r="E2" s="172" t="str">
        <f>IMAGE("https://flagcdn.com/w320/ci.png")</f>
        <v/>
      </c>
      <c r="F2" s="173">
        <v>36895.0</v>
      </c>
      <c r="G2" s="174">
        <f t="shared" ref="G2:G29" si="1">DATEDIF(F2,TODAY(),"Y")</f>
        <v>25</v>
      </c>
      <c r="H2" s="175">
        <f>1+1+1+1+1+1+1</f>
        <v>7</v>
      </c>
      <c r="I2" s="175">
        <f>90+52+90+54+90+90+90</f>
        <v>556</v>
      </c>
      <c r="J2" s="175"/>
      <c r="K2" s="175"/>
      <c r="L2" s="175"/>
      <c r="M2" s="175"/>
      <c r="N2" s="175"/>
      <c r="O2" s="175">
        <f t="shared" ref="O2:O29" si="2">J2+K2</f>
        <v>0</v>
      </c>
      <c r="P2" s="175"/>
    </row>
    <row r="3" ht="22.5" customHeight="1">
      <c r="A3" s="168">
        <v>4.0</v>
      </c>
      <c r="B3" s="169" t="s">
        <v>285</v>
      </c>
      <c r="C3" s="170" t="s">
        <v>70</v>
      </c>
      <c r="D3" s="171" t="s">
        <v>286</v>
      </c>
      <c r="E3" s="172" t="str">
        <f>IMAGE("https://flagcdn.com/w320/se.png")</f>
        <v/>
      </c>
      <c r="F3" s="173">
        <v>36173.0</v>
      </c>
      <c r="G3" s="174">
        <f t="shared" si="1"/>
        <v>27</v>
      </c>
      <c r="H3" s="175">
        <f>1+1+1+1</f>
        <v>4</v>
      </c>
      <c r="I3" s="175">
        <f>90+90+36+90</f>
        <v>306</v>
      </c>
      <c r="J3" s="175"/>
      <c r="K3" s="175"/>
      <c r="L3" s="175"/>
      <c r="M3" s="175"/>
      <c r="N3" s="175"/>
      <c r="O3" s="175">
        <f t="shared" si="2"/>
        <v>0</v>
      </c>
      <c r="P3" s="175"/>
    </row>
    <row r="4" ht="22.5" customHeight="1">
      <c r="A4" s="168">
        <v>5.0</v>
      </c>
      <c r="B4" s="169" t="s">
        <v>287</v>
      </c>
      <c r="C4" s="170" t="s">
        <v>70</v>
      </c>
      <c r="D4" s="171" t="s">
        <v>80</v>
      </c>
      <c r="E4" s="172" t="str">
        <f>IMAGE("https://flagcdn.com/w320/nl.png")</f>
        <v/>
      </c>
      <c r="F4" s="173">
        <v>36697.0</v>
      </c>
      <c r="G4" s="174">
        <f t="shared" si="1"/>
        <v>25</v>
      </c>
      <c r="H4" s="175"/>
      <c r="I4" s="175"/>
      <c r="J4" s="175"/>
      <c r="K4" s="175"/>
      <c r="L4" s="175"/>
      <c r="M4" s="175"/>
      <c r="N4" s="175"/>
      <c r="O4" s="175">
        <f t="shared" si="2"/>
        <v>0</v>
      </c>
      <c r="P4" s="175"/>
    </row>
    <row r="5" ht="22.5" customHeight="1">
      <c r="A5" s="168">
        <v>6.0</v>
      </c>
      <c r="B5" s="169" t="s">
        <v>288</v>
      </c>
      <c r="C5" s="170" t="s">
        <v>79</v>
      </c>
      <c r="D5" s="171" t="s">
        <v>289</v>
      </c>
      <c r="E5" s="172" t="str">
        <f>IMAGE("https://flagcdn.com/w320/us.png")</f>
        <v/>
      </c>
      <c r="F5" s="173">
        <v>37589.0</v>
      </c>
      <c r="G5" s="174">
        <f t="shared" si="1"/>
        <v>23</v>
      </c>
      <c r="H5" s="175">
        <f>1+1+1+1+1</f>
        <v>5</v>
      </c>
      <c r="I5" s="175">
        <f>74+38+16+22+4</f>
        <v>154</v>
      </c>
      <c r="J5" s="175"/>
      <c r="K5" s="175">
        <f>1</f>
        <v>1</v>
      </c>
      <c r="L5" s="175">
        <f>1+1</f>
        <v>2</v>
      </c>
      <c r="M5" s="175"/>
      <c r="N5" s="175"/>
      <c r="O5" s="175">
        <f t="shared" si="2"/>
        <v>1</v>
      </c>
      <c r="P5" s="175"/>
    </row>
    <row r="6" ht="22.5" customHeight="1">
      <c r="A6" s="168">
        <v>7.0</v>
      </c>
      <c r="B6" s="169" t="s">
        <v>290</v>
      </c>
      <c r="C6" s="170" t="s">
        <v>82</v>
      </c>
      <c r="D6" s="171" t="s">
        <v>291</v>
      </c>
      <c r="E6" s="172" t="str">
        <f>IMAGE("https://flagcdn.com/w320/gh.png")</f>
        <v/>
      </c>
      <c r="F6" s="173">
        <v>37302.0</v>
      </c>
      <c r="G6" s="174">
        <f t="shared" si="1"/>
        <v>23</v>
      </c>
      <c r="H6" s="176">
        <f t="shared" ref="H6:H7" si="3">1+1+1+1</f>
        <v>4</v>
      </c>
      <c r="I6" s="176">
        <f>30+29+9+9</f>
        <v>77</v>
      </c>
      <c r="J6" s="175"/>
      <c r="K6" s="175"/>
      <c r="L6" s="175"/>
      <c r="M6" s="175"/>
      <c r="N6" s="175"/>
      <c r="O6" s="175">
        <f t="shared" si="2"/>
        <v>0</v>
      </c>
      <c r="P6" s="175"/>
    </row>
    <row r="7" ht="22.5" customHeight="1">
      <c r="A7" s="168">
        <v>8.0</v>
      </c>
      <c r="B7" s="169" t="s">
        <v>292</v>
      </c>
      <c r="C7" s="170" t="s">
        <v>79</v>
      </c>
      <c r="D7" s="171" t="s">
        <v>111</v>
      </c>
      <c r="E7" s="172" t="str">
        <f>IMAGE("https://flagcdn.com/w320/hr.png")</f>
        <v/>
      </c>
      <c r="F7" s="173">
        <v>34739.0</v>
      </c>
      <c r="G7" s="174">
        <f t="shared" si="1"/>
        <v>30</v>
      </c>
      <c r="H7" s="175">
        <f t="shared" si="3"/>
        <v>4</v>
      </c>
      <c r="I7" s="175">
        <f>90+90+45+4</f>
        <v>229</v>
      </c>
      <c r="J7" s="175">
        <f>1</f>
        <v>1</v>
      </c>
      <c r="K7" s="175"/>
      <c r="L7" s="175"/>
      <c r="M7" s="175"/>
      <c r="N7" s="175"/>
      <c r="O7" s="175">
        <f t="shared" si="2"/>
        <v>1</v>
      </c>
      <c r="P7" s="175"/>
    </row>
    <row r="8" ht="22.5" customHeight="1">
      <c r="A8" s="168">
        <v>9.0</v>
      </c>
      <c r="B8" s="169" t="s">
        <v>293</v>
      </c>
      <c r="C8" s="170" t="s">
        <v>82</v>
      </c>
      <c r="D8" s="171" t="s">
        <v>206</v>
      </c>
      <c r="E8" s="172" t="str">
        <f>IMAGE("https://flagcdn.com/w320/it.png")</f>
        <v/>
      </c>
      <c r="F8" s="173">
        <v>36161.0</v>
      </c>
      <c r="G8" s="174">
        <f t="shared" si="1"/>
        <v>27</v>
      </c>
      <c r="H8" s="175">
        <f t="shared" ref="H8:H9" si="4">1+1+1+1+1</f>
        <v>5</v>
      </c>
      <c r="I8" s="175">
        <f>29+7+68+70+65</f>
        <v>239</v>
      </c>
      <c r="J8" s="175">
        <f t="shared" ref="J8:J9" si="5">1+1</f>
        <v>2</v>
      </c>
      <c r="K8" s="175">
        <f>1</f>
        <v>1</v>
      </c>
      <c r="L8" s="175"/>
      <c r="M8" s="175"/>
      <c r="N8" s="175"/>
      <c r="O8" s="175">
        <f t="shared" si="2"/>
        <v>3</v>
      </c>
      <c r="P8" s="175"/>
    </row>
    <row r="9" ht="22.5" customHeight="1">
      <c r="A9" s="168">
        <v>10.0</v>
      </c>
      <c r="B9" s="169" t="s">
        <v>294</v>
      </c>
      <c r="C9" s="170" t="s">
        <v>79</v>
      </c>
      <c r="D9" s="171" t="s">
        <v>295</v>
      </c>
      <c r="E9" s="172" t="str">
        <f>IMAGE("https://flagcdn.com/w320/rs.png")</f>
        <v/>
      </c>
      <c r="F9" s="173">
        <v>37311.0</v>
      </c>
      <c r="G9" s="174">
        <f t="shared" si="1"/>
        <v>23</v>
      </c>
      <c r="H9" s="175">
        <f t="shared" si="4"/>
        <v>5</v>
      </c>
      <c r="I9" s="175">
        <f>45+30+1+7+15</f>
        <v>98</v>
      </c>
      <c r="J9" s="175">
        <f t="shared" si="5"/>
        <v>2</v>
      </c>
      <c r="K9" s="175"/>
      <c r="L9" s="175"/>
      <c r="M9" s="175"/>
      <c r="N9" s="175"/>
      <c r="O9" s="175">
        <f t="shared" si="2"/>
        <v>2</v>
      </c>
      <c r="P9" s="175"/>
    </row>
    <row r="10" ht="22.5" customHeight="1">
      <c r="A10" s="168">
        <v>11.0</v>
      </c>
      <c r="B10" s="169" t="s">
        <v>296</v>
      </c>
      <c r="C10" s="170" t="s">
        <v>82</v>
      </c>
      <c r="D10" s="171" t="s">
        <v>297</v>
      </c>
      <c r="E10" s="172" t="str">
        <f>IMAGE("https://flagcdn.com/w320/ng.png")</f>
        <v/>
      </c>
      <c r="F10" s="173">
        <v>35723.0</v>
      </c>
      <c r="G10" s="174">
        <f t="shared" si="1"/>
        <v>28</v>
      </c>
      <c r="H10" s="175">
        <f t="shared" ref="H10:H11" si="6">1+1+1+1+1+1</f>
        <v>6</v>
      </c>
      <c r="I10" s="175">
        <f>60+61+74+81+86+25</f>
        <v>387</v>
      </c>
      <c r="J10" s="175">
        <f t="shared" ref="J10:J11" si="7">1</f>
        <v>1</v>
      </c>
      <c r="K10" s="175">
        <f>1+1</f>
        <v>2</v>
      </c>
      <c r="L10" s="175"/>
      <c r="M10" s="175"/>
      <c r="N10" s="175"/>
      <c r="O10" s="175">
        <f t="shared" si="2"/>
        <v>3</v>
      </c>
      <c r="P10" s="175"/>
    </row>
    <row r="11" ht="22.5" customHeight="1">
      <c r="A11" s="168">
        <v>13.0</v>
      </c>
      <c r="B11" s="177" t="s">
        <v>298</v>
      </c>
      <c r="C11" s="170" t="s">
        <v>79</v>
      </c>
      <c r="D11" s="171" t="s">
        <v>182</v>
      </c>
      <c r="E11" s="172" t="str">
        <f>IMAGE("https://flagcdn.com/w320/br.png")</f>
        <v/>
      </c>
      <c r="F11" s="173">
        <v>36348.0</v>
      </c>
      <c r="G11" s="174">
        <f t="shared" si="1"/>
        <v>26</v>
      </c>
      <c r="H11" s="175">
        <f t="shared" si="6"/>
        <v>6</v>
      </c>
      <c r="I11" s="175">
        <f>60+90+90+68+86+90</f>
        <v>484</v>
      </c>
      <c r="J11" s="175">
        <f t="shared" si="7"/>
        <v>1</v>
      </c>
      <c r="K11" s="175"/>
      <c r="L11" s="175">
        <f>1</f>
        <v>1</v>
      </c>
      <c r="M11" s="175"/>
      <c r="N11" s="175"/>
      <c r="O11" s="175">
        <f t="shared" si="2"/>
        <v>1</v>
      </c>
      <c r="P11" s="175"/>
    </row>
    <row r="12" ht="22.5" customHeight="1">
      <c r="A12" s="168">
        <v>15.0</v>
      </c>
      <c r="B12" s="169" t="s">
        <v>299</v>
      </c>
      <c r="C12" s="170" t="s">
        <v>79</v>
      </c>
      <c r="D12" s="171" t="s">
        <v>80</v>
      </c>
      <c r="E12" s="172" t="str">
        <f>IMAGE("https://flagcdn.com/w320/nl.png")</f>
        <v/>
      </c>
      <c r="F12" s="173">
        <v>33326.0</v>
      </c>
      <c r="G12" s="174">
        <f t="shared" si="1"/>
        <v>34</v>
      </c>
      <c r="H12" s="175">
        <f>1+1+1+1+1+1+1</f>
        <v>7</v>
      </c>
      <c r="I12" s="175">
        <f>90+90+90+45+90+90+90</f>
        <v>585</v>
      </c>
      <c r="J12" s="175"/>
      <c r="K12" s="175">
        <f>1</f>
        <v>1</v>
      </c>
      <c r="L12" s="175">
        <f>1+1</f>
        <v>2</v>
      </c>
      <c r="M12" s="175"/>
      <c r="N12" s="175"/>
      <c r="O12" s="175">
        <f t="shared" si="2"/>
        <v>1</v>
      </c>
      <c r="P12" s="175"/>
    </row>
    <row r="13" ht="22.5" customHeight="1">
      <c r="A13" s="168">
        <v>16.0</v>
      </c>
      <c r="B13" s="169" t="s">
        <v>300</v>
      </c>
      <c r="C13" s="170" t="s">
        <v>79</v>
      </c>
      <c r="D13" s="171" t="s">
        <v>206</v>
      </c>
      <c r="E13" s="172" t="str">
        <f>IMAGE("https://flagcdn.com/w320/it.png")</f>
        <v/>
      </c>
      <c r="F13" s="173">
        <v>36663.0</v>
      </c>
      <c r="G13" s="174">
        <f t="shared" si="1"/>
        <v>25</v>
      </c>
      <c r="H13" s="175">
        <f t="shared" ref="H13:H14" si="8">1+1+1+1+1+1</f>
        <v>6</v>
      </c>
      <c r="I13" s="175">
        <f>90+45+17+90+90+16</f>
        <v>348</v>
      </c>
      <c r="J13" s="175"/>
      <c r="K13" s="175"/>
      <c r="L13" s="175">
        <f>1</f>
        <v>1</v>
      </c>
      <c r="M13" s="175"/>
      <c r="N13" s="175"/>
      <c r="O13" s="175">
        <f t="shared" si="2"/>
        <v>0</v>
      </c>
      <c r="P13" s="175"/>
    </row>
    <row r="14" ht="22.5" customHeight="1">
      <c r="A14" s="168">
        <v>17.0</v>
      </c>
      <c r="B14" s="169" t="s">
        <v>301</v>
      </c>
      <c r="C14" s="170" t="s">
        <v>79</v>
      </c>
      <c r="D14" s="171" t="s">
        <v>89</v>
      </c>
      <c r="E14" s="172" t="str">
        <f>IMAGE("https://flagcdn.com/w320/be.png")</f>
        <v/>
      </c>
      <c r="F14" s="173">
        <v>36960.0</v>
      </c>
      <c r="G14" s="174">
        <f t="shared" si="1"/>
        <v>24</v>
      </c>
      <c r="H14" s="175">
        <f t="shared" si="8"/>
        <v>6</v>
      </c>
      <c r="I14" s="175">
        <f>45+89+83+90+90+90</f>
        <v>487</v>
      </c>
      <c r="J14" s="175">
        <f t="shared" ref="J14:K14" si="9">1+1</f>
        <v>2</v>
      </c>
      <c r="K14" s="175">
        <f t="shared" si="9"/>
        <v>2</v>
      </c>
      <c r="L14" s="175"/>
      <c r="M14" s="175"/>
      <c r="N14" s="175"/>
      <c r="O14" s="175">
        <f t="shared" si="2"/>
        <v>4</v>
      </c>
      <c r="P14" s="175"/>
    </row>
    <row r="15" ht="22.5" customHeight="1">
      <c r="A15" s="168">
        <v>19.0</v>
      </c>
      <c r="B15" s="169" t="s">
        <v>302</v>
      </c>
      <c r="C15" s="170" t="s">
        <v>70</v>
      </c>
      <c r="D15" s="171" t="s">
        <v>303</v>
      </c>
      <c r="E15" s="172" t="str">
        <f>IMAGE("https://flagcdn.com/w320/al.png")</f>
        <v/>
      </c>
      <c r="F15" s="173">
        <v>34019.0</v>
      </c>
      <c r="G15" s="174">
        <f t="shared" si="1"/>
        <v>32</v>
      </c>
      <c r="H15" s="175">
        <f>1+1+1+1+1+1+1</f>
        <v>7</v>
      </c>
      <c r="I15" s="175">
        <f>74+90+90+90+73+90+90</f>
        <v>597</v>
      </c>
      <c r="J15" s="175"/>
      <c r="K15" s="175"/>
      <c r="L15" s="175">
        <f>1</f>
        <v>1</v>
      </c>
      <c r="M15" s="175"/>
      <c r="N15" s="175"/>
      <c r="O15" s="175">
        <f t="shared" si="2"/>
        <v>0</v>
      </c>
      <c r="P15" s="175"/>
    </row>
    <row r="16" ht="22.5" customHeight="1">
      <c r="A16" s="168">
        <v>23.0</v>
      </c>
      <c r="B16" s="169" t="s">
        <v>304</v>
      </c>
      <c r="C16" s="170" t="s">
        <v>70</v>
      </c>
      <c r="D16" s="171" t="s">
        <v>305</v>
      </c>
      <c r="E16" s="172" t="str">
        <f>IMAGE("https://flagcdn.com/w320/ba.png")</f>
        <v/>
      </c>
      <c r="F16" s="173">
        <v>34140.0</v>
      </c>
      <c r="G16" s="174">
        <f t="shared" si="1"/>
        <v>32</v>
      </c>
      <c r="H16" s="176">
        <f>1+1+1</f>
        <v>3</v>
      </c>
      <c r="I16" s="176">
        <f>17+70+75</f>
        <v>162</v>
      </c>
      <c r="J16" s="175"/>
      <c r="K16" s="175"/>
      <c r="L16" s="175"/>
      <c r="M16" s="175"/>
      <c r="N16" s="175"/>
      <c r="O16" s="175">
        <f t="shared" si="2"/>
        <v>0</v>
      </c>
      <c r="P16" s="175"/>
    </row>
    <row r="17" ht="22.5" customHeight="1">
      <c r="A17" s="168">
        <v>29.0</v>
      </c>
      <c r="B17" s="169" t="s">
        <v>306</v>
      </c>
      <c r="C17" s="170" t="s">
        <v>67</v>
      </c>
      <c r="D17" s="171" t="s">
        <v>206</v>
      </c>
      <c r="E17" s="172" t="str">
        <f t="shared" ref="E17:E18" si="10">IMAGE("https://flagcdn.com/w320/it.png")</f>
        <v/>
      </c>
      <c r="F17" s="173">
        <v>36708.0</v>
      </c>
      <c r="G17" s="174">
        <f t="shared" si="1"/>
        <v>25</v>
      </c>
      <c r="H17" s="175">
        <f>1+1+1+1+1+1+1</f>
        <v>7</v>
      </c>
      <c r="I17" s="175">
        <f>90+90+90+90+90+90+90</f>
        <v>630</v>
      </c>
      <c r="J17" s="175"/>
      <c r="K17" s="175"/>
      <c r="L17" s="175">
        <f>1</f>
        <v>1</v>
      </c>
      <c r="M17" s="175"/>
      <c r="N17" s="175">
        <f>1+1+1</f>
        <v>3</v>
      </c>
      <c r="O17" s="175">
        <f t="shared" si="2"/>
        <v>0</v>
      </c>
      <c r="P17" s="175">
        <f>1</f>
        <v>1</v>
      </c>
    </row>
    <row r="18" ht="22.5" customHeight="1">
      <c r="A18" s="168">
        <v>31.0</v>
      </c>
      <c r="B18" s="169" t="s">
        <v>307</v>
      </c>
      <c r="C18" s="170" t="s">
        <v>67</v>
      </c>
      <c r="D18" s="171" t="s">
        <v>206</v>
      </c>
      <c r="E18" s="172" t="str">
        <f t="shared" si="10"/>
        <v/>
      </c>
      <c r="F18" s="173">
        <v>33355.0</v>
      </c>
      <c r="G18" s="174">
        <f t="shared" si="1"/>
        <v>34</v>
      </c>
      <c r="H18" s="176">
        <v>0.0</v>
      </c>
      <c r="I18" s="176">
        <v>0.0</v>
      </c>
      <c r="J18" s="175"/>
      <c r="K18" s="175"/>
      <c r="L18" s="175"/>
      <c r="M18" s="175"/>
      <c r="N18" s="175"/>
      <c r="O18" s="175">
        <f t="shared" si="2"/>
        <v>0</v>
      </c>
      <c r="P18" s="175"/>
    </row>
    <row r="19" ht="22.5" customHeight="1">
      <c r="A19" s="178">
        <v>40.0</v>
      </c>
      <c r="B19" s="179" t="s">
        <v>308</v>
      </c>
      <c r="C19" s="180" t="s">
        <v>70</v>
      </c>
      <c r="D19" s="181" t="s">
        <v>309</v>
      </c>
      <c r="E19" s="182" t="str">
        <f>IMAGE("https://flagcdn.com/w320/si.png")</f>
        <v/>
      </c>
      <c r="F19" s="183">
        <v>38818.0</v>
      </c>
      <c r="G19" s="184">
        <f t="shared" si="1"/>
        <v>19</v>
      </c>
      <c r="H19" s="185">
        <v>0.0</v>
      </c>
      <c r="I19" s="185">
        <v>0.0</v>
      </c>
      <c r="J19" s="186"/>
      <c r="K19" s="186"/>
      <c r="L19" s="186"/>
      <c r="M19" s="186"/>
      <c r="N19" s="186"/>
      <c r="O19" s="186">
        <f t="shared" si="2"/>
        <v>0</v>
      </c>
      <c r="P19" s="186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22.5" customHeight="1">
      <c r="A20" s="178">
        <v>41.0</v>
      </c>
      <c r="B20" s="179" t="s">
        <v>310</v>
      </c>
      <c r="C20" s="180" t="s">
        <v>82</v>
      </c>
      <c r="D20" s="181" t="s">
        <v>311</v>
      </c>
      <c r="E20" s="182" t="str">
        <f>IMAGE("https://flagcdn.com/w320/gn.png")</f>
        <v/>
      </c>
      <c r="F20" s="183">
        <v>38843.0</v>
      </c>
      <c r="G20" s="184">
        <f t="shared" si="1"/>
        <v>19</v>
      </c>
      <c r="H20" s="185">
        <v>0.0</v>
      </c>
      <c r="I20" s="185">
        <v>0.0</v>
      </c>
      <c r="J20" s="186"/>
      <c r="K20" s="186"/>
      <c r="L20" s="186"/>
      <c r="M20" s="186"/>
      <c r="N20" s="186"/>
      <c r="O20" s="186">
        <f t="shared" si="2"/>
        <v>0</v>
      </c>
      <c r="P20" s="186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22.5" customHeight="1">
      <c r="A21" s="168">
        <v>42.0</v>
      </c>
      <c r="B21" s="169" t="s">
        <v>312</v>
      </c>
      <c r="C21" s="170" t="s">
        <v>70</v>
      </c>
      <c r="D21" s="171" t="s">
        <v>206</v>
      </c>
      <c r="E21" s="172" t="str">
        <f t="shared" ref="E21:E24" si="11">IMAGE("https://flagcdn.com/w320/it.png")</f>
        <v/>
      </c>
      <c r="F21" s="173">
        <v>37966.0</v>
      </c>
      <c r="G21" s="174">
        <f t="shared" si="1"/>
        <v>22</v>
      </c>
      <c r="H21" s="175">
        <f>1</f>
        <v>1</v>
      </c>
      <c r="I21" s="175">
        <f>10</f>
        <v>10</v>
      </c>
      <c r="J21" s="175"/>
      <c r="K21" s="175"/>
      <c r="L21" s="175"/>
      <c r="M21" s="175"/>
      <c r="N21" s="175"/>
      <c r="O21" s="175">
        <f t="shared" si="2"/>
        <v>0</v>
      </c>
      <c r="P21" s="175"/>
    </row>
    <row r="22" ht="22.5" customHeight="1">
      <c r="A22" s="168">
        <v>44.0</v>
      </c>
      <c r="B22" s="169" t="s">
        <v>313</v>
      </c>
      <c r="C22" s="170" t="s">
        <v>79</v>
      </c>
      <c r="D22" s="171" t="s">
        <v>206</v>
      </c>
      <c r="E22" s="172" t="str">
        <f t="shared" si="11"/>
        <v/>
      </c>
      <c r="F22" s="173">
        <v>36545.0</v>
      </c>
      <c r="G22" s="174">
        <f t="shared" si="1"/>
        <v>26</v>
      </c>
      <c r="H22" s="175">
        <f>1+1</f>
        <v>2</v>
      </c>
      <c r="I22" s="175">
        <f>16+3</f>
        <v>19</v>
      </c>
      <c r="J22" s="175"/>
      <c r="K22" s="175"/>
      <c r="L22" s="175"/>
      <c r="M22" s="175"/>
      <c r="N22" s="175"/>
      <c r="O22" s="175">
        <f t="shared" si="2"/>
        <v>0</v>
      </c>
      <c r="P22" s="175"/>
    </row>
    <row r="23" ht="22.5" customHeight="1">
      <c r="A23" s="168">
        <v>47.0</v>
      </c>
      <c r="B23" s="169" t="s">
        <v>314</v>
      </c>
      <c r="C23" s="170" t="s">
        <v>70</v>
      </c>
      <c r="D23" s="171" t="s">
        <v>206</v>
      </c>
      <c r="E23" s="172" t="str">
        <f t="shared" si="11"/>
        <v/>
      </c>
      <c r="F23" s="173">
        <v>37941.0</v>
      </c>
      <c r="G23" s="174">
        <f t="shared" si="1"/>
        <v>22</v>
      </c>
      <c r="H23" s="175">
        <f>1+1+1+1+1</f>
        <v>5</v>
      </c>
      <c r="I23" s="175">
        <f>90+90+45+90+81</f>
        <v>396</v>
      </c>
      <c r="J23" s="175"/>
      <c r="K23" s="175"/>
      <c r="L23" s="175"/>
      <c r="M23" s="175"/>
      <c r="N23" s="175"/>
      <c r="O23" s="175">
        <f t="shared" si="2"/>
        <v>0</v>
      </c>
      <c r="P23" s="175"/>
    </row>
    <row r="24" ht="22.5" customHeight="1">
      <c r="A24" s="168">
        <v>57.0</v>
      </c>
      <c r="B24" s="169" t="s">
        <v>315</v>
      </c>
      <c r="C24" s="170" t="s">
        <v>67</v>
      </c>
      <c r="D24" s="171" t="s">
        <v>206</v>
      </c>
      <c r="E24" s="172" t="str">
        <f t="shared" si="11"/>
        <v/>
      </c>
      <c r="F24" s="173">
        <v>33734.0</v>
      </c>
      <c r="G24" s="174">
        <f t="shared" si="1"/>
        <v>33</v>
      </c>
      <c r="H24" s="176">
        <v>0.0</v>
      </c>
      <c r="I24" s="176">
        <v>0.0</v>
      </c>
      <c r="J24" s="175"/>
      <c r="K24" s="175"/>
      <c r="L24" s="175"/>
      <c r="M24" s="175"/>
      <c r="N24" s="175"/>
      <c r="O24" s="175">
        <f t="shared" si="2"/>
        <v>0</v>
      </c>
      <c r="P24" s="175"/>
    </row>
    <row r="25" ht="22.5" customHeight="1">
      <c r="A25" s="168">
        <v>59.0</v>
      </c>
      <c r="B25" s="169" t="s">
        <v>316</v>
      </c>
      <c r="C25" s="170" t="s">
        <v>79</v>
      </c>
      <c r="D25" s="171" t="s">
        <v>317</v>
      </c>
      <c r="E25" s="172" t="str">
        <f>IMAGE("https://flagcdn.com/w320/pl.png")</f>
        <v/>
      </c>
      <c r="F25" s="173">
        <v>37279.0</v>
      </c>
      <c r="G25" s="174">
        <f t="shared" si="1"/>
        <v>24</v>
      </c>
      <c r="H25" s="176">
        <f>1+1+1</f>
        <v>3</v>
      </c>
      <c r="I25" s="176">
        <f>45+22+65</f>
        <v>132</v>
      </c>
      <c r="J25" s="175"/>
      <c r="K25" s="175">
        <f>1</f>
        <v>1</v>
      </c>
      <c r="L25" s="175"/>
      <c r="M25" s="175"/>
      <c r="N25" s="175"/>
      <c r="O25" s="175">
        <f t="shared" si="2"/>
        <v>1</v>
      </c>
      <c r="P25" s="175"/>
    </row>
    <row r="26" ht="22.5" customHeight="1">
      <c r="A26" s="168">
        <v>69.0</v>
      </c>
      <c r="B26" s="169" t="s">
        <v>318</v>
      </c>
      <c r="C26" s="170" t="s">
        <v>70</v>
      </c>
      <c r="D26" s="171" t="s">
        <v>319</v>
      </c>
      <c r="E26" s="172" t="str">
        <f t="shared" ref="E26:E28" si="12">IMAGE("https://flagcdn.com/w320/it.png")</f>
        <v/>
      </c>
      <c r="F26" s="173">
        <v>39501.0</v>
      </c>
      <c r="G26" s="174">
        <f t="shared" si="1"/>
        <v>17</v>
      </c>
      <c r="H26" s="175">
        <f>1+1+1+1+1</f>
        <v>5</v>
      </c>
      <c r="I26" s="175">
        <f>6+90+90+20+15</f>
        <v>221</v>
      </c>
      <c r="J26" s="175"/>
      <c r="K26" s="175"/>
      <c r="L26" s="175"/>
      <c r="M26" s="175"/>
      <c r="N26" s="175"/>
      <c r="O26" s="175">
        <f t="shared" si="2"/>
        <v>0</v>
      </c>
      <c r="P26" s="175"/>
    </row>
    <row r="27" ht="22.5" customHeight="1">
      <c r="A27" s="168">
        <v>70.0</v>
      </c>
      <c r="B27" s="169" t="s">
        <v>320</v>
      </c>
      <c r="C27" s="170" t="s">
        <v>79</v>
      </c>
      <c r="D27" s="171" t="s">
        <v>321</v>
      </c>
      <c r="E27" s="172" t="str">
        <f t="shared" si="12"/>
        <v/>
      </c>
      <c r="F27" s="173">
        <v>37175.0</v>
      </c>
      <c r="G27" s="174">
        <f t="shared" si="1"/>
        <v>24</v>
      </c>
      <c r="H27" s="175">
        <f>1</f>
        <v>1</v>
      </c>
      <c r="I27" s="175">
        <f>45</f>
        <v>45</v>
      </c>
      <c r="J27" s="175"/>
      <c r="K27" s="175"/>
      <c r="L27" s="175"/>
      <c r="M27" s="175"/>
      <c r="N27" s="175"/>
      <c r="O27" s="175">
        <f t="shared" si="2"/>
        <v>0</v>
      </c>
      <c r="P27" s="175"/>
    </row>
    <row r="28" ht="22.5" customHeight="1">
      <c r="A28" s="168">
        <v>77.0</v>
      </c>
      <c r="B28" s="169" t="s">
        <v>322</v>
      </c>
      <c r="C28" s="170" t="s">
        <v>79</v>
      </c>
      <c r="D28" s="171" t="s">
        <v>206</v>
      </c>
      <c r="E28" s="172" t="str">
        <f t="shared" si="12"/>
        <v/>
      </c>
      <c r="F28" s="173">
        <v>33766.0</v>
      </c>
      <c r="G28" s="174">
        <f t="shared" si="1"/>
        <v>33</v>
      </c>
      <c r="H28" s="176">
        <f>1+1+1+1+1+1</f>
        <v>6</v>
      </c>
      <c r="I28" s="176">
        <f>45+73+90+68+74+75</f>
        <v>425</v>
      </c>
      <c r="J28" s="175"/>
      <c r="K28" s="175"/>
      <c r="L28" s="175"/>
      <c r="M28" s="175"/>
      <c r="N28" s="175"/>
      <c r="O28" s="175">
        <f t="shared" si="2"/>
        <v>0</v>
      </c>
      <c r="P28" s="175"/>
    </row>
    <row r="29" ht="22.5" customHeight="1">
      <c r="A29" s="168">
        <v>90.0</v>
      </c>
      <c r="B29" s="169" t="s">
        <v>323</v>
      </c>
      <c r="C29" s="170" t="s">
        <v>82</v>
      </c>
      <c r="D29" s="171" t="s">
        <v>324</v>
      </c>
      <c r="E29" s="172" t="str">
        <f>IMAGE("https://flagcdn.com/w320/me.png")</f>
        <v/>
      </c>
      <c r="F29" s="173">
        <v>36621.0</v>
      </c>
      <c r="G29" s="174">
        <f t="shared" si="1"/>
        <v>25</v>
      </c>
      <c r="H29" s="175">
        <f>1+1+1+1+1+1+1</f>
        <v>7</v>
      </c>
      <c r="I29" s="175">
        <f>45+87+61+83+22+20+25</f>
        <v>343</v>
      </c>
      <c r="J29" s="175">
        <f>1</f>
        <v>1</v>
      </c>
      <c r="K29" s="175"/>
      <c r="L29" s="175"/>
      <c r="M29" s="175"/>
      <c r="N29" s="175"/>
      <c r="O29" s="175">
        <f t="shared" si="2"/>
        <v>1</v>
      </c>
      <c r="P29" s="175"/>
    </row>
    <row r="30">
      <c r="A30" s="11"/>
      <c r="B30" s="187"/>
      <c r="C30" s="187"/>
      <c r="D30" s="188"/>
      <c r="E30" s="11"/>
      <c r="F30" s="189"/>
      <c r="G30" s="187"/>
      <c r="H30" s="11">
        <f t="shared" ref="H30:P30" si="13">SUM(H2:H29)</f>
        <v>112</v>
      </c>
      <c r="I30" s="11">
        <f t="shared" si="13"/>
        <v>6930</v>
      </c>
      <c r="J30" s="11">
        <f t="shared" si="13"/>
        <v>10</v>
      </c>
      <c r="K30" s="11">
        <f t="shared" si="13"/>
        <v>8</v>
      </c>
      <c r="L30" s="11">
        <f t="shared" si="13"/>
        <v>8</v>
      </c>
      <c r="M30" s="11">
        <f t="shared" si="13"/>
        <v>0</v>
      </c>
      <c r="N30" s="11">
        <f t="shared" si="13"/>
        <v>3</v>
      </c>
      <c r="O30" s="11">
        <f t="shared" si="13"/>
        <v>18</v>
      </c>
      <c r="P30" s="11">
        <f t="shared" si="13"/>
        <v>1</v>
      </c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</row>
    <row r="31" ht="22.5" customHeight="1">
      <c r="A31" s="162" t="s">
        <v>150</v>
      </c>
      <c r="B31" s="163" t="s">
        <v>49</v>
      </c>
      <c r="C31" s="163" t="s">
        <v>265</v>
      </c>
      <c r="D31" s="190" t="s">
        <v>56</v>
      </c>
      <c r="E31" s="163" t="s">
        <v>57</v>
      </c>
      <c r="F31" s="163" t="s">
        <v>52</v>
      </c>
      <c r="G31" s="163" t="s">
        <v>53</v>
      </c>
      <c r="H31" s="191" t="s">
        <v>4</v>
      </c>
      <c r="I31" s="191" t="s">
        <v>5</v>
      </c>
      <c r="J31" s="191" t="s">
        <v>6</v>
      </c>
      <c r="K31" s="191" t="s">
        <v>7</v>
      </c>
      <c r="L31" s="191" t="s">
        <v>8</v>
      </c>
      <c r="M31" s="191" t="s">
        <v>9</v>
      </c>
      <c r="N31" s="191" t="s">
        <v>10</v>
      </c>
      <c r="O31" s="14"/>
      <c r="P31" s="14"/>
    </row>
    <row r="32" ht="22.5" customHeight="1">
      <c r="A32" s="192"/>
      <c r="B32" s="169" t="s">
        <v>325</v>
      </c>
      <c r="C32" s="169" t="s">
        <v>153</v>
      </c>
      <c r="D32" s="171" t="s">
        <v>111</v>
      </c>
      <c r="E32" s="172" t="str">
        <f>IMAGE("https://flagcdn.com/w320/hr.png")</f>
        <v/>
      </c>
      <c r="F32" s="173">
        <v>27631.0</v>
      </c>
      <c r="G32" s="174">
        <f t="shared" ref="G32:G33" si="15">DATEDIF(F32,TODAY(),"Y")</f>
        <v>50</v>
      </c>
      <c r="H32" s="193">
        <f t="shared" ref="H32:H33" si="16">L32+M32+N32</f>
        <v>4</v>
      </c>
      <c r="I32" s="193">
        <f t="shared" ref="I32:I33" si="17">(3*L32)+M32</f>
        <v>7</v>
      </c>
      <c r="J32" s="193">
        <f>2+1</f>
        <v>3</v>
      </c>
      <c r="K32" s="193">
        <f>4+1</f>
        <v>5</v>
      </c>
      <c r="L32" s="194">
        <f t="shared" ref="L32:L33" si="18">1+1</f>
        <v>2</v>
      </c>
      <c r="M32" s="195">
        <f t="shared" ref="M32:N32" si="14">1</f>
        <v>1</v>
      </c>
      <c r="N32" s="196">
        <f t="shared" si="14"/>
        <v>1</v>
      </c>
      <c r="O32" s="14"/>
      <c r="P32" s="14"/>
    </row>
    <row r="33" ht="22.5" customHeight="1">
      <c r="A33" s="192"/>
      <c r="B33" s="169" t="s">
        <v>326</v>
      </c>
      <c r="C33" s="169" t="s">
        <v>153</v>
      </c>
      <c r="D33" s="171" t="s">
        <v>206</v>
      </c>
      <c r="E33" s="172" t="str">
        <f>IMAGE("https://flagcdn.com/w320/it.png")</f>
        <v/>
      </c>
      <c r="F33" s="173">
        <v>30789.0</v>
      </c>
      <c r="G33" s="174">
        <f t="shared" si="15"/>
        <v>41</v>
      </c>
      <c r="H33" s="193">
        <f t="shared" si="16"/>
        <v>3</v>
      </c>
      <c r="I33" s="193">
        <f t="shared" si="17"/>
        <v>6</v>
      </c>
      <c r="J33" s="193">
        <f>3+2+2</f>
        <v>7</v>
      </c>
      <c r="K33" s="193">
        <f>1+3</f>
        <v>4</v>
      </c>
      <c r="L33" s="194">
        <f t="shared" si="18"/>
        <v>2</v>
      </c>
      <c r="M33" s="195">
        <f>0</f>
        <v>0</v>
      </c>
      <c r="N33" s="196">
        <f>1</f>
        <v>1</v>
      </c>
      <c r="O33" s="14"/>
      <c r="P33" s="14"/>
    </row>
    <row r="34">
      <c r="A34" s="11"/>
      <c r="B34" s="187"/>
      <c r="C34" s="187"/>
      <c r="D34" s="188"/>
      <c r="E34" s="11"/>
      <c r="F34" s="189"/>
      <c r="G34" s="187"/>
      <c r="H34" s="11">
        <f t="shared" ref="H34:N34" si="19">SUM(H32:H33)</f>
        <v>7</v>
      </c>
      <c r="I34" s="11">
        <f t="shared" si="19"/>
        <v>13</v>
      </c>
      <c r="J34" s="11">
        <f t="shared" si="19"/>
        <v>10</v>
      </c>
      <c r="K34" s="11">
        <f t="shared" si="19"/>
        <v>9</v>
      </c>
      <c r="L34" s="11">
        <f t="shared" si="19"/>
        <v>4</v>
      </c>
      <c r="M34" s="11">
        <f t="shared" si="19"/>
        <v>1</v>
      </c>
      <c r="N34" s="11">
        <f t="shared" si="19"/>
        <v>2</v>
      </c>
      <c r="O34" s="11"/>
      <c r="P34" s="11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</row>
    <row r="35" ht="22.5" customHeight="1">
      <c r="A35" s="162" t="s">
        <v>156</v>
      </c>
      <c r="B35" s="162" t="s">
        <v>157</v>
      </c>
      <c r="C35" s="162" t="s">
        <v>158</v>
      </c>
      <c r="D35" s="166" t="s">
        <v>327</v>
      </c>
      <c r="E35" s="162" t="s">
        <v>160</v>
      </c>
      <c r="F35" s="162" t="s">
        <v>161</v>
      </c>
      <c r="H35" s="14"/>
      <c r="I35" s="14"/>
      <c r="J35" s="14"/>
      <c r="K35" s="14"/>
      <c r="L35" s="14"/>
      <c r="M35" s="14"/>
      <c r="N35" s="14"/>
      <c r="O35" s="14"/>
      <c r="P35" s="14"/>
    </row>
    <row r="36" ht="22.5" customHeight="1">
      <c r="A36" s="77">
        <v>1.0</v>
      </c>
      <c r="B36" s="78" t="s">
        <v>15</v>
      </c>
      <c r="C36" s="78" t="s">
        <v>14</v>
      </c>
      <c r="D36" s="79"/>
      <c r="E36" s="80" t="s">
        <v>164</v>
      </c>
      <c r="F36" s="78" t="s">
        <v>328</v>
      </c>
      <c r="H36" s="14"/>
      <c r="I36" s="14"/>
      <c r="J36" s="14"/>
      <c r="K36" s="14"/>
      <c r="L36" s="14"/>
      <c r="M36" s="14"/>
      <c r="N36" s="14"/>
      <c r="O36" s="14"/>
      <c r="P36" s="14"/>
    </row>
    <row r="37" ht="22.5" customHeight="1">
      <c r="A37" s="86">
        <v>2.0</v>
      </c>
      <c r="B37" s="87" t="s">
        <v>14</v>
      </c>
      <c r="C37" s="87" t="s">
        <v>39</v>
      </c>
      <c r="D37" s="88" t="s">
        <v>329</v>
      </c>
      <c r="E37" s="89">
        <v>45689.0</v>
      </c>
      <c r="F37" s="87" t="s">
        <v>330</v>
      </c>
      <c r="H37" s="14"/>
      <c r="I37" s="14"/>
      <c r="J37" s="14"/>
      <c r="K37" s="14"/>
      <c r="L37" s="14"/>
      <c r="M37" s="14"/>
      <c r="N37" s="14"/>
      <c r="O37" s="14"/>
      <c r="P37" s="14"/>
    </row>
    <row r="38" ht="22.5" customHeight="1">
      <c r="A38" s="197">
        <v>3.0</v>
      </c>
      <c r="B38" s="198" t="s">
        <v>14</v>
      </c>
      <c r="C38" s="198" t="s">
        <v>45</v>
      </c>
      <c r="D38" s="199"/>
      <c r="E38" s="200" t="s">
        <v>331</v>
      </c>
      <c r="F38" s="198" t="s">
        <v>330</v>
      </c>
      <c r="H38" s="14"/>
      <c r="I38" s="14"/>
      <c r="J38" s="14"/>
      <c r="K38" s="14"/>
      <c r="L38" s="14"/>
      <c r="M38" s="14"/>
      <c r="N38" s="14"/>
      <c r="O38" s="14"/>
      <c r="P38" s="14"/>
    </row>
    <row r="39" ht="22.5" customHeight="1">
      <c r="A39" s="86">
        <v>4.0</v>
      </c>
      <c r="B39" s="87" t="s">
        <v>28</v>
      </c>
      <c r="C39" s="87" t="s">
        <v>14</v>
      </c>
      <c r="D39" s="88" t="s">
        <v>332</v>
      </c>
      <c r="E39" s="161" t="s">
        <v>333</v>
      </c>
      <c r="F39" s="87" t="s">
        <v>165</v>
      </c>
      <c r="H39" s="14"/>
      <c r="I39" s="14"/>
      <c r="J39" s="14"/>
      <c r="K39" s="14"/>
      <c r="L39" s="14"/>
      <c r="M39" s="14"/>
      <c r="N39" s="14"/>
      <c r="O39" s="14"/>
      <c r="P39" s="14"/>
    </row>
    <row r="40" ht="22.5" customHeight="1">
      <c r="A40" s="86">
        <v>5.0</v>
      </c>
      <c r="B40" s="87" t="s">
        <v>41</v>
      </c>
      <c r="C40" s="87" t="s">
        <v>14</v>
      </c>
      <c r="D40" s="88" t="s">
        <v>334</v>
      </c>
      <c r="E40" s="161" t="s">
        <v>168</v>
      </c>
      <c r="F40" s="87" t="s">
        <v>335</v>
      </c>
      <c r="H40" s="14"/>
      <c r="I40" s="14"/>
      <c r="J40" s="14"/>
      <c r="K40" s="14"/>
      <c r="L40" s="14"/>
      <c r="M40" s="14"/>
      <c r="N40" s="14"/>
      <c r="O40" s="14"/>
      <c r="P40" s="14"/>
    </row>
    <row r="41" ht="22.5" customHeight="1">
      <c r="A41" s="86">
        <v>6.0</v>
      </c>
      <c r="B41" s="87" t="s">
        <v>14</v>
      </c>
      <c r="C41" s="87" t="s">
        <v>22</v>
      </c>
      <c r="D41" s="88" t="s">
        <v>336</v>
      </c>
      <c r="E41" s="89">
        <v>45689.0</v>
      </c>
      <c r="F41" s="87" t="s">
        <v>330</v>
      </c>
      <c r="H41" s="14"/>
      <c r="I41" s="14"/>
      <c r="J41" s="14"/>
      <c r="K41" s="14"/>
      <c r="L41" s="14"/>
      <c r="M41" s="14"/>
      <c r="N41" s="14"/>
      <c r="O41" s="14"/>
      <c r="P41" s="14"/>
    </row>
    <row r="42" ht="22.5" customHeight="1">
      <c r="A42" s="77">
        <v>7.0</v>
      </c>
      <c r="B42" s="78" t="s">
        <v>14</v>
      </c>
      <c r="C42" s="78" t="s">
        <v>40</v>
      </c>
      <c r="D42" s="83" t="s">
        <v>337</v>
      </c>
      <c r="E42" s="84">
        <v>46056.0</v>
      </c>
      <c r="F42" s="78" t="s">
        <v>330</v>
      </c>
      <c r="H42" s="14"/>
      <c r="I42" s="14"/>
      <c r="J42" s="14"/>
      <c r="K42" s="14"/>
      <c r="L42" s="14"/>
      <c r="M42" s="14"/>
      <c r="N42" s="14"/>
      <c r="O42" s="14"/>
      <c r="P42" s="14"/>
    </row>
    <row r="43" ht="22.5" customHeight="1">
      <c r="A43" s="90">
        <v>8.0</v>
      </c>
      <c r="B43" s="91" t="s">
        <v>37</v>
      </c>
      <c r="C43" s="91" t="s">
        <v>14</v>
      </c>
      <c r="D43" s="92"/>
      <c r="E43" s="93"/>
      <c r="F43" s="94" t="s">
        <v>338</v>
      </c>
      <c r="H43" s="14"/>
      <c r="I43" s="14"/>
      <c r="J43" s="14"/>
      <c r="K43" s="14"/>
      <c r="L43" s="14"/>
      <c r="M43" s="14"/>
      <c r="N43" s="14"/>
      <c r="O43" s="14"/>
      <c r="P43" s="14"/>
    </row>
    <row r="44">
      <c r="A44" s="12"/>
      <c r="D44" s="95"/>
      <c r="E44" s="14"/>
      <c r="F44" s="96"/>
      <c r="H44" s="14"/>
      <c r="I44" s="14"/>
      <c r="J44" s="14"/>
      <c r="K44" s="14"/>
      <c r="L44" s="14"/>
      <c r="M44" s="14"/>
      <c r="N44" s="14"/>
      <c r="O44" s="14"/>
      <c r="P44" s="14"/>
    </row>
    <row r="45">
      <c r="A45" s="12"/>
      <c r="D45" s="95"/>
      <c r="E45" s="14"/>
      <c r="F45" s="96"/>
      <c r="H45" s="14"/>
      <c r="I45" s="14"/>
      <c r="J45" s="14"/>
      <c r="K45" s="14"/>
      <c r="L45" s="14"/>
      <c r="M45" s="14"/>
      <c r="N45" s="14"/>
      <c r="O45" s="14"/>
      <c r="P45" s="14"/>
    </row>
    <row r="46">
      <c r="A46" s="12"/>
      <c r="D46" s="95"/>
      <c r="E46" s="14"/>
      <c r="F46" s="96"/>
      <c r="H46" s="14"/>
      <c r="I46" s="14"/>
      <c r="J46" s="14"/>
      <c r="K46" s="14"/>
      <c r="L46" s="14"/>
      <c r="M46" s="14"/>
      <c r="N46" s="14"/>
      <c r="O46" s="14"/>
      <c r="P46" s="14"/>
    </row>
    <row r="47">
      <c r="A47" s="12"/>
      <c r="D47" s="95"/>
      <c r="E47" s="14"/>
      <c r="F47" s="96"/>
      <c r="H47" s="14"/>
      <c r="I47" s="14"/>
      <c r="J47" s="14"/>
      <c r="K47" s="14"/>
      <c r="L47" s="14"/>
      <c r="M47" s="14"/>
      <c r="N47" s="14"/>
      <c r="O47" s="14"/>
      <c r="P47" s="14"/>
    </row>
    <row r="48">
      <c r="A48" s="12"/>
      <c r="D48" s="95"/>
      <c r="E48" s="14"/>
      <c r="F48" s="96"/>
      <c r="H48" s="14"/>
      <c r="I48" s="14"/>
      <c r="J48" s="14"/>
      <c r="K48" s="14"/>
      <c r="L48" s="14"/>
      <c r="M48" s="14"/>
      <c r="N48" s="14"/>
      <c r="O48" s="14"/>
      <c r="P48" s="14"/>
    </row>
    <row r="49">
      <c r="A49" s="12"/>
      <c r="D49" s="95"/>
      <c r="E49" s="14"/>
      <c r="F49" s="96"/>
      <c r="H49" s="14"/>
      <c r="I49" s="14"/>
      <c r="J49" s="14"/>
      <c r="K49" s="14"/>
      <c r="L49" s="14"/>
      <c r="M49" s="14"/>
      <c r="N49" s="14"/>
      <c r="O49" s="14"/>
      <c r="P49" s="14"/>
    </row>
    <row r="50">
      <c r="A50" s="12"/>
      <c r="D50" s="95"/>
      <c r="E50" s="14"/>
      <c r="F50" s="96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2"/>
      <c r="D51" s="95"/>
      <c r="E51" s="14"/>
      <c r="F51" s="96"/>
      <c r="H51" s="14"/>
      <c r="I51" s="14"/>
      <c r="J51" s="14"/>
      <c r="K51" s="14"/>
      <c r="L51" s="14"/>
      <c r="M51" s="14"/>
      <c r="N51" s="14"/>
      <c r="O51" s="14"/>
      <c r="P51" s="14"/>
    </row>
    <row r="52">
      <c r="A52" s="12"/>
      <c r="D52" s="95"/>
      <c r="E52" s="14"/>
      <c r="F52" s="96"/>
      <c r="H52" s="14"/>
      <c r="I52" s="14"/>
      <c r="J52" s="14"/>
      <c r="K52" s="14"/>
      <c r="L52" s="14"/>
      <c r="M52" s="14"/>
      <c r="N52" s="14"/>
      <c r="O52" s="14"/>
      <c r="P52" s="14"/>
    </row>
    <row r="53">
      <c r="A53" s="12"/>
      <c r="D53" s="95"/>
      <c r="E53" s="14"/>
      <c r="F53" s="96"/>
      <c r="H53" s="14"/>
      <c r="I53" s="14"/>
      <c r="J53" s="14"/>
      <c r="K53" s="14"/>
      <c r="L53" s="14"/>
      <c r="M53" s="14"/>
      <c r="N53" s="14"/>
      <c r="O53" s="14"/>
      <c r="P53" s="14"/>
    </row>
    <row r="54">
      <c r="A54" s="12"/>
      <c r="D54" s="95"/>
      <c r="E54" s="14"/>
      <c r="F54" s="96"/>
      <c r="H54" s="14"/>
      <c r="I54" s="14"/>
      <c r="J54" s="14"/>
      <c r="K54" s="14"/>
      <c r="L54" s="14"/>
      <c r="M54" s="14"/>
      <c r="N54" s="14"/>
      <c r="O54" s="14"/>
      <c r="P54" s="14"/>
    </row>
    <row r="55">
      <c r="A55" s="12"/>
      <c r="D55" s="95"/>
      <c r="E55" s="14"/>
      <c r="F55" s="96"/>
      <c r="H55" s="14"/>
      <c r="I55" s="14"/>
      <c r="J55" s="14"/>
      <c r="K55" s="14"/>
      <c r="L55" s="14"/>
      <c r="M55" s="14"/>
      <c r="N55" s="14"/>
      <c r="O55" s="14"/>
      <c r="P55" s="14"/>
    </row>
    <row r="56">
      <c r="A56" s="12"/>
      <c r="D56" s="95"/>
      <c r="E56" s="14"/>
      <c r="F56" s="96"/>
      <c r="H56" s="14"/>
      <c r="I56" s="14"/>
      <c r="J56" s="14"/>
      <c r="K56" s="14"/>
      <c r="L56" s="14"/>
      <c r="M56" s="14"/>
      <c r="N56" s="14"/>
      <c r="O56" s="14"/>
      <c r="P56" s="14"/>
    </row>
    <row r="57">
      <c r="A57" s="12"/>
      <c r="D57" s="95"/>
      <c r="E57" s="14"/>
      <c r="F57" s="96"/>
      <c r="H57" s="14"/>
      <c r="I57" s="14"/>
      <c r="J57" s="14"/>
      <c r="K57" s="14"/>
      <c r="L57" s="14"/>
      <c r="M57" s="14"/>
      <c r="N57" s="14"/>
      <c r="O57" s="14"/>
      <c r="P57" s="14"/>
    </row>
    <row r="58">
      <c r="A58" s="12"/>
      <c r="D58" s="95"/>
      <c r="E58" s="14"/>
      <c r="F58" s="96"/>
      <c r="H58" s="14"/>
      <c r="I58" s="14"/>
      <c r="J58" s="14"/>
      <c r="K58" s="14"/>
      <c r="L58" s="14"/>
      <c r="M58" s="14"/>
      <c r="N58" s="14"/>
      <c r="O58" s="14"/>
      <c r="P58" s="14"/>
    </row>
    <row r="59">
      <c r="A59" s="12"/>
      <c r="D59" s="95"/>
      <c r="E59" s="14"/>
      <c r="F59" s="96"/>
      <c r="H59" s="14"/>
      <c r="I59" s="14"/>
      <c r="J59" s="14"/>
      <c r="K59" s="14"/>
      <c r="L59" s="14"/>
      <c r="M59" s="14"/>
      <c r="N59" s="14"/>
      <c r="O59" s="14"/>
      <c r="P59" s="14"/>
    </row>
    <row r="60">
      <c r="A60" s="12"/>
      <c r="D60" s="95"/>
      <c r="E60" s="14"/>
      <c r="F60" s="96"/>
      <c r="H60" s="14"/>
      <c r="I60" s="14"/>
      <c r="J60" s="14"/>
      <c r="K60" s="14"/>
      <c r="L60" s="14"/>
      <c r="M60" s="14"/>
      <c r="N60" s="14"/>
      <c r="O60" s="14"/>
      <c r="P60" s="14"/>
    </row>
    <row r="61">
      <c r="A61" s="12"/>
      <c r="D61" s="95"/>
      <c r="E61" s="14"/>
      <c r="F61" s="96"/>
      <c r="H61" s="14"/>
      <c r="I61" s="14"/>
      <c r="J61" s="14"/>
      <c r="K61" s="14"/>
      <c r="L61" s="14"/>
      <c r="M61" s="14"/>
      <c r="N61" s="14"/>
      <c r="O61" s="14"/>
      <c r="P61" s="14"/>
    </row>
    <row r="62">
      <c r="A62" s="12"/>
      <c r="D62" s="95"/>
      <c r="E62" s="14"/>
      <c r="F62" s="96"/>
      <c r="H62" s="14"/>
      <c r="I62" s="14"/>
      <c r="J62" s="14"/>
      <c r="K62" s="14"/>
      <c r="L62" s="14"/>
      <c r="M62" s="14"/>
      <c r="N62" s="14"/>
      <c r="O62" s="14"/>
      <c r="P62" s="14"/>
    </row>
    <row r="63">
      <c r="A63" s="12"/>
      <c r="D63" s="95"/>
      <c r="E63" s="14"/>
      <c r="F63" s="96"/>
      <c r="H63" s="14"/>
      <c r="I63" s="14"/>
      <c r="J63" s="14"/>
      <c r="K63" s="14"/>
      <c r="L63" s="14"/>
      <c r="M63" s="14"/>
      <c r="N63" s="14"/>
      <c r="O63" s="14"/>
      <c r="P63" s="14"/>
    </row>
    <row r="64">
      <c r="A64" s="12"/>
      <c r="D64" s="95"/>
      <c r="E64" s="14"/>
      <c r="F64" s="96"/>
      <c r="H64" s="14"/>
      <c r="I64" s="14"/>
      <c r="J64" s="14"/>
      <c r="K64" s="14"/>
      <c r="L64" s="14"/>
      <c r="M64" s="14"/>
      <c r="N64" s="14"/>
      <c r="O64" s="14"/>
      <c r="P64" s="14"/>
    </row>
    <row r="65">
      <c r="A65" s="12"/>
      <c r="D65" s="95"/>
      <c r="E65" s="14"/>
      <c r="F65" s="96"/>
      <c r="H65" s="14"/>
      <c r="I65" s="14"/>
      <c r="J65" s="14"/>
      <c r="K65" s="14"/>
      <c r="L65" s="14"/>
      <c r="M65" s="14"/>
      <c r="N65" s="14"/>
      <c r="O65" s="14"/>
      <c r="P65" s="14"/>
    </row>
    <row r="66">
      <c r="A66" s="12"/>
      <c r="D66" s="95"/>
      <c r="E66" s="14"/>
      <c r="F66" s="96"/>
      <c r="H66" s="14"/>
      <c r="I66" s="14"/>
      <c r="J66" s="14"/>
      <c r="K66" s="14"/>
      <c r="L66" s="14"/>
      <c r="M66" s="14"/>
      <c r="N66" s="14"/>
      <c r="O66" s="14"/>
      <c r="P66" s="14"/>
    </row>
    <row r="67">
      <c r="A67" s="12"/>
      <c r="D67" s="95"/>
      <c r="E67" s="14"/>
      <c r="F67" s="96"/>
      <c r="H67" s="14"/>
      <c r="I67" s="14"/>
      <c r="J67" s="14"/>
      <c r="K67" s="14"/>
      <c r="L67" s="14"/>
      <c r="M67" s="14"/>
      <c r="N67" s="14"/>
      <c r="O67" s="14"/>
      <c r="P67" s="14"/>
    </row>
    <row r="68">
      <c r="A68" s="12"/>
      <c r="D68" s="95"/>
      <c r="E68" s="14"/>
      <c r="F68" s="96"/>
      <c r="H68" s="14"/>
      <c r="I68" s="14"/>
      <c r="J68" s="14"/>
      <c r="K68" s="14"/>
      <c r="L68" s="14"/>
      <c r="M68" s="14"/>
      <c r="N68" s="14"/>
      <c r="O68" s="14"/>
      <c r="P68" s="14"/>
    </row>
    <row r="69">
      <c r="A69" s="12"/>
      <c r="D69" s="95"/>
      <c r="E69" s="14"/>
      <c r="F69" s="96"/>
      <c r="H69" s="14"/>
      <c r="I69" s="14"/>
      <c r="J69" s="14"/>
      <c r="K69" s="14"/>
      <c r="L69" s="14"/>
      <c r="M69" s="14"/>
      <c r="N69" s="14"/>
      <c r="O69" s="14"/>
      <c r="P69" s="14"/>
    </row>
    <row r="70">
      <c r="A70" s="12"/>
      <c r="D70" s="95"/>
      <c r="E70" s="14"/>
      <c r="F70" s="96"/>
      <c r="H70" s="14"/>
      <c r="I70" s="14"/>
      <c r="J70" s="14"/>
      <c r="K70" s="14"/>
      <c r="L70" s="14"/>
      <c r="M70" s="14"/>
      <c r="N70" s="14"/>
      <c r="O70" s="14"/>
      <c r="P70" s="14"/>
    </row>
    <row r="71">
      <c r="A71" s="12"/>
      <c r="D71" s="95"/>
      <c r="E71" s="14"/>
      <c r="F71" s="96"/>
      <c r="H71" s="14"/>
      <c r="I71" s="14"/>
      <c r="J71" s="14"/>
      <c r="K71" s="14"/>
      <c r="L71" s="14"/>
      <c r="M71" s="14"/>
      <c r="N71" s="14"/>
      <c r="O71" s="14"/>
      <c r="P71" s="14"/>
    </row>
    <row r="72">
      <c r="A72" s="12"/>
      <c r="D72" s="95"/>
      <c r="E72" s="14"/>
      <c r="F72" s="96"/>
      <c r="H72" s="14"/>
      <c r="I72" s="14"/>
      <c r="J72" s="14"/>
      <c r="K72" s="14"/>
      <c r="L72" s="14"/>
      <c r="M72" s="14"/>
      <c r="N72" s="14"/>
      <c r="O72" s="14"/>
      <c r="P72" s="14"/>
    </row>
    <row r="73">
      <c r="A73" s="12"/>
      <c r="D73" s="95"/>
      <c r="E73" s="14"/>
      <c r="F73" s="96"/>
      <c r="H73" s="14"/>
      <c r="I73" s="14"/>
      <c r="J73" s="14"/>
      <c r="K73" s="14"/>
      <c r="L73" s="14"/>
      <c r="M73" s="14"/>
      <c r="N73" s="14"/>
      <c r="O73" s="14"/>
      <c r="P73" s="14"/>
    </row>
    <row r="74">
      <c r="A74" s="12"/>
      <c r="D74" s="95"/>
      <c r="E74" s="14"/>
      <c r="F74" s="96"/>
      <c r="H74" s="14"/>
      <c r="I74" s="14"/>
      <c r="J74" s="14"/>
      <c r="K74" s="14"/>
      <c r="L74" s="14"/>
      <c r="M74" s="14"/>
      <c r="N74" s="14"/>
      <c r="O74" s="14"/>
      <c r="P74" s="14"/>
    </row>
    <row r="75">
      <c r="A75" s="12"/>
      <c r="D75" s="95"/>
      <c r="E75" s="14"/>
      <c r="F75" s="96"/>
      <c r="H75" s="14"/>
      <c r="I75" s="14"/>
      <c r="J75" s="14"/>
      <c r="K75" s="14"/>
      <c r="L75" s="14"/>
      <c r="M75" s="14"/>
      <c r="N75" s="14"/>
      <c r="O75" s="14"/>
      <c r="P75" s="14"/>
    </row>
    <row r="76">
      <c r="A76" s="12"/>
      <c r="D76" s="95"/>
      <c r="E76" s="14"/>
      <c r="F76" s="96"/>
      <c r="H76" s="14"/>
      <c r="I76" s="14"/>
      <c r="J76" s="14"/>
      <c r="K76" s="14"/>
      <c r="L76" s="14"/>
      <c r="M76" s="14"/>
      <c r="N76" s="14"/>
      <c r="O76" s="14"/>
      <c r="P76" s="14"/>
    </row>
    <row r="77">
      <c r="A77" s="12"/>
      <c r="D77" s="95"/>
      <c r="E77" s="14"/>
      <c r="F77" s="96"/>
      <c r="H77" s="14"/>
      <c r="I77" s="14"/>
      <c r="J77" s="14"/>
      <c r="K77" s="14"/>
      <c r="L77" s="14"/>
      <c r="M77" s="14"/>
      <c r="N77" s="14"/>
      <c r="O77" s="14"/>
      <c r="P77" s="14"/>
    </row>
    <row r="78">
      <c r="A78" s="12"/>
      <c r="D78" s="95"/>
      <c r="E78" s="14"/>
      <c r="F78" s="96"/>
      <c r="H78" s="14"/>
      <c r="I78" s="14"/>
      <c r="J78" s="14"/>
      <c r="K78" s="14"/>
      <c r="L78" s="14"/>
      <c r="M78" s="14"/>
      <c r="N78" s="14"/>
      <c r="O78" s="14"/>
      <c r="P78" s="14"/>
    </row>
    <row r="79">
      <c r="A79" s="12"/>
      <c r="D79" s="95"/>
      <c r="E79" s="14"/>
      <c r="F79" s="96"/>
      <c r="H79" s="14"/>
      <c r="I79" s="14"/>
      <c r="J79" s="14"/>
      <c r="K79" s="14"/>
      <c r="L79" s="14"/>
      <c r="M79" s="14"/>
      <c r="N79" s="14"/>
      <c r="O79" s="14"/>
      <c r="P79" s="14"/>
    </row>
    <row r="80">
      <c r="A80" s="12"/>
      <c r="D80" s="95"/>
      <c r="E80" s="14"/>
      <c r="F80" s="96"/>
      <c r="H80" s="14"/>
      <c r="I80" s="14"/>
      <c r="J80" s="14"/>
      <c r="K80" s="14"/>
      <c r="L80" s="14"/>
      <c r="M80" s="14"/>
      <c r="N80" s="14"/>
      <c r="O80" s="14"/>
      <c r="P80" s="14"/>
    </row>
    <row r="81">
      <c r="A81" s="12"/>
      <c r="D81" s="95"/>
      <c r="E81" s="14"/>
      <c r="F81" s="96"/>
      <c r="H81" s="14"/>
      <c r="I81" s="14"/>
      <c r="J81" s="14"/>
      <c r="K81" s="14"/>
      <c r="L81" s="14"/>
      <c r="M81" s="14"/>
      <c r="N81" s="14"/>
      <c r="O81" s="14"/>
      <c r="P81" s="14"/>
    </row>
    <row r="82">
      <c r="A82" s="12"/>
      <c r="D82" s="95"/>
      <c r="E82" s="14"/>
      <c r="F82" s="96"/>
      <c r="H82" s="14"/>
      <c r="I82" s="14"/>
      <c r="J82" s="14"/>
      <c r="K82" s="14"/>
      <c r="L82" s="14"/>
      <c r="M82" s="14"/>
      <c r="N82" s="14"/>
      <c r="O82" s="14"/>
      <c r="P82" s="14"/>
    </row>
    <row r="83">
      <c r="A83" s="12"/>
      <c r="D83" s="95"/>
      <c r="E83" s="14"/>
      <c r="F83" s="96"/>
      <c r="H83" s="14"/>
      <c r="I83" s="14"/>
      <c r="J83" s="14"/>
      <c r="K83" s="14"/>
      <c r="L83" s="14"/>
      <c r="M83" s="14"/>
      <c r="N83" s="14"/>
      <c r="O83" s="14"/>
      <c r="P83" s="14"/>
    </row>
    <row r="84">
      <c r="A84" s="12"/>
      <c r="D84" s="95"/>
      <c r="E84" s="14"/>
      <c r="F84" s="96"/>
      <c r="H84" s="14"/>
      <c r="I84" s="14"/>
      <c r="J84" s="14"/>
      <c r="K84" s="14"/>
      <c r="L84" s="14"/>
      <c r="M84" s="14"/>
      <c r="N84" s="14"/>
      <c r="O84" s="14"/>
      <c r="P84" s="14"/>
    </row>
    <row r="85">
      <c r="A85" s="12"/>
      <c r="D85" s="95"/>
      <c r="E85" s="14"/>
      <c r="F85" s="96"/>
      <c r="H85" s="14"/>
      <c r="I85" s="14"/>
      <c r="J85" s="14"/>
      <c r="K85" s="14"/>
      <c r="L85" s="14"/>
      <c r="M85" s="14"/>
      <c r="N85" s="14"/>
      <c r="O85" s="14"/>
      <c r="P85" s="14"/>
    </row>
    <row r="86">
      <c r="A86" s="12"/>
      <c r="D86" s="95"/>
      <c r="E86" s="14"/>
      <c r="F86" s="96"/>
      <c r="H86" s="14"/>
      <c r="I86" s="14"/>
      <c r="J86" s="14"/>
      <c r="K86" s="14"/>
      <c r="L86" s="14"/>
      <c r="M86" s="14"/>
      <c r="N86" s="14"/>
      <c r="O86" s="14"/>
      <c r="P86" s="14"/>
    </row>
    <row r="87">
      <c r="A87" s="12"/>
      <c r="D87" s="95"/>
      <c r="E87" s="14"/>
      <c r="F87" s="96"/>
      <c r="H87" s="14"/>
      <c r="I87" s="14"/>
      <c r="J87" s="14"/>
      <c r="K87" s="14"/>
      <c r="L87" s="14"/>
      <c r="M87" s="14"/>
      <c r="N87" s="14"/>
      <c r="O87" s="14"/>
      <c r="P87" s="14"/>
    </row>
    <row r="88">
      <c r="A88" s="12"/>
      <c r="D88" s="95"/>
      <c r="E88" s="14"/>
      <c r="F88" s="96"/>
      <c r="H88" s="14"/>
      <c r="I88" s="14"/>
      <c r="J88" s="14"/>
      <c r="K88" s="14"/>
      <c r="L88" s="14"/>
      <c r="M88" s="14"/>
      <c r="N88" s="14"/>
      <c r="O88" s="14"/>
      <c r="P88" s="14"/>
    </row>
    <row r="89">
      <c r="A89" s="12"/>
      <c r="D89" s="95"/>
      <c r="E89" s="14"/>
      <c r="F89" s="96"/>
      <c r="H89" s="14"/>
      <c r="I89" s="14"/>
      <c r="J89" s="14"/>
      <c r="K89" s="14"/>
      <c r="L89" s="14"/>
      <c r="M89" s="14"/>
      <c r="N89" s="14"/>
      <c r="O89" s="14"/>
      <c r="P89" s="14"/>
    </row>
    <row r="90">
      <c r="A90" s="12"/>
      <c r="D90" s="95"/>
      <c r="E90" s="14"/>
      <c r="F90" s="96"/>
      <c r="H90" s="14"/>
      <c r="I90" s="14"/>
      <c r="J90" s="14"/>
      <c r="K90" s="14"/>
      <c r="L90" s="14"/>
      <c r="M90" s="14"/>
      <c r="N90" s="14"/>
      <c r="O90" s="14"/>
      <c r="P90" s="14"/>
    </row>
    <row r="91">
      <c r="A91" s="12"/>
      <c r="D91" s="95"/>
      <c r="E91" s="14"/>
      <c r="F91" s="96"/>
      <c r="H91" s="14"/>
      <c r="I91" s="14"/>
      <c r="J91" s="14"/>
      <c r="K91" s="14"/>
      <c r="L91" s="14"/>
      <c r="M91" s="14"/>
      <c r="N91" s="14"/>
      <c r="O91" s="14"/>
      <c r="P91" s="14"/>
    </row>
    <row r="92">
      <c r="A92" s="12"/>
      <c r="D92" s="95"/>
      <c r="E92" s="14"/>
      <c r="F92" s="96"/>
      <c r="H92" s="14"/>
      <c r="I92" s="14"/>
      <c r="J92" s="14"/>
      <c r="K92" s="14"/>
      <c r="L92" s="14"/>
      <c r="M92" s="14"/>
      <c r="N92" s="14"/>
      <c r="O92" s="14"/>
      <c r="P92" s="14"/>
    </row>
    <row r="93">
      <c r="A93" s="12"/>
      <c r="D93" s="95"/>
      <c r="E93" s="14"/>
      <c r="F93" s="96"/>
      <c r="H93" s="14"/>
      <c r="I93" s="14"/>
      <c r="J93" s="14"/>
      <c r="K93" s="14"/>
      <c r="L93" s="14"/>
      <c r="M93" s="14"/>
      <c r="N93" s="14"/>
      <c r="O93" s="14"/>
      <c r="P93" s="14"/>
    </row>
    <row r="94">
      <c r="A94" s="12"/>
      <c r="D94" s="95"/>
      <c r="E94" s="14"/>
      <c r="F94" s="96"/>
      <c r="H94" s="14"/>
      <c r="I94" s="14"/>
      <c r="J94" s="14"/>
      <c r="K94" s="14"/>
      <c r="L94" s="14"/>
      <c r="M94" s="14"/>
      <c r="N94" s="14"/>
      <c r="O94" s="14"/>
      <c r="P94" s="14"/>
    </row>
    <row r="95">
      <c r="A95" s="12"/>
      <c r="D95" s="95"/>
      <c r="E95" s="14"/>
      <c r="F95" s="96"/>
      <c r="H95" s="14"/>
      <c r="I95" s="14"/>
      <c r="J95" s="14"/>
      <c r="K95" s="14"/>
      <c r="L95" s="14"/>
      <c r="M95" s="14"/>
      <c r="N95" s="14"/>
      <c r="O95" s="14"/>
      <c r="P95" s="14"/>
    </row>
    <row r="96">
      <c r="A96" s="12"/>
      <c r="D96" s="95"/>
      <c r="E96" s="14"/>
      <c r="F96" s="96"/>
      <c r="H96" s="14"/>
      <c r="I96" s="14"/>
      <c r="J96" s="14"/>
      <c r="K96" s="14"/>
      <c r="L96" s="14"/>
      <c r="M96" s="14"/>
      <c r="N96" s="14"/>
      <c r="O96" s="14"/>
      <c r="P96" s="14"/>
    </row>
    <row r="97">
      <c r="A97" s="12"/>
      <c r="D97" s="95"/>
      <c r="E97" s="14"/>
      <c r="F97" s="96"/>
      <c r="H97" s="14"/>
      <c r="I97" s="14"/>
      <c r="J97" s="14"/>
      <c r="K97" s="14"/>
      <c r="L97" s="14"/>
      <c r="M97" s="14"/>
      <c r="N97" s="14"/>
      <c r="O97" s="14"/>
      <c r="P97" s="14"/>
    </row>
    <row r="98">
      <c r="A98" s="12"/>
      <c r="D98" s="95"/>
      <c r="E98" s="14"/>
      <c r="F98" s="96"/>
      <c r="H98" s="14"/>
      <c r="I98" s="14"/>
      <c r="J98" s="14"/>
      <c r="K98" s="14"/>
      <c r="L98" s="14"/>
      <c r="M98" s="14"/>
      <c r="N98" s="14"/>
      <c r="O98" s="14"/>
      <c r="P98" s="14"/>
    </row>
    <row r="99">
      <c r="A99" s="12"/>
      <c r="D99" s="95"/>
      <c r="E99" s="14"/>
      <c r="F99" s="96"/>
      <c r="H99" s="14"/>
      <c r="I99" s="14"/>
      <c r="J99" s="14"/>
      <c r="K99" s="14"/>
      <c r="L99" s="14"/>
      <c r="M99" s="14"/>
      <c r="N99" s="14"/>
      <c r="O99" s="14"/>
      <c r="P99" s="14"/>
    </row>
    <row r="100">
      <c r="A100" s="12"/>
      <c r="D100" s="95"/>
      <c r="E100" s="14"/>
      <c r="F100" s="96"/>
      <c r="H100" s="14"/>
      <c r="I100" s="14"/>
      <c r="J100" s="14"/>
      <c r="K100" s="14"/>
      <c r="L100" s="14"/>
      <c r="M100" s="14"/>
      <c r="N100" s="14"/>
      <c r="O100" s="14"/>
      <c r="P100" s="14"/>
    </row>
    <row r="101">
      <c r="A101" s="12"/>
      <c r="D101" s="95"/>
      <c r="E101" s="14"/>
      <c r="F101" s="96"/>
      <c r="H101" s="14"/>
      <c r="I101" s="14"/>
      <c r="J101" s="14"/>
      <c r="K101" s="14"/>
      <c r="L101" s="14"/>
      <c r="M101" s="14"/>
      <c r="N101" s="14"/>
      <c r="O101" s="14"/>
      <c r="P101" s="14"/>
    </row>
    <row r="102">
      <c r="A102" s="12"/>
      <c r="D102" s="95"/>
      <c r="E102" s="14"/>
      <c r="F102" s="96"/>
      <c r="H102" s="14"/>
      <c r="I102" s="14"/>
      <c r="J102" s="14"/>
      <c r="K102" s="14"/>
      <c r="L102" s="14"/>
      <c r="M102" s="14"/>
      <c r="N102" s="14"/>
      <c r="O102" s="14"/>
      <c r="P102" s="14"/>
    </row>
    <row r="103">
      <c r="A103" s="12"/>
      <c r="D103" s="95"/>
      <c r="E103" s="14"/>
      <c r="F103" s="96"/>
      <c r="H103" s="14"/>
      <c r="I103" s="14"/>
      <c r="J103" s="14"/>
      <c r="K103" s="14"/>
      <c r="L103" s="14"/>
      <c r="M103" s="14"/>
      <c r="N103" s="14"/>
      <c r="O103" s="14"/>
      <c r="P103" s="14"/>
    </row>
    <row r="104">
      <c r="A104" s="12"/>
      <c r="D104" s="95"/>
      <c r="E104" s="14"/>
      <c r="F104" s="96"/>
      <c r="H104" s="14"/>
      <c r="I104" s="14"/>
      <c r="J104" s="14"/>
      <c r="K104" s="14"/>
      <c r="L104" s="14"/>
      <c r="M104" s="14"/>
      <c r="N104" s="14"/>
      <c r="O104" s="14"/>
      <c r="P104" s="14"/>
    </row>
    <row r="105">
      <c r="A105" s="12"/>
      <c r="D105" s="95"/>
      <c r="E105" s="14"/>
      <c r="F105" s="96"/>
      <c r="H105" s="14"/>
      <c r="I105" s="14"/>
      <c r="J105" s="14"/>
      <c r="K105" s="14"/>
      <c r="L105" s="14"/>
      <c r="M105" s="14"/>
      <c r="N105" s="14"/>
      <c r="O105" s="14"/>
      <c r="P105" s="14"/>
    </row>
    <row r="106">
      <c r="A106" s="12"/>
      <c r="D106" s="95"/>
      <c r="E106" s="14"/>
      <c r="F106" s="96"/>
      <c r="H106" s="14"/>
      <c r="I106" s="14"/>
      <c r="J106" s="14"/>
      <c r="K106" s="14"/>
      <c r="L106" s="14"/>
      <c r="M106" s="14"/>
      <c r="N106" s="14"/>
      <c r="O106" s="14"/>
      <c r="P106" s="14"/>
    </row>
    <row r="107">
      <c r="A107" s="12"/>
      <c r="D107" s="95"/>
      <c r="E107" s="14"/>
      <c r="F107" s="96"/>
      <c r="H107" s="14"/>
      <c r="I107" s="14"/>
      <c r="J107" s="14"/>
      <c r="K107" s="14"/>
      <c r="L107" s="14"/>
      <c r="M107" s="14"/>
      <c r="N107" s="14"/>
      <c r="O107" s="14"/>
      <c r="P107" s="14"/>
    </row>
    <row r="108">
      <c r="A108" s="12"/>
      <c r="D108" s="95"/>
      <c r="E108" s="14"/>
      <c r="F108" s="96"/>
      <c r="H108" s="14"/>
      <c r="I108" s="14"/>
      <c r="J108" s="14"/>
      <c r="K108" s="14"/>
      <c r="L108" s="14"/>
      <c r="M108" s="14"/>
      <c r="N108" s="14"/>
      <c r="O108" s="14"/>
      <c r="P108" s="14"/>
    </row>
    <row r="109">
      <c r="A109" s="12"/>
      <c r="D109" s="95"/>
      <c r="E109" s="14"/>
      <c r="F109" s="96"/>
      <c r="H109" s="14"/>
      <c r="I109" s="14"/>
      <c r="J109" s="14"/>
      <c r="K109" s="14"/>
      <c r="L109" s="14"/>
      <c r="M109" s="14"/>
      <c r="N109" s="14"/>
      <c r="O109" s="14"/>
      <c r="P109" s="14"/>
    </row>
    <row r="110">
      <c r="A110" s="12"/>
      <c r="D110" s="95"/>
      <c r="E110" s="14"/>
      <c r="F110" s="96"/>
      <c r="H110" s="14"/>
      <c r="I110" s="14"/>
      <c r="J110" s="14"/>
      <c r="K110" s="14"/>
      <c r="L110" s="14"/>
      <c r="M110" s="14"/>
      <c r="N110" s="14"/>
      <c r="O110" s="14"/>
      <c r="P110" s="14"/>
    </row>
    <row r="111">
      <c r="A111" s="12"/>
      <c r="D111" s="95"/>
      <c r="E111" s="14"/>
      <c r="F111" s="96"/>
      <c r="H111" s="14"/>
      <c r="I111" s="14"/>
      <c r="J111" s="14"/>
      <c r="K111" s="14"/>
      <c r="L111" s="14"/>
      <c r="M111" s="14"/>
      <c r="N111" s="14"/>
      <c r="O111" s="14"/>
      <c r="P111" s="14"/>
    </row>
    <row r="112">
      <c r="A112" s="12"/>
      <c r="D112" s="95"/>
      <c r="E112" s="14"/>
      <c r="F112" s="96"/>
      <c r="H112" s="14"/>
      <c r="I112" s="14"/>
      <c r="J112" s="14"/>
      <c r="K112" s="14"/>
      <c r="L112" s="14"/>
      <c r="M112" s="14"/>
      <c r="N112" s="14"/>
      <c r="O112" s="14"/>
      <c r="P112" s="14"/>
    </row>
    <row r="113">
      <c r="A113" s="12"/>
      <c r="D113" s="95"/>
      <c r="E113" s="14"/>
      <c r="F113" s="96"/>
      <c r="H113" s="14"/>
      <c r="I113" s="14"/>
      <c r="J113" s="14"/>
      <c r="K113" s="14"/>
      <c r="L113" s="14"/>
      <c r="M113" s="14"/>
      <c r="N113" s="14"/>
      <c r="O113" s="14"/>
      <c r="P113" s="14"/>
    </row>
    <row r="114">
      <c r="A114" s="12"/>
      <c r="D114" s="95"/>
      <c r="E114" s="14"/>
      <c r="F114" s="96"/>
      <c r="H114" s="14"/>
      <c r="I114" s="14"/>
      <c r="J114" s="14"/>
      <c r="K114" s="14"/>
      <c r="L114" s="14"/>
      <c r="M114" s="14"/>
      <c r="N114" s="14"/>
      <c r="O114" s="14"/>
      <c r="P114" s="14"/>
    </row>
    <row r="115">
      <c r="A115" s="12"/>
      <c r="D115" s="95"/>
      <c r="E115" s="14"/>
      <c r="F115" s="96"/>
      <c r="H115" s="14"/>
      <c r="I115" s="14"/>
      <c r="J115" s="14"/>
      <c r="K115" s="14"/>
      <c r="L115" s="14"/>
      <c r="M115" s="14"/>
      <c r="N115" s="14"/>
      <c r="O115" s="14"/>
      <c r="P115" s="14"/>
    </row>
    <row r="116">
      <c r="A116" s="12"/>
      <c r="D116" s="95"/>
      <c r="E116" s="14"/>
      <c r="F116" s="96"/>
      <c r="H116" s="14"/>
      <c r="I116" s="14"/>
      <c r="J116" s="14"/>
      <c r="K116" s="14"/>
      <c r="L116" s="14"/>
      <c r="M116" s="14"/>
      <c r="N116" s="14"/>
      <c r="O116" s="14"/>
      <c r="P116" s="14"/>
    </row>
    <row r="117">
      <c r="A117" s="12"/>
      <c r="D117" s="95"/>
      <c r="E117" s="14"/>
      <c r="F117" s="96"/>
      <c r="H117" s="14"/>
      <c r="I117" s="14"/>
      <c r="J117" s="14"/>
      <c r="K117" s="14"/>
      <c r="L117" s="14"/>
      <c r="M117" s="14"/>
      <c r="N117" s="14"/>
      <c r="O117" s="14"/>
      <c r="P117" s="14"/>
    </row>
    <row r="118">
      <c r="A118" s="12"/>
      <c r="D118" s="95"/>
      <c r="E118" s="14"/>
      <c r="F118" s="96"/>
      <c r="H118" s="14"/>
      <c r="I118" s="14"/>
      <c r="J118" s="14"/>
      <c r="K118" s="14"/>
      <c r="L118" s="14"/>
      <c r="M118" s="14"/>
      <c r="N118" s="14"/>
      <c r="O118" s="14"/>
      <c r="P118" s="14"/>
    </row>
    <row r="119">
      <c r="A119" s="12"/>
      <c r="D119" s="95"/>
      <c r="E119" s="14"/>
      <c r="F119" s="96"/>
      <c r="H119" s="14"/>
      <c r="I119" s="14"/>
      <c r="J119" s="14"/>
      <c r="K119" s="14"/>
      <c r="L119" s="14"/>
      <c r="M119" s="14"/>
      <c r="N119" s="14"/>
      <c r="O119" s="14"/>
      <c r="P119" s="14"/>
    </row>
    <row r="120">
      <c r="A120" s="12"/>
      <c r="D120" s="95"/>
      <c r="E120" s="14"/>
      <c r="F120" s="96"/>
      <c r="H120" s="14"/>
      <c r="I120" s="14"/>
      <c r="J120" s="14"/>
      <c r="K120" s="14"/>
      <c r="L120" s="14"/>
      <c r="M120" s="14"/>
      <c r="N120" s="14"/>
      <c r="O120" s="14"/>
      <c r="P120" s="14"/>
    </row>
    <row r="121">
      <c r="A121" s="12"/>
      <c r="D121" s="95"/>
      <c r="E121" s="14"/>
      <c r="F121" s="96"/>
      <c r="H121" s="14"/>
      <c r="I121" s="14"/>
      <c r="J121" s="14"/>
      <c r="K121" s="14"/>
      <c r="L121" s="14"/>
      <c r="M121" s="14"/>
      <c r="N121" s="14"/>
      <c r="O121" s="14"/>
      <c r="P121" s="14"/>
    </row>
    <row r="122">
      <c r="A122" s="12"/>
      <c r="D122" s="95"/>
      <c r="E122" s="14"/>
      <c r="F122" s="96"/>
      <c r="H122" s="14"/>
      <c r="I122" s="14"/>
      <c r="J122" s="14"/>
      <c r="K122" s="14"/>
      <c r="L122" s="14"/>
      <c r="M122" s="14"/>
      <c r="N122" s="14"/>
      <c r="O122" s="14"/>
      <c r="P122" s="14"/>
    </row>
    <row r="123">
      <c r="A123" s="12"/>
      <c r="D123" s="95"/>
      <c r="E123" s="14"/>
      <c r="F123" s="96"/>
      <c r="H123" s="14"/>
      <c r="I123" s="14"/>
      <c r="J123" s="14"/>
      <c r="K123" s="14"/>
      <c r="L123" s="14"/>
      <c r="M123" s="14"/>
      <c r="N123" s="14"/>
      <c r="O123" s="14"/>
      <c r="P123" s="14"/>
    </row>
    <row r="124">
      <c r="A124" s="12"/>
      <c r="D124" s="95"/>
      <c r="E124" s="14"/>
      <c r="F124" s="96"/>
      <c r="H124" s="14"/>
      <c r="I124" s="14"/>
      <c r="J124" s="14"/>
      <c r="K124" s="14"/>
      <c r="L124" s="14"/>
      <c r="M124" s="14"/>
      <c r="N124" s="14"/>
      <c r="O124" s="14"/>
      <c r="P124" s="14"/>
    </row>
    <row r="125">
      <c r="A125" s="12"/>
      <c r="D125" s="95"/>
      <c r="E125" s="14"/>
      <c r="F125" s="96"/>
      <c r="H125" s="14"/>
      <c r="I125" s="14"/>
      <c r="J125" s="14"/>
      <c r="K125" s="14"/>
      <c r="L125" s="14"/>
      <c r="M125" s="14"/>
      <c r="N125" s="14"/>
      <c r="O125" s="14"/>
      <c r="P125" s="14"/>
    </row>
    <row r="126">
      <c r="A126" s="12"/>
      <c r="D126" s="95"/>
      <c r="E126" s="14"/>
      <c r="F126" s="96"/>
      <c r="H126" s="14"/>
      <c r="I126" s="14"/>
      <c r="J126" s="14"/>
      <c r="K126" s="14"/>
      <c r="L126" s="14"/>
      <c r="M126" s="14"/>
      <c r="N126" s="14"/>
      <c r="O126" s="14"/>
      <c r="P126" s="14"/>
    </row>
    <row r="127">
      <c r="A127" s="12"/>
      <c r="D127" s="95"/>
      <c r="E127" s="14"/>
      <c r="F127" s="96"/>
      <c r="H127" s="14"/>
      <c r="I127" s="14"/>
      <c r="J127" s="14"/>
      <c r="K127" s="14"/>
      <c r="L127" s="14"/>
      <c r="M127" s="14"/>
      <c r="N127" s="14"/>
      <c r="O127" s="14"/>
      <c r="P127" s="14"/>
    </row>
    <row r="128">
      <c r="A128" s="12"/>
      <c r="D128" s="95"/>
      <c r="E128" s="14"/>
      <c r="F128" s="96"/>
      <c r="H128" s="14"/>
      <c r="I128" s="14"/>
      <c r="J128" s="14"/>
      <c r="K128" s="14"/>
      <c r="L128" s="14"/>
      <c r="M128" s="14"/>
      <c r="N128" s="14"/>
      <c r="O128" s="14"/>
      <c r="P128" s="14"/>
    </row>
    <row r="129">
      <c r="A129" s="12"/>
      <c r="D129" s="95"/>
      <c r="E129" s="14"/>
      <c r="F129" s="96"/>
      <c r="H129" s="14"/>
      <c r="I129" s="14"/>
      <c r="J129" s="14"/>
      <c r="K129" s="14"/>
      <c r="L129" s="14"/>
      <c r="M129" s="14"/>
      <c r="N129" s="14"/>
      <c r="O129" s="14"/>
      <c r="P129" s="14"/>
    </row>
    <row r="130">
      <c r="A130" s="12"/>
      <c r="D130" s="95"/>
      <c r="E130" s="14"/>
      <c r="F130" s="96"/>
      <c r="H130" s="14"/>
      <c r="I130" s="14"/>
      <c r="J130" s="14"/>
      <c r="K130" s="14"/>
      <c r="L130" s="14"/>
      <c r="M130" s="14"/>
      <c r="N130" s="14"/>
      <c r="O130" s="14"/>
      <c r="P130" s="14"/>
    </row>
    <row r="131">
      <c r="A131" s="12"/>
      <c r="D131" s="95"/>
      <c r="E131" s="14"/>
      <c r="F131" s="96"/>
      <c r="H131" s="14"/>
      <c r="I131" s="14"/>
      <c r="J131" s="14"/>
      <c r="K131" s="14"/>
      <c r="L131" s="14"/>
      <c r="M131" s="14"/>
      <c r="N131" s="14"/>
      <c r="O131" s="14"/>
      <c r="P131" s="14"/>
    </row>
    <row r="132">
      <c r="A132" s="12"/>
      <c r="D132" s="95"/>
      <c r="E132" s="14"/>
      <c r="F132" s="96"/>
      <c r="H132" s="14"/>
      <c r="I132" s="14"/>
      <c r="J132" s="14"/>
      <c r="K132" s="14"/>
      <c r="L132" s="14"/>
      <c r="M132" s="14"/>
      <c r="N132" s="14"/>
      <c r="O132" s="14"/>
      <c r="P132" s="14"/>
    </row>
    <row r="133">
      <c r="A133" s="12"/>
      <c r="D133" s="95"/>
      <c r="E133" s="14"/>
      <c r="F133" s="96"/>
      <c r="H133" s="14"/>
      <c r="I133" s="14"/>
      <c r="J133" s="14"/>
      <c r="K133" s="14"/>
      <c r="L133" s="14"/>
      <c r="M133" s="14"/>
      <c r="N133" s="14"/>
      <c r="O133" s="14"/>
      <c r="P133" s="14"/>
    </row>
    <row r="134">
      <c r="A134" s="12"/>
      <c r="D134" s="95"/>
      <c r="E134" s="14"/>
      <c r="F134" s="96"/>
      <c r="H134" s="14"/>
      <c r="I134" s="14"/>
      <c r="J134" s="14"/>
      <c r="K134" s="14"/>
      <c r="L134" s="14"/>
      <c r="M134" s="14"/>
      <c r="N134" s="14"/>
      <c r="O134" s="14"/>
      <c r="P134" s="14"/>
    </row>
    <row r="135">
      <c r="A135" s="12"/>
      <c r="D135" s="95"/>
      <c r="E135" s="14"/>
      <c r="F135" s="96"/>
      <c r="H135" s="14"/>
      <c r="I135" s="14"/>
      <c r="J135" s="14"/>
      <c r="K135" s="14"/>
      <c r="L135" s="14"/>
      <c r="M135" s="14"/>
      <c r="N135" s="14"/>
      <c r="O135" s="14"/>
      <c r="P135" s="14"/>
    </row>
    <row r="136">
      <c r="A136" s="12"/>
      <c r="D136" s="95"/>
      <c r="E136" s="14"/>
      <c r="F136" s="96"/>
      <c r="H136" s="14"/>
      <c r="I136" s="14"/>
      <c r="J136" s="14"/>
      <c r="K136" s="14"/>
      <c r="L136" s="14"/>
      <c r="M136" s="14"/>
      <c r="N136" s="14"/>
      <c r="O136" s="14"/>
      <c r="P136" s="14"/>
    </row>
    <row r="137">
      <c r="A137" s="12"/>
      <c r="D137" s="95"/>
      <c r="E137" s="14"/>
      <c r="F137" s="96"/>
      <c r="H137" s="14"/>
      <c r="I137" s="14"/>
      <c r="J137" s="14"/>
      <c r="K137" s="14"/>
      <c r="L137" s="14"/>
      <c r="M137" s="14"/>
      <c r="N137" s="14"/>
      <c r="O137" s="14"/>
      <c r="P137" s="14"/>
    </row>
    <row r="138">
      <c r="A138" s="12"/>
      <c r="D138" s="95"/>
      <c r="E138" s="14"/>
      <c r="F138" s="96"/>
      <c r="H138" s="14"/>
      <c r="I138" s="14"/>
      <c r="J138" s="14"/>
      <c r="K138" s="14"/>
      <c r="L138" s="14"/>
      <c r="M138" s="14"/>
      <c r="N138" s="14"/>
      <c r="O138" s="14"/>
      <c r="P138" s="14"/>
    </row>
    <row r="139">
      <c r="A139" s="12"/>
      <c r="D139" s="95"/>
      <c r="E139" s="14"/>
      <c r="F139" s="96"/>
      <c r="H139" s="14"/>
      <c r="I139" s="14"/>
      <c r="J139" s="14"/>
      <c r="K139" s="14"/>
      <c r="L139" s="14"/>
      <c r="M139" s="14"/>
      <c r="N139" s="14"/>
      <c r="O139" s="14"/>
      <c r="P139" s="14"/>
    </row>
    <row r="140">
      <c r="A140" s="12"/>
      <c r="D140" s="95"/>
      <c r="E140" s="14"/>
      <c r="F140" s="96"/>
      <c r="H140" s="14"/>
      <c r="I140" s="14"/>
      <c r="J140" s="14"/>
      <c r="K140" s="14"/>
      <c r="L140" s="14"/>
      <c r="M140" s="14"/>
      <c r="N140" s="14"/>
      <c r="O140" s="14"/>
      <c r="P140" s="14"/>
    </row>
    <row r="141">
      <c r="A141" s="12"/>
      <c r="D141" s="95"/>
      <c r="E141" s="14"/>
      <c r="F141" s="96"/>
      <c r="H141" s="14"/>
      <c r="I141" s="14"/>
      <c r="J141" s="14"/>
      <c r="K141" s="14"/>
      <c r="L141" s="14"/>
      <c r="M141" s="14"/>
      <c r="N141" s="14"/>
      <c r="O141" s="14"/>
      <c r="P141" s="14"/>
    </row>
    <row r="142">
      <c r="A142" s="12"/>
      <c r="D142" s="95"/>
      <c r="E142" s="14"/>
      <c r="F142" s="96"/>
      <c r="H142" s="14"/>
      <c r="I142" s="14"/>
      <c r="J142" s="14"/>
      <c r="K142" s="14"/>
      <c r="L142" s="14"/>
      <c r="M142" s="14"/>
      <c r="N142" s="14"/>
      <c r="O142" s="14"/>
      <c r="P142" s="14"/>
    </row>
    <row r="143">
      <c r="A143" s="12"/>
      <c r="D143" s="95"/>
      <c r="E143" s="14"/>
      <c r="F143" s="96"/>
      <c r="H143" s="14"/>
      <c r="I143" s="14"/>
      <c r="J143" s="14"/>
      <c r="K143" s="14"/>
      <c r="L143" s="14"/>
      <c r="M143" s="14"/>
      <c r="N143" s="14"/>
      <c r="O143" s="14"/>
      <c r="P143" s="14"/>
    </row>
    <row r="144">
      <c r="A144" s="12"/>
      <c r="D144" s="95"/>
      <c r="E144" s="14"/>
      <c r="F144" s="96"/>
      <c r="H144" s="14"/>
      <c r="I144" s="14"/>
      <c r="J144" s="14"/>
      <c r="K144" s="14"/>
      <c r="L144" s="14"/>
      <c r="M144" s="14"/>
      <c r="N144" s="14"/>
      <c r="O144" s="14"/>
      <c r="P144" s="14"/>
    </row>
    <row r="145">
      <c r="A145" s="12"/>
      <c r="D145" s="95"/>
      <c r="E145" s="14"/>
      <c r="F145" s="96"/>
      <c r="H145" s="14"/>
      <c r="I145" s="14"/>
      <c r="J145" s="14"/>
      <c r="K145" s="14"/>
      <c r="L145" s="14"/>
      <c r="M145" s="14"/>
      <c r="N145" s="14"/>
      <c r="O145" s="14"/>
      <c r="P145" s="14"/>
    </row>
    <row r="146">
      <c r="A146" s="12"/>
      <c r="D146" s="95"/>
      <c r="E146" s="14"/>
      <c r="F146" s="96"/>
      <c r="H146" s="14"/>
      <c r="I146" s="14"/>
      <c r="J146" s="14"/>
      <c r="K146" s="14"/>
      <c r="L146" s="14"/>
      <c r="M146" s="14"/>
      <c r="N146" s="14"/>
      <c r="O146" s="14"/>
      <c r="P146" s="14"/>
    </row>
    <row r="147">
      <c r="A147" s="12"/>
      <c r="D147" s="95"/>
      <c r="E147" s="14"/>
      <c r="F147" s="96"/>
      <c r="H147" s="14"/>
      <c r="I147" s="14"/>
      <c r="J147" s="14"/>
      <c r="K147" s="14"/>
      <c r="L147" s="14"/>
      <c r="M147" s="14"/>
      <c r="N147" s="14"/>
      <c r="O147" s="14"/>
      <c r="P147" s="14"/>
    </row>
    <row r="148">
      <c r="A148" s="12"/>
      <c r="D148" s="95"/>
      <c r="E148" s="14"/>
      <c r="F148" s="96"/>
      <c r="H148" s="14"/>
      <c r="I148" s="14"/>
      <c r="J148" s="14"/>
      <c r="K148" s="14"/>
      <c r="L148" s="14"/>
      <c r="M148" s="14"/>
      <c r="N148" s="14"/>
      <c r="O148" s="14"/>
      <c r="P148" s="14"/>
    </row>
    <row r="149">
      <c r="A149" s="12"/>
      <c r="D149" s="95"/>
      <c r="E149" s="14"/>
      <c r="F149" s="96"/>
      <c r="H149" s="14"/>
      <c r="I149" s="14"/>
      <c r="J149" s="14"/>
      <c r="K149" s="14"/>
      <c r="L149" s="14"/>
      <c r="M149" s="14"/>
      <c r="N149" s="14"/>
      <c r="O149" s="14"/>
      <c r="P149" s="14"/>
    </row>
    <row r="150">
      <c r="A150" s="12"/>
      <c r="D150" s="95"/>
      <c r="E150" s="14"/>
      <c r="F150" s="96"/>
      <c r="H150" s="14"/>
      <c r="I150" s="14"/>
      <c r="J150" s="14"/>
      <c r="K150" s="14"/>
      <c r="L150" s="14"/>
      <c r="M150" s="14"/>
      <c r="N150" s="14"/>
      <c r="O150" s="14"/>
      <c r="P150" s="14"/>
    </row>
    <row r="151">
      <c r="A151" s="12"/>
      <c r="D151" s="95"/>
      <c r="E151" s="14"/>
      <c r="F151" s="96"/>
      <c r="H151" s="14"/>
      <c r="I151" s="14"/>
      <c r="J151" s="14"/>
      <c r="K151" s="14"/>
      <c r="L151" s="14"/>
      <c r="M151" s="14"/>
      <c r="N151" s="14"/>
      <c r="O151" s="14"/>
      <c r="P151" s="14"/>
    </row>
    <row r="152">
      <c r="A152" s="12"/>
      <c r="D152" s="95"/>
      <c r="E152" s="14"/>
      <c r="F152" s="96"/>
      <c r="H152" s="14"/>
      <c r="I152" s="14"/>
      <c r="J152" s="14"/>
      <c r="K152" s="14"/>
      <c r="L152" s="14"/>
      <c r="M152" s="14"/>
      <c r="N152" s="14"/>
      <c r="O152" s="14"/>
      <c r="P152" s="14"/>
    </row>
    <row r="153">
      <c r="A153" s="12"/>
      <c r="D153" s="95"/>
      <c r="E153" s="14"/>
      <c r="F153" s="96"/>
      <c r="H153" s="14"/>
      <c r="I153" s="14"/>
      <c r="J153" s="14"/>
      <c r="K153" s="14"/>
      <c r="L153" s="14"/>
      <c r="M153" s="14"/>
      <c r="N153" s="14"/>
      <c r="O153" s="14"/>
      <c r="P153" s="14"/>
    </row>
    <row r="154">
      <c r="A154" s="12"/>
      <c r="D154" s="95"/>
      <c r="E154" s="14"/>
      <c r="F154" s="96"/>
      <c r="H154" s="14"/>
      <c r="I154" s="14"/>
      <c r="J154" s="14"/>
      <c r="K154" s="14"/>
      <c r="L154" s="14"/>
      <c r="M154" s="14"/>
      <c r="N154" s="14"/>
      <c r="O154" s="14"/>
      <c r="P154" s="14"/>
    </row>
    <row r="155">
      <c r="A155" s="12"/>
      <c r="D155" s="95"/>
      <c r="E155" s="14"/>
      <c r="F155" s="96"/>
      <c r="H155" s="14"/>
      <c r="I155" s="14"/>
      <c r="J155" s="14"/>
      <c r="K155" s="14"/>
      <c r="L155" s="14"/>
      <c r="M155" s="14"/>
      <c r="N155" s="14"/>
      <c r="O155" s="14"/>
      <c r="P155" s="14"/>
    </row>
    <row r="156">
      <c r="A156" s="12"/>
      <c r="D156" s="95"/>
      <c r="E156" s="14"/>
      <c r="F156" s="96"/>
      <c r="H156" s="14"/>
      <c r="I156" s="14"/>
      <c r="J156" s="14"/>
      <c r="K156" s="14"/>
      <c r="L156" s="14"/>
      <c r="M156" s="14"/>
      <c r="N156" s="14"/>
      <c r="O156" s="14"/>
      <c r="P156" s="14"/>
    </row>
    <row r="157">
      <c r="A157" s="12"/>
      <c r="D157" s="95"/>
      <c r="E157" s="14"/>
      <c r="F157" s="96"/>
      <c r="H157" s="14"/>
      <c r="I157" s="14"/>
      <c r="J157" s="14"/>
      <c r="K157" s="14"/>
      <c r="L157" s="14"/>
      <c r="M157" s="14"/>
      <c r="N157" s="14"/>
      <c r="O157" s="14"/>
      <c r="P157" s="14"/>
    </row>
    <row r="158">
      <c r="A158" s="12"/>
      <c r="D158" s="95"/>
      <c r="E158" s="14"/>
      <c r="F158" s="96"/>
      <c r="H158" s="14"/>
      <c r="I158" s="14"/>
      <c r="J158" s="14"/>
      <c r="K158" s="14"/>
      <c r="L158" s="14"/>
      <c r="M158" s="14"/>
      <c r="N158" s="14"/>
      <c r="O158" s="14"/>
      <c r="P158" s="14"/>
    </row>
    <row r="159">
      <c r="A159" s="12"/>
      <c r="D159" s="95"/>
      <c r="E159" s="14"/>
      <c r="F159" s="96"/>
      <c r="H159" s="14"/>
      <c r="I159" s="14"/>
      <c r="J159" s="14"/>
      <c r="K159" s="14"/>
      <c r="L159" s="14"/>
      <c r="M159" s="14"/>
      <c r="N159" s="14"/>
      <c r="O159" s="14"/>
      <c r="P159" s="14"/>
    </row>
    <row r="160">
      <c r="A160" s="12"/>
      <c r="D160" s="95"/>
      <c r="E160" s="14"/>
      <c r="F160" s="96"/>
      <c r="H160" s="14"/>
      <c r="I160" s="14"/>
      <c r="J160" s="14"/>
      <c r="K160" s="14"/>
      <c r="L160" s="14"/>
      <c r="M160" s="14"/>
      <c r="N160" s="14"/>
      <c r="O160" s="14"/>
      <c r="P160" s="14"/>
    </row>
    <row r="161">
      <c r="A161" s="12"/>
      <c r="D161" s="95"/>
      <c r="E161" s="14"/>
      <c r="F161" s="96"/>
      <c r="H161" s="14"/>
      <c r="I161" s="14"/>
      <c r="J161" s="14"/>
      <c r="K161" s="14"/>
      <c r="L161" s="14"/>
      <c r="M161" s="14"/>
      <c r="N161" s="14"/>
      <c r="O161" s="14"/>
      <c r="P161" s="14"/>
    </row>
    <row r="162">
      <c r="A162" s="12"/>
      <c r="D162" s="95"/>
      <c r="E162" s="14"/>
      <c r="F162" s="96"/>
      <c r="H162" s="14"/>
      <c r="I162" s="14"/>
      <c r="J162" s="14"/>
      <c r="K162" s="14"/>
      <c r="L162" s="14"/>
      <c r="M162" s="14"/>
      <c r="N162" s="14"/>
      <c r="O162" s="14"/>
      <c r="P162" s="14"/>
    </row>
    <row r="163">
      <c r="A163" s="12"/>
      <c r="D163" s="95"/>
      <c r="E163" s="14"/>
      <c r="F163" s="96"/>
      <c r="H163" s="14"/>
      <c r="I163" s="14"/>
      <c r="J163" s="14"/>
      <c r="K163" s="14"/>
      <c r="L163" s="14"/>
      <c r="M163" s="14"/>
      <c r="N163" s="14"/>
      <c r="O163" s="14"/>
      <c r="P163" s="14"/>
    </row>
    <row r="164">
      <c r="A164" s="12"/>
      <c r="D164" s="95"/>
      <c r="E164" s="14"/>
      <c r="F164" s="96"/>
      <c r="H164" s="14"/>
      <c r="I164" s="14"/>
      <c r="J164" s="14"/>
      <c r="K164" s="14"/>
      <c r="L164" s="14"/>
      <c r="M164" s="14"/>
      <c r="N164" s="14"/>
      <c r="O164" s="14"/>
      <c r="P164" s="14"/>
    </row>
    <row r="165">
      <c r="A165" s="12"/>
      <c r="D165" s="95"/>
      <c r="E165" s="14"/>
      <c r="F165" s="96"/>
      <c r="H165" s="14"/>
      <c r="I165" s="14"/>
      <c r="J165" s="14"/>
      <c r="K165" s="14"/>
      <c r="L165" s="14"/>
      <c r="M165" s="14"/>
      <c r="N165" s="14"/>
      <c r="O165" s="14"/>
      <c r="P165" s="14"/>
    </row>
    <row r="166">
      <c r="A166" s="12"/>
      <c r="D166" s="95"/>
      <c r="E166" s="14"/>
      <c r="F166" s="96"/>
      <c r="H166" s="14"/>
      <c r="I166" s="14"/>
      <c r="J166" s="14"/>
      <c r="K166" s="14"/>
      <c r="L166" s="14"/>
      <c r="M166" s="14"/>
      <c r="N166" s="14"/>
      <c r="O166" s="14"/>
      <c r="P166" s="14"/>
    </row>
    <row r="167">
      <c r="A167" s="12"/>
      <c r="D167" s="95"/>
      <c r="E167" s="14"/>
      <c r="F167" s="96"/>
      <c r="H167" s="14"/>
      <c r="I167" s="14"/>
      <c r="J167" s="14"/>
      <c r="K167" s="14"/>
      <c r="L167" s="14"/>
      <c r="M167" s="14"/>
      <c r="N167" s="14"/>
      <c r="O167" s="14"/>
      <c r="P167" s="14"/>
    </row>
    <row r="168">
      <c r="A168" s="12"/>
      <c r="D168" s="95"/>
      <c r="E168" s="14"/>
      <c r="F168" s="96"/>
      <c r="H168" s="14"/>
      <c r="I168" s="14"/>
      <c r="J168" s="14"/>
      <c r="K168" s="14"/>
      <c r="L168" s="14"/>
      <c r="M168" s="14"/>
      <c r="N168" s="14"/>
      <c r="O168" s="14"/>
      <c r="P168" s="14"/>
    </row>
    <row r="169">
      <c r="A169" s="12"/>
      <c r="D169" s="95"/>
      <c r="E169" s="14"/>
      <c r="F169" s="96"/>
      <c r="H169" s="14"/>
      <c r="I169" s="14"/>
      <c r="J169" s="14"/>
      <c r="K169" s="14"/>
      <c r="L169" s="14"/>
      <c r="M169" s="14"/>
      <c r="N169" s="14"/>
      <c r="O169" s="14"/>
      <c r="P169" s="14"/>
    </row>
    <row r="170">
      <c r="A170" s="12"/>
      <c r="D170" s="95"/>
      <c r="E170" s="14"/>
      <c r="F170" s="96"/>
      <c r="H170" s="14"/>
      <c r="I170" s="14"/>
      <c r="J170" s="14"/>
      <c r="K170" s="14"/>
      <c r="L170" s="14"/>
      <c r="M170" s="14"/>
      <c r="N170" s="14"/>
      <c r="O170" s="14"/>
      <c r="P170" s="14"/>
    </row>
    <row r="171">
      <c r="A171" s="12"/>
      <c r="D171" s="95"/>
      <c r="E171" s="14"/>
      <c r="F171" s="96"/>
      <c r="H171" s="14"/>
      <c r="I171" s="14"/>
      <c r="J171" s="14"/>
      <c r="K171" s="14"/>
      <c r="L171" s="14"/>
      <c r="M171" s="14"/>
      <c r="N171" s="14"/>
      <c r="O171" s="14"/>
      <c r="P171" s="14"/>
    </row>
    <row r="172">
      <c r="A172" s="12"/>
      <c r="D172" s="95"/>
      <c r="E172" s="14"/>
      <c r="F172" s="96"/>
      <c r="H172" s="14"/>
      <c r="I172" s="14"/>
      <c r="J172" s="14"/>
      <c r="K172" s="14"/>
      <c r="L172" s="14"/>
      <c r="M172" s="14"/>
      <c r="N172" s="14"/>
      <c r="O172" s="14"/>
      <c r="P172" s="14"/>
    </row>
    <row r="173">
      <c r="A173" s="12"/>
      <c r="D173" s="95"/>
      <c r="E173" s="14"/>
      <c r="F173" s="96"/>
      <c r="H173" s="14"/>
      <c r="I173" s="14"/>
      <c r="J173" s="14"/>
      <c r="K173" s="14"/>
      <c r="L173" s="14"/>
      <c r="M173" s="14"/>
      <c r="N173" s="14"/>
      <c r="O173" s="14"/>
      <c r="P173" s="14"/>
    </row>
    <row r="174">
      <c r="A174" s="12"/>
      <c r="D174" s="95"/>
      <c r="E174" s="14"/>
      <c r="F174" s="96"/>
      <c r="H174" s="14"/>
      <c r="I174" s="14"/>
      <c r="J174" s="14"/>
      <c r="K174" s="14"/>
      <c r="L174" s="14"/>
      <c r="M174" s="14"/>
      <c r="N174" s="14"/>
      <c r="O174" s="14"/>
      <c r="P174" s="14"/>
    </row>
    <row r="175">
      <c r="A175" s="12"/>
      <c r="D175" s="95"/>
      <c r="E175" s="14"/>
      <c r="F175" s="96"/>
      <c r="H175" s="14"/>
      <c r="I175" s="14"/>
      <c r="J175" s="14"/>
      <c r="K175" s="14"/>
      <c r="L175" s="14"/>
      <c r="M175" s="14"/>
      <c r="N175" s="14"/>
      <c r="O175" s="14"/>
      <c r="P175" s="14"/>
    </row>
    <row r="176">
      <c r="A176" s="12"/>
      <c r="D176" s="95"/>
      <c r="E176" s="14"/>
      <c r="F176" s="96"/>
      <c r="H176" s="14"/>
      <c r="I176" s="14"/>
      <c r="J176" s="14"/>
      <c r="K176" s="14"/>
      <c r="L176" s="14"/>
      <c r="M176" s="14"/>
      <c r="N176" s="14"/>
      <c r="O176" s="14"/>
      <c r="P176" s="14"/>
    </row>
    <row r="177">
      <c r="A177" s="12"/>
      <c r="D177" s="95"/>
      <c r="E177" s="14"/>
      <c r="F177" s="96"/>
      <c r="H177" s="14"/>
      <c r="I177" s="14"/>
      <c r="J177" s="14"/>
      <c r="K177" s="14"/>
      <c r="L177" s="14"/>
      <c r="M177" s="14"/>
      <c r="N177" s="14"/>
      <c r="O177" s="14"/>
      <c r="P177" s="14"/>
    </row>
    <row r="178">
      <c r="A178" s="12"/>
      <c r="D178" s="95"/>
      <c r="E178" s="14"/>
      <c r="F178" s="96"/>
      <c r="H178" s="14"/>
      <c r="I178" s="14"/>
      <c r="J178" s="14"/>
      <c r="K178" s="14"/>
      <c r="L178" s="14"/>
      <c r="M178" s="14"/>
      <c r="N178" s="14"/>
      <c r="O178" s="14"/>
      <c r="P178" s="14"/>
    </row>
    <row r="179">
      <c r="A179" s="12"/>
      <c r="D179" s="95"/>
      <c r="E179" s="14"/>
      <c r="F179" s="96"/>
      <c r="H179" s="14"/>
      <c r="I179" s="14"/>
      <c r="J179" s="14"/>
      <c r="K179" s="14"/>
      <c r="L179" s="14"/>
      <c r="M179" s="14"/>
      <c r="N179" s="14"/>
      <c r="O179" s="14"/>
      <c r="P179" s="14"/>
    </row>
    <row r="180">
      <c r="A180" s="12"/>
      <c r="D180" s="95"/>
      <c r="E180" s="14"/>
      <c r="F180" s="96"/>
      <c r="H180" s="14"/>
      <c r="I180" s="14"/>
      <c r="J180" s="14"/>
      <c r="K180" s="14"/>
      <c r="L180" s="14"/>
      <c r="M180" s="14"/>
      <c r="N180" s="14"/>
      <c r="O180" s="14"/>
      <c r="P180" s="14"/>
    </row>
    <row r="181">
      <c r="A181" s="12"/>
      <c r="D181" s="95"/>
      <c r="E181" s="14"/>
      <c r="F181" s="96"/>
      <c r="H181" s="14"/>
      <c r="I181" s="14"/>
      <c r="J181" s="14"/>
      <c r="K181" s="14"/>
      <c r="L181" s="14"/>
      <c r="M181" s="14"/>
      <c r="N181" s="14"/>
      <c r="O181" s="14"/>
      <c r="P181" s="14"/>
    </row>
    <row r="182">
      <c r="A182" s="12"/>
      <c r="D182" s="95"/>
      <c r="E182" s="14"/>
      <c r="F182" s="96"/>
      <c r="H182" s="14"/>
      <c r="I182" s="14"/>
      <c r="J182" s="14"/>
      <c r="K182" s="14"/>
      <c r="L182" s="14"/>
      <c r="M182" s="14"/>
      <c r="N182" s="14"/>
      <c r="O182" s="14"/>
      <c r="P182" s="14"/>
    </row>
    <row r="183">
      <c r="A183" s="12"/>
      <c r="D183" s="95"/>
      <c r="E183" s="14"/>
      <c r="F183" s="96"/>
      <c r="H183" s="14"/>
      <c r="I183" s="14"/>
      <c r="J183" s="14"/>
      <c r="K183" s="14"/>
      <c r="L183" s="14"/>
      <c r="M183" s="14"/>
      <c r="N183" s="14"/>
      <c r="O183" s="14"/>
      <c r="P183" s="14"/>
    </row>
    <row r="184">
      <c r="A184" s="12"/>
      <c r="D184" s="95"/>
      <c r="E184" s="14"/>
      <c r="F184" s="96"/>
      <c r="H184" s="14"/>
      <c r="I184" s="14"/>
      <c r="J184" s="14"/>
      <c r="K184" s="14"/>
      <c r="L184" s="14"/>
      <c r="M184" s="14"/>
      <c r="N184" s="14"/>
      <c r="O184" s="14"/>
      <c r="P184" s="14"/>
    </row>
    <row r="185">
      <c r="A185" s="12"/>
      <c r="D185" s="95"/>
      <c r="E185" s="14"/>
      <c r="F185" s="96"/>
      <c r="H185" s="14"/>
      <c r="I185" s="14"/>
      <c r="J185" s="14"/>
      <c r="K185" s="14"/>
      <c r="L185" s="14"/>
      <c r="M185" s="14"/>
      <c r="N185" s="14"/>
      <c r="O185" s="14"/>
      <c r="P185" s="14"/>
    </row>
    <row r="186">
      <c r="A186" s="12"/>
      <c r="D186" s="95"/>
      <c r="E186" s="14"/>
      <c r="F186" s="96"/>
      <c r="H186" s="14"/>
      <c r="I186" s="14"/>
      <c r="J186" s="14"/>
      <c r="K186" s="14"/>
      <c r="L186" s="14"/>
      <c r="M186" s="14"/>
      <c r="N186" s="14"/>
      <c r="O186" s="14"/>
      <c r="P186" s="14"/>
    </row>
    <row r="187">
      <c r="A187" s="12"/>
      <c r="D187" s="95"/>
      <c r="E187" s="14"/>
      <c r="F187" s="96"/>
      <c r="H187" s="14"/>
      <c r="I187" s="14"/>
      <c r="J187" s="14"/>
      <c r="K187" s="14"/>
      <c r="L187" s="14"/>
      <c r="M187" s="14"/>
      <c r="N187" s="14"/>
      <c r="O187" s="14"/>
      <c r="P187" s="14"/>
    </row>
    <row r="188">
      <c r="A188" s="12"/>
      <c r="D188" s="95"/>
      <c r="E188" s="14"/>
      <c r="F188" s="96"/>
      <c r="H188" s="14"/>
      <c r="I188" s="14"/>
      <c r="J188" s="14"/>
      <c r="K188" s="14"/>
      <c r="L188" s="14"/>
      <c r="M188" s="14"/>
      <c r="N188" s="14"/>
      <c r="O188" s="14"/>
      <c r="P188" s="14"/>
    </row>
    <row r="189">
      <c r="A189" s="12"/>
      <c r="D189" s="95"/>
      <c r="E189" s="14"/>
      <c r="F189" s="96"/>
      <c r="H189" s="14"/>
      <c r="I189" s="14"/>
      <c r="J189" s="14"/>
      <c r="K189" s="14"/>
      <c r="L189" s="14"/>
      <c r="M189" s="14"/>
      <c r="N189" s="14"/>
      <c r="O189" s="14"/>
      <c r="P189" s="14"/>
    </row>
    <row r="190">
      <c r="A190" s="12"/>
      <c r="D190" s="95"/>
      <c r="E190" s="14"/>
      <c r="F190" s="96"/>
      <c r="H190" s="14"/>
      <c r="I190" s="14"/>
      <c r="J190" s="14"/>
      <c r="K190" s="14"/>
      <c r="L190" s="14"/>
      <c r="M190" s="14"/>
      <c r="N190" s="14"/>
      <c r="O190" s="14"/>
      <c r="P190" s="14"/>
    </row>
    <row r="191">
      <c r="A191" s="12"/>
      <c r="D191" s="95"/>
      <c r="E191" s="14"/>
      <c r="F191" s="96"/>
      <c r="H191" s="14"/>
      <c r="I191" s="14"/>
      <c r="J191" s="14"/>
      <c r="K191" s="14"/>
      <c r="L191" s="14"/>
      <c r="M191" s="14"/>
      <c r="N191" s="14"/>
      <c r="O191" s="14"/>
      <c r="P191" s="14"/>
    </row>
    <row r="192">
      <c r="A192" s="12"/>
      <c r="D192" s="95"/>
      <c r="E192" s="14"/>
      <c r="F192" s="96"/>
      <c r="H192" s="14"/>
      <c r="I192" s="14"/>
      <c r="J192" s="14"/>
      <c r="K192" s="14"/>
      <c r="L192" s="14"/>
      <c r="M192" s="14"/>
      <c r="N192" s="14"/>
      <c r="O192" s="14"/>
      <c r="P192" s="14"/>
    </row>
    <row r="193">
      <c r="A193" s="12"/>
      <c r="D193" s="95"/>
      <c r="E193" s="14"/>
      <c r="F193" s="96"/>
      <c r="H193" s="14"/>
      <c r="I193" s="14"/>
      <c r="J193" s="14"/>
      <c r="K193" s="14"/>
      <c r="L193" s="14"/>
      <c r="M193" s="14"/>
      <c r="N193" s="14"/>
      <c r="O193" s="14"/>
      <c r="P193" s="14"/>
    </row>
    <row r="194">
      <c r="A194" s="12"/>
      <c r="D194" s="95"/>
      <c r="E194" s="14"/>
      <c r="F194" s="96"/>
      <c r="H194" s="14"/>
      <c r="I194" s="14"/>
      <c r="J194" s="14"/>
      <c r="K194" s="14"/>
      <c r="L194" s="14"/>
      <c r="M194" s="14"/>
      <c r="N194" s="14"/>
      <c r="O194" s="14"/>
      <c r="P194" s="14"/>
    </row>
    <row r="195">
      <c r="A195" s="12"/>
      <c r="D195" s="95"/>
      <c r="E195" s="14"/>
      <c r="F195" s="96"/>
      <c r="H195" s="14"/>
      <c r="I195" s="14"/>
      <c r="J195" s="14"/>
      <c r="K195" s="14"/>
      <c r="L195" s="14"/>
      <c r="M195" s="14"/>
      <c r="N195" s="14"/>
      <c r="O195" s="14"/>
      <c r="P195" s="14"/>
    </row>
    <row r="196">
      <c r="A196" s="12"/>
      <c r="D196" s="95"/>
      <c r="E196" s="14"/>
      <c r="F196" s="96"/>
      <c r="H196" s="14"/>
      <c r="I196" s="14"/>
      <c r="J196" s="14"/>
      <c r="K196" s="14"/>
      <c r="L196" s="14"/>
      <c r="M196" s="14"/>
      <c r="N196" s="14"/>
      <c r="O196" s="14"/>
      <c r="P196" s="14"/>
    </row>
    <row r="197">
      <c r="A197" s="12"/>
      <c r="D197" s="95"/>
      <c r="E197" s="14"/>
      <c r="F197" s="96"/>
      <c r="H197" s="14"/>
      <c r="I197" s="14"/>
      <c r="J197" s="14"/>
      <c r="K197" s="14"/>
      <c r="L197" s="14"/>
      <c r="M197" s="14"/>
      <c r="N197" s="14"/>
      <c r="O197" s="14"/>
      <c r="P197" s="14"/>
    </row>
    <row r="198">
      <c r="A198" s="12"/>
      <c r="D198" s="95"/>
      <c r="E198" s="14"/>
      <c r="F198" s="96"/>
      <c r="H198" s="14"/>
      <c r="I198" s="14"/>
      <c r="J198" s="14"/>
      <c r="K198" s="14"/>
      <c r="L198" s="14"/>
      <c r="M198" s="14"/>
      <c r="N198" s="14"/>
      <c r="O198" s="14"/>
      <c r="P198" s="14"/>
    </row>
    <row r="199">
      <c r="A199" s="12"/>
      <c r="D199" s="95"/>
      <c r="E199" s="14"/>
      <c r="F199" s="96"/>
      <c r="H199" s="14"/>
      <c r="I199" s="14"/>
      <c r="J199" s="14"/>
      <c r="K199" s="14"/>
      <c r="L199" s="14"/>
      <c r="M199" s="14"/>
      <c r="N199" s="14"/>
      <c r="O199" s="14"/>
      <c r="P199" s="14"/>
    </row>
    <row r="200">
      <c r="A200" s="12"/>
      <c r="D200" s="95"/>
      <c r="E200" s="14"/>
      <c r="F200" s="96"/>
      <c r="H200" s="14"/>
      <c r="I200" s="14"/>
      <c r="J200" s="14"/>
      <c r="K200" s="14"/>
      <c r="L200" s="14"/>
      <c r="M200" s="14"/>
      <c r="N200" s="14"/>
      <c r="O200" s="14"/>
      <c r="P200" s="14"/>
    </row>
    <row r="201">
      <c r="A201" s="12"/>
      <c r="D201" s="95"/>
      <c r="E201" s="14"/>
      <c r="F201" s="96"/>
      <c r="H201" s="14"/>
      <c r="I201" s="14"/>
      <c r="J201" s="14"/>
      <c r="K201" s="14"/>
      <c r="L201" s="14"/>
      <c r="M201" s="14"/>
      <c r="N201" s="14"/>
      <c r="O201" s="14"/>
      <c r="P201" s="14"/>
    </row>
    <row r="202">
      <c r="A202" s="12"/>
      <c r="D202" s="95"/>
      <c r="E202" s="14"/>
      <c r="F202" s="96"/>
      <c r="H202" s="14"/>
      <c r="I202" s="14"/>
      <c r="J202" s="14"/>
      <c r="K202" s="14"/>
      <c r="L202" s="14"/>
      <c r="M202" s="14"/>
      <c r="N202" s="14"/>
      <c r="O202" s="14"/>
      <c r="P202" s="14"/>
    </row>
    <row r="203">
      <c r="A203" s="12"/>
      <c r="D203" s="95"/>
      <c r="E203" s="14"/>
      <c r="F203" s="96"/>
      <c r="H203" s="14"/>
      <c r="I203" s="14"/>
      <c r="J203" s="14"/>
      <c r="K203" s="14"/>
      <c r="L203" s="14"/>
      <c r="M203" s="14"/>
      <c r="N203" s="14"/>
      <c r="O203" s="14"/>
      <c r="P203" s="14"/>
    </row>
    <row r="204">
      <c r="A204" s="12"/>
      <c r="D204" s="95"/>
      <c r="E204" s="14"/>
      <c r="F204" s="96"/>
      <c r="H204" s="14"/>
      <c r="I204" s="14"/>
      <c r="J204" s="14"/>
      <c r="K204" s="14"/>
      <c r="L204" s="14"/>
      <c r="M204" s="14"/>
      <c r="N204" s="14"/>
      <c r="O204" s="14"/>
      <c r="P204" s="14"/>
    </row>
    <row r="205">
      <c r="A205" s="12"/>
      <c r="D205" s="95"/>
      <c r="E205" s="14"/>
      <c r="F205" s="96"/>
      <c r="H205" s="14"/>
      <c r="I205" s="14"/>
      <c r="J205" s="14"/>
      <c r="K205" s="14"/>
      <c r="L205" s="14"/>
      <c r="M205" s="14"/>
      <c r="N205" s="14"/>
      <c r="O205" s="14"/>
      <c r="P205" s="14"/>
    </row>
    <row r="206">
      <c r="A206" s="12"/>
      <c r="D206" s="95"/>
      <c r="E206" s="14"/>
      <c r="F206" s="96"/>
      <c r="H206" s="14"/>
      <c r="I206" s="14"/>
      <c r="J206" s="14"/>
      <c r="K206" s="14"/>
      <c r="L206" s="14"/>
      <c r="M206" s="14"/>
      <c r="N206" s="14"/>
      <c r="O206" s="14"/>
      <c r="P206" s="14"/>
    </row>
    <row r="207">
      <c r="A207" s="12"/>
      <c r="D207" s="95"/>
      <c r="E207" s="14"/>
      <c r="F207" s="96"/>
      <c r="H207" s="14"/>
      <c r="I207" s="14"/>
      <c r="J207" s="14"/>
      <c r="K207" s="14"/>
      <c r="L207" s="14"/>
      <c r="M207" s="14"/>
      <c r="N207" s="14"/>
      <c r="O207" s="14"/>
      <c r="P207" s="14"/>
    </row>
    <row r="208">
      <c r="A208" s="12"/>
      <c r="D208" s="95"/>
      <c r="E208" s="14"/>
      <c r="F208" s="96"/>
      <c r="H208" s="14"/>
      <c r="I208" s="14"/>
      <c r="J208" s="14"/>
      <c r="K208" s="14"/>
      <c r="L208" s="14"/>
      <c r="M208" s="14"/>
      <c r="N208" s="14"/>
      <c r="O208" s="14"/>
      <c r="P208" s="14"/>
    </row>
    <row r="209">
      <c r="A209" s="12"/>
      <c r="D209" s="95"/>
      <c r="E209" s="14"/>
      <c r="F209" s="96"/>
      <c r="H209" s="14"/>
      <c r="I209" s="14"/>
      <c r="J209" s="14"/>
      <c r="K209" s="14"/>
      <c r="L209" s="14"/>
      <c r="M209" s="14"/>
      <c r="N209" s="14"/>
      <c r="O209" s="14"/>
      <c r="P209" s="14"/>
    </row>
    <row r="210">
      <c r="A210" s="12"/>
      <c r="D210" s="95"/>
      <c r="E210" s="14"/>
      <c r="F210" s="96"/>
      <c r="H210" s="14"/>
      <c r="I210" s="14"/>
      <c r="J210" s="14"/>
      <c r="K210" s="14"/>
      <c r="L210" s="14"/>
      <c r="M210" s="14"/>
      <c r="N210" s="14"/>
      <c r="O210" s="14"/>
      <c r="P210" s="14"/>
    </row>
    <row r="211">
      <c r="A211" s="12"/>
      <c r="D211" s="95"/>
      <c r="E211" s="14"/>
      <c r="F211" s="96"/>
      <c r="H211" s="14"/>
      <c r="I211" s="14"/>
      <c r="J211" s="14"/>
      <c r="K211" s="14"/>
      <c r="L211" s="14"/>
      <c r="M211" s="14"/>
      <c r="N211" s="14"/>
      <c r="O211" s="14"/>
      <c r="P211" s="14"/>
    </row>
    <row r="212">
      <c r="A212" s="12"/>
      <c r="D212" s="95"/>
      <c r="E212" s="14"/>
      <c r="F212" s="96"/>
      <c r="H212" s="14"/>
      <c r="I212" s="14"/>
      <c r="J212" s="14"/>
      <c r="K212" s="14"/>
      <c r="L212" s="14"/>
      <c r="M212" s="14"/>
      <c r="N212" s="14"/>
      <c r="O212" s="14"/>
      <c r="P212" s="14"/>
    </row>
    <row r="213">
      <c r="A213" s="12"/>
      <c r="D213" s="95"/>
      <c r="E213" s="14"/>
      <c r="F213" s="96"/>
      <c r="H213" s="14"/>
      <c r="I213" s="14"/>
      <c r="J213" s="14"/>
      <c r="K213" s="14"/>
      <c r="L213" s="14"/>
      <c r="M213" s="14"/>
      <c r="N213" s="14"/>
      <c r="O213" s="14"/>
      <c r="P213" s="14"/>
    </row>
    <row r="214">
      <c r="A214" s="12"/>
      <c r="D214" s="95"/>
      <c r="E214" s="14"/>
      <c r="F214" s="96"/>
      <c r="H214" s="14"/>
      <c r="I214" s="14"/>
      <c r="J214" s="14"/>
      <c r="K214" s="14"/>
      <c r="L214" s="14"/>
      <c r="M214" s="14"/>
      <c r="N214" s="14"/>
      <c r="O214" s="14"/>
      <c r="P214" s="14"/>
    </row>
    <row r="215">
      <c r="A215" s="12"/>
      <c r="D215" s="95"/>
      <c r="E215" s="14"/>
      <c r="F215" s="96"/>
      <c r="H215" s="14"/>
      <c r="I215" s="14"/>
      <c r="J215" s="14"/>
      <c r="K215" s="14"/>
      <c r="L215" s="14"/>
      <c r="M215" s="14"/>
      <c r="N215" s="14"/>
      <c r="O215" s="14"/>
      <c r="P215" s="14"/>
    </row>
    <row r="216">
      <c r="A216" s="12"/>
      <c r="D216" s="95"/>
      <c r="E216" s="14"/>
      <c r="F216" s="96"/>
      <c r="H216" s="14"/>
      <c r="I216" s="14"/>
      <c r="J216" s="14"/>
      <c r="K216" s="14"/>
      <c r="L216" s="14"/>
      <c r="M216" s="14"/>
      <c r="N216" s="14"/>
      <c r="O216" s="14"/>
      <c r="P216" s="14"/>
    </row>
    <row r="217">
      <c r="A217" s="12"/>
      <c r="D217" s="95"/>
      <c r="E217" s="14"/>
      <c r="F217" s="96"/>
      <c r="H217" s="14"/>
      <c r="I217" s="14"/>
      <c r="J217" s="14"/>
      <c r="K217" s="14"/>
      <c r="L217" s="14"/>
      <c r="M217" s="14"/>
      <c r="N217" s="14"/>
      <c r="O217" s="14"/>
      <c r="P217" s="14"/>
    </row>
    <row r="218">
      <c r="A218" s="12"/>
      <c r="D218" s="95"/>
      <c r="E218" s="14"/>
      <c r="F218" s="96"/>
      <c r="H218" s="14"/>
      <c r="I218" s="14"/>
      <c r="J218" s="14"/>
      <c r="K218" s="14"/>
      <c r="L218" s="14"/>
      <c r="M218" s="14"/>
      <c r="N218" s="14"/>
      <c r="O218" s="14"/>
      <c r="P218" s="14"/>
    </row>
    <row r="219">
      <c r="A219" s="12"/>
      <c r="D219" s="95"/>
      <c r="E219" s="14"/>
      <c r="F219" s="96"/>
      <c r="H219" s="14"/>
      <c r="I219" s="14"/>
      <c r="J219" s="14"/>
      <c r="K219" s="14"/>
      <c r="L219" s="14"/>
      <c r="M219" s="14"/>
      <c r="N219" s="14"/>
      <c r="O219" s="14"/>
      <c r="P219" s="14"/>
    </row>
    <row r="220">
      <c r="A220" s="12"/>
      <c r="D220" s="95"/>
      <c r="E220" s="14"/>
      <c r="F220" s="96"/>
      <c r="H220" s="14"/>
      <c r="I220" s="14"/>
      <c r="J220" s="14"/>
      <c r="K220" s="14"/>
      <c r="L220" s="14"/>
      <c r="M220" s="14"/>
      <c r="N220" s="14"/>
      <c r="O220" s="14"/>
      <c r="P220" s="14"/>
    </row>
    <row r="221">
      <c r="A221" s="12"/>
      <c r="D221" s="95"/>
      <c r="E221" s="14"/>
      <c r="F221" s="96"/>
      <c r="H221" s="14"/>
      <c r="I221" s="14"/>
      <c r="J221" s="14"/>
      <c r="K221" s="14"/>
      <c r="L221" s="14"/>
      <c r="M221" s="14"/>
      <c r="N221" s="14"/>
      <c r="O221" s="14"/>
      <c r="P221" s="14"/>
    </row>
    <row r="222">
      <c r="A222" s="12"/>
      <c r="D222" s="95"/>
      <c r="E222" s="14"/>
      <c r="F222" s="96"/>
      <c r="H222" s="14"/>
      <c r="I222" s="14"/>
      <c r="J222" s="14"/>
      <c r="K222" s="14"/>
      <c r="L222" s="14"/>
      <c r="M222" s="14"/>
      <c r="N222" s="14"/>
      <c r="O222" s="14"/>
      <c r="P222" s="14"/>
    </row>
    <row r="223">
      <c r="A223" s="12"/>
      <c r="D223" s="95"/>
      <c r="E223" s="14"/>
      <c r="F223" s="96"/>
      <c r="H223" s="14"/>
      <c r="I223" s="14"/>
      <c r="J223" s="14"/>
      <c r="K223" s="14"/>
      <c r="L223" s="14"/>
      <c r="M223" s="14"/>
      <c r="N223" s="14"/>
      <c r="O223" s="14"/>
      <c r="P223" s="14"/>
    </row>
    <row r="224">
      <c r="A224" s="12"/>
      <c r="D224" s="95"/>
      <c r="E224" s="14"/>
      <c r="F224" s="96"/>
      <c r="H224" s="14"/>
      <c r="I224" s="14"/>
      <c r="J224" s="14"/>
      <c r="K224" s="14"/>
      <c r="L224" s="14"/>
      <c r="M224" s="14"/>
      <c r="N224" s="14"/>
      <c r="O224" s="14"/>
      <c r="P224" s="14"/>
    </row>
    <row r="225">
      <c r="A225" s="12"/>
      <c r="D225" s="95"/>
      <c r="E225" s="14"/>
      <c r="F225" s="96"/>
      <c r="H225" s="14"/>
      <c r="I225" s="14"/>
      <c r="J225" s="14"/>
      <c r="K225" s="14"/>
      <c r="L225" s="14"/>
      <c r="M225" s="14"/>
      <c r="N225" s="14"/>
      <c r="O225" s="14"/>
      <c r="P225" s="14"/>
    </row>
    <row r="226">
      <c r="A226" s="12"/>
      <c r="D226" s="95"/>
      <c r="E226" s="14"/>
      <c r="F226" s="96"/>
      <c r="H226" s="14"/>
      <c r="I226" s="14"/>
      <c r="J226" s="14"/>
      <c r="K226" s="14"/>
      <c r="L226" s="14"/>
      <c r="M226" s="14"/>
      <c r="N226" s="14"/>
      <c r="O226" s="14"/>
      <c r="P226" s="14"/>
    </row>
    <row r="227">
      <c r="A227" s="12"/>
      <c r="D227" s="95"/>
      <c r="E227" s="14"/>
      <c r="F227" s="96"/>
      <c r="H227" s="14"/>
      <c r="I227" s="14"/>
      <c r="J227" s="14"/>
      <c r="K227" s="14"/>
      <c r="L227" s="14"/>
      <c r="M227" s="14"/>
      <c r="N227" s="14"/>
      <c r="O227" s="14"/>
      <c r="P227" s="14"/>
    </row>
    <row r="228">
      <c r="A228" s="12"/>
      <c r="D228" s="95"/>
      <c r="E228" s="14"/>
      <c r="F228" s="96"/>
      <c r="H228" s="14"/>
      <c r="I228" s="14"/>
      <c r="J228" s="14"/>
      <c r="K228" s="14"/>
      <c r="L228" s="14"/>
      <c r="M228" s="14"/>
      <c r="N228" s="14"/>
      <c r="O228" s="14"/>
      <c r="P228" s="14"/>
    </row>
    <row r="229">
      <c r="A229" s="12"/>
      <c r="D229" s="95"/>
      <c r="E229" s="14"/>
      <c r="F229" s="96"/>
      <c r="H229" s="14"/>
      <c r="I229" s="14"/>
      <c r="J229" s="14"/>
      <c r="K229" s="14"/>
      <c r="L229" s="14"/>
      <c r="M229" s="14"/>
      <c r="N229" s="14"/>
      <c r="O229" s="14"/>
      <c r="P229" s="14"/>
    </row>
    <row r="230">
      <c r="A230" s="12"/>
      <c r="D230" s="95"/>
      <c r="E230" s="14"/>
      <c r="F230" s="96"/>
      <c r="H230" s="14"/>
      <c r="I230" s="14"/>
      <c r="J230" s="14"/>
      <c r="K230" s="14"/>
      <c r="L230" s="14"/>
      <c r="M230" s="14"/>
      <c r="N230" s="14"/>
      <c r="O230" s="14"/>
      <c r="P230" s="14"/>
    </row>
    <row r="231">
      <c r="A231" s="12"/>
      <c r="D231" s="95"/>
      <c r="E231" s="14"/>
      <c r="F231" s="96"/>
      <c r="H231" s="14"/>
      <c r="I231" s="14"/>
      <c r="J231" s="14"/>
      <c r="K231" s="14"/>
      <c r="L231" s="14"/>
      <c r="M231" s="14"/>
      <c r="N231" s="14"/>
      <c r="O231" s="14"/>
      <c r="P231" s="14"/>
    </row>
    <row r="232">
      <c r="A232" s="12"/>
      <c r="D232" s="95"/>
      <c r="E232" s="14"/>
      <c r="F232" s="96"/>
      <c r="H232" s="14"/>
      <c r="I232" s="14"/>
      <c r="J232" s="14"/>
      <c r="K232" s="14"/>
      <c r="L232" s="14"/>
      <c r="M232" s="14"/>
      <c r="N232" s="14"/>
      <c r="O232" s="14"/>
      <c r="P232" s="14"/>
    </row>
    <row r="233">
      <c r="A233" s="12"/>
      <c r="D233" s="95"/>
      <c r="E233" s="14"/>
      <c r="F233" s="96"/>
      <c r="H233" s="14"/>
      <c r="I233" s="14"/>
      <c r="J233" s="14"/>
      <c r="K233" s="14"/>
      <c r="L233" s="14"/>
      <c r="M233" s="14"/>
      <c r="N233" s="14"/>
      <c r="O233" s="14"/>
      <c r="P233" s="14"/>
    </row>
    <row r="234">
      <c r="A234" s="12"/>
      <c r="D234" s="95"/>
      <c r="E234" s="14"/>
      <c r="F234" s="96"/>
      <c r="H234" s="14"/>
      <c r="I234" s="14"/>
      <c r="J234" s="14"/>
      <c r="K234" s="14"/>
      <c r="L234" s="14"/>
      <c r="M234" s="14"/>
      <c r="N234" s="14"/>
      <c r="O234" s="14"/>
      <c r="P234" s="14"/>
    </row>
    <row r="235">
      <c r="A235" s="12"/>
      <c r="D235" s="95"/>
      <c r="E235" s="14"/>
      <c r="F235" s="96"/>
      <c r="H235" s="14"/>
      <c r="I235" s="14"/>
      <c r="J235" s="14"/>
      <c r="K235" s="14"/>
      <c r="L235" s="14"/>
      <c r="M235" s="14"/>
      <c r="N235" s="14"/>
      <c r="O235" s="14"/>
      <c r="P235" s="14"/>
    </row>
    <row r="236">
      <c r="A236" s="12"/>
      <c r="D236" s="95"/>
      <c r="E236" s="14"/>
      <c r="F236" s="96"/>
      <c r="H236" s="14"/>
      <c r="I236" s="14"/>
      <c r="J236" s="14"/>
      <c r="K236" s="14"/>
      <c r="L236" s="14"/>
      <c r="M236" s="14"/>
      <c r="N236" s="14"/>
      <c r="O236" s="14"/>
      <c r="P236" s="14"/>
    </row>
    <row r="237">
      <c r="A237" s="12"/>
      <c r="D237" s="95"/>
      <c r="E237" s="14"/>
      <c r="F237" s="96"/>
      <c r="H237" s="14"/>
      <c r="I237" s="14"/>
      <c r="J237" s="14"/>
      <c r="K237" s="14"/>
      <c r="L237" s="14"/>
      <c r="M237" s="14"/>
      <c r="N237" s="14"/>
      <c r="O237" s="14"/>
      <c r="P237" s="14"/>
    </row>
    <row r="238">
      <c r="A238" s="12"/>
      <c r="D238" s="95"/>
      <c r="E238" s="14"/>
      <c r="F238" s="96"/>
      <c r="H238" s="14"/>
      <c r="I238" s="14"/>
      <c r="J238" s="14"/>
      <c r="K238" s="14"/>
      <c r="L238" s="14"/>
      <c r="M238" s="14"/>
      <c r="N238" s="14"/>
      <c r="O238" s="14"/>
      <c r="P238" s="14"/>
    </row>
    <row r="239">
      <c r="A239" s="12"/>
      <c r="D239" s="95"/>
      <c r="E239" s="14"/>
      <c r="F239" s="96"/>
      <c r="H239" s="14"/>
      <c r="I239" s="14"/>
      <c r="J239" s="14"/>
      <c r="K239" s="14"/>
      <c r="L239" s="14"/>
      <c r="M239" s="14"/>
      <c r="N239" s="14"/>
      <c r="O239" s="14"/>
      <c r="P239" s="14"/>
    </row>
    <row r="240">
      <c r="A240" s="12"/>
      <c r="D240" s="95"/>
      <c r="E240" s="14"/>
      <c r="F240" s="96"/>
      <c r="H240" s="14"/>
      <c r="I240" s="14"/>
      <c r="J240" s="14"/>
      <c r="K240" s="14"/>
      <c r="L240" s="14"/>
      <c r="M240" s="14"/>
      <c r="N240" s="14"/>
      <c r="O240" s="14"/>
      <c r="P240" s="14"/>
    </row>
    <row r="241">
      <c r="A241" s="12"/>
      <c r="D241" s="95"/>
      <c r="E241" s="14"/>
      <c r="F241" s="96"/>
      <c r="H241" s="14"/>
      <c r="I241" s="14"/>
      <c r="J241" s="14"/>
      <c r="K241" s="14"/>
      <c r="L241" s="14"/>
      <c r="M241" s="14"/>
      <c r="N241" s="14"/>
      <c r="O241" s="14"/>
      <c r="P241" s="14"/>
    </row>
    <row r="242">
      <c r="A242" s="12"/>
      <c r="D242" s="95"/>
      <c r="E242" s="14"/>
      <c r="F242" s="96"/>
      <c r="H242" s="14"/>
      <c r="I242" s="14"/>
      <c r="J242" s="14"/>
      <c r="K242" s="14"/>
      <c r="L242" s="14"/>
      <c r="M242" s="14"/>
      <c r="N242" s="14"/>
      <c r="O242" s="14"/>
      <c r="P242" s="14"/>
    </row>
    <row r="243">
      <c r="A243" s="12"/>
      <c r="D243" s="95"/>
      <c r="E243" s="14"/>
      <c r="F243" s="96"/>
      <c r="H243" s="14"/>
      <c r="I243" s="14"/>
      <c r="J243" s="14"/>
      <c r="K243" s="14"/>
      <c r="L243" s="14"/>
      <c r="M243" s="14"/>
      <c r="N243" s="14"/>
      <c r="O243" s="14"/>
      <c r="P243" s="14"/>
    </row>
    <row r="244">
      <c r="A244" s="12"/>
      <c r="D244" s="95"/>
      <c r="E244" s="14"/>
      <c r="F244" s="96"/>
      <c r="H244" s="14"/>
      <c r="I244" s="14"/>
      <c r="J244" s="14"/>
      <c r="K244" s="14"/>
      <c r="L244" s="14"/>
      <c r="M244" s="14"/>
      <c r="N244" s="14"/>
      <c r="O244" s="14"/>
      <c r="P244" s="14"/>
    </row>
    <row r="245">
      <c r="A245" s="12"/>
      <c r="D245" s="95"/>
      <c r="E245" s="14"/>
      <c r="F245" s="96"/>
      <c r="H245" s="14"/>
      <c r="I245" s="14"/>
      <c r="J245" s="14"/>
      <c r="K245" s="14"/>
      <c r="L245" s="14"/>
      <c r="M245" s="14"/>
      <c r="N245" s="14"/>
      <c r="O245" s="14"/>
      <c r="P245" s="14"/>
    </row>
    <row r="246">
      <c r="A246" s="12"/>
      <c r="D246" s="95"/>
      <c r="E246" s="14"/>
      <c r="F246" s="96"/>
      <c r="H246" s="14"/>
      <c r="I246" s="14"/>
      <c r="J246" s="14"/>
      <c r="K246" s="14"/>
      <c r="L246" s="14"/>
      <c r="M246" s="14"/>
      <c r="N246" s="14"/>
      <c r="O246" s="14"/>
      <c r="P246" s="14"/>
    </row>
    <row r="247">
      <c r="A247" s="12"/>
      <c r="D247" s="95"/>
      <c r="E247" s="14"/>
      <c r="F247" s="96"/>
      <c r="H247" s="14"/>
      <c r="I247" s="14"/>
      <c r="J247" s="14"/>
      <c r="K247" s="14"/>
      <c r="L247" s="14"/>
      <c r="M247" s="14"/>
      <c r="N247" s="14"/>
      <c r="O247" s="14"/>
      <c r="P247" s="14"/>
    </row>
    <row r="248">
      <c r="A248" s="12"/>
      <c r="D248" s="95"/>
      <c r="E248" s="14"/>
      <c r="F248" s="96"/>
      <c r="H248" s="14"/>
      <c r="I248" s="14"/>
      <c r="J248" s="14"/>
      <c r="K248" s="14"/>
      <c r="L248" s="14"/>
      <c r="M248" s="14"/>
      <c r="N248" s="14"/>
      <c r="O248" s="14"/>
      <c r="P248" s="14"/>
    </row>
    <row r="249">
      <c r="A249" s="12"/>
      <c r="D249" s="95"/>
      <c r="E249" s="14"/>
      <c r="F249" s="96"/>
      <c r="H249" s="14"/>
      <c r="I249" s="14"/>
      <c r="J249" s="14"/>
      <c r="K249" s="14"/>
      <c r="L249" s="14"/>
      <c r="M249" s="14"/>
      <c r="N249" s="14"/>
      <c r="O249" s="14"/>
      <c r="P249" s="14"/>
    </row>
    <row r="250">
      <c r="A250" s="12"/>
      <c r="D250" s="95"/>
      <c r="E250" s="14"/>
      <c r="F250" s="96"/>
      <c r="H250" s="14"/>
      <c r="I250" s="14"/>
      <c r="J250" s="14"/>
      <c r="K250" s="14"/>
      <c r="L250" s="14"/>
      <c r="M250" s="14"/>
      <c r="N250" s="14"/>
      <c r="O250" s="14"/>
      <c r="P250" s="14"/>
    </row>
    <row r="251">
      <c r="A251" s="12"/>
      <c r="D251" s="95"/>
      <c r="E251" s="14"/>
      <c r="F251" s="96"/>
      <c r="H251" s="14"/>
      <c r="I251" s="14"/>
      <c r="J251" s="14"/>
      <c r="K251" s="14"/>
      <c r="L251" s="14"/>
      <c r="M251" s="14"/>
      <c r="N251" s="14"/>
      <c r="O251" s="14"/>
      <c r="P251" s="14"/>
    </row>
    <row r="252">
      <c r="A252" s="12"/>
      <c r="D252" s="95"/>
      <c r="E252" s="14"/>
      <c r="F252" s="96"/>
      <c r="H252" s="14"/>
      <c r="I252" s="14"/>
      <c r="J252" s="14"/>
      <c r="K252" s="14"/>
      <c r="L252" s="14"/>
      <c r="M252" s="14"/>
      <c r="N252" s="14"/>
      <c r="O252" s="14"/>
      <c r="P252" s="14"/>
    </row>
    <row r="253">
      <c r="A253" s="12"/>
      <c r="D253" s="95"/>
      <c r="E253" s="14"/>
      <c r="F253" s="96"/>
      <c r="H253" s="14"/>
      <c r="I253" s="14"/>
      <c r="J253" s="14"/>
      <c r="K253" s="14"/>
      <c r="L253" s="14"/>
      <c r="M253" s="14"/>
      <c r="N253" s="14"/>
      <c r="O253" s="14"/>
      <c r="P253" s="14"/>
    </row>
    <row r="254">
      <c r="A254" s="12"/>
      <c r="D254" s="95"/>
      <c r="E254" s="14"/>
      <c r="F254" s="96"/>
      <c r="H254" s="14"/>
      <c r="I254" s="14"/>
      <c r="J254" s="14"/>
      <c r="K254" s="14"/>
      <c r="L254" s="14"/>
      <c r="M254" s="14"/>
      <c r="N254" s="14"/>
      <c r="O254" s="14"/>
      <c r="P254" s="14"/>
    </row>
    <row r="255">
      <c r="A255" s="12"/>
      <c r="D255" s="95"/>
      <c r="E255" s="14"/>
      <c r="F255" s="96"/>
      <c r="H255" s="14"/>
      <c r="I255" s="14"/>
      <c r="J255" s="14"/>
      <c r="K255" s="14"/>
      <c r="L255" s="14"/>
      <c r="M255" s="14"/>
      <c r="N255" s="14"/>
      <c r="O255" s="14"/>
      <c r="P255" s="14"/>
    </row>
    <row r="256">
      <c r="A256" s="12"/>
      <c r="D256" s="95"/>
      <c r="E256" s="14"/>
      <c r="F256" s="96"/>
      <c r="H256" s="14"/>
      <c r="I256" s="14"/>
      <c r="J256" s="14"/>
      <c r="K256" s="14"/>
      <c r="L256" s="14"/>
      <c r="M256" s="14"/>
      <c r="N256" s="14"/>
      <c r="O256" s="14"/>
      <c r="P256" s="14"/>
    </row>
    <row r="257">
      <c r="A257" s="12"/>
      <c r="D257" s="95"/>
      <c r="E257" s="14"/>
      <c r="F257" s="96"/>
      <c r="H257" s="14"/>
      <c r="I257" s="14"/>
      <c r="J257" s="14"/>
      <c r="K257" s="14"/>
      <c r="L257" s="14"/>
      <c r="M257" s="14"/>
      <c r="N257" s="14"/>
      <c r="O257" s="14"/>
      <c r="P257" s="14"/>
    </row>
    <row r="258">
      <c r="A258" s="12"/>
      <c r="D258" s="95"/>
      <c r="E258" s="14"/>
      <c r="F258" s="96"/>
      <c r="H258" s="14"/>
      <c r="I258" s="14"/>
      <c r="J258" s="14"/>
      <c r="K258" s="14"/>
      <c r="L258" s="14"/>
      <c r="M258" s="14"/>
      <c r="N258" s="14"/>
      <c r="O258" s="14"/>
      <c r="P258" s="14"/>
    </row>
    <row r="259">
      <c r="A259" s="12"/>
      <c r="D259" s="95"/>
      <c r="E259" s="14"/>
      <c r="F259" s="96"/>
      <c r="H259" s="14"/>
      <c r="I259" s="14"/>
      <c r="J259" s="14"/>
      <c r="K259" s="14"/>
      <c r="L259" s="14"/>
      <c r="M259" s="14"/>
      <c r="N259" s="14"/>
      <c r="O259" s="14"/>
      <c r="P259" s="14"/>
    </row>
    <row r="260">
      <c r="A260" s="12"/>
      <c r="D260" s="95"/>
      <c r="E260" s="14"/>
      <c r="F260" s="96"/>
      <c r="H260" s="14"/>
      <c r="I260" s="14"/>
      <c r="J260" s="14"/>
      <c r="K260" s="14"/>
      <c r="L260" s="14"/>
      <c r="M260" s="14"/>
      <c r="N260" s="14"/>
      <c r="O260" s="14"/>
      <c r="P260" s="14"/>
    </row>
    <row r="261">
      <c r="A261" s="12"/>
      <c r="D261" s="95"/>
      <c r="E261" s="14"/>
      <c r="F261" s="96"/>
      <c r="H261" s="14"/>
      <c r="I261" s="14"/>
      <c r="J261" s="14"/>
      <c r="K261" s="14"/>
      <c r="L261" s="14"/>
      <c r="M261" s="14"/>
      <c r="N261" s="14"/>
      <c r="O261" s="14"/>
      <c r="P261" s="14"/>
    </row>
    <row r="262">
      <c r="A262" s="12"/>
      <c r="D262" s="95"/>
      <c r="E262" s="14"/>
      <c r="F262" s="96"/>
      <c r="H262" s="14"/>
      <c r="I262" s="14"/>
      <c r="J262" s="14"/>
      <c r="K262" s="14"/>
      <c r="L262" s="14"/>
      <c r="M262" s="14"/>
      <c r="N262" s="14"/>
      <c r="O262" s="14"/>
      <c r="P262" s="14"/>
    </row>
    <row r="263">
      <c r="A263" s="12"/>
      <c r="D263" s="95"/>
      <c r="E263" s="14"/>
      <c r="F263" s="96"/>
      <c r="H263" s="14"/>
      <c r="I263" s="14"/>
      <c r="J263" s="14"/>
      <c r="K263" s="14"/>
      <c r="L263" s="14"/>
      <c r="M263" s="14"/>
      <c r="N263" s="14"/>
      <c r="O263" s="14"/>
      <c r="P263" s="14"/>
    </row>
    <row r="264">
      <c r="A264" s="12"/>
      <c r="D264" s="95"/>
      <c r="E264" s="14"/>
      <c r="F264" s="96"/>
      <c r="H264" s="14"/>
      <c r="I264" s="14"/>
      <c r="J264" s="14"/>
      <c r="K264" s="14"/>
      <c r="L264" s="14"/>
      <c r="M264" s="14"/>
      <c r="N264" s="14"/>
      <c r="O264" s="14"/>
      <c r="P264" s="14"/>
    </row>
    <row r="265">
      <c r="A265" s="12"/>
      <c r="D265" s="95"/>
      <c r="E265" s="14"/>
      <c r="F265" s="96"/>
      <c r="H265" s="14"/>
      <c r="I265" s="14"/>
      <c r="J265" s="14"/>
      <c r="K265" s="14"/>
      <c r="L265" s="14"/>
      <c r="M265" s="14"/>
      <c r="N265" s="14"/>
      <c r="O265" s="14"/>
      <c r="P265" s="14"/>
    </row>
    <row r="266">
      <c r="A266" s="12"/>
      <c r="D266" s="95"/>
      <c r="E266" s="14"/>
      <c r="F266" s="96"/>
      <c r="H266" s="14"/>
      <c r="I266" s="14"/>
      <c r="J266" s="14"/>
      <c r="K266" s="14"/>
      <c r="L266" s="14"/>
      <c r="M266" s="14"/>
      <c r="N266" s="14"/>
      <c r="O266" s="14"/>
      <c r="P266" s="14"/>
    </row>
    <row r="267">
      <c r="A267" s="12"/>
      <c r="D267" s="95"/>
      <c r="E267" s="14"/>
      <c r="F267" s="96"/>
      <c r="H267" s="14"/>
      <c r="I267" s="14"/>
      <c r="J267" s="14"/>
      <c r="K267" s="14"/>
      <c r="L267" s="14"/>
      <c r="M267" s="14"/>
      <c r="N267" s="14"/>
      <c r="O267" s="14"/>
      <c r="P267" s="14"/>
    </row>
    <row r="268">
      <c r="A268" s="12"/>
      <c r="D268" s="95"/>
      <c r="E268" s="14"/>
      <c r="F268" s="96"/>
      <c r="H268" s="14"/>
      <c r="I268" s="14"/>
      <c r="J268" s="14"/>
      <c r="K268" s="14"/>
      <c r="L268" s="14"/>
      <c r="M268" s="14"/>
      <c r="N268" s="14"/>
      <c r="O268" s="14"/>
      <c r="P268" s="14"/>
    </row>
    <row r="269">
      <c r="A269" s="12"/>
      <c r="D269" s="95"/>
      <c r="E269" s="14"/>
      <c r="F269" s="96"/>
      <c r="H269" s="14"/>
      <c r="I269" s="14"/>
      <c r="J269" s="14"/>
      <c r="K269" s="14"/>
      <c r="L269" s="14"/>
      <c r="M269" s="14"/>
      <c r="N269" s="14"/>
      <c r="O269" s="14"/>
      <c r="P269" s="14"/>
    </row>
    <row r="270">
      <c r="A270" s="12"/>
      <c r="D270" s="95"/>
      <c r="E270" s="14"/>
      <c r="F270" s="96"/>
      <c r="H270" s="14"/>
      <c r="I270" s="14"/>
      <c r="J270" s="14"/>
      <c r="K270" s="14"/>
      <c r="L270" s="14"/>
      <c r="M270" s="14"/>
      <c r="N270" s="14"/>
      <c r="O270" s="14"/>
      <c r="P270" s="14"/>
    </row>
    <row r="271">
      <c r="A271" s="12"/>
      <c r="D271" s="95"/>
      <c r="E271" s="14"/>
      <c r="F271" s="96"/>
      <c r="H271" s="14"/>
      <c r="I271" s="14"/>
      <c r="J271" s="14"/>
      <c r="K271" s="14"/>
      <c r="L271" s="14"/>
      <c r="M271" s="14"/>
      <c r="N271" s="14"/>
      <c r="O271" s="14"/>
      <c r="P271" s="14"/>
    </row>
    <row r="272">
      <c r="A272" s="12"/>
      <c r="D272" s="95"/>
      <c r="E272" s="14"/>
      <c r="F272" s="96"/>
      <c r="H272" s="14"/>
      <c r="I272" s="14"/>
      <c r="J272" s="14"/>
      <c r="K272" s="14"/>
      <c r="L272" s="14"/>
      <c r="M272" s="14"/>
      <c r="N272" s="14"/>
      <c r="O272" s="14"/>
      <c r="P272" s="14"/>
    </row>
    <row r="273">
      <c r="A273" s="12"/>
      <c r="D273" s="95"/>
      <c r="E273" s="14"/>
      <c r="F273" s="96"/>
      <c r="H273" s="14"/>
      <c r="I273" s="14"/>
      <c r="J273" s="14"/>
      <c r="K273" s="14"/>
      <c r="L273" s="14"/>
      <c r="M273" s="14"/>
      <c r="N273" s="14"/>
      <c r="O273" s="14"/>
      <c r="P273" s="14"/>
    </row>
    <row r="274">
      <c r="A274" s="12"/>
      <c r="D274" s="95"/>
      <c r="E274" s="14"/>
      <c r="F274" s="96"/>
      <c r="H274" s="14"/>
      <c r="I274" s="14"/>
      <c r="J274" s="14"/>
      <c r="K274" s="14"/>
      <c r="L274" s="14"/>
      <c r="M274" s="14"/>
      <c r="N274" s="14"/>
      <c r="O274" s="14"/>
      <c r="P274" s="14"/>
    </row>
    <row r="275">
      <c r="A275" s="12"/>
      <c r="D275" s="95"/>
      <c r="E275" s="14"/>
      <c r="F275" s="96"/>
      <c r="H275" s="14"/>
      <c r="I275" s="14"/>
      <c r="J275" s="14"/>
      <c r="K275" s="14"/>
      <c r="L275" s="14"/>
      <c r="M275" s="14"/>
      <c r="N275" s="14"/>
      <c r="O275" s="14"/>
      <c r="P275" s="14"/>
    </row>
    <row r="276">
      <c r="A276" s="12"/>
      <c r="D276" s="95"/>
      <c r="E276" s="14"/>
      <c r="F276" s="96"/>
      <c r="H276" s="14"/>
      <c r="I276" s="14"/>
      <c r="J276" s="14"/>
      <c r="K276" s="14"/>
      <c r="L276" s="14"/>
      <c r="M276" s="14"/>
      <c r="N276" s="14"/>
      <c r="O276" s="14"/>
      <c r="P276" s="14"/>
    </row>
    <row r="277">
      <c r="A277" s="12"/>
      <c r="D277" s="95"/>
      <c r="E277" s="14"/>
      <c r="F277" s="96"/>
      <c r="H277" s="14"/>
      <c r="I277" s="14"/>
      <c r="J277" s="14"/>
      <c r="K277" s="14"/>
      <c r="L277" s="14"/>
      <c r="M277" s="14"/>
      <c r="N277" s="14"/>
      <c r="O277" s="14"/>
      <c r="P277" s="14"/>
    </row>
    <row r="278">
      <c r="A278" s="12"/>
      <c r="D278" s="95"/>
      <c r="E278" s="14"/>
      <c r="F278" s="96"/>
      <c r="H278" s="14"/>
      <c r="I278" s="14"/>
      <c r="J278" s="14"/>
      <c r="K278" s="14"/>
      <c r="L278" s="14"/>
      <c r="M278" s="14"/>
      <c r="N278" s="14"/>
      <c r="O278" s="14"/>
      <c r="P278" s="14"/>
    </row>
    <row r="279">
      <c r="A279" s="12"/>
      <c r="D279" s="95"/>
      <c r="E279" s="14"/>
      <c r="F279" s="96"/>
      <c r="H279" s="14"/>
      <c r="I279" s="14"/>
      <c r="J279" s="14"/>
      <c r="K279" s="14"/>
      <c r="L279" s="14"/>
      <c r="M279" s="14"/>
      <c r="N279" s="14"/>
      <c r="O279" s="14"/>
      <c r="P279" s="14"/>
    </row>
    <row r="280">
      <c r="A280" s="12"/>
      <c r="D280" s="95"/>
      <c r="E280" s="14"/>
      <c r="F280" s="96"/>
      <c r="H280" s="14"/>
      <c r="I280" s="14"/>
      <c r="J280" s="14"/>
      <c r="K280" s="14"/>
      <c r="L280" s="14"/>
      <c r="M280" s="14"/>
      <c r="N280" s="14"/>
      <c r="O280" s="14"/>
      <c r="P280" s="14"/>
    </row>
    <row r="281">
      <c r="A281" s="12"/>
      <c r="D281" s="95"/>
      <c r="E281" s="14"/>
      <c r="F281" s="96"/>
      <c r="H281" s="14"/>
      <c r="I281" s="14"/>
      <c r="J281" s="14"/>
      <c r="K281" s="14"/>
      <c r="L281" s="14"/>
      <c r="M281" s="14"/>
      <c r="N281" s="14"/>
      <c r="O281" s="14"/>
      <c r="P281" s="14"/>
    </row>
    <row r="282">
      <c r="A282" s="12"/>
      <c r="D282" s="95"/>
      <c r="E282" s="14"/>
      <c r="F282" s="96"/>
      <c r="H282" s="14"/>
      <c r="I282" s="14"/>
      <c r="J282" s="14"/>
      <c r="K282" s="14"/>
      <c r="L282" s="14"/>
      <c r="M282" s="14"/>
      <c r="N282" s="14"/>
      <c r="O282" s="14"/>
      <c r="P282" s="14"/>
    </row>
    <row r="283">
      <c r="A283" s="12"/>
      <c r="D283" s="95"/>
      <c r="E283" s="14"/>
      <c r="F283" s="96"/>
      <c r="H283" s="14"/>
      <c r="I283" s="14"/>
      <c r="J283" s="14"/>
      <c r="K283" s="14"/>
      <c r="L283" s="14"/>
      <c r="M283" s="14"/>
      <c r="N283" s="14"/>
      <c r="O283" s="14"/>
      <c r="P283" s="14"/>
    </row>
    <row r="284">
      <c r="A284" s="12"/>
      <c r="D284" s="95"/>
      <c r="E284" s="14"/>
      <c r="F284" s="96"/>
      <c r="H284" s="14"/>
      <c r="I284" s="14"/>
      <c r="J284" s="14"/>
      <c r="K284" s="14"/>
      <c r="L284" s="14"/>
      <c r="M284" s="14"/>
      <c r="N284" s="14"/>
      <c r="O284" s="14"/>
      <c r="P284" s="14"/>
    </row>
    <row r="285">
      <c r="A285" s="12"/>
      <c r="D285" s="95"/>
      <c r="E285" s="14"/>
      <c r="F285" s="96"/>
      <c r="H285" s="14"/>
      <c r="I285" s="14"/>
      <c r="J285" s="14"/>
      <c r="K285" s="14"/>
      <c r="L285" s="14"/>
      <c r="M285" s="14"/>
      <c r="N285" s="14"/>
      <c r="O285" s="14"/>
      <c r="P285" s="14"/>
    </row>
    <row r="286">
      <c r="A286" s="12"/>
      <c r="D286" s="95"/>
      <c r="E286" s="14"/>
      <c r="F286" s="96"/>
      <c r="H286" s="14"/>
      <c r="I286" s="14"/>
      <c r="J286" s="14"/>
      <c r="K286" s="14"/>
      <c r="L286" s="14"/>
      <c r="M286" s="14"/>
      <c r="N286" s="14"/>
      <c r="O286" s="14"/>
      <c r="P286" s="14"/>
    </row>
    <row r="287">
      <c r="A287" s="12"/>
      <c r="D287" s="95"/>
      <c r="E287" s="14"/>
      <c r="F287" s="96"/>
      <c r="H287" s="14"/>
      <c r="I287" s="14"/>
      <c r="J287" s="14"/>
      <c r="K287" s="14"/>
      <c r="L287" s="14"/>
      <c r="M287" s="14"/>
      <c r="N287" s="14"/>
      <c r="O287" s="14"/>
      <c r="P287" s="14"/>
    </row>
    <row r="288">
      <c r="A288" s="12"/>
      <c r="D288" s="95"/>
      <c r="E288" s="14"/>
      <c r="F288" s="96"/>
      <c r="H288" s="14"/>
      <c r="I288" s="14"/>
      <c r="J288" s="14"/>
      <c r="K288" s="14"/>
      <c r="L288" s="14"/>
      <c r="M288" s="14"/>
      <c r="N288" s="14"/>
      <c r="O288" s="14"/>
      <c r="P288" s="14"/>
    </row>
    <row r="289">
      <c r="A289" s="12"/>
      <c r="D289" s="95"/>
      <c r="E289" s="14"/>
      <c r="F289" s="96"/>
      <c r="H289" s="14"/>
      <c r="I289" s="14"/>
      <c r="J289" s="14"/>
      <c r="K289" s="14"/>
      <c r="L289" s="14"/>
      <c r="M289" s="14"/>
      <c r="N289" s="14"/>
      <c r="O289" s="14"/>
      <c r="P289" s="14"/>
    </row>
    <row r="290">
      <c r="A290" s="12"/>
      <c r="D290" s="95"/>
      <c r="E290" s="14"/>
      <c r="F290" s="96"/>
      <c r="H290" s="14"/>
      <c r="I290" s="14"/>
      <c r="J290" s="14"/>
      <c r="K290" s="14"/>
      <c r="L290" s="14"/>
      <c r="M290" s="14"/>
      <c r="N290" s="14"/>
      <c r="O290" s="14"/>
      <c r="P290" s="14"/>
    </row>
    <row r="291">
      <c r="A291" s="12"/>
      <c r="D291" s="95"/>
      <c r="E291" s="14"/>
      <c r="F291" s="96"/>
      <c r="H291" s="14"/>
      <c r="I291" s="14"/>
      <c r="J291" s="14"/>
      <c r="K291" s="14"/>
      <c r="L291" s="14"/>
      <c r="M291" s="14"/>
      <c r="N291" s="14"/>
      <c r="O291" s="14"/>
      <c r="P291" s="14"/>
    </row>
    <row r="292">
      <c r="A292" s="12"/>
      <c r="D292" s="95"/>
      <c r="E292" s="14"/>
      <c r="F292" s="96"/>
      <c r="H292" s="14"/>
      <c r="I292" s="14"/>
      <c r="J292" s="14"/>
      <c r="K292" s="14"/>
      <c r="L292" s="14"/>
      <c r="M292" s="14"/>
      <c r="N292" s="14"/>
      <c r="O292" s="14"/>
      <c r="P292" s="14"/>
    </row>
    <row r="293">
      <c r="A293" s="12"/>
      <c r="D293" s="95"/>
      <c r="E293" s="14"/>
      <c r="F293" s="96"/>
      <c r="H293" s="14"/>
      <c r="I293" s="14"/>
      <c r="J293" s="14"/>
      <c r="K293" s="14"/>
      <c r="L293" s="14"/>
      <c r="M293" s="14"/>
      <c r="N293" s="14"/>
      <c r="O293" s="14"/>
      <c r="P293" s="14"/>
    </row>
    <row r="294">
      <c r="A294" s="12"/>
      <c r="D294" s="95"/>
      <c r="E294" s="14"/>
      <c r="F294" s="96"/>
      <c r="H294" s="14"/>
      <c r="I294" s="14"/>
      <c r="J294" s="14"/>
      <c r="K294" s="14"/>
      <c r="L294" s="14"/>
      <c r="M294" s="14"/>
      <c r="N294" s="14"/>
      <c r="O294" s="14"/>
      <c r="P294" s="14"/>
    </row>
    <row r="295">
      <c r="A295" s="12"/>
      <c r="D295" s="95"/>
      <c r="E295" s="14"/>
      <c r="F295" s="96"/>
      <c r="H295" s="14"/>
      <c r="I295" s="14"/>
      <c r="J295" s="14"/>
      <c r="K295" s="14"/>
      <c r="L295" s="14"/>
      <c r="M295" s="14"/>
      <c r="N295" s="14"/>
      <c r="O295" s="14"/>
      <c r="P295" s="14"/>
    </row>
    <row r="296">
      <c r="A296" s="12"/>
      <c r="D296" s="95"/>
      <c r="E296" s="14"/>
      <c r="F296" s="96"/>
      <c r="H296" s="14"/>
      <c r="I296" s="14"/>
      <c r="J296" s="14"/>
      <c r="K296" s="14"/>
      <c r="L296" s="14"/>
      <c r="M296" s="14"/>
      <c r="N296" s="14"/>
      <c r="O296" s="14"/>
      <c r="P296" s="14"/>
    </row>
    <row r="297">
      <c r="A297" s="12"/>
      <c r="D297" s="95"/>
      <c r="E297" s="14"/>
      <c r="F297" s="96"/>
      <c r="H297" s="14"/>
      <c r="I297" s="14"/>
      <c r="J297" s="14"/>
      <c r="K297" s="14"/>
      <c r="L297" s="14"/>
      <c r="M297" s="14"/>
      <c r="N297" s="14"/>
      <c r="O297" s="14"/>
      <c r="P297" s="14"/>
    </row>
    <row r="298">
      <c r="A298" s="12"/>
      <c r="D298" s="95"/>
      <c r="E298" s="14"/>
      <c r="F298" s="96"/>
      <c r="H298" s="14"/>
      <c r="I298" s="14"/>
      <c r="J298" s="14"/>
      <c r="K298" s="14"/>
      <c r="L298" s="14"/>
      <c r="M298" s="14"/>
      <c r="N298" s="14"/>
      <c r="O298" s="14"/>
      <c r="P298" s="14"/>
    </row>
    <row r="299">
      <c r="A299" s="12"/>
      <c r="D299" s="95"/>
      <c r="E299" s="14"/>
      <c r="F299" s="96"/>
      <c r="H299" s="14"/>
      <c r="I299" s="14"/>
      <c r="J299" s="14"/>
      <c r="K299" s="14"/>
      <c r="L299" s="14"/>
      <c r="M299" s="14"/>
      <c r="N299" s="14"/>
      <c r="O299" s="14"/>
      <c r="P299" s="14"/>
    </row>
    <row r="300">
      <c r="A300" s="12"/>
      <c r="D300" s="95"/>
      <c r="E300" s="14"/>
      <c r="F300" s="96"/>
      <c r="H300" s="14"/>
      <c r="I300" s="14"/>
      <c r="J300" s="14"/>
      <c r="K300" s="14"/>
      <c r="L300" s="14"/>
      <c r="M300" s="14"/>
      <c r="N300" s="14"/>
      <c r="O300" s="14"/>
      <c r="P300" s="14"/>
    </row>
    <row r="301">
      <c r="A301" s="12"/>
      <c r="D301" s="95"/>
      <c r="E301" s="14"/>
      <c r="F301" s="96"/>
      <c r="H301" s="14"/>
      <c r="I301" s="14"/>
      <c r="J301" s="14"/>
      <c r="K301" s="14"/>
      <c r="L301" s="14"/>
      <c r="M301" s="14"/>
      <c r="N301" s="14"/>
      <c r="O301" s="14"/>
      <c r="P301" s="14"/>
    </row>
    <row r="302">
      <c r="A302" s="12"/>
      <c r="D302" s="95"/>
      <c r="E302" s="14"/>
      <c r="F302" s="96"/>
      <c r="H302" s="14"/>
      <c r="I302" s="14"/>
      <c r="J302" s="14"/>
      <c r="K302" s="14"/>
      <c r="L302" s="14"/>
      <c r="M302" s="14"/>
      <c r="N302" s="14"/>
      <c r="O302" s="14"/>
      <c r="P302" s="14"/>
    </row>
    <row r="303">
      <c r="A303" s="12"/>
      <c r="D303" s="95"/>
      <c r="E303" s="14"/>
      <c r="F303" s="96"/>
      <c r="H303" s="14"/>
      <c r="I303" s="14"/>
      <c r="J303" s="14"/>
      <c r="K303" s="14"/>
      <c r="L303" s="14"/>
      <c r="M303" s="14"/>
      <c r="N303" s="14"/>
      <c r="O303" s="14"/>
      <c r="P303" s="14"/>
    </row>
    <row r="304">
      <c r="A304" s="12"/>
      <c r="D304" s="95"/>
      <c r="E304" s="14"/>
      <c r="F304" s="96"/>
      <c r="H304" s="14"/>
      <c r="I304" s="14"/>
      <c r="J304" s="14"/>
      <c r="K304" s="14"/>
      <c r="L304" s="14"/>
      <c r="M304" s="14"/>
      <c r="N304" s="14"/>
      <c r="O304" s="14"/>
      <c r="P304" s="14"/>
    </row>
    <row r="305">
      <c r="A305" s="12"/>
      <c r="D305" s="95"/>
      <c r="E305" s="14"/>
      <c r="F305" s="96"/>
      <c r="H305" s="14"/>
      <c r="I305" s="14"/>
      <c r="J305" s="14"/>
      <c r="K305" s="14"/>
      <c r="L305" s="14"/>
      <c r="M305" s="14"/>
      <c r="N305" s="14"/>
      <c r="O305" s="14"/>
      <c r="P305" s="14"/>
    </row>
    <row r="306">
      <c r="A306" s="12"/>
      <c r="D306" s="95"/>
      <c r="E306" s="14"/>
      <c r="F306" s="96"/>
      <c r="H306" s="14"/>
      <c r="I306" s="14"/>
      <c r="J306" s="14"/>
      <c r="K306" s="14"/>
      <c r="L306" s="14"/>
      <c r="M306" s="14"/>
      <c r="N306" s="14"/>
      <c r="O306" s="14"/>
      <c r="P306" s="14"/>
    </row>
    <row r="307">
      <c r="A307" s="12"/>
      <c r="D307" s="95"/>
      <c r="E307" s="14"/>
      <c r="F307" s="96"/>
      <c r="H307" s="14"/>
      <c r="I307" s="14"/>
      <c r="J307" s="14"/>
      <c r="K307" s="14"/>
      <c r="L307" s="14"/>
      <c r="M307" s="14"/>
      <c r="N307" s="14"/>
      <c r="O307" s="14"/>
      <c r="P307" s="14"/>
    </row>
    <row r="308">
      <c r="A308" s="12"/>
      <c r="D308" s="95"/>
      <c r="E308" s="14"/>
      <c r="F308" s="96"/>
      <c r="H308" s="14"/>
      <c r="I308" s="14"/>
      <c r="J308" s="14"/>
      <c r="K308" s="14"/>
      <c r="L308" s="14"/>
      <c r="M308" s="14"/>
      <c r="N308" s="14"/>
      <c r="O308" s="14"/>
      <c r="P308" s="14"/>
    </row>
    <row r="309">
      <c r="A309" s="12"/>
      <c r="D309" s="95"/>
      <c r="E309" s="14"/>
      <c r="F309" s="96"/>
      <c r="H309" s="14"/>
      <c r="I309" s="14"/>
      <c r="J309" s="14"/>
      <c r="K309" s="14"/>
      <c r="L309" s="14"/>
      <c r="M309" s="14"/>
      <c r="N309" s="14"/>
      <c r="O309" s="14"/>
      <c r="P309" s="14"/>
    </row>
    <row r="310">
      <c r="A310" s="12"/>
      <c r="D310" s="95"/>
      <c r="E310" s="14"/>
      <c r="F310" s="96"/>
      <c r="H310" s="14"/>
      <c r="I310" s="14"/>
      <c r="J310" s="14"/>
      <c r="K310" s="14"/>
      <c r="L310" s="14"/>
      <c r="M310" s="14"/>
      <c r="N310" s="14"/>
      <c r="O310" s="14"/>
      <c r="P310" s="14"/>
    </row>
    <row r="311">
      <c r="A311" s="12"/>
      <c r="D311" s="95"/>
      <c r="E311" s="14"/>
      <c r="F311" s="96"/>
      <c r="H311" s="14"/>
      <c r="I311" s="14"/>
      <c r="J311" s="14"/>
      <c r="K311" s="14"/>
      <c r="L311" s="14"/>
      <c r="M311" s="14"/>
      <c r="N311" s="14"/>
      <c r="O311" s="14"/>
      <c r="P311" s="14"/>
    </row>
    <row r="312">
      <c r="A312" s="12"/>
      <c r="D312" s="95"/>
      <c r="E312" s="14"/>
      <c r="F312" s="96"/>
      <c r="H312" s="14"/>
      <c r="I312" s="14"/>
      <c r="J312" s="14"/>
      <c r="K312" s="14"/>
      <c r="L312" s="14"/>
      <c r="M312" s="14"/>
      <c r="N312" s="14"/>
      <c r="O312" s="14"/>
      <c r="P312" s="14"/>
    </row>
    <row r="313">
      <c r="A313" s="12"/>
      <c r="D313" s="95"/>
      <c r="E313" s="14"/>
      <c r="F313" s="96"/>
      <c r="H313" s="14"/>
      <c r="I313" s="14"/>
      <c r="J313" s="14"/>
      <c r="K313" s="14"/>
      <c r="L313" s="14"/>
      <c r="M313" s="14"/>
      <c r="N313" s="14"/>
      <c r="O313" s="14"/>
      <c r="P313" s="14"/>
    </row>
    <row r="314">
      <c r="A314" s="12"/>
      <c r="D314" s="95"/>
      <c r="E314" s="14"/>
      <c r="F314" s="96"/>
      <c r="H314" s="14"/>
      <c r="I314" s="14"/>
      <c r="J314" s="14"/>
      <c r="K314" s="14"/>
      <c r="L314" s="14"/>
      <c r="M314" s="14"/>
      <c r="N314" s="14"/>
      <c r="O314" s="14"/>
      <c r="P314" s="14"/>
    </row>
    <row r="315">
      <c r="A315" s="12"/>
      <c r="D315" s="95"/>
      <c r="E315" s="14"/>
      <c r="F315" s="96"/>
      <c r="H315" s="14"/>
      <c r="I315" s="14"/>
      <c r="J315" s="14"/>
      <c r="K315" s="14"/>
      <c r="L315" s="14"/>
      <c r="M315" s="14"/>
      <c r="N315" s="14"/>
      <c r="O315" s="14"/>
      <c r="P315" s="14"/>
    </row>
    <row r="316">
      <c r="A316" s="12"/>
      <c r="D316" s="95"/>
      <c r="E316" s="14"/>
      <c r="F316" s="96"/>
      <c r="H316" s="14"/>
      <c r="I316" s="14"/>
      <c r="J316" s="14"/>
      <c r="K316" s="14"/>
      <c r="L316" s="14"/>
      <c r="M316" s="14"/>
      <c r="N316" s="14"/>
      <c r="O316" s="14"/>
      <c r="P316" s="14"/>
    </row>
    <row r="317">
      <c r="A317" s="12"/>
      <c r="D317" s="95"/>
      <c r="E317" s="14"/>
      <c r="F317" s="96"/>
      <c r="H317" s="14"/>
      <c r="I317" s="14"/>
      <c r="J317" s="14"/>
      <c r="K317" s="14"/>
      <c r="L317" s="14"/>
      <c r="M317" s="14"/>
      <c r="N317" s="14"/>
      <c r="O317" s="14"/>
      <c r="P317" s="14"/>
    </row>
    <row r="318">
      <c r="A318" s="12"/>
      <c r="D318" s="95"/>
      <c r="E318" s="14"/>
      <c r="F318" s="96"/>
      <c r="H318" s="14"/>
      <c r="I318" s="14"/>
      <c r="J318" s="14"/>
      <c r="K318" s="14"/>
      <c r="L318" s="14"/>
      <c r="M318" s="14"/>
      <c r="N318" s="14"/>
      <c r="O318" s="14"/>
      <c r="P318" s="14"/>
    </row>
    <row r="319">
      <c r="A319" s="12"/>
      <c r="D319" s="95"/>
      <c r="E319" s="14"/>
      <c r="F319" s="96"/>
      <c r="H319" s="14"/>
      <c r="I319" s="14"/>
      <c r="J319" s="14"/>
      <c r="K319" s="14"/>
      <c r="L319" s="14"/>
      <c r="M319" s="14"/>
      <c r="N319" s="14"/>
      <c r="O319" s="14"/>
      <c r="P319" s="14"/>
    </row>
    <row r="320">
      <c r="A320" s="12"/>
      <c r="D320" s="95"/>
      <c r="E320" s="14"/>
      <c r="F320" s="96"/>
      <c r="H320" s="14"/>
      <c r="I320" s="14"/>
      <c r="J320" s="14"/>
      <c r="K320" s="14"/>
      <c r="L320" s="14"/>
      <c r="M320" s="14"/>
      <c r="N320" s="14"/>
      <c r="O320" s="14"/>
      <c r="P320" s="14"/>
    </row>
    <row r="321">
      <c r="A321" s="12"/>
      <c r="D321" s="95"/>
      <c r="E321" s="14"/>
      <c r="F321" s="96"/>
      <c r="H321" s="14"/>
      <c r="I321" s="14"/>
      <c r="J321" s="14"/>
      <c r="K321" s="14"/>
      <c r="L321" s="14"/>
      <c r="M321" s="14"/>
      <c r="N321" s="14"/>
      <c r="O321" s="14"/>
      <c r="P321" s="14"/>
    </row>
    <row r="322">
      <c r="A322" s="12"/>
      <c r="D322" s="95"/>
      <c r="E322" s="14"/>
      <c r="F322" s="96"/>
      <c r="H322" s="14"/>
      <c r="I322" s="14"/>
      <c r="J322" s="14"/>
      <c r="K322" s="14"/>
      <c r="L322" s="14"/>
      <c r="M322" s="14"/>
      <c r="N322" s="14"/>
      <c r="O322" s="14"/>
      <c r="P322" s="14"/>
    </row>
    <row r="323">
      <c r="A323" s="12"/>
      <c r="D323" s="95"/>
      <c r="E323" s="14"/>
      <c r="F323" s="96"/>
      <c r="H323" s="14"/>
      <c r="I323" s="14"/>
      <c r="J323" s="14"/>
      <c r="K323" s="14"/>
      <c r="L323" s="14"/>
      <c r="M323" s="14"/>
      <c r="N323" s="14"/>
      <c r="O323" s="14"/>
      <c r="P323" s="14"/>
    </row>
    <row r="324">
      <c r="A324" s="12"/>
      <c r="D324" s="95"/>
      <c r="E324" s="14"/>
      <c r="F324" s="96"/>
      <c r="H324" s="14"/>
      <c r="I324" s="14"/>
      <c r="J324" s="14"/>
      <c r="K324" s="14"/>
      <c r="L324" s="14"/>
      <c r="M324" s="14"/>
      <c r="N324" s="14"/>
      <c r="O324" s="14"/>
      <c r="P324" s="14"/>
    </row>
    <row r="325">
      <c r="A325" s="12"/>
      <c r="D325" s="95"/>
      <c r="E325" s="14"/>
      <c r="F325" s="96"/>
      <c r="H325" s="14"/>
      <c r="I325" s="14"/>
      <c r="J325" s="14"/>
      <c r="K325" s="14"/>
      <c r="L325" s="14"/>
      <c r="M325" s="14"/>
      <c r="N325" s="14"/>
      <c r="O325" s="14"/>
      <c r="P325" s="14"/>
    </row>
    <row r="326">
      <c r="A326" s="12"/>
      <c r="D326" s="95"/>
      <c r="E326" s="14"/>
      <c r="F326" s="96"/>
      <c r="H326" s="14"/>
      <c r="I326" s="14"/>
      <c r="J326" s="14"/>
      <c r="K326" s="14"/>
      <c r="L326" s="14"/>
      <c r="M326" s="14"/>
      <c r="N326" s="14"/>
      <c r="O326" s="14"/>
      <c r="P326" s="14"/>
    </row>
    <row r="327">
      <c r="A327" s="12"/>
      <c r="D327" s="95"/>
      <c r="E327" s="14"/>
      <c r="F327" s="96"/>
      <c r="H327" s="14"/>
      <c r="I327" s="14"/>
      <c r="J327" s="14"/>
      <c r="K327" s="14"/>
      <c r="L327" s="14"/>
      <c r="M327" s="14"/>
      <c r="N327" s="14"/>
      <c r="O327" s="14"/>
      <c r="P327" s="14"/>
    </row>
    <row r="328">
      <c r="A328" s="12"/>
      <c r="D328" s="95"/>
      <c r="E328" s="14"/>
      <c r="F328" s="96"/>
      <c r="H328" s="14"/>
      <c r="I328" s="14"/>
      <c r="J328" s="14"/>
      <c r="K328" s="14"/>
      <c r="L328" s="14"/>
      <c r="M328" s="14"/>
      <c r="N328" s="14"/>
      <c r="O328" s="14"/>
      <c r="P328" s="14"/>
    </row>
    <row r="329">
      <c r="A329" s="12"/>
      <c r="D329" s="95"/>
      <c r="E329" s="14"/>
      <c r="F329" s="96"/>
      <c r="H329" s="14"/>
      <c r="I329" s="14"/>
      <c r="J329" s="14"/>
      <c r="K329" s="14"/>
      <c r="L329" s="14"/>
      <c r="M329" s="14"/>
      <c r="N329" s="14"/>
      <c r="O329" s="14"/>
      <c r="P329" s="14"/>
    </row>
    <row r="330">
      <c r="A330" s="12"/>
      <c r="D330" s="95"/>
      <c r="E330" s="14"/>
      <c r="F330" s="96"/>
      <c r="H330" s="14"/>
      <c r="I330" s="14"/>
      <c r="J330" s="14"/>
      <c r="K330" s="14"/>
      <c r="L330" s="14"/>
      <c r="M330" s="14"/>
      <c r="N330" s="14"/>
      <c r="O330" s="14"/>
      <c r="P330" s="14"/>
    </row>
    <row r="331">
      <c r="A331" s="12"/>
      <c r="D331" s="95"/>
      <c r="E331" s="14"/>
      <c r="F331" s="96"/>
      <c r="H331" s="14"/>
      <c r="I331" s="14"/>
      <c r="J331" s="14"/>
      <c r="K331" s="14"/>
      <c r="L331" s="14"/>
      <c r="M331" s="14"/>
      <c r="N331" s="14"/>
      <c r="O331" s="14"/>
      <c r="P331" s="14"/>
    </row>
    <row r="332">
      <c r="A332" s="12"/>
      <c r="D332" s="95"/>
      <c r="E332" s="14"/>
      <c r="F332" s="96"/>
      <c r="H332" s="14"/>
      <c r="I332" s="14"/>
      <c r="J332" s="14"/>
      <c r="K332" s="14"/>
      <c r="L332" s="14"/>
      <c r="M332" s="14"/>
      <c r="N332" s="14"/>
      <c r="O332" s="14"/>
      <c r="P332" s="14"/>
    </row>
    <row r="333">
      <c r="A333" s="12"/>
      <c r="D333" s="95"/>
      <c r="E333" s="14"/>
      <c r="F333" s="96"/>
      <c r="H333" s="14"/>
      <c r="I333" s="14"/>
      <c r="J333" s="14"/>
      <c r="K333" s="14"/>
      <c r="L333" s="14"/>
      <c r="M333" s="14"/>
      <c r="N333" s="14"/>
      <c r="O333" s="14"/>
      <c r="P333" s="14"/>
    </row>
    <row r="334">
      <c r="A334" s="12"/>
      <c r="D334" s="95"/>
      <c r="E334" s="14"/>
      <c r="F334" s="96"/>
      <c r="H334" s="14"/>
      <c r="I334" s="14"/>
      <c r="J334" s="14"/>
      <c r="K334" s="14"/>
      <c r="L334" s="14"/>
      <c r="M334" s="14"/>
      <c r="N334" s="14"/>
      <c r="O334" s="14"/>
      <c r="P334" s="14"/>
    </row>
    <row r="335">
      <c r="A335" s="12"/>
      <c r="D335" s="95"/>
      <c r="E335" s="14"/>
      <c r="F335" s="96"/>
      <c r="H335" s="14"/>
      <c r="I335" s="14"/>
      <c r="J335" s="14"/>
      <c r="K335" s="14"/>
      <c r="L335" s="14"/>
      <c r="M335" s="14"/>
      <c r="N335" s="14"/>
      <c r="O335" s="14"/>
      <c r="P335" s="14"/>
    </row>
    <row r="336">
      <c r="A336" s="12"/>
      <c r="D336" s="95"/>
      <c r="E336" s="14"/>
      <c r="F336" s="96"/>
      <c r="H336" s="14"/>
      <c r="I336" s="14"/>
      <c r="J336" s="14"/>
      <c r="K336" s="14"/>
      <c r="L336" s="14"/>
      <c r="M336" s="14"/>
      <c r="N336" s="14"/>
      <c r="O336" s="14"/>
      <c r="P336" s="14"/>
    </row>
    <row r="337">
      <c r="A337" s="12"/>
      <c r="D337" s="95"/>
      <c r="E337" s="14"/>
      <c r="F337" s="96"/>
      <c r="H337" s="14"/>
      <c r="I337" s="14"/>
      <c r="J337" s="14"/>
      <c r="K337" s="14"/>
      <c r="L337" s="14"/>
      <c r="M337" s="14"/>
      <c r="N337" s="14"/>
      <c r="O337" s="14"/>
      <c r="P337" s="14"/>
    </row>
    <row r="338">
      <c r="A338" s="12"/>
      <c r="D338" s="95"/>
      <c r="E338" s="14"/>
      <c r="F338" s="96"/>
      <c r="H338" s="14"/>
      <c r="I338" s="14"/>
      <c r="J338" s="14"/>
      <c r="K338" s="14"/>
      <c r="L338" s="14"/>
      <c r="M338" s="14"/>
      <c r="N338" s="14"/>
      <c r="O338" s="14"/>
      <c r="P338" s="14"/>
    </row>
    <row r="339">
      <c r="A339" s="12"/>
      <c r="D339" s="95"/>
      <c r="E339" s="14"/>
      <c r="F339" s="96"/>
      <c r="H339" s="14"/>
      <c r="I339" s="14"/>
      <c r="J339" s="14"/>
      <c r="K339" s="14"/>
      <c r="L339" s="14"/>
      <c r="M339" s="14"/>
      <c r="N339" s="14"/>
      <c r="O339" s="14"/>
      <c r="P339" s="14"/>
    </row>
    <row r="340">
      <c r="A340" s="12"/>
      <c r="D340" s="95"/>
      <c r="E340" s="14"/>
      <c r="F340" s="96"/>
      <c r="H340" s="14"/>
      <c r="I340" s="14"/>
      <c r="J340" s="14"/>
      <c r="K340" s="14"/>
      <c r="L340" s="14"/>
      <c r="M340" s="14"/>
      <c r="N340" s="14"/>
      <c r="O340" s="14"/>
      <c r="P340" s="14"/>
    </row>
    <row r="341">
      <c r="A341" s="12"/>
      <c r="D341" s="95"/>
      <c r="E341" s="14"/>
      <c r="F341" s="96"/>
      <c r="H341" s="14"/>
      <c r="I341" s="14"/>
      <c r="J341" s="14"/>
      <c r="K341" s="14"/>
      <c r="L341" s="14"/>
      <c r="M341" s="14"/>
      <c r="N341" s="14"/>
      <c r="O341" s="14"/>
      <c r="P341" s="14"/>
    </row>
    <row r="342">
      <c r="A342" s="12"/>
      <c r="D342" s="95"/>
      <c r="E342" s="14"/>
      <c r="F342" s="96"/>
      <c r="H342" s="14"/>
      <c r="I342" s="14"/>
      <c r="J342" s="14"/>
      <c r="K342" s="14"/>
      <c r="L342" s="14"/>
      <c r="M342" s="14"/>
      <c r="N342" s="14"/>
      <c r="O342" s="14"/>
      <c r="P342" s="14"/>
    </row>
    <row r="343">
      <c r="A343" s="12"/>
      <c r="D343" s="95"/>
      <c r="E343" s="14"/>
      <c r="F343" s="96"/>
      <c r="H343" s="14"/>
      <c r="I343" s="14"/>
      <c r="J343" s="14"/>
      <c r="K343" s="14"/>
      <c r="L343" s="14"/>
      <c r="M343" s="14"/>
      <c r="N343" s="14"/>
      <c r="O343" s="14"/>
      <c r="P343" s="14"/>
    </row>
    <row r="344">
      <c r="A344" s="12"/>
      <c r="D344" s="95"/>
      <c r="E344" s="14"/>
      <c r="F344" s="96"/>
      <c r="H344" s="14"/>
      <c r="I344" s="14"/>
      <c r="J344" s="14"/>
      <c r="K344" s="14"/>
      <c r="L344" s="14"/>
      <c r="M344" s="14"/>
      <c r="N344" s="14"/>
      <c r="O344" s="14"/>
      <c r="P344" s="14"/>
    </row>
    <row r="345">
      <c r="A345" s="12"/>
      <c r="D345" s="95"/>
      <c r="E345" s="14"/>
      <c r="F345" s="96"/>
      <c r="H345" s="14"/>
      <c r="I345" s="14"/>
      <c r="J345" s="14"/>
      <c r="K345" s="14"/>
      <c r="L345" s="14"/>
      <c r="M345" s="14"/>
      <c r="N345" s="14"/>
      <c r="O345" s="14"/>
      <c r="P345" s="14"/>
    </row>
    <row r="346">
      <c r="A346" s="12"/>
      <c r="D346" s="95"/>
      <c r="E346" s="14"/>
      <c r="F346" s="96"/>
      <c r="H346" s="14"/>
      <c r="I346" s="14"/>
      <c r="J346" s="14"/>
      <c r="K346" s="14"/>
      <c r="L346" s="14"/>
      <c r="M346" s="14"/>
      <c r="N346" s="14"/>
      <c r="O346" s="14"/>
      <c r="P346" s="14"/>
    </row>
    <row r="347">
      <c r="A347" s="12"/>
      <c r="D347" s="95"/>
      <c r="E347" s="14"/>
      <c r="F347" s="96"/>
      <c r="H347" s="14"/>
      <c r="I347" s="14"/>
      <c r="J347" s="14"/>
      <c r="K347" s="14"/>
      <c r="L347" s="14"/>
      <c r="M347" s="14"/>
      <c r="N347" s="14"/>
      <c r="O347" s="14"/>
      <c r="P347" s="14"/>
    </row>
    <row r="348">
      <c r="A348" s="12"/>
      <c r="D348" s="95"/>
      <c r="E348" s="14"/>
      <c r="F348" s="96"/>
      <c r="H348" s="14"/>
      <c r="I348" s="14"/>
      <c r="J348" s="14"/>
      <c r="K348" s="14"/>
      <c r="L348" s="14"/>
      <c r="M348" s="14"/>
      <c r="N348" s="14"/>
      <c r="O348" s="14"/>
      <c r="P348" s="14"/>
    </row>
    <row r="349">
      <c r="A349" s="12"/>
      <c r="D349" s="95"/>
      <c r="E349" s="14"/>
      <c r="F349" s="96"/>
      <c r="H349" s="14"/>
      <c r="I349" s="14"/>
      <c r="J349" s="14"/>
      <c r="K349" s="14"/>
      <c r="L349" s="14"/>
      <c r="M349" s="14"/>
      <c r="N349" s="14"/>
      <c r="O349" s="14"/>
      <c r="P349" s="14"/>
    </row>
    <row r="350">
      <c r="A350" s="12"/>
      <c r="D350" s="95"/>
      <c r="E350" s="14"/>
      <c r="F350" s="96"/>
      <c r="H350" s="14"/>
      <c r="I350" s="14"/>
      <c r="J350" s="14"/>
      <c r="K350" s="14"/>
      <c r="L350" s="14"/>
      <c r="M350" s="14"/>
      <c r="N350" s="14"/>
      <c r="O350" s="14"/>
      <c r="P350" s="14"/>
    </row>
    <row r="351">
      <c r="A351" s="12"/>
      <c r="D351" s="95"/>
      <c r="E351" s="14"/>
      <c r="F351" s="96"/>
      <c r="H351" s="14"/>
      <c r="I351" s="14"/>
      <c r="J351" s="14"/>
      <c r="K351" s="14"/>
      <c r="L351" s="14"/>
      <c r="M351" s="14"/>
      <c r="N351" s="14"/>
      <c r="O351" s="14"/>
      <c r="P351" s="14"/>
    </row>
    <row r="352">
      <c r="A352" s="12"/>
      <c r="D352" s="95"/>
      <c r="E352" s="14"/>
      <c r="F352" s="96"/>
      <c r="H352" s="14"/>
      <c r="I352" s="14"/>
      <c r="J352" s="14"/>
      <c r="K352" s="14"/>
      <c r="L352" s="14"/>
      <c r="M352" s="14"/>
      <c r="N352" s="14"/>
      <c r="O352" s="14"/>
      <c r="P352" s="14"/>
    </row>
    <row r="353">
      <c r="A353" s="12"/>
      <c r="D353" s="95"/>
      <c r="E353" s="14"/>
      <c r="F353" s="96"/>
      <c r="H353" s="14"/>
      <c r="I353" s="14"/>
      <c r="J353" s="14"/>
      <c r="K353" s="14"/>
      <c r="L353" s="14"/>
      <c r="M353" s="14"/>
      <c r="N353" s="14"/>
      <c r="O353" s="14"/>
      <c r="P353" s="14"/>
    </row>
    <row r="354">
      <c r="A354" s="12"/>
      <c r="D354" s="95"/>
      <c r="E354" s="14"/>
      <c r="F354" s="96"/>
      <c r="H354" s="14"/>
      <c r="I354" s="14"/>
      <c r="J354" s="14"/>
      <c r="K354" s="14"/>
      <c r="L354" s="14"/>
      <c r="M354" s="14"/>
      <c r="N354" s="14"/>
      <c r="O354" s="14"/>
      <c r="P354" s="14"/>
    </row>
    <row r="355">
      <c r="A355" s="12"/>
      <c r="D355" s="95"/>
      <c r="E355" s="14"/>
      <c r="F355" s="96"/>
      <c r="H355" s="14"/>
      <c r="I355" s="14"/>
      <c r="J355" s="14"/>
      <c r="K355" s="14"/>
      <c r="L355" s="14"/>
      <c r="M355" s="14"/>
      <c r="N355" s="14"/>
      <c r="O355" s="14"/>
      <c r="P355" s="14"/>
    </row>
    <row r="356">
      <c r="A356" s="12"/>
      <c r="D356" s="95"/>
      <c r="E356" s="14"/>
      <c r="F356" s="96"/>
      <c r="H356" s="14"/>
      <c r="I356" s="14"/>
      <c r="J356" s="14"/>
      <c r="K356" s="14"/>
      <c r="L356" s="14"/>
      <c r="M356" s="14"/>
      <c r="N356" s="14"/>
      <c r="O356" s="14"/>
      <c r="P356" s="14"/>
    </row>
    <row r="357">
      <c r="A357" s="12"/>
      <c r="D357" s="95"/>
      <c r="E357" s="14"/>
      <c r="F357" s="96"/>
      <c r="H357" s="14"/>
      <c r="I357" s="14"/>
      <c r="J357" s="14"/>
      <c r="K357" s="14"/>
      <c r="L357" s="14"/>
      <c r="M357" s="14"/>
      <c r="N357" s="14"/>
      <c r="O357" s="14"/>
      <c r="P357" s="14"/>
    </row>
    <row r="358">
      <c r="A358" s="12"/>
      <c r="D358" s="95"/>
      <c r="E358" s="14"/>
      <c r="F358" s="96"/>
      <c r="H358" s="14"/>
      <c r="I358" s="14"/>
      <c r="J358" s="14"/>
      <c r="K358" s="14"/>
      <c r="L358" s="14"/>
      <c r="M358" s="14"/>
      <c r="N358" s="14"/>
      <c r="O358" s="14"/>
      <c r="P358" s="14"/>
    </row>
    <row r="359">
      <c r="A359" s="12"/>
      <c r="D359" s="95"/>
      <c r="E359" s="14"/>
      <c r="F359" s="96"/>
      <c r="H359" s="14"/>
      <c r="I359" s="14"/>
      <c r="J359" s="14"/>
      <c r="K359" s="14"/>
      <c r="L359" s="14"/>
      <c r="M359" s="14"/>
      <c r="N359" s="14"/>
      <c r="O359" s="14"/>
      <c r="P359" s="14"/>
    </row>
    <row r="360">
      <c r="A360" s="12"/>
      <c r="D360" s="95"/>
      <c r="E360" s="14"/>
      <c r="F360" s="96"/>
      <c r="H360" s="14"/>
      <c r="I360" s="14"/>
      <c r="J360" s="14"/>
      <c r="K360" s="14"/>
      <c r="L360" s="14"/>
      <c r="M360" s="14"/>
      <c r="N360" s="14"/>
      <c r="O360" s="14"/>
      <c r="P360" s="14"/>
    </row>
    <row r="361">
      <c r="A361" s="12"/>
      <c r="D361" s="95"/>
      <c r="E361" s="14"/>
      <c r="F361" s="96"/>
      <c r="H361" s="14"/>
      <c r="I361" s="14"/>
      <c r="J361" s="14"/>
      <c r="K361" s="14"/>
      <c r="L361" s="14"/>
      <c r="M361" s="14"/>
      <c r="N361" s="14"/>
      <c r="O361" s="14"/>
      <c r="P361" s="14"/>
    </row>
    <row r="362">
      <c r="A362" s="12"/>
      <c r="D362" s="95"/>
      <c r="E362" s="14"/>
      <c r="F362" s="96"/>
      <c r="H362" s="14"/>
      <c r="I362" s="14"/>
      <c r="J362" s="14"/>
      <c r="K362" s="14"/>
      <c r="L362" s="14"/>
      <c r="M362" s="14"/>
      <c r="N362" s="14"/>
      <c r="O362" s="14"/>
      <c r="P362" s="14"/>
    </row>
    <row r="363">
      <c r="A363" s="12"/>
      <c r="D363" s="95"/>
      <c r="E363" s="14"/>
      <c r="F363" s="96"/>
      <c r="H363" s="14"/>
      <c r="I363" s="14"/>
      <c r="J363" s="14"/>
      <c r="K363" s="14"/>
      <c r="L363" s="14"/>
      <c r="M363" s="14"/>
      <c r="N363" s="14"/>
      <c r="O363" s="14"/>
      <c r="P363" s="14"/>
    </row>
    <row r="364">
      <c r="A364" s="12"/>
      <c r="D364" s="95"/>
      <c r="E364" s="14"/>
      <c r="F364" s="96"/>
      <c r="H364" s="14"/>
      <c r="I364" s="14"/>
      <c r="J364" s="14"/>
      <c r="K364" s="14"/>
      <c r="L364" s="14"/>
      <c r="M364" s="14"/>
      <c r="N364" s="14"/>
      <c r="O364" s="14"/>
      <c r="P364" s="14"/>
    </row>
    <row r="365">
      <c r="A365" s="12"/>
      <c r="D365" s="95"/>
      <c r="E365" s="14"/>
      <c r="F365" s="96"/>
      <c r="H365" s="14"/>
      <c r="I365" s="14"/>
      <c r="J365" s="14"/>
      <c r="K365" s="14"/>
      <c r="L365" s="14"/>
      <c r="M365" s="14"/>
      <c r="N365" s="14"/>
      <c r="O365" s="14"/>
      <c r="P365" s="14"/>
    </row>
    <row r="366">
      <c r="A366" s="12"/>
      <c r="D366" s="95"/>
      <c r="E366" s="14"/>
      <c r="F366" s="96"/>
      <c r="H366" s="14"/>
      <c r="I366" s="14"/>
      <c r="J366" s="14"/>
      <c r="K366" s="14"/>
      <c r="L366" s="14"/>
      <c r="M366" s="14"/>
      <c r="N366" s="14"/>
      <c r="O366" s="14"/>
      <c r="P366" s="14"/>
    </row>
    <row r="367">
      <c r="A367" s="12"/>
      <c r="D367" s="95"/>
      <c r="E367" s="14"/>
      <c r="F367" s="96"/>
      <c r="H367" s="14"/>
      <c r="I367" s="14"/>
      <c r="J367" s="14"/>
      <c r="K367" s="14"/>
      <c r="L367" s="14"/>
      <c r="M367" s="14"/>
      <c r="N367" s="14"/>
      <c r="O367" s="14"/>
      <c r="P367" s="14"/>
    </row>
    <row r="368">
      <c r="A368" s="12"/>
      <c r="D368" s="95"/>
      <c r="E368" s="14"/>
      <c r="F368" s="96"/>
      <c r="H368" s="14"/>
      <c r="I368" s="14"/>
      <c r="J368" s="14"/>
      <c r="K368" s="14"/>
      <c r="L368" s="14"/>
      <c r="M368" s="14"/>
      <c r="N368" s="14"/>
      <c r="O368" s="14"/>
      <c r="P368" s="14"/>
    </row>
    <row r="369">
      <c r="A369" s="12"/>
      <c r="D369" s="95"/>
      <c r="E369" s="14"/>
      <c r="F369" s="96"/>
      <c r="H369" s="14"/>
      <c r="I369" s="14"/>
      <c r="J369" s="14"/>
      <c r="K369" s="14"/>
      <c r="L369" s="14"/>
      <c r="M369" s="14"/>
      <c r="N369" s="14"/>
      <c r="O369" s="14"/>
      <c r="P369" s="14"/>
    </row>
    <row r="370">
      <c r="A370" s="12"/>
      <c r="D370" s="95"/>
      <c r="E370" s="14"/>
      <c r="F370" s="96"/>
      <c r="H370" s="14"/>
      <c r="I370" s="14"/>
      <c r="J370" s="14"/>
      <c r="K370" s="14"/>
      <c r="L370" s="14"/>
      <c r="M370" s="14"/>
      <c r="N370" s="14"/>
      <c r="O370" s="14"/>
      <c r="P370" s="14"/>
    </row>
    <row r="371">
      <c r="A371" s="12"/>
      <c r="D371" s="95"/>
      <c r="E371" s="14"/>
      <c r="F371" s="96"/>
      <c r="H371" s="14"/>
      <c r="I371" s="14"/>
      <c r="J371" s="14"/>
      <c r="K371" s="14"/>
      <c r="L371" s="14"/>
      <c r="M371" s="14"/>
      <c r="N371" s="14"/>
      <c r="O371" s="14"/>
      <c r="P371" s="14"/>
    </row>
    <row r="372">
      <c r="A372" s="12"/>
      <c r="D372" s="95"/>
      <c r="E372" s="14"/>
      <c r="F372" s="96"/>
      <c r="H372" s="14"/>
      <c r="I372" s="14"/>
      <c r="J372" s="14"/>
      <c r="K372" s="14"/>
      <c r="L372" s="14"/>
      <c r="M372" s="14"/>
      <c r="N372" s="14"/>
      <c r="O372" s="14"/>
      <c r="P372" s="14"/>
    </row>
    <row r="373">
      <c r="A373" s="12"/>
      <c r="D373" s="95"/>
      <c r="E373" s="14"/>
      <c r="F373" s="96"/>
      <c r="H373" s="14"/>
      <c r="I373" s="14"/>
      <c r="J373" s="14"/>
      <c r="K373" s="14"/>
      <c r="L373" s="14"/>
      <c r="M373" s="14"/>
      <c r="N373" s="14"/>
      <c r="O373" s="14"/>
      <c r="P373" s="14"/>
    </row>
    <row r="374">
      <c r="A374" s="12"/>
      <c r="D374" s="95"/>
      <c r="E374" s="14"/>
      <c r="F374" s="96"/>
      <c r="H374" s="14"/>
      <c r="I374" s="14"/>
      <c r="J374" s="14"/>
      <c r="K374" s="14"/>
      <c r="L374" s="14"/>
      <c r="M374" s="14"/>
      <c r="N374" s="14"/>
      <c r="O374" s="14"/>
      <c r="P374" s="14"/>
    </row>
    <row r="375">
      <c r="A375" s="12"/>
      <c r="D375" s="95"/>
      <c r="E375" s="14"/>
      <c r="F375" s="96"/>
      <c r="H375" s="14"/>
      <c r="I375" s="14"/>
      <c r="J375" s="14"/>
      <c r="K375" s="14"/>
      <c r="L375" s="14"/>
      <c r="M375" s="14"/>
      <c r="N375" s="14"/>
      <c r="O375" s="14"/>
      <c r="P375" s="14"/>
    </row>
    <row r="376">
      <c r="A376" s="12"/>
      <c r="D376" s="95"/>
      <c r="E376" s="14"/>
      <c r="F376" s="96"/>
      <c r="H376" s="14"/>
      <c r="I376" s="14"/>
      <c r="J376" s="14"/>
      <c r="K376" s="14"/>
      <c r="L376" s="14"/>
      <c r="M376" s="14"/>
      <c r="N376" s="14"/>
      <c r="O376" s="14"/>
      <c r="P376" s="14"/>
    </row>
    <row r="377">
      <c r="A377" s="12"/>
      <c r="D377" s="95"/>
      <c r="E377" s="14"/>
      <c r="F377" s="96"/>
      <c r="H377" s="14"/>
      <c r="I377" s="14"/>
      <c r="J377" s="14"/>
      <c r="K377" s="14"/>
      <c r="L377" s="14"/>
      <c r="M377" s="14"/>
      <c r="N377" s="14"/>
      <c r="O377" s="14"/>
      <c r="P377" s="14"/>
    </row>
    <row r="378">
      <c r="A378" s="12"/>
      <c r="D378" s="95"/>
      <c r="E378" s="14"/>
      <c r="F378" s="96"/>
      <c r="H378" s="14"/>
      <c r="I378" s="14"/>
      <c r="J378" s="14"/>
      <c r="K378" s="14"/>
      <c r="L378" s="14"/>
      <c r="M378" s="14"/>
      <c r="N378" s="14"/>
      <c r="O378" s="14"/>
      <c r="P378" s="14"/>
    </row>
    <row r="379">
      <c r="A379" s="12"/>
      <c r="D379" s="95"/>
      <c r="E379" s="14"/>
      <c r="F379" s="96"/>
      <c r="H379" s="14"/>
      <c r="I379" s="14"/>
      <c r="J379" s="14"/>
      <c r="K379" s="14"/>
      <c r="L379" s="14"/>
      <c r="M379" s="14"/>
      <c r="N379" s="14"/>
      <c r="O379" s="14"/>
      <c r="P379" s="14"/>
    </row>
    <row r="380">
      <c r="A380" s="12"/>
      <c r="D380" s="95"/>
      <c r="E380" s="14"/>
      <c r="F380" s="96"/>
      <c r="H380" s="14"/>
      <c r="I380" s="14"/>
      <c r="J380" s="14"/>
      <c r="K380" s="14"/>
      <c r="L380" s="14"/>
      <c r="M380" s="14"/>
      <c r="N380" s="14"/>
      <c r="O380" s="14"/>
      <c r="P380" s="14"/>
    </row>
    <row r="381">
      <c r="A381" s="12"/>
      <c r="D381" s="95"/>
      <c r="E381" s="14"/>
      <c r="F381" s="96"/>
      <c r="H381" s="14"/>
      <c r="I381" s="14"/>
      <c r="J381" s="14"/>
      <c r="K381" s="14"/>
      <c r="L381" s="14"/>
      <c r="M381" s="14"/>
      <c r="N381" s="14"/>
      <c r="O381" s="14"/>
      <c r="P381" s="14"/>
    </row>
    <row r="382">
      <c r="A382" s="12"/>
      <c r="D382" s="95"/>
      <c r="E382" s="14"/>
      <c r="F382" s="96"/>
      <c r="H382" s="14"/>
      <c r="I382" s="14"/>
      <c r="J382" s="14"/>
      <c r="K382" s="14"/>
      <c r="L382" s="14"/>
      <c r="M382" s="14"/>
      <c r="N382" s="14"/>
      <c r="O382" s="14"/>
      <c r="P382" s="14"/>
    </row>
    <row r="383">
      <c r="A383" s="12"/>
      <c r="D383" s="95"/>
      <c r="E383" s="14"/>
      <c r="F383" s="96"/>
      <c r="H383" s="14"/>
      <c r="I383" s="14"/>
      <c r="J383" s="14"/>
      <c r="K383" s="14"/>
      <c r="L383" s="14"/>
      <c r="M383" s="14"/>
      <c r="N383" s="14"/>
      <c r="O383" s="14"/>
      <c r="P383" s="14"/>
    </row>
    <row r="384">
      <c r="A384" s="12"/>
      <c r="D384" s="95"/>
      <c r="E384" s="14"/>
      <c r="F384" s="96"/>
      <c r="H384" s="14"/>
      <c r="I384" s="14"/>
      <c r="J384" s="14"/>
      <c r="K384" s="14"/>
      <c r="L384" s="14"/>
      <c r="M384" s="14"/>
      <c r="N384" s="14"/>
      <c r="O384" s="14"/>
      <c r="P384" s="14"/>
    </row>
    <row r="385">
      <c r="A385" s="12"/>
      <c r="D385" s="95"/>
      <c r="E385" s="14"/>
      <c r="F385" s="96"/>
      <c r="H385" s="14"/>
      <c r="I385" s="14"/>
      <c r="J385" s="14"/>
      <c r="K385" s="14"/>
      <c r="L385" s="14"/>
      <c r="M385" s="14"/>
      <c r="N385" s="14"/>
      <c r="O385" s="14"/>
      <c r="P385" s="14"/>
    </row>
    <row r="386">
      <c r="A386" s="12"/>
      <c r="D386" s="95"/>
      <c r="E386" s="14"/>
      <c r="F386" s="96"/>
      <c r="H386" s="14"/>
      <c r="I386" s="14"/>
      <c r="J386" s="14"/>
      <c r="K386" s="14"/>
      <c r="L386" s="14"/>
      <c r="M386" s="14"/>
      <c r="N386" s="14"/>
      <c r="O386" s="14"/>
      <c r="P386" s="14"/>
    </row>
    <row r="387">
      <c r="A387" s="12"/>
      <c r="D387" s="95"/>
      <c r="E387" s="14"/>
      <c r="F387" s="96"/>
      <c r="H387" s="14"/>
      <c r="I387" s="14"/>
      <c r="J387" s="14"/>
      <c r="K387" s="14"/>
      <c r="L387" s="14"/>
      <c r="M387" s="14"/>
      <c r="N387" s="14"/>
      <c r="O387" s="14"/>
      <c r="P387" s="14"/>
    </row>
    <row r="388">
      <c r="A388" s="12"/>
      <c r="D388" s="95"/>
      <c r="E388" s="14"/>
      <c r="F388" s="96"/>
      <c r="H388" s="14"/>
      <c r="I388" s="14"/>
      <c r="J388" s="14"/>
      <c r="K388" s="14"/>
      <c r="L388" s="14"/>
      <c r="M388" s="14"/>
      <c r="N388" s="14"/>
      <c r="O388" s="14"/>
      <c r="P388" s="14"/>
    </row>
    <row r="389">
      <c r="A389" s="12"/>
      <c r="D389" s="95"/>
      <c r="E389" s="14"/>
      <c r="F389" s="96"/>
      <c r="H389" s="14"/>
      <c r="I389" s="14"/>
      <c r="J389" s="14"/>
      <c r="K389" s="14"/>
      <c r="L389" s="14"/>
      <c r="M389" s="14"/>
      <c r="N389" s="14"/>
      <c r="O389" s="14"/>
      <c r="P389" s="14"/>
    </row>
    <row r="390">
      <c r="A390" s="12"/>
      <c r="D390" s="95"/>
      <c r="E390" s="14"/>
      <c r="F390" s="96"/>
      <c r="H390" s="14"/>
      <c r="I390" s="14"/>
      <c r="J390" s="14"/>
      <c r="K390" s="14"/>
      <c r="L390" s="14"/>
      <c r="M390" s="14"/>
      <c r="N390" s="14"/>
      <c r="O390" s="14"/>
      <c r="P390" s="14"/>
    </row>
    <row r="391">
      <c r="A391" s="12"/>
      <c r="D391" s="95"/>
      <c r="E391" s="14"/>
      <c r="F391" s="96"/>
      <c r="H391" s="14"/>
      <c r="I391" s="14"/>
      <c r="J391" s="14"/>
      <c r="K391" s="14"/>
      <c r="L391" s="14"/>
      <c r="M391" s="14"/>
      <c r="N391" s="14"/>
      <c r="O391" s="14"/>
      <c r="P391" s="14"/>
    </row>
    <row r="392">
      <c r="A392" s="12"/>
      <c r="D392" s="95"/>
      <c r="E392" s="14"/>
      <c r="F392" s="96"/>
      <c r="H392" s="14"/>
      <c r="I392" s="14"/>
      <c r="J392" s="14"/>
      <c r="K392" s="14"/>
      <c r="L392" s="14"/>
      <c r="M392" s="14"/>
      <c r="N392" s="14"/>
      <c r="O392" s="14"/>
      <c r="P392" s="14"/>
    </row>
    <row r="393">
      <c r="A393" s="12"/>
      <c r="D393" s="95"/>
      <c r="E393" s="14"/>
      <c r="F393" s="96"/>
      <c r="H393" s="14"/>
      <c r="I393" s="14"/>
      <c r="J393" s="14"/>
      <c r="K393" s="14"/>
      <c r="L393" s="14"/>
      <c r="M393" s="14"/>
      <c r="N393" s="14"/>
      <c r="O393" s="14"/>
      <c r="P393" s="14"/>
    </row>
    <row r="394">
      <c r="A394" s="12"/>
      <c r="D394" s="95"/>
      <c r="E394" s="14"/>
      <c r="F394" s="96"/>
      <c r="H394" s="14"/>
      <c r="I394" s="14"/>
      <c r="J394" s="14"/>
      <c r="K394" s="14"/>
      <c r="L394" s="14"/>
      <c r="M394" s="14"/>
      <c r="N394" s="14"/>
      <c r="O394" s="14"/>
      <c r="P394" s="14"/>
    </row>
    <row r="395">
      <c r="A395" s="12"/>
      <c r="D395" s="95"/>
      <c r="E395" s="14"/>
      <c r="F395" s="96"/>
      <c r="H395" s="14"/>
      <c r="I395" s="14"/>
      <c r="J395" s="14"/>
      <c r="K395" s="14"/>
      <c r="L395" s="14"/>
      <c r="M395" s="14"/>
      <c r="N395" s="14"/>
      <c r="O395" s="14"/>
      <c r="P395" s="14"/>
    </row>
    <row r="396">
      <c r="A396" s="12"/>
      <c r="D396" s="95"/>
      <c r="E396" s="14"/>
      <c r="F396" s="96"/>
      <c r="H396" s="14"/>
      <c r="I396" s="14"/>
      <c r="J396" s="14"/>
      <c r="K396" s="14"/>
      <c r="L396" s="14"/>
      <c r="M396" s="14"/>
      <c r="N396" s="14"/>
      <c r="O396" s="14"/>
      <c r="P396" s="14"/>
    </row>
    <row r="397">
      <c r="A397" s="12"/>
      <c r="D397" s="95"/>
      <c r="E397" s="14"/>
      <c r="F397" s="96"/>
      <c r="H397" s="14"/>
      <c r="I397" s="14"/>
      <c r="J397" s="14"/>
      <c r="K397" s="14"/>
      <c r="L397" s="14"/>
      <c r="M397" s="14"/>
      <c r="N397" s="14"/>
      <c r="O397" s="14"/>
      <c r="P397" s="14"/>
    </row>
    <row r="398">
      <c r="A398" s="12"/>
      <c r="D398" s="95"/>
      <c r="E398" s="14"/>
      <c r="F398" s="96"/>
      <c r="H398" s="14"/>
      <c r="I398" s="14"/>
      <c r="J398" s="14"/>
      <c r="K398" s="14"/>
      <c r="L398" s="14"/>
      <c r="M398" s="14"/>
      <c r="N398" s="14"/>
      <c r="O398" s="14"/>
      <c r="P398" s="14"/>
    </row>
    <row r="399">
      <c r="A399" s="12"/>
      <c r="D399" s="95"/>
      <c r="E399" s="14"/>
      <c r="F399" s="96"/>
      <c r="H399" s="14"/>
      <c r="I399" s="14"/>
      <c r="J399" s="14"/>
      <c r="K399" s="14"/>
      <c r="L399" s="14"/>
      <c r="M399" s="14"/>
      <c r="N399" s="14"/>
      <c r="O399" s="14"/>
      <c r="P399" s="14"/>
    </row>
    <row r="400">
      <c r="A400" s="12"/>
      <c r="D400" s="95"/>
      <c r="E400" s="14"/>
      <c r="F400" s="96"/>
      <c r="H400" s="14"/>
      <c r="I400" s="14"/>
      <c r="J400" s="14"/>
      <c r="K400" s="14"/>
      <c r="L400" s="14"/>
      <c r="M400" s="14"/>
      <c r="N400" s="14"/>
      <c r="O400" s="14"/>
      <c r="P400" s="14"/>
    </row>
    <row r="401">
      <c r="A401" s="12"/>
      <c r="D401" s="95"/>
      <c r="E401" s="14"/>
      <c r="F401" s="96"/>
      <c r="H401" s="14"/>
      <c r="I401" s="14"/>
      <c r="J401" s="14"/>
      <c r="K401" s="14"/>
      <c r="L401" s="14"/>
      <c r="M401" s="14"/>
      <c r="N401" s="14"/>
      <c r="O401" s="14"/>
      <c r="P401" s="14"/>
    </row>
    <row r="402">
      <c r="A402" s="12"/>
      <c r="D402" s="95"/>
      <c r="E402" s="14"/>
      <c r="F402" s="96"/>
      <c r="H402" s="14"/>
      <c r="I402" s="14"/>
      <c r="J402" s="14"/>
      <c r="K402" s="14"/>
      <c r="L402" s="14"/>
      <c r="M402" s="14"/>
      <c r="N402" s="14"/>
      <c r="O402" s="14"/>
      <c r="P402" s="14"/>
    </row>
    <row r="403">
      <c r="A403" s="12"/>
      <c r="D403" s="95"/>
      <c r="E403" s="14"/>
      <c r="F403" s="96"/>
      <c r="H403" s="14"/>
      <c r="I403" s="14"/>
      <c r="J403" s="14"/>
      <c r="K403" s="14"/>
      <c r="L403" s="14"/>
      <c r="M403" s="14"/>
      <c r="N403" s="14"/>
      <c r="O403" s="14"/>
      <c r="P403" s="14"/>
    </row>
    <row r="404">
      <c r="A404" s="12"/>
      <c r="D404" s="95"/>
      <c r="E404" s="14"/>
      <c r="F404" s="96"/>
      <c r="H404" s="14"/>
      <c r="I404" s="14"/>
      <c r="J404" s="14"/>
      <c r="K404" s="14"/>
      <c r="L404" s="14"/>
      <c r="M404" s="14"/>
      <c r="N404" s="14"/>
      <c r="O404" s="14"/>
      <c r="P404" s="14"/>
    </row>
    <row r="405">
      <c r="A405" s="12"/>
      <c r="D405" s="95"/>
      <c r="E405" s="14"/>
      <c r="F405" s="96"/>
      <c r="H405" s="14"/>
      <c r="I405" s="14"/>
      <c r="J405" s="14"/>
      <c r="K405" s="14"/>
      <c r="L405" s="14"/>
      <c r="M405" s="14"/>
      <c r="N405" s="14"/>
      <c r="O405" s="14"/>
      <c r="P405" s="14"/>
    </row>
    <row r="406">
      <c r="A406" s="12"/>
      <c r="D406" s="95"/>
      <c r="E406" s="14"/>
      <c r="F406" s="96"/>
      <c r="H406" s="14"/>
      <c r="I406" s="14"/>
      <c r="J406" s="14"/>
      <c r="K406" s="14"/>
      <c r="L406" s="14"/>
      <c r="M406" s="14"/>
      <c r="N406" s="14"/>
      <c r="O406" s="14"/>
      <c r="P406" s="14"/>
    </row>
    <row r="407">
      <c r="A407" s="12"/>
      <c r="D407" s="95"/>
      <c r="E407" s="14"/>
      <c r="F407" s="96"/>
      <c r="H407" s="14"/>
      <c r="I407" s="14"/>
      <c r="J407" s="14"/>
      <c r="K407" s="14"/>
      <c r="L407" s="14"/>
      <c r="M407" s="14"/>
      <c r="N407" s="14"/>
      <c r="O407" s="14"/>
      <c r="P407" s="14"/>
    </row>
    <row r="408">
      <c r="A408" s="12"/>
      <c r="D408" s="95"/>
      <c r="E408" s="14"/>
      <c r="F408" s="96"/>
      <c r="H408" s="14"/>
      <c r="I408" s="14"/>
      <c r="J408" s="14"/>
      <c r="K408" s="14"/>
      <c r="L408" s="14"/>
      <c r="M408" s="14"/>
      <c r="N408" s="14"/>
      <c r="O408" s="14"/>
      <c r="P408" s="14"/>
    </row>
    <row r="409">
      <c r="A409" s="12"/>
      <c r="D409" s="95"/>
      <c r="E409" s="14"/>
      <c r="F409" s="96"/>
      <c r="H409" s="14"/>
      <c r="I409" s="14"/>
      <c r="J409" s="14"/>
      <c r="K409" s="14"/>
      <c r="L409" s="14"/>
      <c r="M409" s="14"/>
      <c r="N409" s="14"/>
      <c r="O409" s="14"/>
      <c r="P409" s="14"/>
    </row>
    <row r="410">
      <c r="A410" s="12"/>
      <c r="D410" s="95"/>
      <c r="E410" s="14"/>
      <c r="F410" s="96"/>
      <c r="H410" s="14"/>
      <c r="I410" s="14"/>
      <c r="J410" s="14"/>
      <c r="K410" s="14"/>
      <c r="L410" s="14"/>
      <c r="M410" s="14"/>
      <c r="N410" s="14"/>
      <c r="O410" s="14"/>
      <c r="P410" s="14"/>
    </row>
    <row r="411">
      <c r="A411" s="12"/>
      <c r="D411" s="95"/>
      <c r="E411" s="14"/>
      <c r="F411" s="96"/>
      <c r="H411" s="14"/>
      <c r="I411" s="14"/>
      <c r="J411" s="14"/>
      <c r="K411" s="14"/>
      <c r="L411" s="14"/>
      <c r="M411" s="14"/>
      <c r="N411" s="14"/>
      <c r="O411" s="14"/>
      <c r="P411" s="14"/>
    </row>
    <row r="412">
      <c r="A412" s="12"/>
      <c r="D412" s="95"/>
      <c r="E412" s="14"/>
      <c r="F412" s="96"/>
      <c r="H412" s="14"/>
      <c r="I412" s="14"/>
      <c r="J412" s="14"/>
      <c r="K412" s="14"/>
      <c r="L412" s="14"/>
      <c r="M412" s="14"/>
      <c r="N412" s="14"/>
      <c r="O412" s="14"/>
      <c r="P412" s="14"/>
    </row>
    <row r="413">
      <c r="A413" s="12"/>
      <c r="D413" s="95"/>
      <c r="E413" s="14"/>
      <c r="F413" s="96"/>
      <c r="H413" s="14"/>
      <c r="I413" s="14"/>
      <c r="J413" s="14"/>
      <c r="K413" s="14"/>
      <c r="L413" s="14"/>
      <c r="M413" s="14"/>
      <c r="N413" s="14"/>
      <c r="O413" s="14"/>
      <c r="P413" s="14"/>
    </row>
    <row r="414">
      <c r="A414" s="12"/>
      <c r="D414" s="95"/>
      <c r="E414" s="14"/>
      <c r="F414" s="96"/>
      <c r="H414" s="14"/>
      <c r="I414" s="14"/>
      <c r="J414" s="14"/>
      <c r="K414" s="14"/>
      <c r="L414" s="14"/>
      <c r="M414" s="14"/>
      <c r="N414" s="14"/>
      <c r="O414" s="14"/>
      <c r="P414" s="14"/>
    </row>
    <row r="415">
      <c r="A415" s="12"/>
      <c r="D415" s="95"/>
      <c r="E415" s="14"/>
      <c r="F415" s="96"/>
      <c r="H415" s="14"/>
      <c r="I415" s="14"/>
      <c r="J415" s="14"/>
      <c r="K415" s="14"/>
      <c r="L415" s="14"/>
      <c r="M415" s="14"/>
      <c r="N415" s="14"/>
      <c r="O415" s="14"/>
      <c r="P415" s="14"/>
    </row>
    <row r="416">
      <c r="A416" s="12"/>
      <c r="D416" s="95"/>
      <c r="E416" s="14"/>
      <c r="F416" s="96"/>
      <c r="H416" s="14"/>
      <c r="I416" s="14"/>
      <c r="J416" s="14"/>
      <c r="K416" s="14"/>
      <c r="L416" s="14"/>
      <c r="M416" s="14"/>
      <c r="N416" s="14"/>
      <c r="O416" s="14"/>
      <c r="P416" s="14"/>
    </row>
    <row r="417">
      <c r="A417" s="12"/>
      <c r="D417" s="95"/>
      <c r="E417" s="14"/>
      <c r="F417" s="96"/>
      <c r="H417" s="14"/>
      <c r="I417" s="14"/>
      <c r="J417" s="14"/>
      <c r="K417" s="14"/>
      <c r="L417" s="14"/>
      <c r="M417" s="14"/>
      <c r="N417" s="14"/>
      <c r="O417" s="14"/>
      <c r="P417" s="14"/>
    </row>
    <row r="418">
      <c r="A418" s="12"/>
      <c r="D418" s="95"/>
      <c r="E418" s="14"/>
      <c r="F418" s="96"/>
      <c r="H418" s="14"/>
      <c r="I418" s="14"/>
      <c r="J418" s="14"/>
      <c r="K418" s="14"/>
      <c r="L418" s="14"/>
      <c r="M418" s="14"/>
      <c r="N418" s="14"/>
      <c r="O418" s="14"/>
      <c r="P418" s="14"/>
    </row>
    <row r="419">
      <c r="A419" s="12"/>
      <c r="D419" s="95"/>
      <c r="E419" s="14"/>
      <c r="F419" s="96"/>
      <c r="H419" s="14"/>
      <c r="I419" s="14"/>
      <c r="J419" s="14"/>
      <c r="K419" s="14"/>
      <c r="L419" s="14"/>
      <c r="M419" s="14"/>
      <c r="N419" s="14"/>
      <c r="O419" s="14"/>
      <c r="P419" s="14"/>
    </row>
    <row r="420">
      <c r="A420" s="12"/>
      <c r="D420" s="95"/>
      <c r="E420" s="14"/>
      <c r="F420" s="96"/>
      <c r="H420" s="14"/>
      <c r="I420" s="14"/>
      <c r="J420" s="14"/>
      <c r="K420" s="14"/>
      <c r="L420" s="14"/>
      <c r="M420" s="14"/>
      <c r="N420" s="14"/>
      <c r="O420" s="14"/>
      <c r="P420" s="14"/>
    </row>
    <row r="421">
      <c r="A421" s="12"/>
      <c r="D421" s="95"/>
      <c r="E421" s="14"/>
      <c r="F421" s="96"/>
      <c r="H421" s="14"/>
      <c r="I421" s="14"/>
      <c r="J421" s="14"/>
      <c r="K421" s="14"/>
      <c r="L421" s="14"/>
      <c r="M421" s="14"/>
      <c r="N421" s="14"/>
      <c r="O421" s="14"/>
      <c r="P421" s="14"/>
    </row>
    <row r="422">
      <c r="A422" s="12"/>
      <c r="D422" s="95"/>
      <c r="E422" s="14"/>
      <c r="F422" s="96"/>
      <c r="H422" s="14"/>
      <c r="I422" s="14"/>
      <c r="J422" s="14"/>
      <c r="K422" s="14"/>
      <c r="L422" s="14"/>
      <c r="M422" s="14"/>
      <c r="N422" s="14"/>
      <c r="O422" s="14"/>
      <c r="P422" s="14"/>
    </row>
    <row r="423">
      <c r="A423" s="12"/>
      <c r="D423" s="95"/>
      <c r="E423" s="14"/>
      <c r="F423" s="96"/>
      <c r="H423" s="14"/>
      <c r="I423" s="14"/>
      <c r="J423" s="14"/>
      <c r="K423" s="14"/>
      <c r="L423" s="14"/>
      <c r="M423" s="14"/>
      <c r="N423" s="14"/>
      <c r="O423" s="14"/>
      <c r="P423" s="14"/>
    </row>
    <row r="424">
      <c r="A424" s="12"/>
      <c r="D424" s="95"/>
      <c r="E424" s="14"/>
      <c r="F424" s="96"/>
      <c r="H424" s="14"/>
      <c r="I424" s="14"/>
      <c r="J424" s="14"/>
      <c r="K424" s="14"/>
      <c r="L424" s="14"/>
      <c r="M424" s="14"/>
      <c r="N424" s="14"/>
      <c r="O424" s="14"/>
      <c r="P424" s="14"/>
    </row>
    <row r="425">
      <c r="A425" s="12"/>
      <c r="D425" s="95"/>
      <c r="E425" s="14"/>
      <c r="F425" s="96"/>
      <c r="H425" s="14"/>
      <c r="I425" s="14"/>
      <c r="J425" s="14"/>
      <c r="K425" s="14"/>
      <c r="L425" s="14"/>
      <c r="M425" s="14"/>
      <c r="N425" s="14"/>
      <c r="O425" s="14"/>
      <c r="P425" s="14"/>
    </row>
    <row r="426">
      <c r="A426" s="12"/>
      <c r="D426" s="95"/>
      <c r="E426" s="14"/>
      <c r="F426" s="96"/>
      <c r="H426" s="14"/>
      <c r="I426" s="14"/>
      <c r="J426" s="14"/>
      <c r="K426" s="14"/>
      <c r="L426" s="14"/>
      <c r="M426" s="14"/>
      <c r="N426" s="14"/>
      <c r="O426" s="14"/>
      <c r="P426" s="14"/>
    </row>
    <row r="427">
      <c r="A427" s="12"/>
      <c r="D427" s="95"/>
      <c r="E427" s="14"/>
      <c r="F427" s="96"/>
      <c r="H427" s="14"/>
      <c r="I427" s="14"/>
      <c r="J427" s="14"/>
      <c r="K427" s="14"/>
      <c r="L427" s="14"/>
      <c r="M427" s="14"/>
      <c r="N427" s="14"/>
      <c r="O427" s="14"/>
      <c r="P427" s="14"/>
    </row>
    <row r="428">
      <c r="A428" s="12"/>
      <c r="D428" s="95"/>
      <c r="E428" s="14"/>
      <c r="F428" s="96"/>
      <c r="H428" s="14"/>
      <c r="I428" s="14"/>
      <c r="J428" s="14"/>
      <c r="K428" s="14"/>
      <c r="L428" s="14"/>
      <c r="M428" s="14"/>
      <c r="N428" s="14"/>
      <c r="O428" s="14"/>
      <c r="P428" s="14"/>
    </row>
    <row r="429">
      <c r="A429" s="12"/>
      <c r="D429" s="95"/>
      <c r="E429" s="14"/>
      <c r="F429" s="96"/>
      <c r="H429" s="14"/>
      <c r="I429" s="14"/>
      <c r="J429" s="14"/>
      <c r="K429" s="14"/>
      <c r="L429" s="14"/>
      <c r="M429" s="14"/>
      <c r="N429" s="14"/>
      <c r="O429" s="14"/>
      <c r="P429" s="14"/>
    </row>
    <row r="430">
      <c r="A430" s="12"/>
      <c r="D430" s="95"/>
      <c r="E430" s="14"/>
      <c r="F430" s="96"/>
      <c r="H430" s="14"/>
      <c r="I430" s="14"/>
      <c r="J430" s="14"/>
      <c r="K430" s="14"/>
      <c r="L430" s="14"/>
      <c r="M430" s="14"/>
      <c r="N430" s="14"/>
      <c r="O430" s="14"/>
      <c r="P430" s="14"/>
    </row>
    <row r="431">
      <c r="A431" s="12"/>
      <c r="D431" s="95"/>
      <c r="E431" s="14"/>
      <c r="F431" s="96"/>
      <c r="H431" s="14"/>
      <c r="I431" s="14"/>
      <c r="J431" s="14"/>
      <c r="K431" s="14"/>
      <c r="L431" s="14"/>
      <c r="M431" s="14"/>
      <c r="N431" s="14"/>
      <c r="O431" s="14"/>
      <c r="P431" s="14"/>
    </row>
    <row r="432">
      <c r="A432" s="12"/>
      <c r="D432" s="95"/>
      <c r="E432" s="14"/>
      <c r="F432" s="96"/>
      <c r="H432" s="14"/>
      <c r="I432" s="14"/>
      <c r="J432" s="14"/>
      <c r="K432" s="14"/>
      <c r="L432" s="14"/>
      <c r="M432" s="14"/>
      <c r="N432" s="14"/>
      <c r="O432" s="14"/>
      <c r="P432" s="14"/>
    </row>
    <row r="433">
      <c r="A433" s="12"/>
      <c r="D433" s="95"/>
      <c r="E433" s="14"/>
      <c r="F433" s="96"/>
      <c r="H433" s="14"/>
      <c r="I433" s="14"/>
      <c r="J433" s="14"/>
      <c r="K433" s="14"/>
      <c r="L433" s="14"/>
      <c r="M433" s="14"/>
      <c r="N433" s="14"/>
      <c r="O433" s="14"/>
      <c r="P433" s="14"/>
    </row>
    <row r="434">
      <c r="A434" s="12"/>
      <c r="D434" s="95"/>
      <c r="E434" s="14"/>
      <c r="F434" s="96"/>
      <c r="H434" s="14"/>
      <c r="I434" s="14"/>
      <c r="J434" s="14"/>
      <c r="K434" s="14"/>
      <c r="L434" s="14"/>
      <c r="M434" s="14"/>
      <c r="N434" s="14"/>
      <c r="O434" s="14"/>
      <c r="P434" s="14"/>
    </row>
    <row r="435">
      <c r="A435" s="12"/>
      <c r="D435" s="95"/>
      <c r="E435" s="14"/>
      <c r="F435" s="96"/>
      <c r="H435" s="14"/>
      <c r="I435" s="14"/>
      <c r="J435" s="14"/>
      <c r="K435" s="14"/>
      <c r="L435" s="14"/>
      <c r="M435" s="14"/>
      <c r="N435" s="14"/>
      <c r="O435" s="14"/>
      <c r="P435" s="14"/>
    </row>
    <row r="436">
      <c r="A436" s="12"/>
      <c r="D436" s="95"/>
      <c r="E436" s="14"/>
      <c r="F436" s="96"/>
      <c r="H436" s="14"/>
      <c r="I436" s="14"/>
      <c r="J436" s="14"/>
      <c r="K436" s="14"/>
      <c r="L436" s="14"/>
      <c r="M436" s="14"/>
      <c r="N436" s="14"/>
      <c r="O436" s="14"/>
      <c r="P436" s="14"/>
    </row>
    <row r="437">
      <c r="A437" s="12"/>
      <c r="D437" s="95"/>
      <c r="E437" s="14"/>
      <c r="F437" s="96"/>
      <c r="H437" s="14"/>
      <c r="I437" s="14"/>
      <c r="J437" s="14"/>
      <c r="K437" s="14"/>
      <c r="L437" s="14"/>
      <c r="M437" s="14"/>
      <c r="N437" s="14"/>
      <c r="O437" s="14"/>
      <c r="P437" s="14"/>
    </row>
    <row r="438">
      <c r="A438" s="12"/>
      <c r="D438" s="95"/>
      <c r="E438" s="14"/>
      <c r="F438" s="96"/>
      <c r="H438" s="14"/>
      <c r="I438" s="14"/>
      <c r="J438" s="14"/>
      <c r="K438" s="14"/>
      <c r="L438" s="14"/>
      <c r="M438" s="14"/>
      <c r="N438" s="14"/>
      <c r="O438" s="14"/>
      <c r="P438" s="14"/>
    </row>
    <row r="439">
      <c r="A439" s="12"/>
      <c r="D439" s="95"/>
      <c r="E439" s="14"/>
      <c r="F439" s="96"/>
      <c r="H439" s="14"/>
      <c r="I439" s="14"/>
      <c r="J439" s="14"/>
      <c r="K439" s="14"/>
      <c r="L439" s="14"/>
      <c r="M439" s="14"/>
      <c r="N439" s="14"/>
      <c r="O439" s="14"/>
      <c r="P439" s="14"/>
    </row>
    <row r="440">
      <c r="A440" s="12"/>
      <c r="D440" s="95"/>
      <c r="E440" s="14"/>
      <c r="F440" s="96"/>
      <c r="H440" s="14"/>
      <c r="I440" s="14"/>
      <c r="J440" s="14"/>
      <c r="K440" s="14"/>
      <c r="L440" s="14"/>
      <c r="M440" s="14"/>
      <c r="N440" s="14"/>
      <c r="O440" s="14"/>
      <c r="P440" s="14"/>
    </row>
    <row r="441">
      <c r="A441" s="12"/>
      <c r="D441" s="95"/>
      <c r="E441" s="14"/>
      <c r="F441" s="96"/>
      <c r="H441" s="14"/>
      <c r="I441" s="14"/>
      <c r="J441" s="14"/>
      <c r="K441" s="14"/>
      <c r="L441" s="14"/>
      <c r="M441" s="14"/>
      <c r="N441" s="14"/>
      <c r="O441" s="14"/>
      <c r="P441" s="14"/>
    </row>
    <row r="442">
      <c r="A442" s="12"/>
      <c r="D442" s="95"/>
      <c r="E442" s="14"/>
      <c r="F442" s="96"/>
      <c r="H442" s="14"/>
      <c r="I442" s="14"/>
      <c r="J442" s="14"/>
      <c r="K442" s="14"/>
      <c r="L442" s="14"/>
      <c r="M442" s="14"/>
      <c r="N442" s="14"/>
      <c r="O442" s="14"/>
      <c r="P442" s="14"/>
    </row>
    <row r="443">
      <c r="A443" s="12"/>
      <c r="D443" s="95"/>
      <c r="E443" s="14"/>
      <c r="F443" s="96"/>
      <c r="H443" s="14"/>
      <c r="I443" s="14"/>
      <c r="J443" s="14"/>
      <c r="K443" s="14"/>
      <c r="L443" s="14"/>
      <c r="M443" s="14"/>
      <c r="N443" s="14"/>
      <c r="O443" s="14"/>
      <c r="P443" s="14"/>
    </row>
    <row r="444">
      <c r="A444" s="12"/>
      <c r="D444" s="95"/>
      <c r="E444" s="14"/>
      <c r="F444" s="96"/>
      <c r="H444" s="14"/>
      <c r="I444" s="14"/>
      <c r="J444" s="14"/>
      <c r="K444" s="14"/>
      <c r="L444" s="14"/>
      <c r="M444" s="14"/>
      <c r="N444" s="14"/>
      <c r="O444" s="14"/>
      <c r="P444" s="14"/>
    </row>
    <row r="445">
      <c r="A445" s="12"/>
      <c r="D445" s="95"/>
      <c r="E445" s="14"/>
      <c r="F445" s="96"/>
      <c r="H445" s="14"/>
      <c r="I445" s="14"/>
      <c r="J445" s="14"/>
      <c r="K445" s="14"/>
      <c r="L445" s="14"/>
      <c r="M445" s="14"/>
      <c r="N445" s="14"/>
      <c r="O445" s="14"/>
      <c r="P445" s="14"/>
    </row>
    <row r="446">
      <c r="A446" s="12"/>
      <c r="D446" s="95"/>
      <c r="E446" s="14"/>
      <c r="F446" s="96"/>
      <c r="H446" s="14"/>
      <c r="I446" s="14"/>
      <c r="J446" s="14"/>
      <c r="K446" s="14"/>
      <c r="L446" s="14"/>
      <c r="M446" s="14"/>
      <c r="N446" s="14"/>
      <c r="O446" s="14"/>
      <c r="P446" s="14"/>
    </row>
    <row r="447">
      <c r="A447" s="12"/>
      <c r="D447" s="95"/>
      <c r="E447" s="14"/>
      <c r="F447" s="96"/>
      <c r="H447" s="14"/>
      <c r="I447" s="14"/>
      <c r="J447" s="14"/>
      <c r="K447" s="14"/>
      <c r="L447" s="14"/>
      <c r="M447" s="14"/>
      <c r="N447" s="14"/>
      <c r="O447" s="14"/>
      <c r="P447" s="14"/>
    </row>
    <row r="448">
      <c r="A448" s="12"/>
      <c r="D448" s="95"/>
      <c r="E448" s="14"/>
      <c r="F448" s="96"/>
      <c r="H448" s="14"/>
      <c r="I448" s="14"/>
      <c r="J448" s="14"/>
      <c r="K448" s="14"/>
      <c r="L448" s="14"/>
      <c r="M448" s="14"/>
      <c r="N448" s="14"/>
      <c r="O448" s="14"/>
      <c r="P448" s="14"/>
    </row>
    <row r="449">
      <c r="A449" s="12"/>
      <c r="D449" s="95"/>
      <c r="E449" s="14"/>
      <c r="F449" s="96"/>
      <c r="H449" s="14"/>
      <c r="I449" s="14"/>
      <c r="J449" s="14"/>
      <c r="K449" s="14"/>
      <c r="L449" s="14"/>
      <c r="M449" s="14"/>
      <c r="N449" s="14"/>
      <c r="O449" s="14"/>
      <c r="P449" s="14"/>
    </row>
    <row r="450">
      <c r="A450" s="12"/>
      <c r="D450" s="95"/>
      <c r="E450" s="14"/>
      <c r="F450" s="96"/>
      <c r="H450" s="14"/>
      <c r="I450" s="14"/>
      <c r="J450" s="14"/>
      <c r="K450" s="14"/>
      <c r="L450" s="14"/>
      <c r="M450" s="14"/>
      <c r="N450" s="14"/>
      <c r="O450" s="14"/>
      <c r="P450" s="14"/>
    </row>
    <row r="451">
      <c r="A451" s="12"/>
      <c r="D451" s="95"/>
      <c r="E451" s="14"/>
      <c r="F451" s="96"/>
      <c r="H451" s="14"/>
      <c r="I451" s="14"/>
      <c r="J451" s="14"/>
      <c r="K451" s="14"/>
      <c r="L451" s="14"/>
      <c r="M451" s="14"/>
      <c r="N451" s="14"/>
      <c r="O451" s="14"/>
      <c r="P451" s="14"/>
    </row>
    <row r="452">
      <c r="A452" s="12"/>
      <c r="D452" s="95"/>
      <c r="E452" s="14"/>
      <c r="F452" s="96"/>
      <c r="H452" s="14"/>
      <c r="I452" s="14"/>
      <c r="J452" s="14"/>
      <c r="K452" s="14"/>
      <c r="L452" s="14"/>
      <c r="M452" s="14"/>
      <c r="N452" s="14"/>
      <c r="O452" s="14"/>
      <c r="P452" s="14"/>
    </row>
    <row r="453">
      <c r="A453" s="12"/>
      <c r="D453" s="95"/>
      <c r="E453" s="14"/>
      <c r="F453" s="96"/>
      <c r="H453" s="14"/>
      <c r="I453" s="14"/>
      <c r="J453" s="14"/>
      <c r="K453" s="14"/>
      <c r="L453" s="14"/>
      <c r="M453" s="14"/>
      <c r="N453" s="14"/>
      <c r="O453" s="14"/>
      <c r="P453" s="14"/>
    </row>
    <row r="454">
      <c r="A454" s="12"/>
      <c r="D454" s="95"/>
      <c r="E454" s="14"/>
      <c r="F454" s="96"/>
      <c r="H454" s="14"/>
      <c r="I454" s="14"/>
      <c r="J454" s="14"/>
      <c r="K454" s="14"/>
      <c r="L454" s="14"/>
      <c r="M454" s="14"/>
      <c r="N454" s="14"/>
      <c r="O454" s="14"/>
      <c r="P454" s="14"/>
    </row>
    <row r="455">
      <c r="A455" s="12"/>
      <c r="D455" s="95"/>
      <c r="E455" s="14"/>
      <c r="F455" s="96"/>
      <c r="H455" s="14"/>
      <c r="I455" s="14"/>
      <c r="J455" s="14"/>
      <c r="K455" s="14"/>
      <c r="L455" s="14"/>
      <c r="M455" s="14"/>
      <c r="N455" s="14"/>
      <c r="O455" s="14"/>
      <c r="P455" s="14"/>
    </row>
    <row r="456">
      <c r="A456" s="12"/>
      <c r="D456" s="95"/>
      <c r="E456" s="14"/>
      <c r="F456" s="96"/>
      <c r="H456" s="14"/>
      <c r="I456" s="14"/>
      <c r="J456" s="14"/>
      <c r="K456" s="14"/>
      <c r="L456" s="14"/>
      <c r="M456" s="14"/>
      <c r="N456" s="14"/>
      <c r="O456" s="14"/>
      <c r="P456" s="14"/>
    </row>
    <row r="457">
      <c r="A457" s="12"/>
      <c r="D457" s="95"/>
      <c r="E457" s="14"/>
      <c r="F457" s="96"/>
      <c r="H457" s="14"/>
      <c r="I457" s="14"/>
      <c r="J457" s="14"/>
      <c r="K457" s="14"/>
      <c r="L457" s="14"/>
      <c r="M457" s="14"/>
      <c r="N457" s="14"/>
      <c r="O457" s="14"/>
      <c r="P457" s="14"/>
    </row>
    <row r="458">
      <c r="A458" s="12"/>
      <c r="D458" s="95"/>
      <c r="E458" s="14"/>
      <c r="F458" s="96"/>
      <c r="H458" s="14"/>
      <c r="I458" s="14"/>
      <c r="J458" s="14"/>
      <c r="K458" s="14"/>
      <c r="L458" s="14"/>
      <c r="M458" s="14"/>
      <c r="N458" s="14"/>
      <c r="O458" s="14"/>
      <c r="P458" s="14"/>
    </row>
    <row r="459">
      <c r="A459" s="12"/>
      <c r="D459" s="95"/>
      <c r="E459" s="14"/>
      <c r="F459" s="96"/>
      <c r="H459" s="14"/>
      <c r="I459" s="14"/>
      <c r="J459" s="14"/>
      <c r="K459" s="14"/>
      <c r="L459" s="14"/>
      <c r="M459" s="14"/>
      <c r="N459" s="14"/>
      <c r="O459" s="14"/>
      <c r="P459" s="14"/>
    </row>
    <row r="460">
      <c r="A460" s="12"/>
      <c r="D460" s="95"/>
      <c r="E460" s="14"/>
      <c r="F460" s="96"/>
      <c r="H460" s="14"/>
      <c r="I460" s="14"/>
      <c r="J460" s="14"/>
      <c r="K460" s="14"/>
      <c r="L460" s="14"/>
      <c r="M460" s="14"/>
      <c r="N460" s="14"/>
      <c r="O460" s="14"/>
      <c r="P460" s="14"/>
    </row>
    <row r="461">
      <c r="A461" s="12"/>
      <c r="D461" s="95"/>
      <c r="E461" s="14"/>
      <c r="F461" s="96"/>
      <c r="H461" s="14"/>
      <c r="I461" s="14"/>
      <c r="J461" s="14"/>
      <c r="K461" s="14"/>
      <c r="L461" s="14"/>
      <c r="M461" s="14"/>
      <c r="N461" s="14"/>
      <c r="O461" s="14"/>
      <c r="P461" s="14"/>
    </row>
    <row r="462">
      <c r="A462" s="12"/>
      <c r="D462" s="95"/>
      <c r="E462" s="14"/>
      <c r="F462" s="96"/>
      <c r="H462" s="14"/>
      <c r="I462" s="14"/>
      <c r="J462" s="14"/>
      <c r="K462" s="14"/>
      <c r="L462" s="14"/>
      <c r="M462" s="14"/>
      <c r="N462" s="14"/>
      <c r="O462" s="14"/>
      <c r="P462" s="14"/>
    </row>
    <row r="463">
      <c r="A463" s="12"/>
      <c r="D463" s="95"/>
      <c r="E463" s="14"/>
      <c r="F463" s="96"/>
      <c r="H463" s="14"/>
      <c r="I463" s="14"/>
      <c r="J463" s="14"/>
      <c r="K463" s="14"/>
      <c r="L463" s="14"/>
      <c r="M463" s="14"/>
      <c r="N463" s="14"/>
      <c r="O463" s="14"/>
      <c r="P463" s="14"/>
    </row>
    <row r="464">
      <c r="A464" s="12"/>
      <c r="D464" s="95"/>
      <c r="E464" s="14"/>
      <c r="F464" s="96"/>
      <c r="H464" s="14"/>
      <c r="I464" s="14"/>
      <c r="J464" s="14"/>
      <c r="K464" s="14"/>
      <c r="L464" s="14"/>
      <c r="M464" s="14"/>
      <c r="N464" s="14"/>
      <c r="O464" s="14"/>
      <c r="P464" s="14"/>
    </row>
    <row r="465">
      <c r="A465" s="12"/>
      <c r="D465" s="95"/>
      <c r="E465" s="14"/>
      <c r="F465" s="96"/>
      <c r="H465" s="14"/>
      <c r="I465" s="14"/>
      <c r="J465" s="14"/>
      <c r="K465" s="14"/>
      <c r="L465" s="14"/>
      <c r="M465" s="14"/>
      <c r="N465" s="14"/>
      <c r="O465" s="14"/>
      <c r="P465" s="14"/>
    </row>
    <row r="466">
      <c r="A466" s="12"/>
      <c r="D466" s="95"/>
      <c r="E466" s="14"/>
      <c r="F466" s="96"/>
      <c r="H466" s="14"/>
      <c r="I466" s="14"/>
      <c r="J466" s="14"/>
      <c r="K466" s="14"/>
      <c r="L466" s="14"/>
      <c r="M466" s="14"/>
      <c r="N466" s="14"/>
      <c r="O466" s="14"/>
      <c r="P466" s="14"/>
    </row>
    <row r="467">
      <c r="A467" s="12"/>
      <c r="D467" s="95"/>
      <c r="E467" s="14"/>
      <c r="F467" s="96"/>
      <c r="H467" s="14"/>
      <c r="I467" s="14"/>
      <c r="J467" s="14"/>
      <c r="K467" s="14"/>
      <c r="L467" s="14"/>
      <c r="M467" s="14"/>
      <c r="N467" s="14"/>
      <c r="O467" s="14"/>
      <c r="P467" s="14"/>
    </row>
    <row r="468">
      <c r="A468" s="12"/>
      <c r="D468" s="95"/>
      <c r="E468" s="14"/>
      <c r="F468" s="96"/>
      <c r="H468" s="14"/>
      <c r="I468" s="14"/>
      <c r="J468" s="14"/>
      <c r="K468" s="14"/>
      <c r="L468" s="14"/>
      <c r="M468" s="14"/>
      <c r="N468" s="14"/>
      <c r="O468" s="14"/>
      <c r="P468" s="14"/>
    </row>
    <row r="469">
      <c r="A469" s="12"/>
      <c r="D469" s="95"/>
      <c r="E469" s="14"/>
      <c r="F469" s="96"/>
      <c r="H469" s="14"/>
      <c r="I469" s="14"/>
      <c r="J469" s="14"/>
      <c r="K469" s="14"/>
      <c r="L469" s="14"/>
      <c r="M469" s="14"/>
      <c r="N469" s="14"/>
      <c r="O469" s="14"/>
      <c r="P469" s="14"/>
    </row>
    <row r="470">
      <c r="A470" s="12"/>
      <c r="D470" s="95"/>
      <c r="E470" s="14"/>
      <c r="F470" s="96"/>
      <c r="H470" s="14"/>
      <c r="I470" s="14"/>
      <c r="J470" s="14"/>
      <c r="K470" s="14"/>
      <c r="L470" s="14"/>
      <c r="M470" s="14"/>
      <c r="N470" s="14"/>
      <c r="O470" s="14"/>
      <c r="P470" s="14"/>
    </row>
    <row r="471">
      <c r="A471" s="12"/>
      <c r="D471" s="95"/>
      <c r="E471" s="14"/>
      <c r="F471" s="96"/>
      <c r="H471" s="14"/>
      <c r="I471" s="14"/>
      <c r="J471" s="14"/>
      <c r="K471" s="14"/>
      <c r="L471" s="14"/>
      <c r="M471" s="14"/>
      <c r="N471" s="14"/>
      <c r="O471" s="14"/>
      <c r="P471" s="14"/>
    </row>
    <row r="472">
      <c r="A472" s="12"/>
      <c r="D472" s="95"/>
      <c r="E472" s="14"/>
      <c r="F472" s="96"/>
      <c r="H472" s="14"/>
      <c r="I472" s="14"/>
      <c r="J472" s="14"/>
      <c r="K472" s="14"/>
      <c r="L472" s="14"/>
      <c r="M472" s="14"/>
      <c r="N472" s="14"/>
      <c r="O472" s="14"/>
      <c r="P472" s="14"/>
    </row>
    <row r="473">
      <c r="A473" s="12"/>
      <c r="D473" s="95"/>
      <c r="E473" s="14"/>
      <c r="F473" s="96"/>
      <c r="H473" s="14"/>
      <c r="I473" s="14"/>
      <c r="J473" s="14"/>
      <c r="K473" s="14"/>
      <c r="L473" s="14"/>
      <c r="M473" s="14"/>
      <c r="N473" s="14"/>
      <c r="O473" s="14"/>
      <c r="P473" s="14"/>
    </row>
    <row r="474">
      <c r="A474" s="12"/>
      <c r="D474" s="95"/>
      <c r="E474" s="14"/>
      <c r="F474" s="96"/>
      <c r="H474" s="14"/>
      <c r="I474" s="14"/>
      <c r="J474" s="14"/>
      <c r="K474" s="14"/>
      <c r="L474" s="14"/>
      <c r="M474" s="14"/>
      <c r="N474" s="14"/>
      <c r="O474" s="14"/>
      <c r="P474" s="14"/>
    </row>
    <row r="475">
      <c r="A475" s="12"/>
      <c r="D475" s="95"/>
      <c r="E475" s="14"/>
      <c r="F475" s="96"/>
      <c r="H475" s="14"/>
      <c r="I475" s="14"/>
      <c r="J475" s="14"/>
      <c r="K475" s="14"/>
      <c r="L475" s="14"/>
      <c r="M475" s="14"/>
      <c r="N475" s="14"/>
      <c r="O475" s="14"/>
      <c r="P475" s="14"/>
    </row>
    <row r="476">
      <c r="A476" s="12"/>
      <c r="D476" s="95"/>
      <c r="E476" s="14"/>
      <c r="F476" s="96"/>
      <c r="H476" s="14"/>
      <c r="I476" s="14"/>
      <c r="J476" s="14"/>
      <c r="K476" s="14"/>
      <c r="L476" s="14"/>
      <c r="M476" s="14"/>
      <c r="N476" s="14"/>
      <c r="O476" s="14"/>
      <c r="P476" s="14"/>
    </row>
    <row r="477">
      <c r="A477" s="12"/>
      <c r="D477" s="95"/>
      <c r="E477" s="14"/>
      <c r="F477" s="96"/>
      <c r="H477" s="14"/>
      <c r="I477" s="14"/>
      <c r="J477" s="14"/>
      <c r="K477" s="14"/>
      <c r="L477" s="14"/>
      <c r="M477" s="14"/>
      <c r="N477" s="14"/>
      <c r="O477" s="14"/>
      <c r="P477" s="14"/>
    </row>
    <row r="478">
      <c r="A478" s="12"/>
      <c r="D478" s="95"/>
      <c r="E478" s="14"/>
      <c r="F478" s="96"/>
      <c r="H478" s="14"/>
      <c r="I478" s="14"/>
      <c r="J478" s="14"/>
      <c r="K478" s="14"/>
      <c r="L478" s="14"/>
      <c r="M478" s="14"/>
      <c r="N478" s="14"/>
      <c r="O478" s="14"/>
      <c r="P478" s="14"/>
    </row>
    <row r="479">
      <c r="A479" s="12"/>
      <c r="D479" s="95"/>
      <c r="E479" s="14"/>
      <c r="F479" s="96"/>
      <c r="H479" s="14"/>
      <c r="I479" s="14"/>
      <c r="J479" s="14"/>
      <c r="K479" s="14"/>
      <c r="L479" s="14"/>
      <c r="M479" s="14"/>
      <c r="N479" s="14"/>
      <c r="O479" s="14"/>
      <c r="P479" s="14"/>
    </row>
    <row r="480">
      <c r="A480" s="12"/>
      <c r="D480" s="95"/>
      <c r="E480" s="14"/>
      <c r="F480" s="96"/>
      <c r="H480" s="14"/>
      <c r="I480" s="14"/>
      <c r="J480" s="14"/>
      <c r="K480" s="14"/>
      <c r="L480" s="14"/>
      <c r="M480" s="14"/>
      <c r="N480" s="14"/>
      <c r="O480" s="14"/>
      <c r="P480" s="14"/>
    </row>
    <row r="481">
      <c r="A481" s="12"/>
      <c r="D481" s="95"/>
      <c r="E481" s="14"/>
      <c r="F481" s="96"/>
      <c r="H481" s="14"/>
      <c r="I481" s="14"/>
      <c r="J481" s="14"/>
      <c r="K481" s="14"/>
      <c r="L481" s="14"/>
      <c r="M481" s="14"/>
      <c r="N481" s="14"/>
      <c r="O481" s="14"/>
      <c r="P481" s="14"/>
    </row>
    <row r="482">
      <c r="A482" s="12"/>
      <c r="D482" s="95"/>
      <c r="E482" s="14"/>
      <c r="F482" s="96"/>
      <c r="H482" s="14"/>
      <c r="I482" s="14"/>
      <c r="J482" s="14"/>
      <c r="K482" s="14"/>
      <c r="L482" s="14"/>
      <c r="M482" s="14"/>
      <c r="N482" s="14"/>
      <c r="O482" s="14"/>
      <c r="P482" s="14"/>
    </row>
    <row r="483">
      <c r="A483" s="12"/>
      <c r="D483" s="95"/>
      <c r="E483" s="14"/>
      <c r="F483" s="96"/>
      <c r="H483" s="14"/>
      <c r="I483" s="14"/>
      <c r="J483" s="14"/>
      <c r="K483" s="14"/>
      <c r="L483" s="14"/>
      <c r="M483" s="14"/>
      <c r="N483" s="14"/>
      <c r="O483" s="14"/>
      <c r="P483" s="14"/>
    </row>
    <row r="484">
      <c r="A484" s="12"/>
      <c r="D484" s="95"/>
      <c r="E484" s="14"/>
      <c r="F484" s="96"/>
      <c r="H484" s="14"/>
      <c r="I484" s="14"/>
      <c r="J484" s="14"/>
      <c r="K484" s="14"/>
      <c r="L484" s="14"/>
      <c r="M484" s="14"/>
      <c r="N484" s="14"/>
      <c r="O484" s="14"/>
      <c r="P484" s="14"/>
    </row>
    <row r="485">
      <c r="A485" s="12"/>
      <c r="D485" s="95"/>
      <c r="E485" s="14"/>
      <c r="F485" s="96"/>
      <c r="H485" s="14"/>
      <c r="I485" s="14"/>
      <c r="J485" s="14"/>
      <c r="K485" s="14"/>
      <c r="L485" s="14"/>
      <c r="M485" s="14"/>
      <c r="N485" s="14"/>
      <c r="O485" s="14"/>
      <c r="P485" s="14"/>
    </row>
    <row r="486">
      <c r="A486" s="12"/>
      <c r="D486" s="95"/>
      <c r="E486" s="14"/>
      <c r="F486" s="96"/>
      <c r="H486" s="14"/>
      <c r="I486" s="14"/>
      <c r="J486" s="14"/>
      <c r="K486" s="14"/>
      <c r="L486" s="14"/>
      <c r="M486" s="14"/>
      <c r="N486" s="14"/>
      <c r="O486" s="14"/>
      <c r="P486" s="14"/>
    </row>
    <row r="487">
      <c r="A487" s="12"/>
      <c r="D487" s="95"/>
      <c r="E487" s="14"/>
      <c r="F487" s="96"/>
      <c r="H487" s="14"/>
      <c r="I487" s="14"/>
      <c r="J487" s="14"/>
      <c r="K487" s="14"/>
      <c r="L487" s="14"/>
      <c r="M487" s="14"/>
      <c r="N487" s="14"/>
      <c r="O487" s="14"/>
      <c r="P487" s="14"/>
    </row>
    <row r="488">
      <c r="A488" s="12"/>
      <c r="D488" s="95"/>
      <c r="E488" s="14"/>
      <c r="F488" s="96"/>
      <c r="H488" s="14"/>
      <c r="I488" s="14"/>
      <c r="J488" s="14"/>
      <c r="K488" s="14"/>
      <c r="L488" s="14"/>
      <c r="M488" s="14"/>
      <c r="N488" s="14"/>
      <c r="O488" s="14"/>
      <c r="P488" s="14"/>
    </row>
    <row r="489">
      <c r="A489" s="12"/>
      <c r="D489" s="95"/>
      <c r="E489" s="14"/>
      <c r="F489" s="96"/>
      <c r="H489" s="14"/>
      <c r="I489" s="14"/>
      <c r="J489" s="14"/>
      <c r="K489" s="14"/>
      <c r="L489" s="14"/>
      <c r="M489" s="14"/>
      <c r="N489" s="14"/>
      <c r="O489" s="14"/>
      <c r="P489" s="14"/>
    </row>
    <row r="490">
      <c r="A490" s="12"/>
      <c r="D490" s="95"/>
      <c r="E490" s="14"/>
      <c r="F490" s="96"/>
      <c r="H490" s="14"/>
      <c r="I490" s="14"/>
      <c r="J490" s="14"/>
      <c r="K490" s="14"/>
      <c r="L490" s="14"/>
      <c r="M490" s="14"/>
      <c r="N490" s="14"/>
      <c r="O490" s="14"/>
      <c r="P490" s="14"/>
    </row>
    <row r="491">
      <c r="A491" s="12"/>
      <c r="D491" s="95"/>
      <c r="E491" s="14"/>
      <c r="F491" s="96"/>
      <c r="H491" s="14"/>
      <c r="I491" s="14"/>
      <c r="J491" s="14"/>
      <c r="K491" s="14"/>
      <c r="L491" s="14"/>
      <c r="M491" s="14"/>
      <c r="N491" s="14"/>
      <c r="O491" s="14"/>
      <c r="P491" s="14"/>
    </row>
    <row r="492">
      <c r="A492" s="12"/>
      <c r="D492" s="95"/>
      <c r="E492" s="14"/>
      <c r="F492" s="96"/>
      <c r="H492" s="14"/>
      <c r="I492" s="14"/>
      <c r="J492" s="14"/>
      <c r="K492" s="14"/>
      <c r="L492" s="14"/>
      <c r="M492" s="14"/>
      <c r="N492" s="14"/>
      <c r="O492" s="14"/>
      <c r="P492" s="14"/>
    </row>
    <row r="493">
      <c r="A493" s="12"/>
      <c r="D493" s="95"/>
      <c r="E493" s="14"/>
      <c r="F493" s="96"/>
      <c r="H493" s="14"/>
      <c r="I493" s="14"/>
      <c r="J493" s="14"/>
      <c r="K493" s="14"/>
      <c r="L493" s="14"/>
      <c r="M493" s="14"/>
      <c r="N493" s="14"/>
      <c r="O493" s="14"/>
      <c r="P493" s="14"/>
    </row>
    <row r="494">
      <c r="A494" s="12"/>
      <c r="D494" s="95"/>
      <c r="E494" s="14"/>
      <c r="F494" s="96"/>
      <c r="H494" s="14"/>
      <c r="I494" s="14"/>
      <c r="J494" s="14"/>
      <c r="K494" s="14"/>
      <c r="L494" s="14"/>
      <c r="M494" s="14"/>
      <c r="N494" s="14"/>
      <c r="O494" s="14"/>
      <c r="P494" s="14"/>
    </row>
    <row r="495">
      <c r="A495" s="12"/>
      <c r="D495" s="95"/>
      <c r="E495" s="14"/>
      <c r="F495" s="96"/>
      <c r="H495" s="14"/>
      <c r="I495" s="14"/>
      <c r="J495" s="14"/>
      <c r="K495" s="14"/>
      <c r="L495" s="14"/>
      <c r="M495" s="14"/>
      <c r="N495" s="14"/>
      <c r="O495" s="14"/>
      <c r="P495" s="14"/>
    </row>
    <row r="496">
      <c r="A496" s="12"/>
      <c r="D496" s="95"/>
      <c r="E496" s="14"/>
      <c r="F496" s="96"/>
      <c r="H496" s="14"/>
      <c r="I496" s="14"/>
      <c r="J496" s="14"/>
      <c r="K496" s="14"/>
      <c r="L496" s="14"/>
      <c r="M496" s="14"/>
      <c r="N496" s="14"/>
      <c r="O496" s="14"/>
      <c r="P496" s="14"/>
    </row>
    <row r="497">
      <c r="A497" s="12"/>
      <c r="D497" s="95"/>
      <c r="E497" s="14"/>
      <c r="F497" s="96"/>
      <c r="H497" s="14"/>
      <c r="I497" s="14"/>
      <c r="J497" s="14"/>
      <c r="K497" s="14"/>
      <c r="L497" s="14"/>
      <c r="M497" s="14"/>
      <c r="N497" s="14"/>
      <c r="O497" s="14"/>
      <c r="P497" s="14"/>
    </row>
    <row r="498">
      <c r="A498" s="12"/>
      <c r="D498" s="95"/>
      <c r="E498" s="14"/>
      <c r="F498" s="96"/>
      <c r="H498" s="14"/>
      <c r="I498" s="14"/>
      <c r="J498" s="14"/>
      <c r="K498" s="14"/>
      <c r="L498" s="14"/>
      <c r="M498" s="14"/>
      <c r="N498" s="14"/>
      <c r="O498" s="14"/>
      <c r="P498" s="14"/>
    </row>
    <row r="499">
      <c r="A499" s="12"/>
      <c r="D499" s="95"/>
      <c r="E499" s="14"/>
      <c r="F499" s="96"/>
      <c r="H499" s="14"/>
      <c r="I499" s="14"/>
      <c r="J499" s="14"/>
      <c r="K499" s="14"/>
      <c r="L499" s="14"/>
      <c r="M499" s="14"/>
      <c r="N499" s="14"/>
      <c r="O499" s="14"/>
      <c r="P499" s="14"/>
    </row>
    <row r="500">
      <c r="A500" s="12"/>
      <c r="D500" s="95"/>
      <c r="E500" s="14"/>
      <c r="F500" s="96"/>
      <c r="H500" s="14"/>
      <c r="I500" s="14"/>
      <c r="J500" s="14"/>
      <c r="K500" s="14"/>
      <c r="L500" s="14"/>
      <c r="M500" s="14"/>
      <c r="N500" s="14"/>
      <c r="O500" s="14"/>
      <c r="P500" s="14"/>
    </row>
    <row r="501">
      <c r="A501" s="12"/>
      <c r="D501" s="95"/>
      <c r="E501" s="14"/>
      <c r="F501" s="96"/>
      <c r="H501" s="14"/>
      <c r="I501" s="14"/>
      <c r="J501" s="14"/>
      <c r="K501" s="14"/>
      <c r="L501" s="14"/>
      <c r="M501" s="14"/>
      <c r="N501" s="14"/>
      <c r="O501" s="14"/>
      <c r="P501" s="14"/>
    </row>
    <row r="502">
      <c r="A502" s="12"/>
      <c r="D502" s="95"/>
      <c r="E502" s="14"/>
      <c r="F502" s="96"/>
      <c r="H502" s="14"/>
      <c r="I502" s="14"/>
      <c r="J502" s="14"/>
      <c r="K502" s="14"/>
      <c r="L502" s="14"/>
      <c r="M502" s="14"/>
      <c r="N502" s="14"/>
      <c r="O502" s="14"/>
      <c r="P502" s="14"/>
    </row>
    <row r="503">
      <c r="A503" s="12"/>
      <c r="D503" s="95"/>
      <c r="E503" s="14"/>
      <c r="F503" s="96"/>
      <c r="H503" s="14"/>
      <c r="I503" s="14"/>
      <c r="J503" s="14"/>
      <c r="K503" s="14"/>
      <c r="L503" s="14"/>
      <c r="M503" s="14"/>
      <c r="N503" s="14"/>
      <c r="O503" s="14"/>
      <c r="P503" s="14"/>
    </row>
    <row r="504">
      <c r="A504" s="12"/>
      <c r="D504" s="95"/>
      <c r="E504" s="14"/>
      <c r="F504" s="96"/>
      <c r="H504" s="14"/>
      <c r="I504" s="14"/>
      <c r="J504" s="14"/>
      <c r="K504" s="14"/>
      <c r="L504" s="14"/>
      <c r="M504" s="14"/>
      <c r="N504" s="14"/>
      <c r="O504" s="14"/>
      <c r="P504" s="14"/>
    </row>
    <row r="505">
      <c r="A505" s="12"/>
      <c r="D505" s="95"/>
      <c r="E505" s="14"/>
      <c r="F505" s="96"/>
      <c r="H505" s="14"/>
      <c r="I505" s="14"/>
      <c r="J505" s="14"/>
      <c r="K505" s="14"/>
      <c r="L505" s="14"/>
      <c r="M505" s="14"/>
      <c r="N505" s="14"/>
      <c r="O505" s="14"/>
      <c r="P505" s="14"/>
    </row>
    <row r="506">
      <c r="A506" s="12"/>
      <c r="D506" s="95"/>
      <c r="E506" s="14"/>
      <c r="F506" s="96"/>
      <c r="H506" s="14"/>
      <c r="I506" s="14"/>
      <c r="J506" s="14"/>
      <c r="K506" s="14"/>
      <c r="L506" s="14"/>
      <c r="M506" s="14"/>
      <c r="N506" s="14"/>
      <c r="O506" s="14"/>
      <c r="P506" s="14"/>
    </row>
    <row r="507">
      <c r="A507" s="12"/>
      <c r="D507" s="95"/>
      <c r="E507" s="14"/>
      <c r="F507" s="96"/>
      <c r="H507" s="14"/>
      <c r="I507" s="14"/>
      <c r="J507" s="14"/>
      <c r="K507" s="14"/>
      <c r="L507" s="14"/>
      <c r="M507" s="14"/>
      <c r="N507" s="14"/>
      <c r="O507" s="14"/>
      <c r="P507" s="14"/>
    </row>
    <row r="508">
      <c r="A508" s="12"/>
      <c r="D508" s="95"/>
      <c r="E508" s="14"/>
      <c r="F508" s="96"/>
      <c r="H508" s="14"/>
      <c r="I508" s="14"/>
      <c r="J508" s="14"/>
      <c r="K508" s="14"/>
      <c r="L508" s="14"/>
      <c r="M508" s="14"/>
      <c r="N508" s="14"/>
      <c r="O508" s="14"/>
      <c r="P508" s="14"/>
    </row>
    <row r="509">
      <c r="A509" s="12"/>
      <c r="D509" s="95"/>
      <c r="E509" s="14"/>
      <c r="F509" s="96"/>
      <c r="H509" s="14"/>
      <c r="I509" s="14"/>
      <c r="J509" s="14"/>
      <c r="K509" s="14"/>
      <c r="L509" s="14"/>
      <c r="M509" s="14"/>
      <c r="N509" s="14"/>
      <c r="O509" s="14"/>
      <c r="P509" s="14"/>
    </row>
    <row r="510">
      <c r="A510" s="12"/>
      <c r="D510" s="95"/>
      <c r="E510" s="14"/>
      <c r="F510" s="96"/>
      <c r="H510" s="14"/>
      <c r="I510" s="14"/>
      <c r="J510" s="14"/>
      <c r="K510" s="14"/>
      <c r="L510" s="14"/>
      <c r="M510" s="14"/>
      <c r="N510" s="14"/>
      <c r="O510" s="14"/>
      <c r="P510" s="14"/>
    </row>
    <row r="511">
      <c r="A511" s="12"/>
      <c r="D511" s="95"/>
      <c r="E511" s="14"/>
      <c r="F511" s="96"/>
      <c r="H511" s="14"/>
      <c r="I511" s="14"/>
      <c r="J511" s="14"/>
      <c r="K511" s="14"/>
      <c r="L511" s="14"/>
      <c r="M511" s="14"/>
      <c r="N511" s="14"/>
      <c r="O511" s="14"/>
      <c r="P511" s="14"/>
    </row>
    <row r="512">
      <c r="A512" s="12"/>
      <c r="D512" s="95"/>
      <c r="E512" s="14"/>
      <c r="F512" s="96"/>
      <c r="H512" s="14"/>
      <c r="I512" s="14"/>
      <c r="J512" s="14"/>
      <c r="K512" s="14"/>
      <c r="L512" s="14"/>
      <c r="M512" s="14"/>
      <c r="N512" s="14"/>
      <c r="O512" s="14"/>
      <c r="P512" s="14"/>
    </row>
    <row r="513">
      <c r="A513" s="12"/>
      <c r="D513" s="95"/>
      <c r="E513" s="14"/>
      <c r="F513" s="96"/>
      <c r="H513" s="14"/>
      <c r="I513" s="14"/>
      <c r="J513" s="14"/>
      <c r="K513" s="14"/>
      <c r="L513" s="14"/>
      <c r="M513" s="14"/>
      <c r="N513" s="14"/>
      <c r="O513" s="14"/>
      <c r="P513" s="14"/>
    </row>
    <row r="514">
      <c r="A514" s="12"/>
      <c r="D514" s="95"/>
      <c r="E514" s="14"/>
      <c r="F514" s="96"/>
      <c r="H514" s="14"/>
      <c r="I514" s="14"/>
      <c r="J514" s="14"/>
      <c r="K514" s="14"/>
      <c r="L514" s="14"/>
      <c r="M514" s="14"/>
      <c r="N514" s="14"/>
      <c r="O514" s="14"/>
      <c r="P514" s="14"/>
    </row>
    <row r="515">
      <c r="A515" s="12"/>
      <c r="D515" s="95"/>
      <c r="E515" s="14"/>
      <c r="F515" s="96"/>
      <c r="H515" s="14"/>
      <c r="I515" s="14"/>
      <c r="J515" s="14"/>
      <c r="K515" s="14"/>
      <c r="L515" s="14"/>
      <c r="M515" s="14"/>
      <c r="N515" s="14"/>
      <c r="O515" s="14"/>
      <c r="P515" s="14"/>
    </row>
    <row r="516">
      <c r="A516" s="12"/>
      <c r="D516" s="95"/>
      <c r="E516" s="14"/>
      <c r="F516" s="96"/>
      <c r="H516" s="14"/>
      <c r="I516" s="14"/>
      <c r="J516" s="14"/>
      <c r="K516" s="14"/>
      <c r="L516" s="14"/>
      <c r="M516" s="14"/>
      <c r="N516" s="14"/>
      <c r="O516" s="14"/>
      <c r="P516" s="14"/>
    </row>
    <row r="517">
      <c r="A517" s="12"/>
      <c r="D517" s="95"/>
      <c r="E517" s="14"/>
      <c r="F517" s="96"/>
      <c r="H517" s="14"/>
      <c r="I517" s="14"/>
      <c r="J517" s="14"/>
      <c r="K517" s="14"/>
      <c r="L517" s="14"/>
      <c r="M517" s="14"/>
      <c r="N517" s="14"/>
      <c r="O517" s="14"/>
      <c r="P517" s="14"/>
    </row>
    <row r="518">
      <c r="A518" s="12"/>
      <c r="D518" s="95"/>
      <c r="E518" s="14"/>
      <c r="F518" s="96"/>
      <c r="H518" s="14"/>
      <c r="I518" s="14"/>
      <c r="J518" s="14"/>
      <c r="K518" s="14"/>
      <c r="L518" s="14"/>
      <c r="M518" s="14"/>
      <c r="N518" s="14"/>
      <c r="O518" s="14"/>
      <c r="P518" s="14"/>
    </row>
    <row r="519">
      <c r="A519" s="12"/>
      <c r="D519" s="95"/>
      <c r="E519" s="14"/>
      <c r="F519" s="96"/>
      <c r="H519" s="14"/>
      <c r="I519" s="14"/>
      <c r="J519" s="14"/>
      <c r="K519" s="14"/>
      <c r="L519" s="14"/>
      <c r="M519" s="14"/>
      <c r="N519" s="14"/>
      <c r="O519" s="14"/>
      <c r="P519" s="14"/>
    </row>
    <row r="520">
      <c r="A520" s="12"/>
      <c r="D520" s="95"/>
      <c r="E520" s="14"/>
      <c r="F520" s="96"/>
      <c r="H520" s="14"/>
      <c r="I520" s="14"/>
      <c r="J520" s="14"/>
      <c r="K520" s="14"/>
      <c r="L520" s="14"/>
      <c r="M520" s="14"/>
      <c r="N520" s="14"/>
      <c r="O520" s="14"/>
      <c r="P520" s="14"/>
    </row>
    <row r="521">
      <c r="A521" s="12"/>
      <c r="D521" s="95"/>
      <c r="E521" s="14"/>
      <c r="F521" s="96"/>
      <c r="H521" s="14"/>
      <c r="I521" s="14"/>
      <c r="J521" s="14"/>
      <c r="K521" s="14"/>
      <c r="L521" s="14"/>
      <c r="M521" s="14"/>
      <c r="N521" s="14"/>
      <c r="O521" s="14"/>
      <c r="P521" s="14"/>
    </row>
    <row r="522">
      <c r="A522" s="12"/>
      <c r="D522" s="95"/>
      <c r="E522" s="14"/>
      <c r="F522" s="96"/>
      <c r="H522" s="14"/>
      <c r="I522" s="14"/>
      <c r="J522" s="14"/>
      <c r="K522" s="14"/>
      <c r="L522" s="14"/>
      <c r="M522" s="14"/>
      <c r="N522" s="14"/>
      <c r="O522" s="14"/>
      <c r="P522" s="14"/>
    </row>
    <row r="523">
      <c r="A523" s="12"/>
      <c r="D523" s="95"/>
      <c r="E523" s="14"/>
      <c r="F523" s="96"/>
      <c r="H523" s="14"/>
      <c r="I523" s="14"/>
      <c r="J523" s="14"/>
      <c r="K523" s="14"/>
      <c r="L523" s="14"/>
      <c r="M523" s="14"/>
      <c r="N523" s="14"/>
      <c r="O523" s="14"/>
      <c r="P523" s="14"/>
    </row>
    <row r="524">
      <c r="A524" s="12"/>
      <c r="D524" s="95"/>
      <c r="E524" s="14"/>
      <c r="F524" s="96"/>
      <c r="H524" s="14"/>
      <c r="I524" s="14"/>
      <c r="J524" s="14"/>
      <c r="K524" s="14"/>
      <c r="L524" s="14"/>
      <c r="M524" s="14"/>
      <c r="N524" s="14"/>
      <c r="O524" s="14"/>
      <c r="P524" s="14"/>
    </row>
    <row r="525">
      <c r="A525" s="12"/>
      <c r="D525" s="95"/>
      <c r="E525" s="14"/>
      <c r="F525" s="96"/>
      <c r="H525" s="14"/>
      <c r="I525" s="14"/>
      <c r="J525" s="14"/>
      <c r="K525" s="14"/>
      <c r="L525" s="14"/>
      <c r="M525" s="14"/>
      <c r="N525" s="14"/>
      <c r="O525" s="14"/>
      <c r="P525" s="14"/>
    </row>
    <row r="526">
      <c r="A526" s="12"/>
      <c r="D526" s="95"/>
      <c r="E526" s="14"/>
      <c r="F526" s="96"/>
      <c r="H526" s="14"/>
      <c r="I526" s="14"/>
      <c r="J526" s="14"/>
      <c r="K526" s="14"/>
      <c r="L526" s="14"/>
      <c r="M526" s="14"/>
      <c r="N526" s="14"/>
      <c r="O526" s="14"/>
      <c r="P526" s="14"/>
    </row>
    <row r="527">
      <c r="A527" s="12"/>
      <c r="D527" s="95"/>
      <c r="E527" s="14"/>
      <c r="F527" s="96"/>
      <c r="H527" s="14"/>
      <c r="I527" s="14"/>
      <c r="J527" s="14"/>
      <c r="K527" s="14"/>
      <c r="L527" s="14"/>
      <c r="M527" s="14"/>
      <c r="N527" s="14"/>
      <c r="O527" s="14"/>
      <c r="P527" s="14"/>
    </row>
    <row r="528">
      <c r="A528" s="12"/>
      <c r="D528" s="95"/>
      <c r="E528" s="14"/>
      <c r="F528" s="96"/>
      <c r="H528" s="14"/>
      <c r="I528" s="14"/>
      <c r="J528" s="14"/>
      <c r="K528" s="14"/>
      <c r="L528" s="14"/>
      <c r="M528" s="14"/>
      <c r="N528" s="14"/>
      <c r="O528" s="14"/>
      <c r="P528" s="14"/>
    </row>
    <row r="529">
      <c r="A529" s="12"/>
      <c r="D529" s="95"/>
      <c r="E529" s="14"/>
      <c r="F529" s="96"/>
      <c r="H529" s="14"/>
      <c r="I529" s="14"/>
      <c r="J529" s="14"/>
      <c r="K529" s="14"/>
      <c r="L529" s="14"/>
      <c r="M529" s="14"/>
      <c r="N529" s="14"/>
      <c r="O529" s="14"/>
      <c r="P529" s="14"/>
    </row>
    <row r="530">
      <c r="A530" s="12"/>
      <c r="D530" s="95"/>
      <c r="E530" s="14"/>
      <c r="F530" s="96"/>
      <c r="H530" s="14"/>
      <c r="I530" s="14"/>
      <c r="J530" s="14"/>
      <c r="K530" s="14"/>
      <c r="L530" s="14"/>
      <c r="M530" s="14"/>
      <c r="N530" s="14"/>
      <c r="O530" s="14"/>
      <c r="P530" s="14"/>
    </row>
    <row r="531">
      <c r="A531" s="12"/>
      <c r="D531" s="95"/>
      <c r="E531" s="14"/>
      <c r="F531" s="96"/>
      <c r="H531" s="14"/>
      <c r="I531" s="14"/>
      <c r="J531" s="14"/>
      <c r="K531" s="14"/>
      <c r="L531" s="14"/>
      <c r="M531" s="14"/>
      <c r="N531" s="14"/>
      <c r="O531" s="14"/>
      <c r="P531" s="14"/>
    </row>
    <row r="532">
      <c r="A532" s="12"/>
      <c r="D532" s="95"/>
      <c r="E532" s="14"/>
      <c r="F532" s="96"/>
      <c r="H532" s="14"/>
      <c r="I532" s="14"/>
      <c r="J532" s="14"/>
      <c r="K532" s="14"/>
      <c r="L532" s="14"/>
      <c r="M532" s="14"/>
      <c r="N532" s="14"/>
      <c r="O532" s="14"/>
      <c r="P532" s="14"/>
    </row>
    <row r="533">
      <c r="A533" s="12"/>
      <c r="D533" s="95"/>
      <c r="E533" s="14"/>
      <c r="F533" s="96"/>
      <c r="H533" s="14"/>
      <c r="I533" s="14"/>
      <c r="J533" s="14"/>
      <c r="K533" s="14"/>
      <c r="L533" s="14"/>
      <c r="M533" s="14"/>
      <c r="N533" s="14"/>
      <c r="O533" s="14"/>
      <c r="P533" s="14"/>
    </row>
    <row r="534">
      <c r="A534" s="12"/>
      <c r="D534" s="95"/>
      <c r="E534" s="14"/>
      <c r="F534" s="96"/>
      <c r="H534" s="14"/>
      <c r="I534" s="14"/>
      <c r="J534" s="14"/>
      <c r="K534" s="14"/>
      <c r="L534" s="14"/>
      <c r="M534" s="14"/>
      <c r="N534" s="14"/>
      <c r="O534" s="14"/>
      <c r="P534" s="14"/>
    </row>
    <row r="535">
      <c r="A535" s="12"/>
      <c r="D535" s="95"/>
      <c r="E535" s="14"/>
      <c r="F535" s="96"/>
      <c r="H535" s="14"/>
      <c r="I535" s="14"/>
      <c r="J535" s="14"/>
      <c r="K535" s="14"/>
      <c r="L535" s="14"/>
      <c r="M535" s="14"/>
      <c r="N535" s="14"/>
      <c r="O535" s="14"/>
      <c r="P535" s="14"/>
    </row>
    <row r="536">
      <c r="A536" s="12"/>
      <c r="D536" s="95"/>
      <c r="E536" s="14"/>
      <c r="F536" s="96"/>
      <c r="H536" s="14"/>
      <c r="I536" s="14"/>
      <c r="J536" s="14"/>
      <c r="K536" s="14"/>
      <c r="L536" s="14"/>
      <c r="M536" s="14"/>
      <c r="N536" s="14"/>
      <c r="O536" s="14"/>
      <c r="P536" s="14"/>
    </row>
    <row r="537">
      <c r="A537" s="12"/>
      <c r="D537" s="95"/>
      <c r="E537" s="14"/>
      <c r="F537" s="96"/>
      <c r="H537" s="14"/>
      <c r="I537" s="14"/>
      <c r="J537" s="14"/>
      <c r="K537" s="14"/>
      <c r="L537" s="14"/>
      <c r="M537" s="14"/>
      <c r="N537" s="14"/>
      <c r="O537" s="14"/>
      <c r="P537" s="14"/>
    </row>
    <row r="538">
      <c r="A538" s="12"/>
      <c r="D538" s="95"/>
      <c r="E538" s="14"/>
      <c r="F538" s="96"/>
      <c r="H538" s="14"/>
      <c r="I538" s="14"/>
      <c r="J538" s="14"/>
      <c r="K538" s="14"/>
      <c r="L538" s="14"/>
      <c r="M538" s="14"/>
      <c r="N538" s="14"/>
      <c r="O538" s="14"/>
      <c r="P538" s="14"/>
    </row>
    <row r="539">
      <c r="A539" s="12"/>
      <c r="D539" s="95"/>
      <c r="E539" s="14"/>
      <c r="F539" s="96"/>
      <c r="H539" s="14"/>
      <c r="I539" s="14"/>
      <c r="J539" s="14"/>
      <c r="K539" s="14"/>
      <c r="L539" s="14"/>
      <c r="M539" s="14"/>
      <c r="N539" s="14"/>
      <c r="O539" s="14"/>
      <c r="P539" s="14"/>
    </row>
    <row r="540">
      <c r="A540" s="12"/>
      <c r="D540" s="95"/>
      <c r="E540" s="14"/>
      <c r="F540" s="96"/>
      <c r="H540" s="14"/>
      <c r="I540" s="14"/>
      <c r="J540" s="14"/>
      <c r="K540" s="14"/>
      <c r="L540" s="14"/>
      <c r="M540" s="14"/>
      <c r="N540" s="14"/>
      <c r="O540" s="14"/>
      <c r="P540" s="14"/>
    </row>
    <row r="541">
      <c r="A541" s="12"/>
      <c r="D541" s="95"/>
      <c r="E541" s="14"/>
      <c r="F541" s="96"/>
      <c r="H541" s="14"/>
      <c r="I541" s="14"/>
      <c r="J541" s="14"/>
      <c r="K541" s="14"/>
      <c r="L541" s="14"/>
      <c r="M541" s="14"/>
      <c r="N541" s="14"/>
      <c r="O541" s="14"/>
      <c r="P541" s="14"/>
    </row>
    <row r="542">
      <c r="A542" s="12"/>
      <c r="D542" s="95"/>
      <c r="E542" s="14"/>
      <c r="F542" s="96"/>
      <c r="H542" s="14"/>
      <c r="I542" s="14"/>
      <c r="J542" s="14"/>
      <c r="K542" s="14"/>
      <c r="L542" s="14"/>
      <c r="M542" s="14"/>
      <c r="N542" s="14"/>
      <c r="O542" s="14"/>
      <c r="P542" s="14"/>
    </row>
    <row r="543">
      <c r="A543" s="12"/>
      <c r="D543" s="95"/>
      <c r="E543" s="14"/>
      <c r="F543" s="96"/>
      <c r="H543" s="14"/>
      <c r="I543" s="14"/>
      <c r="J543" s="14"/>
      <c r="K543" s="14"/>
      <c r="L543" s="14"/>
      <c r="M543" s="14"/>
      <c r="N543" s="14"/>
      <c r="O543" s="14"/>
      <c r="P543" s="14"/>
    </row>
    <row r="544">
      <c r="A544" s="12"/>
      <c r="D544" s="95"/>
      <c r="E544" s="14"/>
      <c r="F544" s="96"/>
      <c r="H544" s="14"/>
      <c r="I544" s="14"/>
      <c r="J544" s="14"/>
      <c r="K544" s="14"/>
      <c r="L544" s="14"/>
      <c r="M544" s="14"/>
      <c r="N544" s="14"/>
      <c r="O544" s="14"/>
      <c r="P544" s="14"/>
    </row>
    <row r="545">
      <c r="A545" s="12"/>
      <c r="D545" s="95"/>
      <c r="E545" s="14"/>
      <c r="F545" s="96"/>
      <c r="H545" s="14"/>
      <c r="I545" s="14"/>
      <c r="J545" s="14"/>
      <c r="K545" s="14"/>
      <c r="L545" s="14"/>
      <c r="M545" s="14"/>
      <c r="N545" s="14"/>
      <c r="O545" s="14"/>
      <c r="P545" s="14"/>
    </row>
    <row r="546">
      <c r="A546" s="12"/>
      <c r="D546" s="95"/>
      <c r="E546" s="14"/>
      <c r="F546" s="96"/>
      <c r="H546" s="14"/>
      <c r="I546" s="14"/>
      <c r="J546" s="14"/>
      <c r="K546" s="14"/>
      <c r="L546" s="14"/>
      <c r="M546" s="14"/>
      <c r="N546" s="14"/>
      <c r="O546" s="14"/>
      <c r="P546" s="14"/>
    </row>
    <row r="547">
      <c r="A547" s="12"/>
      <c r="D547" s="95"/>
      <c r="E547" s="14"/>
      <c r="F547" s="96"/>
      <c r="H547" s="14"/>
      <c r="I547" s="14"/>
      <c r="J547" s="14"/>
      <c r="K547" s="14"/>
      <c r="L547" s="14"/>
      <c r="M547" s="14"/>
      <c r="N547" s="14"/>
      <c r="O547" s="14"/>
      <c r="P547" s="14"/>
    </row>
    <row r="548">
      <c r="A548" s="12"/>
      <c r="D548" s="95"/>
      <c r="E548" s="14"/>
      <c r="F548" s="96"/>
      <c r="H548" s="14"/>
      <c r="I548" s="14"/>
      <c r="J548" s="14"/>
      <c r="K548" s="14"/>
      <c r="L548" s="14"/>
      <c r="M548" s="14"/>
      <c r="N548" s="14"/>
      <c r="O548" s="14"/>
      <c r="P548" s="14"/>
    </row>
    <row r="549">
      <c r="A549" s="12"/>
      <c r="D549" s="95"/>
      <c r="E549" s="14"/>
      <c r="F549" s="96"/>
      <c r="H549" s="14"/>
      <c r="I549" s="14"/>
      <c r="J549" s="14"/>
      <c r="K549" s="14"/>
      <c r="L549" s="14"/>
      <c r="M549" s="14"/>
      <c r="N549" s="14"/>
      <c r="O549" s="14"/>
      <c r="P549" s="14"/>
    </row>
    <row r="550">
      <c r="A550" s="12"/>
      <c r="D550" s="95"/>
      <c r="E550" s="14"/>
      <c r="F550" s="96"/>
      <c r="H550" s="14"/>
      <c r="I550" s="14"/>
      <c r="J550" s="14"/>
      <c r="K550" s="14"/>
      <c r="L550" s="14"/>
      <c r="M550" s="14"/>
      <c r="N550" s="14"/>
      <c r="O550" s="14"/>
      <c r="P550" s="14"/>
    </row>
    <row r="551">
      <c r="A551" s="12"/>
      <c r="D551" s="95"/>
      <c r="E551" s="14"/>
      <c r="F551" s="96"/>
      <c r="H551" s="14"/>
      <c r="I551" s="14"/>
      <c r="J551" s="14"/>
      <c r="K551" s="14"/>
      <c r="L551" s="14"/>
      <c r="M551" s="14"/>
      <c r="N551" s="14"/>
      <c r="O551" s="14"/>
      <c r="P551" s="14"/>
    </row>
    <row r="552">
      <c r="A552" s="12"/>
      <c r="D552" s="95"/>
      <c r="E552" s="14"/>
      <c r="F552" s="96"/>
      <c r="H552" s="14"/>
      <c r="I552" s="14"/>
      <c r="J552" s="14"/>
      <c r="K552" s="14"/>
      <c r="L552" s="14"/>
      <c r="M552" s="14"/>
      <c r="N552" s="14"/>
      <c r="O552" s="14"/>
      <c r="P552" s="14"/>
    </row>
    <row r="553">
      <c r="A553" s="12"/>
      <c r="D553" s="95"/>
      <c r="E553" s="14"/>
      <c r="F553" s="96"/>
      <c r="H553" s="14"/>
      <c r="I553" s="14"/>
      <c r="J553" s="14"/>
      <c r="K553" s="14"/>
      <c r="L553" s="14"/>
      <c r="M553" s="14"/>
      <c r="N553" s="14"/>
      <c r="O553" s="14"/>
      <c r="P553" s="14"/>
    </row>
    <row r="554">
      <c r="A554" s="12"/>
      <c r="D554" s="95"/>
      <c r="E554" s="14"/>
      <c r="F554" s="96"/>
      <c r="H554" s="14"/>
      <c r="I554" s="14"/>
      <c r="J554" s="14"/>
      <c r="K554" s="14"/>
      <c r="L554" s="14"/>
      <c r="M554" s="14"/>
      <c r="N554" s="14"/>
      <c r="O554" s="14"/>
      <c r="P554" s="14"/>
    </row>
    <row r="555">
      <c r="A555" s="12"/>
      <c r="D555" s="95"/>
      <c r="E555" s="14"/>
      <c r="F555" s="96"/>
      <c r="H555" s="14"/>
      <c r="I555" s="14"/>
      <c r="J555" s="14"/>
      <c r="K555" s="14"/>
      <c r="L555" s="14"/>
      <c r="M555" s="14"/>
      <c r="N555" s="14"/>
      <c r="O555" s="14"/>
      <c r="P555" s="14"/>
    </row>
    <row r="556">
      <c r="A556" s="12"/>
      <c r="D556" s="95"/>
      <c r="E556" s="14"/>
      <c r="F556" s="96"/>
      <c r="H556" s="14"/>
      <c r="I556" s="14"/>
      <c r="J556" s="14"/>
      <c r="K556" s="14"/>
      <c r="L556" s="14"/>
      <c r="M556" s="14"/>
      <c r="N556" s="14"/>
      <c r="O556" s="14"/>
      <c r="P556" s="14"/>
    </row>
    <row r="557">
      <c r="A557" s="12"/>
      <c r="D557" s="95"/>
      <c r="E557" s="14"/>
      <c r="F557" s="96"/>
      <c r="H557" s="14"/>
      <c r="I557" s="14"/>
      <c r="J557" s="14"/>
      <c r="K557" s="14"/>
      <c r="L557" s="14"/>
      <c r="M557" s="14"/>
      <c r="N557" s="14"/>
      <c r="O557" s="14"/>
      <c r="P557" s="14"/>
    </row>
    <row r="558">
      <c r="A558" s="12"/>
      <c r="D558" s="95"/>
      <c r="E558" s="14"/>
      <c r="F558" s="96"/>
      <c r="H558" s="14"/>
      <c r="I558" s="14"/>
      <c r="J558" s="14"/>
      <c r="K558" s="14"/>
      <c r="L558" s="14"/>
      <c r="M558" s="14"/>
      <c r="N558" s="14"/>
      <c r="O558" s="14"/>
      <c r="P558" s="14"/>
    </row>
    <row r="559">
      <c r="A559" s="12"/>
      <c r="D559" s="95"/>
      <c r="E559" s="14"/>
      <c r="F559" s="96"/>
      <c r="H559" s="14"/>
      <c r="I559" s="14"/>
      <c r="J559" s="14"/>
      <c r="K559" s="14"/>
      <c r="L559" s="14"/>
      <c r="M559" s="14"/>
      <c r="N559" s="14"/>
      <c r="O559" s="14"/>
      <c r="P559" s="14"/>
    </row>
    <row r="560">
      <c r="A560" s="12"/>
      <c r="D560" s="95"/>
      <c r="E560" s="14"/>
      <c r="F560" s="96"/>
      <c r="H560" s="14"/>
      <c r="I560" s="14"/>
      <c r="J560" s="14"/>
      <c r="K560" s="14"/>
      <c r="L560" s="14"/>
      <c r="M560" s="14"/>
      <c r="N560" s="14"/>
      <c r="O560" s="14"/>
      <c r="P560" s="14"/>
    </row>
    <row r="561">
      <c r="A561" s="12"/>
      <c r="D561" s="95"/>
      <c r="E561" s="14"/>
      <c r="F561" s="96"/>
      <c r="H561" s="14"/>
      <c r="I561" s="14"/>
      <c r="J561" s="14"/>
      <c r="K561" s="14"/>
      <c r="L561" s="14"/>
      <c r="M561" s="14"/>
      <c r="N561" s="14"/>
      <c r="O561" s="14"/>
      <c r="P561" s="14"/>
    </row>
    <row r="562">
      <c r="A562" s="12"/>
      <c r="D562" s="95"/>
      <c r="E562" s="14"/>
      <c r="F562" s="96"/>
      <c r="H562" s="14"/>
      <c r="I562" s="14"/>
      <c r="J562" s="14"/>
      <c r="K562" s="14"/>
      <c r="L562" s="14"/>
      <c r="M562" s="14"/>
      <c r="N562" s="14"/>
      <c r="O562" s="14"/>
      <c r="P562" s="14"/>
    </row>
    <row r="563">
      <c r="A563" s="12"/>
      <c r="D563" s="95"/>
      <c r="E563" s="14"/>
      <c r="F563" s="96"/>
      <c r="H563" s="14"/>
      <c r="I563" s="14"/>
      <c r="J563" s="14"/>
      <c r="K563" s="14"/>
      <c r="L563" s="14"/>
      <c r="M563" s="14"/>
      <c r="N563" s="14"/>
      <c r="O563" s="14"/>
      <c r="P563" s="14"/>
    </row>
    <row r="564">
      <c r="A564" s="12"/>
      <c r="D564" s="95"/>
      <c r="E564" s="14"/>
      <c r="F564" s="96"/>
      <c r="H564" s="14"/>
      <c r="I564" s="14"/>
      <c r="J564" s="14"/>
      <c r="K564" s="14"/>
      <c r="L564" s="14"/>
      <c r="M564" s="14"/>
      <c r="N564" s="14"/>
      <c r="O564" s="14"/>
      <c r="P564" s="14"/>
    </row>
    <row r="565">
      <c r="A565" s="12"/>
      <c r="D565" s="95"/>
      <c r="E565" s="14"/>
      <c r="F565" s="96"/>
      <c r="H565" s="14"/>
      <c r="I565" s="14"/>
      <c r="J565" s="14"/>
      <c r="K565" s="14"/>
      <c r="L565" s="14"/>
      <c r="M565" s="14"/>
      <c r="N565" s="14"/>
      <c r="O565" s="14"/>
      <c r="P565" s="14"/>
    </row>
    <row r="566">
      <c r="A566" s="12"/>
      <c r="D566" s="95"/>
      <c r="E566" s="14"/>
      <c r="F566" s="96"/>
      <c r="H566" s="14"/>
      <c r="I566" s="14"/>
      <c r="J566" s="14"/>
      <c r="K566" s="14"/>
      <c r="L566" s="14"/>
      <c r="M566" s="14"/>
      <c r="N566" s="14"/>
      <c r="O566" s="14"/>
      <c r="P566" s="14"/>
    </row>
    <row r="567">
      <c r="A567" s="12"/>
      <c r="D567" s="95"/>
      <c r="E567" s="14"/>
      <c r="F567" s="96"/>
      <c r="H567" s="14"/>
      <c r="I567" s="14"/>
      <c r="J567" s="14"/>
      <c r="K567" s="14"/>
      <c r="L567" s="14"/>
      <c r="M567" s="14"/>
      <c r="N567" s="14"/>
      <c r="O567" s="14"/>
      <c r="P567" s="14"/>
    </row>
    <row r="568">
      <c r="A568" s="12"/>
      <c r="D568" s="95"/>
      <c r="E568" s="14"/>
      <c r="F568" s="96"/>
      <c r="H568" s="14"/>
      <c r="I568" s="14"/>
      <c r="J568" s="14"/>
      <c r="K568" s="14"/>
      <c r="L568" s="14"/>
      <c r="M568" s="14"/>
      <c r="N568" s="14"/>
      <c r="O568" s="14"/>
      <c r="P568" s="14"/>
    </row>
    <row r="569">
      <c r="A569" s="12"/>
      <c r="D569" s="95"/>
      <c r="E569" s="14"/>
      <c r="F569" s="96"/>
      <c r="H569" s="14"/>
      <c r="I569" s="14"/>
      <c r="J569" s="14"/>
      <c r="K569" s="14"/>
      <c r="L569" s="14"/>
      <c r="M569" s="14"/>
      <c r="N569" s="14"/>
      <c r="O569" s="14"/>
      <c r="P569" s="14"/>
    </row>
    <row r="570">
      <c r="A570" s="12"/>
      <c r="D570" s="95"/>
      <c r="E570" s="14"/>
      <c r="F570" s="96"/>
      <c r="H570" s="14"/>
      <c r="I570" s="14"/>
      <c r="J570" s="14"/>
      <c r="K570" s="14"/>
      <c r="L570" s="14"/>
      <c r="M570" s="14"/>
      <c r="N570" s="14"/>
      <c r="O570" s="14"/>
      <c r="P570" s="14"/>
    </row>
    <row r="571">
      <c r="A571" s="12"/>
      <c r="D571" s="95"/>
      <c r="E571" s="14"/>
      <c r="F571" s="96"/>
      <c r="H571" s="14"/>
      <c r="I571" s="14"/>
      <c r="J571" s="14"/>
      <c r="K571" s="14"/>
      <c r="L571" s="14"/>
      <c r="M571" s="14"/>
      <c r="N571" s="14"/>
      <c r="O571" s="14"/>
      <c r="P571" s="14"/>
    </row>
    <row r="572">
      <c r="A572" s="12"/>
      <c r="D572" s="95"/>
      <c r="E572" s="14"/>
      <c r="F572" s="96"/>
      <c r="H572" s="14"/>
      <c r="I572" s="14"/>
      <c r="J572" s="14"/>
      <c r="K572" s="14"/>
      <c r="L572" s="14"/>
      <c r="M572" s="14"/>
      <c r="N572" s="14"/>
      <c r="O572" s="14"/>
      <c r="P572" s="14"/>
    </row>
    <row r="573">
      <c r="A573" s="12"/>
      <c r="D573" s="95"/>
      <c r="E573" s="14"/>
      <c r="F573" s="96"/>
      <c r="H573" s="14"/>
      <c r="I573" s="14"/>
      <c r="J573" s="14"/>
      <c r="K573" s="14"/>
      <c r="L573" s="14"/>
      <c r="M573" s="14"/>
      <c r="N573" s="14"/>
      <c r="O573" s="14"/>
      <c r="P573" s="14"/>
    </row>
    <row r="574">
      <c r="A574" s="12"/>
      <c r="D574" s="95"/>
      <c r="E574" s="14"/>
      <c r="F574" s="96"/>
      <c r="H574" s="14"/>
      <c r="I574" s="14"/>
      <c r="J574" s="14"/>
      <c r="K574" s="14"/>
      <c r="L574" s="14"/>
      <c r="M574" s="14"/>
      <c r="N574" s="14"/>
      <c r="O574" s="14"/>
      <c r="P574" s="14"/>
    </row>
    <row r="575">
      <c r="A575" s="12"/>
      <c r="D575" s="95"/>
      <c r="E575" s="14"/>
      <c r="F575" s="96"/>
      <c r="H575" s="14"/>
      <c r="I575" s="14"/>
      <c r="J575" s="14"/>
      <c r="K575" s="14"/>
      <c r="L575" s="14"/>
      <c r="M575" s="14"/>
      <c r="N575" s="14"/>
      <c r="O575" s="14"/>
      <c r="P575" s="14"/>
    </row>
    <row r="576">
      <c r="A576" s="12"/>
      <c r="D576" s="95"/>
      <c r="E576" s="14"/>
      <c r="F576" s="96"/>
      <c r="H576" s="14"/>
      <c r="I576" s="14"/>
      <c r="J576" s="14"/>
      <c r="K576" s="14"/>
      <c r="L576" s="14"/>
      <c r="M576" s="14"/>
      <c r="N576" s="14"/>
      <c r="O576" s="14"/>
      <c r="P576" s="14"/>
    </row>
    <row r="577">
      <c r="A577" s="12"/>
      <c r="D577" s="95"/>
      <c r="E577" s="14"/>
      <c r="F577" s="96"/>
      <c r="H577" s="14"/>
      <c r="I577" s="14"/>
      <c r="J577" s="14"/>
      <c r="K577" s="14"/>
      <c r="L577" s="14"/>
      <c r="M577" s="14"/>
      <c r="N577" s="14"/>
      <c r="O577" s="14"/>
      <c r="P577" s="14"/>
    </row>
    <row r="578">
      <c r="A578" s="12"/>
      <c r="D578" s="95"/>
      <c r="E578" s="14"/>
      <c r="F578" s="96"/>
      <c r="H578" s="14"/>
      <c r="I578" s="14"/>
      <c r="J578" s="14"/>
      <c r="K578" s="14"/>
      <c r="L578" s="14"/>
      <c r="M578" s="14"/>
      <c r="N578" s="14"/>
      <c r="O578" s="14"/>
      <c r="P578" s="14"/>
    </row>
    <row r="579">
      <c r="A579" s="12"/>
      <c r="D579" s="95"/>
      <c r="E579" s="14"/>
      <c r="F579" s="96"/>
      <c r="H579" s="14"/>
      <c r="I579" s="14"/>
      <c r="J579" s="14"/>
      <c r="K579" s="14"/>
      <c r="L579" s="14"/>
      <c r="M579" s="14"/>
      <c r="N579" s="14"/>
      <c r="O579" s="14"/>
      <c r="P579" s="14"/>
    </row>
    <row r="580">
      <c r="A580" s="12"/>
      <c r="D580" s="95"/>
      <c r="E580" s="14"/>
      <c r="F580" s="96"/>
      <c r="H580" s="14"/>
      <c r="I580" s="14"/>
      <c r="J580" s="14"/>
      <c r="K580" s="14"/>
      <c r="L580" s="14"/>
      <c r="M580" s="14"/>
      <c r="N580" s="14"/>
      <c r="O580" s="14"/>
      <c r="P580" s="14"/>
    </row>
    <row r="581">
      <c r="A581" s="12"/>
      <c r="D581" s="95"/>
      <c r="E581" s="14"/>
      <c r="F581" s="96"/>
      <c r="H581" s="14"/>
      <c r="I581" s="14"/>
      <c r="J581" s="14"/>
      <c r="K581" s="14"/>
      <c r="L581" s="14"/>
      <c r="M581" s="14"/>
      <c r="N581" s="14"/>
      <c r="O581" s="14"/>
      <c r="P581" s="14"/>
    </row>
    <row r="582">
      <c r="A582" s="12"/>
      <c r="D582" s="95"/>
      <c r="E582" s="14"/>
      <c r="F582" s="96"/>
      <c r="H582" s="14"/>
      <c r="I582" s="14"/>
      <c r="J582" s="14"/>
      <c r="K582" s="14"/>
      <c r="L582" s="14"/>
      <c r="M582" s="14"/>
      <c r="N582" s="14"/>
      <c r="O582" s="14"/>
      <c r="P582" s="14"/>
    </row>
    <row r="583">
      <c r="A583" s="12"/>
      <c r="D583" s="95"/>
      <c r="E583" s="14"/>
      <c r="F583" s="96"/>
      <c r="H583" s="14"/>
      <c r="I583" s="14"/>
      <c r="J583" s="14"/>
      <c r="K583" s="14"/>
      <c r="L583" s="14"/>
      <c r="M583" s="14"/>
      <c r="N583" s="14"/>
      <c r="O583" s="14"/>
      <c r="P583" s="14"/>
    </row>
    <row r="584">
      <c r="A584" s="12"/>
      <c r="D584" s="95"/>
      <c r="E584" s="14"/>
      <c r="F584" s="96"/>
      <c r="H584" s="14"/>
      <c r="I584" s="14"/>
      <c r="J584" s="14"/>
      <c r="K584" s="14"/>
      <c r="L584" s="14"/>
      <c r="M584" s="14"/>
      <c r="N584" s="14"/>
      <c r="O584" s="14"/>
      <c r="P584" s="14"/>
    </row>
    <row r="585">
      <c r="A585" s="12"/>
      <c r="D585" s="95"/>
      <c r="E585" s="14"/>
      <c r="F585" s="96"/>
      <c r="H585" s="14"/>
      <c r="I585" s="14"/>
      <c r="J585" s="14"/>
      <c r="K585" s="14"/>
      <c r="L585" s="14"/>
      <c r="M585" s="14"/>
      <c r="N585" s="14"/>
      <c r="O585" s="14"/>
      <c r="P585" s="14"/>
    </row>
    <row r="586">
      <c r="A586" s="12"/>
      <c r="D586" s="95"/>
      <c r="E586" s="14"/>
      <c r="F586" s="96"/>
      <c r="H586" s="14"/>
      <c r="I586" s="14"/>
      <c r="J586" s="14"/>
      <c r="K586" s="14"/>
      <c r="L586" s="14"/>
      <c r="M586" s="14"/>
      <c r="N586" s="14"/>
      <c r="O586" s="14"/>
      <c r="P586" s="14"/>
    </row>
    <row r="587">
      <c r="A587" s="12"/>
      <c r="D587" s="95"/>
      <c r="E587" s="14"/>
      <c r="F587" s="96"/>
      <c r="H587" s="14"/>
      <c r="I587" s="14"/>
      <c r="J587" s="14"/>
      <c r="K587" s="14"/>
      <c r="L587" s="14"/>
      <c r="M587" s="14"/>
      <c r="N587" s="14"/>
      <c r="O587" s="14"/>
      <c r="P587" s="14"/>
    </row>
    <row r="588">
      <c r="A588" s="12"/>
      <c r="D588" s="95"/>
      <c r="E588" s="14"/>
      <c r="F588" s="96"/>
      <c r="H588" s="14"/>
      <c r="I588" s="14"/>
      <c r="J588" s="14"/>
      <c r="K588" s="14"/>
      <c r="L588" s="14"/>
      <c r="M588" s="14"/>
      <c r="N588" s="14"/>
      <c r="O588" s="14"/>
      <c r="P588" s="14"/>
    </row>
    <row r="589">
      <c r="A589" s="12"/>
      <c r="D589" s="95"/>
      <c r="E589" s="14"/>
      <c r="F589" s="96"/>
      <c r="H589" s="14"/>
      <c r="I589" s="14"/>
      <c r="J589" s="14"/>
      <c r="K589" s="14"/>
      <c r="L589" s="14"/>
      <c r="M589" s="14"/>
      <c r="N589" s="14"/>
      <c r="O589" s="14"/>
      <c r="P589" s="14"/>
    </row>
    <row r="590">
      <c r="A590" s="12"/>
      <c r="D590" s="95"/>
      <c r="E590" s="14"/>
      <c r="F590" s="96"/>
      <c r="H590" s="14"/>
      <c r="I590" s="14"/>
      <c r="J590" s="14"/>
      <c r="K590" s="14"/>
      <c r="L590" s="14"/>
      <c r="M590" s="14"/>
      <c r="N590" s="14"/>
      <c r="O590" s="14"/>
      <c r="P590" s="14"/>
    </row>
    <row r="591">
      <c r="A591" s="12"/>
      <c r="D591" s="95"/>
      <c r="E591" s="14"/>
      <c r="F591" s="96"/>
      <c r="H591" s="14"/>
      <c r="I591" s="14"/>
      <c r="J591" s="14"/>
      <c r="K591" s="14"/>
      <c r="L591" s="14"/>
      <c r="M591" s="14"/>
      <c r="N591" s="14"/>
      <c r="O591" s="14"/>
      <c r="P591" s="14"/>
    </row>
    <row r="592">
      <c r="A592" s="12"/>
      <c r="D592" s="95"/>
      <c r="E592" s="14"/>
      <c r="F592" s="96"/>
      <c r="H592" s="14"/>
      <c r="I592" s="14"/>
      <c r="J592" s="14"/>
      <c r="K592" s="14"/>
      <c r="L592" s="14"/>
      <c r="M592" s="14"/>
      <c r="N592" s="14"/>
      <c r="O592" s="14"/>
      <c r="P592" s="14"/>
    </row>
    <row r="593">
      <c r="A593" s="12"/>
      <c r="D593" s="95"/>
      <c r="E593" s="14"/>
      <c r="F593" s="96"/>
      <c r="H593" s="14"/>
      <c r="I593" s="14"/>
      <c r="J593" s="14"/>
      <c r="K593" s="14"/>
      <c r="L593" s="14"/>
      <c r="M593" s="14"/>
      <c r="N593" s="14"/>
      <c r="O593" s="14"/>
      <c r="P593" s="14"/>
    </row>
    <row r="594">
      <c r="A594" s="12"/>
      <c r="D594" s="95"/>
      <c r="E594" s="14"/>
      <c r="F594" s="96"/>
      <c r="H594" s="14"/>
      <c r="I594" s="14"/>
      <c r="J594" s="14"/>
      <c r="K594" s="14"/>
      <c r="L594" s="14"/>
      <c r="M594" s="14"/>
      <c r="N594" s="14"/>
      <c r="O594" s="14"/>
      <c r="P594" s="14"/>
    </row>
    <row r="595">
      <c r="A595" s="12"/>
      <c r="D595" s="95"/>
      <c r="E595" s="14"/>
      <c r="F595" s="96"/>
      <c r="H595" s="14"/>
      <c r="I595" s="14"/>
      <c r="J595" s="14"/>
      <c r="K595" s="14"/>
      <c r="L595" s="14"/>
      <c r="M595" s="14"/>
      <c r="N595" s="14"/>
      <c r="O595" s="14"/>
      <c r="P595" s="14"/>
    </row>
    <row r="596">
      <c r="A596" s="12"/>
      <c r="D596" s="95"/>
      <c r="E596" s="14"/>
      <c r="F596" s="96"/>
      <c r="H596" s="14"/>
      <c r="I596" s="14"/>
      <c r="J596" s="14"/>
      <c r="K596" s="14"/>
      <c r="L596" s="14"/>
      <c r="M596" s="14"/>
      <c r="N596" s="14"/>
      <c r="O596" s="14"/>
      <c r="P596" s="14"/>
    </row>
    <row r="597">
      <c r="A597" s="12"/>
      <c r="D597" s="95"/>
      <c r="E597" s="14"/>
      <c r="F597" s="96"/>
      <c r="H597" s="14"/>
      <c r="I597" s="14"/>
      <c r="J597" s="14"/>
      <c r="K597" s="14"/>
      <c r="L597" s="14"/>
      <c r="M597" s="14"/>
      <c r="N597" s="14"/>
      <c r="O597" s="14"/>
      <c r="P597" s="14"/>
    </row>
    <row r="598">
      <c r="A598" s="12"/>
      <c r="D598" s="95"/>
      <c r="E598" s="14"/>
      <c r="F598" s="96"/>
      <c r="H598" s="14"/>
      <c r="I598" s="14"/>
      <c r="J598" s="14"/>
      <c r="K598" s="14"/>
      <c r="L598" s="14"/>
      <c r="M598" s="14"/>
      <c r="N598" s="14"/>
      <c r="O598" s="14"/>
      <c r="P598" s="14"/>
    </row>
    <row r="599">
      <c r="A599" s="12"/>
      <c r="D599" s="95"/>
      <c r="E599" s="14"/>
      <c r="F599" s="96"/>
      <c r="H599" s="14"/>
      <c r="I599" s="14"/>
      <c r="J599" s="14"/>
      <c r="K599" s="14"/>
      <c r="L599" s="14"/>
      <c r="M599" s="14"/>
      <c r="N599" s="14"/>
      <c r="O599" s="14"/>
      <c r="P599" s="14"/>
    </row>
    <row r="600">
      <c r="A600" s="12"/>
      <c r="D600" s="95"/>
      <c r="E600" s="14"/>
      <c r="F600" s="96"/>
      <c r="H600" s="14"/>
      <c r="I600" s="14"/>
      <c r="J600" s="14"/>
      <c r="K600" s="14"/>
      <c r="L600" s="14"/>
      <c r="M600" s="14"/>
      <c r="N600" s="14"/>
      <c r="O600" s="14"/>
      <c r="P600" s="14"/>
    </row>
    <row r="601">
      <c r="A601" s="12"/>
      <c r="D601" s="95"/>
      <c r="E601" s="14"/>
      <c r="F601" s="96"/>
      <c r="H601" s="14"/>
      <c r="I601" s="14"/>
      <c r="J601" s="14"/>
      <c r="K601" s="14"/>
      <c r="L601" s="14"/>
      <c r="M601" s="14"/>
      <c r="N601" s="14"/>
      <c r="O601" s="14"/>
      <c r="P601" s="14"/>
    </row>
    <row r="602">
      <c r="A602" s="12"/>
      <c r="D602" s="95"/>
      <c r="E602" s="14"/>
      <c r="F602" s="96"/>
      <c r="H602" s="14"/>
      <c r="I602" s="14"/>
      <c r="J602" s="14"/>
      <c r="K602" s="14"/>
      <c r="L602" s="14"/>
      <c r="M602" s="14"/>
      <c r="N602" s="14"/>
      <c r="O602" s="14"/>
      <c r="P602" s="14"/>
    </row>
    <row r="603">
      <c r="A603" s="12"/>
      <c r="D603" s="95"/>
      <c r="E603" s="14"/>
      <c r="F603" s="96"/>
      <c r="H603" s="14"/>
      <c r="I603" s="14"/>
      <c r="J603" s="14"/>
      <c r="K603" s="14"/>
      <c r="L603" s="14"/>
      <c r="M603" s="14"/>
      <c r="N603" s="14"/>
      <c r="O603" s="14"/>
      <c r="P603" s="14"/>
    </row>
    <row r="604">
      <c r="A604" s="12"/>
      <c r="D604" s="95"/>
      <c r="E604" s="14"/>
      <c r="F604" s="96"/>
      <c r="H604" s="14"/>
      <c r="I604" s="14"/>
      <c r="J604" s="14"/>
      <c r="K604" s="14"/>
      <c r="L604" s="14"/>
      <c r="M604" s="14"/>
      <c r="N604" s="14"/>
      <c r="O604" s="14"/>
      <c r="P604" s="14"/>
    </row>
    <row r="605">
      <c r="A605" s="12"/>
      <c r="D605" s="95"/>
      <c r="E605" s="14"/>
      <c r="F605" s="96"/>
      <c r="H605" s="14"/>
      <c r="I605" s="14"/>
      <c r="J605" s="14"/>
      <c r="K605" s="14"/>
      <c r="L605" s="14"/>
      <c r="M605" s="14"/>
      <c r="N605" s="14"/>
      <c r="O605" s="14"/>
      <c r="P605" s="14"/>
    </row>
    <row r="606">
      <c r="A606" s="12"/>
      <c r="D606" s="95"/>
      <c r="E606" s="14"/>
      <c r="F606" s="96"/>
      <c r="H606" s="14"/>
      <c r="I606" s="14"/>
      <c r="J606" s="14"/>
      <c r="K606" s="14"/>
      <c r="L606" s="14"/>
      <c r="M606" s="14"/>
      <c r="N606" s="14"/>
      <c r="O606" s="14"/>
      <c r="P606" s="14"/>
    </row>
    <row r="607">
      <c r="A607" s="12"/>
      <c r="D607" s="95"/>
      <c r="E607" s="14"/>
      <c r="F607" s="96"/>
      <c r="H607" s="14"/>
      <c r="I607" s="14"/>
      <c r="J607" s="14"/>
      <c r="K607" s="14"/>
      <c r="L607" s="14"/>
      <c r="M607" s="14"/>
      <c r="N607" s="14"/>
      <c r="O607" s="14"/>
      <c r="P607" s="14"/>
    </row>
    <row r="608">
      <c r="A608" s="12"/>
      <c r="D608" s="95"/>
      <c r="E608" s="14"/>
      <c r="F608" s="96"/>
      <c r="H608" s="14"/>
      <c r="I608" s="14"/>
      <c r="J608" s="14"/>
      <c r="K608" s="14"/>
      <c r="L608" s="14"/>
      <c r="M608" s="14"/>
      <c r="N608" s="14"/>
      <c r="O608" s="14"/>
      <c r="P608" s="14"/>
    </row>
    <row r="609">
      <c r="A609" s="12"/>
      <c r="D609" s="95"/>
      <c r="E609" s="14"/>
      <c r="F609" s="96"/>
      <c r="H609" s="14"/>
      <c r="I609" s="14"/>
      <c r="J609" s="14"/>
      <c r="K609" s="14"/>
      <c r="L609" s="14"/>
      <c r="M609" s="14"/>
      <c r="N609" s="14"/>
      <c r="O609" s="14"/>
      <c r="P609" s="14"/>
    </row>
    <row r="610">
      <c r="A610" s="12"/>
      <c r="D610" s="95"/>
      <c r="E610" s="14"/>
      <c r="F610" s="96"/>
      <c r="H610" s="14"/>
      <c r="I610" s="14"/>
      <c r="J610" s="14"/>
      <c r="K610" s="14"/>
      <c r="L610" s="14"/>
      <c r="M610" s="14"/>
      <c r="N610" s="14"/>
      <c r="O610" s="14"/>
      <c r="P610" s="14"/>
    </row>
    <row r="611">
      <c r="A611" s="12"/>
      <c r="D611" s="95"/>
      <c r="E611" s="14"/>
      <c r="F611" s="96"/>
      <c r="H611" s="14"/>
      <c r="I611" s="14"/>
      <c r="J611" s="14"/>
      <c r="K611" s="14"/>
      <c r="L611" s="14"/>
      <c r="M611" s="14"/>
      <c r="N611" s="14"/>
      <c r="O611" s="14"/>
      <c r="P611" s="14"/>
    </row>
    <row r="612">
      <c r="A612" s="12"/>
      <c r="D612" s="95"/>
      <c r="E612" s="14"/>
      <c r="F612" s="96"/>
      <c r="H612" s="14"/>
      <c r="I612" s="14"/>
      <c r="J612" s="14"/>
      <c r="K612" s="14"/>
      <c r="L612" s="14"/>
      <c r="M612" s="14"/>
      <c r="N612" s="14"/>
      <c r="O612" s="14"/>
      <c r="P612" s="14"/>
    </row>
    <row r="613">
      <c r="A613" s="12"/>
      <c r="D613" s="95"/>
      <c r="E613" s="14"/>
      <c r="F613" s="96"/>
      <c r="H613" s="14"/>
      <c r="I613" s="14"/>
      <c r="J613" s="14"/>
      <c r="K613" s="14"/>
      <c r="L613" s="14"/>
      <c r="M613" s="14"/>
      <c r="N613" s="14"/>
      <c r="O613" s="14"/>
      <c r="P613" s="14"/>
    </row>
    <row r="614">
      <c r="A614" s="12"/>
      <c r="D614" s="95"/>
      <c r="E614" s="14"/>
      <c r="F614" s="96"/>
      <c r="H614" s="14"/>
      <c r="I614" s="14"/>
      <c r="J614" s="14"/>
      <c r="K614" s="14"/>
      <c r="L614" s="14"/>
      <c r="M614" s="14"/>
      <c r="N614" s="14"/>
      <c r="O614" s="14"/>
      <c r="P614" s="14"/>
    </row>
    <row r="615">
      <c r="A615" s="12"/>
      <c r="D615" s="95"/>
      <c r="E615" s="14"/>
      <c r="F615" s="96"/>
      <c r="H615" s="14"/>
      <c r="I615" s="14"/>
      <c r="J615" s="14"/>
      <c r="K615" s="14"/>
      <c r="L615" s="14"/>
      <c r="M615" s="14"/>
      <c r="N615" s="14"/>
      <c r="O615" s="14"/>
      <c r="P615" s="14"/>
    </row>
    <row r="616">
      <c r="A616" s="12"/>
      <c r="D616" s="95"/>
      <c r="E616" s="14"/>
      <c r="F616" s="96"/>
      <c r="H616" s="14"/>
      <c r="I616" s="14"/>
      <c r="J616" s="14"/>
      <c r="K616" s="14"/>
      <c r="L616" s="14"/>
      <c r="M616" s="14"/>
      <c r="N616" s="14"/>
      <c r="O616" s="14"/>
      <c r="P616" s="14"/>
    </row>
    <row r="617">
      <c r="A617" s="12"/>
      <c r="D617" s="95"/>
      <c r="E617" s="14"/>
      <c r="F617" s="96"/>
      <c r="H617" s="14"/>
      <c r="I617" s="14"/>
      <c r="J617" s="14"/>
      <c r="K617" s="14"/>
      <c r="L617" s="14"/>
      <c r="M617" s="14"/>
      <c r="N617" s="14"/>
      <c r="O617" s="14"/>
      <c r="P617" s="14"/>
    </row>
    <row r="618">
      <c r="A618" s="12"/>
      <c r="D618" s="95"/>
      <c r="E618" s="14"/>
      <c r="F618" s="96"/>
      <c r="H618" s="14"/>
      <c r="I618" s="14"/>
      <c r="J618" s="14"/>
      <c r="K618" s="14"/>
      <c r="L618" s="14"/>
      <c r="M618" s="14"/>
      <c r="N618" s="14"/>
      <c r="O618" s="14"/>
      <c r="P618" s="14"/>
    </row>
    <row r="619">
      <c r="A619" s="12"/>
      <c r="D619" s="95"/>
      <c r="E619" s="14"/>
      <c r="F619" s="96"/>
      <c r="H619" s="14"/>
      <c r="I619" s="14"/>
      <c r="J619" s="14"/>
      <c r="K619" s="14"/>
      <c r="L619" s="14"/>
      <c r="M619" s="14"/>
      <c r="N619" s="14"/>
      <c r="O619" s="14"/>
      <c r="P619" s="14"/>
    </row>
    <row r="620">
      <c r="A620" s="12"/>
      <c r="D620" s="95"/>
      <c r="E620" s="14"/>
      <c r="F620" s="96"/>
      <c r="H620" s="14"/>
      <c r="I620" s="14"/>
      <c r="J620" s="14"/>
      <c r="K620" s="14"/>
      <c r="L620" s="14"/>
      <c r="M620" s="14"/>
      <c r="N620" s="14"/>
      <c r="O620" s="14"/>
      <c r="P620" s="14"/>
    </row>
    <row r="621">
      <c r="A621" s="12"/>
      <c r="D621" s="95"/>
      <c r="E621" s="14"/>
      <c r="F621" s="96"/>
      <c r="H621" s="14"/>
      <c r="I621" s="14"/>
      <c r="J621" s="14"/>
      <c r="K621" s="14"/>
      <c r="L621" s="14"/>
      <c r="M621" s="14"/>
      <c r="N621" s="14"/>
      <c r="O621" s="14"/>
      <c r="P621" s="14"/>
    </row>
    <row r="622">
      <c r="A622" s="12"/>
      <c r="D622" s="95"/>
      <c r="E622" s="14"/>
      <c r="F622" s="96"/>
      <c r="H622" s="14"/>
      <c r="I622" s="14"/>
      <c r="J622" s="14"/>
      <c r="K622" s="14"/>
      <c r="L622" s="14"/>
      <c r="M622" s="14"/>
      <c r="N622" s="14"/>
      <c r="O622" s="14"/>
      <c r="P622" s="14"/>
    </row>
    <row r="623">
      <c r="A623" s="12"/>
      <c r="D623" s="95"/>
      <c r="E623" s="14"/>
      <c r="F623" s="96"/>
      <c r="H623" s="14"/>
      <c r="I623" s="14"/>
      <c r="J623" s="14"/>
      <c r="K623" s="14"/>
      <c r="L623" s="14"/>
      <c r="M623" s="14"/>
      <c r="N623" s="14"/>
      <c r="O623" s="14"/>
      <c r="P623" s="14"/>
    </row>
    <row r="624">
      <c r="A624" s="12"/>
      <c r="D624" s="95"/>
      <c r="E624" s="14"/>
      <c r="F624" s="96"/>
      <c r="H624" s="14"/>
      <c r="I624" s="14"/>
      <c r="J624" s="14"/>
      <c r="K624" s="14"/>
      <c r="L624" s="14"/>
      <c r="M624" s="14"/>
      <c r="N624" s="14"/>
      <c r="O624" s="14"/>
      <c r="P624" s="14"/>
    </row>
    <row r="625">
      <c r="A625" s="12"/>
      <c r="D625" s="95"/>
      <c r="E625" s="14"/>
      <c r="F625" s="96"/>
      <c r="H625" s="14"/>
      <c r="I625" s="14"/>
      <c r="J625" s="14"/>
      <c r="K625" s="14"/>
      <c r="L625" s="14"/>
      <c r="M625" s="14"/>
      <c r="N625" s="14"/>
      <c r="O625" s="14"/>
      <c r="P625" s="14"/>
    </row>
    <row r="626">
      <c r="A626" s="12"/>
      <c r="D626" s="95"/>
      <c r="E626" s="14"/>
      <c r="F626" s="96"/>
      <c r="H626" s="14"/>
      <c r="I626" s="14"/>
      <c r="J626" s="14"/>
      <c r="K626" s="14"/>
      <c r="L626" s="14"/>
      <c r="M626" s="14"/>
      <c r="N626" s="14"/>
      <c r="O626" s="14"/>
      <c r="P626" s="14"/>
    </row>
    <row r="627">
      <c r="A627" s="12"/>
      <c r="D627" s="95"/>
      <c r="E627" s="14"/>
      <c r="F627" s="96"/>
      <c r="H627" s="14"/>
      <c r="I627" s="14"/>
      <c r="J627" s="14"/>
      <c r="K627" s="14"/>
      <c r="L627" s="14"/>
      <c r="M627" s="14"/>
      <c r="N627" s="14"/>
      <c r="O627" s="14"/>
      <c r="P627" s="14"/>
    </row>
    <row r="628">
      <c r="A628" s="12"/>
      <c r="D628" s="95"/>
      <c r="E628" s="14"/>
      <c r="F628" s="96"/>
      <c r="H628" s="14"/>
      <c r="I628" s="14"/>
      <c r="J628" s="14"/>
      <c r="K628" s="14"/>
      <c r="L628" s="14"/>
      <c r="M628" s="14"/>
      <c r="N628" s="14"/>
      <c r="O628" s="14"/>
      <c r="P628" s="14"/>
    </row>
    <row r="629">
      <c r="A629" s="12"/>
      <c r="D629" s="95"/>
      <c r="E629" s="14"/>
      <c r="F629" s="96"/>
      <c r="H629" s="14"/>
      <c r="I629" s="14"/>
      <c r="J629" s="14"/>
      <c r="K629" s="14"/>
      <c r="L629" s="14"/>
      <c r="M629" s="14"/>
      <c r="N629" s="14"/>
      <c r="O629" s="14"/>
      <c r="P629" s="14"/>
    </row>
    <row r="630">
      <c r="A630" s="12"/>
      <c r="D630" s="95"/>
      <c r="E630" s="14"/>
      <c r="F630" s="96"/>
      <c r="H630" s="14"/>
      <c r="I630" s="14"/>
      <c r="J630" s="14"/>
      <c r="K630" s="14"/>
      <c r="L630" s="14"/>
      <c r="M630" s="14"/>
      <c r="N630" s="14"/>
      <c r="O630" s="14"/>
      <c r="P630" s="14"/>
    </row>
    <row r="631">
      <c r="A631" s="12"/>
      <c r="D631" s="95"/>
      <c r="E631" s="14"/>
      <c r="F631" s="96"/>
      <c r="H631" s="14"/>
      <c r="I631" s="14"/>
      <c r="J631" s="14"/>
      <c r="K631" s="14"/>
      <c r="L631" s="14"/>
      <c r="M631" s="14"/>
      <c r="N631" s="14"/>
      <c r="O631" s="14"/>
      <c r="P631" s="14"/>
    </row>
    <row r="632">
      <c r="A632" s="12"/>
      <c r="D632" s="95"/>
      <c r="E632" s="14"/>
      <c r="F632" s="96"/>
      <c r="H632" s="14"/>
      <c r="I632" s="14"/>
      <c r="J632" s="14"/>
      <c r="K632" s="14"/>
      <c r="L632" s="14"/>
      <c r="M632" s="14"/>
      <c r="N632" s="14"/>
      <c r="O632" s="14"/>
      <c r="P632" s="14"/>
    </row>
    <row r="633">
      <c r="A633" s="12"/>
      <c r="D633" s="95"/>
      <c r="E633" s="14"/>
      <c r="F633" s="96"/>
      <c r="H633" s="14"/>
      <c r="I633" s="14"/>
      <c r="J633" s="14"/>
      <c r="K633" s="14"/>
      <c r="L633" s="14"/>
      <c r="M633" s="14"/>
      <c r="N633" s="14"/>
      <c r="O633" s="14"/>
      <c r="P633" s="14"/>
    </row>
    <row r="634">
      <c r="A634" s="12"/>
      <c r="D634" s="95"/>
      <c r="E634" s="14"/>
      <c r="F634" s="96"/>
      <c r="H634" s="14"/>
      <c r="I634" s="14"/>
      <c r="J634" s="14"/>
      <c r="K634" s="14"/>
      <c r="L634" s="14"/>
      <c r="M634" s="14"/>
      <c r="N634" s="14"/>
      <c r="O634" s="14"/>
      <c r="P634" s="14"/>
    </row>
    <row r="635">
      <c r="A635" s="12"/>
      <c r="D635" s="95"/>
      <c r="E635" s="14"/>
      <c r="F635" s="96"/>
      <c r="H635" s="14"/>
      <c r="I635" s="14"/>
      <c r="J635" s="14"/>
      <c r="K635" s="14"/>
      <c r="L635" s="14"/>
      <c r="M635" s="14"/>
      <c r="N635" s="14"/>
      <c r="O635" s="14"/>
      <c r="P635" s="14"/>
    </row>
    <row r="636">
      <c r="A636" s="12"/>
      <c r="D636" s="95"/>
      <c r="E636" s="14"/>
      <c r="F636" s="96"/>
      <c r="H636" s="14"/>
      <c r="I636" s="14"/>
      <c r="J636" s="14"/>
      <c r="K636" s="14"/>
      <c r="L636" s="14"/>
      <c r="M636" s="14"/>
      <c r="N636" s="14"/>
      <c r="O636" s="14"/>
      <c r="P636" s="14"/>
    </row>
    <row r="637">
      <c r="A637" s="12"/>
      <c r="D637" s="95"/>
      <c r="E637" s="14"/>
      <c r="F637" s="96"/>
      <c r="H637" s="14"/>
      <c r="I637" s="14"/>
      <c r="J637" s="14"/>
      <c r="K637" s="14"/>
      <c r="L637" s="14"/>
      <c r="M637" s="14"/>
      <c r="N637" s="14"/>
      <c r="O637" s="14"/>
      <c r="P637" s="14"/>
    </row>
    <row r="638">
      <c r="A638" s="12"/>
      <c r="D638" s="95"/>
      <c r="E638" s="14"/>
      <c r="F638" s="96"/>
      <c r="H638" s="14"/>
      <c r="I638" s="14"/>
      <c r="J638" s="14"/>
      <c r="K638" s="14"/>
      <c r="L638" s="14"/>
      <c r="M638" s="14"/>
      <c r="N638" s="14"/>
      <c r="O638" s="14"/>
      <c r="P638" s="14"/>
    </row>
    <row r="639">
      <c r="A639" s="12"/>
      <c r="D639" s="95"/>
      <c r="E639" s="14"/>
      <c r="F639" s="96"/>
      <c r="H639" s="14"/>
      <c r="I639" s="14"/>
      <c r="J639" s="14"/>
      <c r="K639" s="14"/>
      <c r="L639" s="14"/>
      <c r="M639" s="14"/>
      <c r="N639" s="14"/>
      <c r="O639" s="14"/>
      <c r="P639" s="14"/>
    </row>
    <row r="640">
      <c r="A640" s="12"/>
      <c r="D640" s="95"/>
      <c r="E640" s="14"/>
      <c r="F640" s="96"/>
      <c r="H640" s="14"/>
      <c r="I640" s="14"/>
      <c r="J640" s="14"/>
      <c r="K640" s="14"/>
      <c r="L640" s="14"/>
      <c r="M640" s="14"/>
      <c r="N640" s="14"/>
      <c r="O640" s="14"/>
      <c r="P640" s="14"/>
    </row>
    <row r="641">
      <c r="A641" s="12"/>
      <c r="D641" s="95"/>
      <c r="E641" s="14"/>
      <c r="F641" s="96"/>
      <c r="H641" s="14"/>
      <c r="I641" s="14"/>
      <c r="J641" s="14"/>
      <c r="K641" s="14"/>
      <c r="L641" s="14"/>
      <c r="M641" s="14"/>
      <c r="N641" s="14"/>
      <c r="O641" s="14"/>
      <c r="P641" s="14"/>
    </row>
    <row r="642">
      <c r="A642" s="12"/>
      <c r="D642" s="95"/>
      <c r="E642" s="14"/>
      <c r="F642" s="96"/>
      <c r="H642" s="14"/>
      <c r="I642" s="14"/>
      <c r="J642" s="14"/>
      <c r="K642" s="14"/>
      <c r="L642" s="14"/>
      <c r="M642" s="14"/>
      <c r="N642" s="14"/>
      <c r="O642" s="14"/>
      <c r="P642" s="14"/>
    </row>
    <row r="643">
      <c r="A643" s="12"/>
      <c r="D643" s="95"/>
      <c r="E643" s="14"/>
      <c r="F643" s="96"/>
      <c r="H643" s="14"/>
      <c r="I643" s="14"/>
      <c r="J643" s="14"/>
      <c r="K643" s="14"/>
      <c r="L643" s="14"/>
      <c r="M643" s="14"/>
      <c r="N643" s="14"/>
      <c r="O643" s="14"/>
      <c r="P643" s="14"/>
    </row>
    <row r="644">
      <c r="A644" s="12"/>
      <c r="D644" s="95"/>
      <c r="E644" s="14"/>
      <c r="F644" s="96"/>
      <c r="H644" s="14"/>
      <c r="I644" s="14"/>
      <c r="J644" s="14"/>
      <c r="K644" s="14"/>
      <c r="L644" s="14"/>
      <c r="M644" s="14"/>
      <c r="N644" s="14"/>
      <c r="O644" s="14"/>
      <c r="P644" s="14"/>
    </row>
    <row r="645">
      <c r="A645" s="12"/>
      <c r="D645" s="95"/>
      <c r="E645" s="14"/>
      <c r="F645" s="96"/>
      <c r="H645" s="14"/>
      <c r="I645" s="14"/>
      <c r="J645" s="14"/>
      <c r="K645" s="14"/>
      <c r="L645" s="14"/>
      <c r="M645" s="14"/>
      <c r="N645" s="14"/>
      <c r="O645" s="14"/>
      <c r="P645" s="14"/>
    </row>
    <row r="646">
      <c r="A646" s="12"/>
      <c r="D646" s="95"/>
      <c r="E646" s="14"/>
      <c r="F646" s="96"/>
      <c r="H646" s="14"/>
      <c r="I646" s="14"/>
      <c r="J646" s="14"/>
      <c r="K646" s="14"/>
      <c r="L646" s="14"/>
      <c r="M646" s="14"/>
      <c r="N646" s="14"/>
      <c r="O646" s="14"/>
      <c r="P646" s="14"/>
    </row>
    <row r="647">
      <c r="A647" s="12"/>
      <c r="D647" s="95"/>
      <c r="E647" s="14"/>
      <c r="F647" s="96"/>
      <c r="H647" s="14"/>
      <c r="I647" s="14"/>
      <c r="J647" s="14"/>
      <c r="K647" s="14"/>
      <c r="L647" s="14"/>
      <c r="M647" s="14"/>
      <c r="N647" s="14"/>
      <c r="O647" s="14"/>
      <c r="P647" s="14"/>
    </row>
    <row r="648">
      <c r="A648" s="12"/>
      <c r="D648" s="95"/>
      <c r="E648" s="14"/>
      <c r="F648" s="96"/>
      <c r="H648" s="14"/>
      <c r="I648" s="14"/>
      <c r="J648" s="14"/>
      <c r="K648" s="14"/>
      <c r="L648" s="14"/>
      <c r="M648" s="14"/>
      <c r="N648" s="14"/>
      <c r="O648" s="14"/>
      <c r="P648" s="14"/>
    </row>
    <row r="649">
      <c r="A649" s="12"/>
      <c r="D649" s="95"/>
      <c r="E649" s="14"/>
      <c r="F649" s="96"/>
      <c r="H649" s="14"/>
      <c r="I649" s="14"/>
      <c r="J649" s="14"/>
      <c r="K649" s="14"/>
      <c r="L649" s="14"/>
      <c r="M649" s="14"/>
      <c r="N649" s="14"/>
      <c r="O649" s="14"/>
      <c r="P649" s="14"/>
    </row>
    <row r="650">
      <c r="A650" s="12"/>
      <c r="D650" s="95"/>
      <c r="E650" s="14"/>
      <c r="F650" s="96"/>
      <c r="H650" s="14"/>
      <c r="I650" s="14"/>
      <c r="J650" s="14"/>
      <c r="K650" s="14"/>
      <c r="L650" s="14"/>
      <c r="M650" s="14"/>
      <c r="N650" s="14"/>
      <c r="O650" s="14"/>
      <c r="P650" s="14"/>
    </row>
    <row r="651">
      <c r="A651" s="12"/>
      <c r="D651" s="95"/>
      <c r="E651" s="14"/>
      <c r="F651" s="96"/>
      <c r="H651" s="14"/>
      <c r="I651" s="14"/>
      <c r="J651" s="14"/>
      <c r="K651" s="14"/>
      <c r="L651" s="14"/>
      <c r="M651" s="14"/>
      <c r="N651" s="14"/>
      <c r="O651" s="14"/>
      <c r="P651" s="14"/>
    </row>
    <row r="652">
      <c r="A652" s="12"/>
      <c r="D652" s="95"/>
      <c r="E652" s="14"/>
      <c r="F652" s="96"/>
      <c r="H652" s="14"/>
      <c r="I652" s="14"/>
      <c r="J652" s="14"/>
      <c r="K652" s="14"/>
      <c r="L652" s="14"/>
      <c r="M652" s="14"/>
      <c r="N652" s="14"/>
      <c r="O652" s="14"/>
      <c r="P652" s="14"/>
    </row>
    <row r="653">
      <c r="A653" s="12"/>
      <c r="D653" s="95"/>
      <c r="E653" s="14"/>
      <c r="F653" s="96"/>
      <c r="H653" s="14"/>
      <c r="I653" s="14"/>
      <c r="J653" s="14"/>
      <c r="K653" s="14"/>
      <c r="L653" s="14"/>
      <c r="M653" s="14"/>
      <c r="N653" s="14"/>
      <c r="O653" s="14"/>
      <c r="P653" s="14"/>
    </row>
    <row r="654">
      <c r="A654" s="12"/>
      <c r="D654" s="95"/>
      <c r="E654" s="14"/>
      <c r="F654" s="96"/>
      <c r="H654" s="14"/>
      <c r="I654" s="14"/>
      <c r="J654" s="14"/>
      <c r="K654" s="14"/>
      <c r="L654" s="14"/>
      <c r="M654" s="14"/>
      <c r="N654" s="14"/>
      <c r="O654" s="14"/>
      <c r="P654" s="14"/>
    </row>
    <row r="655">
      <c r="A655" s="12"/>
      <c r="D655" s="95"/>
      <c r="E655" s="14"/>
      <c r="F655" s="96"/>
      <c r="H655" s="14"/>
      <c r="I655" s="14"/>
      <c r="J655" s="14"/>
      <c r="K655" s="14"/>
      <c r="L655" s="14"/>
      <c r="M655" s="14"/>
      <c r="N655" s="14"/>
      <c r="O655" s="14"/>
      <c r="P655" s="14"/>
    </row>
    <row r="656">
      <c r="A656" s="12"/>
      <c r="D656" s="95"/>
      <c r="E656" s="14"/>
      <c r="F656" s="96"/>
      <c r="H656" s="14"/>
      <c r="I656" s="14"/>
      <c r="J656" s="14"/>
      <c r="K656" s="14"/>
      <c r="L656" s="14"/>
      <c r="M656" s="14"/>
      <c r="N656" s="14"/>
      <c r="O656" s="14"/>
      <c r="P656" s="14"/>
    </row>
    <row r="657">
      <c r="A657" s="12"/>
      <c r="D657" s="95"/>
      <c r="E657" s="14"/>
      <c r="F657" s="96"/>
      <c r="H657" s="14"/>
      <c r="I657" s="14"/>
      <c r="J657" s="14"/>
      <c r="K657" s="14"/>
      <c r="L657" s="14"/>
      <c r="M657" s="14"/>
      <c r="N657" s="14"/>
      <c r="O657" s="14"/>
      <c r="P657" s="14"/>
    </row>
    <row r="658">
      <c r="A658" s="12"/>
      <c r="D658" s="95"/>
      <c r="E658" s="14"/>
      <c r="F658" s="96"/>
      <c r="H658" s="14"/>
      <c r="I658" s="14"/>
      <c r="J658" s="14"/>
      <c r="K658" s="14"/>
      <c r="L658" s="14"/>
      <c r="M658" s="14"/>
      <c r="N658" s="14"/>
      <c r="O658" s="14"/>
      <c r="P658" s="14"/>
    </row>
    <row r="659">
      <c r="A659" s="12"/>
      <c r="D659" s="95"/>
      <c r="E659" s="14"/>
      <c r="F659" s="96"/>
      <c r="H659" s="14"/>
      <c r="I659" s="14"/>
      <c r="J659" s="14"/>
      <c r="K659" s="14"/>
      <c r="L659" s="14"/>
      <c r="M659" s="14"/>
      <c r="N659" s="14"/>
      <c r="O659" s="14"/>
      <c r="P659" s="14"/>
    </row>
    <row r="660">
      <c r="A660" s="12"/>
      <c r="D660" s="95"/>
      <c r="E660" s="14"/>
      <c r="F660" s="96"/>
      <c r="H660" s="14"/>
      <c r="I660" s="14"/>
      <c r="J660" s="14"/>
      <c r="K660" s="14"/>
      <c r="L660" s="14"/>
      <c r="M660" s="14"/>
      <c r="N660" s="14"/>
      <c r="O660" s="14"/>
      <c r="P660" s="14"/>
    </row>
    <row r="661">
      <c r="A661" s="12"/>
      <c r="D661" s="95"/>
      <c r="E661" s="14"/>
      <c r="F661" s="96"/>
      <c r="H661" s="14"/>
      <c r="I661" s="14"/>
      <c r="J661" s="14"/>
      <c r="K661" s="14"/>
      <c r="L661" s="14"/>
      <c r="M661" s="14"/>
      <c r="N661" s="14"/>
      <c r="O661" s="14"/>
      <c r="P661" s="14"/>
    </row>
    <row r="662">
      <c r="A662" s="12"/>
      <c r="D662" s="95"/>
      <c r="E662" s="14"/>
      <c r="F662" s="96"/>
      <c r="H662" s="14"/>
      <c r="I662" s="14"/>
      <c r="J662" s="14"/>
      <c r="K662" s="14"/>
      <c r="L662" s="14"/>
      <c r="M662" s="14"/>
      <c r="N662" s="14"/>
      <c r="O662" s="14"/>
      <c r="P662" s="14"/>
    </row>
    <row r="663">
      <c r="A663" s="12"/>
      <c r="D663" s="95"/>
      <c r="E663" s="14"/>
      <c r="F663" s="96"/>
      <c r="H663" s="14"/>
      <c r="I663" s="14"/>
      <c r="J663" s="14"/>
      <c r="K663" s="14"/>
      <c r="L663" s="14"/>
      <c r="M663" s="14"/>
      <c r="N663" s="14"/>
      <c r="O663" s="14"/>
      <c r="P663" s="14"/>
    </row>
    <row r="664">
      <c r="A664" s="12"/>
      <c r="D664" s="95"/>
      <c r="E664" s="14"/>
      <c r="F664" s="96"/>
      <c r="H664" s="14"/>
      <c r="I664" s="14"/>
      <c r="J664" s="14"/>
      <c r="K664" s="14"/>
      <c r="L664" s="14"/>
      <c r="M664" s="14"/>
      <c r="N664" s="14"/>
      <c r="O664" s="14"/>
      <c r="P664" s="14"/>
    </row>
    <row r="665">
      <c r="A665" s="12"/>
      <c r="D665" s="95"/>
      <c r="E665" s="14"/>
      <c r="F665" s="96"/>
      <c r="H665" s="14"/>
      <c r="I665" s="14"/>
      <c r="J665" s="14"/>
      <c r="K665" s="14"/>
      <c r="L665" s="14"/>
      <c r="M665" s="14"/>
      <c r="N665" s="14"/>
      <c r="O665" s="14"/>
      <c r="P665" s="14"/>
    </row>
    <row r="666">
      <c r="A666" s="12"/>
      <c r="D666" s="95"/>
      <c r="E666" s="14"/>
      <c r="F666" s="96"/>
      <c r="H666" s="14"/>
      <c r="I666" s="14"/>
      <c r="J666" s="14"/>
      <c r="K666" s="14"/>
      <c r="L666" s="14"/>
      <c r="M666" s="14"/>
      <c r="N666" s="14"/>
      <c r="O666" s="14"/>
      <c r="P666" s="14"/>
    </row>
    <row r="667">
      <c r="A667" s="12"/>
      <c r="D667" s="95"/>
      <c r="E667" s="14"/>
      <c r="F667" s="96"/>
      <c r="H667" s="14"/>
      <c r="I667" s="14"/>
      <c r="J667" s="14"/>
      <c r="K667" s="14"/>
      <c r="L667" s="14"/>
      <c r="M667" s="14"/>
      <c r="N667" s="14"/>
      <c r="O667" s="14"/>
      <c r="P667" s="14"/>
    </row>
    <row r="668">
      <c r="A668" s="12"/>
      <c r="D668" s="95"/>
      <c r="E668" s="14"/>
      <c r="F668" s="96"/>
      <c r="H668" s="14"/>
      <c r="I668" s="14"/>
      <c r="J668" s="14"/>
      <c r="K668" s="14"/>
      <c r="L668" s="14"/>
      <c r="M668" s="14"/>
      <c r="N668" s="14"/>
      <c r="O668" s="14"/>
      <c r="P668" s="14"/>
    </row>
    <row r="669">
      <c r="A669" s="12"/>
      <c r="D669" s="95"/>
      <c r="E669" s="14"/>
      <c r="F669" s="96"/>
      <c r="H669" s="14"/>
      <c r="I669" s="14"/>
      <c r="J669" s="14"/>
      <c r="K669" s="14"/>
      <c r="L669" s="14"/>
      <c r="M669" s="14"/>
      <c r="N669" s="14"/>
      <c r="O669" s="14"/>
      <c r="P669" s="14"/>
    </row>
    <row r="670">
      <c r="A670" s="12"/>
      <c r="D670" s="95"/>
      <c r="E670" s="14"/>
      <c r="F670" s="96"/>
      <c r="H670" s="14"/>
      <c r="I670" s="14"/>
      <c r="J670" s="14"/>
      <c r="K670" s="14"/>
      <c r="L670" s="14"/>
      <c r="M670" s="14"/>
      <c r="N670" s="14"/>
      <c r="O670" s="14"/>
      <c r="P670" s="14"/>
    </row>
    <row r="671">
      <c r="A671" s="12"/>
      <c r="D671" s="95"/>
      <c r="E671" s="14"/>
      <c r="F671" s="96"/>
      <c r="H671" s="14"/>
      <c r="I671" s="14"/>
      <c r="J671" s="14"/>
      <c r="K671" s="14"/>
      <c r="L671" s="14"/>
      <c r="M671" s="14"/>
      <c r="N671" s="14"/>
      <c r="O671" s="14"/>
      <c r="P671" s="14"/>
    </row>
    <row r="672">
      <c r="A672" s="12"/>
      <c r="D672" s="95"/>
      <c r="E672" s="14"/>
      <c r="F672" s="96"/>
      <c r="H672" s="14"/>
      <c r="I672" s="14"/>
      <c r="J672" s="14"/>
      <c r="K672" s="14"/>
      <c r="L672" s="14"/>
      <c r="M672" s="14"/>
      <c r="N672" s="14"/>
      <c r="O672" s="14"/>
      <c r="P672" s="14"/>
    </row>
    <row r="673">
      <c r="A673" s="12"/>
      <c r="D673" s="95"/>
      <c r="E673" s="14"/>
      <c r="F673" s="96"/>
      <c r="H673" s="14"/>
      <c r="I673" s="14"/>
      <c r="J673" s="14"/>
      <c r="K673" s="14"/>
      <c r="L673" s="14"/>
      <c r="M673" s="14"/>
      <c r="N673" s="14"/>
      <c r="O673" s="14"/>
      <c r="P673" s="14"/>
    </row>
    <row r="674">
      <c r="A674" s="12"/>
      <c r="D674" s="95"/>
      <c r="E674" s="14"/>
      <c r="F674" s="96"/>
      <c r="H674" s="14"/>
      <c r="I674" s="14"/>
      <c r="J674" s="14"/>
      <c r="K674" s="14"/>
      <c r="L674" s="14"/>
      <c r="M674" s="14"/>
      <c r="N674" s="14"/>
      <c r="O674" s="14"/>
      <c r="P674" s="14"/>
    </row>
    <row r="675">
      <c r="A675" s="12"/>
      <c r="D675" s="95"/>
      <c r="E675" s="14"/>
      <c r="F675" s="96"/>
      <c r="H675" s="14"/>
      <c r="I675" s="14"/>
      <c r="J675" s="14"/>
      <c r="K675" s="14"/>
      <c r="L675" s="14"/>
      <c r="M675" s="14"/>
      <c r="N675" s="14"/>
      <c r="O675" s="14"/>
      <c r="P675" s="14"/>
    </row>
    <row r="676">
      <c r="A676" s="12"/>
      <c r="D676" s="95"/>
      <c r="E676" s="14"/>
      <c r="F676" s="96"/>
      <c r="H676" s="14"/>
      <c r="I676" s="14"/>
      <c r="J676" s="14"/>
      <c r="K676" s="14"/>
      <c r="L676" s="14"/>
      <c r="M676" s="14"/>
      <c r="N676" s="14"/>
      <c r="O676" s="14"/>
      <c r="P676" s="14"/>
    </row>
    <row r="677">
      <c r="A677" s="12"/>
      <c r="D677" s="95"/>
      <c r="E677" s="14"/>
      <c r="F677" s="96"/>
      <c r="H677" s="14"/>
      <c r="I677" s="14"/>
      <c r="J677" s="14"/>
      <c r="K677" s="14"/>
      <c r="L677" s="14"/>
      <c r="M677" s="14"/>
      <c r="N677" s="14"/>
      <c r="O677" s="14"/>
      <c r="P677" s="14"/>
    </row>
    <row r="678">
      <c r="A678" s="12"/>
      <c r="D678" s="95"/>
      <c r="E678" s="14"/>
      <c r="F678" s="96"/>
      <c r="H678" s="14"/>
      <c r="I678" s="14"/>
      <c r="J678" s="14"/>
      <c r="K678" s="14"/>
      <c r="L678" s="14"/>
      <c r="M678" s="14"/>
      <c r="N678" s="14"/>
      <c r="O678" s="14"/>
      <c r="P678" s="14"/>
    </row>
    <row r="679">
      <c r="A679" s="12"/>
      <c r="D679" s="95"/>
      <c r="E679" s="14"/>
      <c r="F679" s="96"/>
      <c r="H679" s="14"/>
      <c r="I679" s="14"/>
      <c r="J679" s="14"/>
      <c r="K679" s="14"/>
      <c r="L679" s="14"/>
      <c r="M679" s="14"/>
      <c r="N679" s="14"/>
      <c r="O679" s="14"/>
      <c r="P679" s="14"/>
    </row>
    <row r="680">
      <c r="A680" s="12"/>
      <c r="D680" s="95"/>
      <c r="E680" s="14"/>
      <c r="F680" s="96"/>
      <c r="H680" s="14"/>
      <c r="I680" s="14"/>
      <c r="J680" s="14"/>
      <c r="K680" s="14"/>
      <c r="L680" s="14"/>
      <c r="M680" s="14"/>
      <c r="N680" s="14"/>
      <c r="O680" s="14"/>
      <c r="P680" s="14"/>
    </row>
    <row r="681">
      <c r="A681" s="12"/>
      <c r="D681" s="95"/>
      <c r="E681" s="14"/>
      <c r="F681" s="96"/>
      <c r="H681" s="14"/>
      <c r="I681" s="14"/>
      <c r="J681" s="14"/>
      <c r="K681" s="14"/>
      <c r="L681" s="14"/>
      <c r="M681" s="14"/>
      <c r="N681" s="14"/>
      <c r="O681" s="14"/>
      <c r="P681" s="14"/>
    </row>
    <row r="682">
      <c r="A682" s="12"/>
      <c r="D682" s="95"/>
      <c r="E682" s="14"/>
      <c r="F682" s="96"/>
      <c r="H682" s="14"/>
      <c r="I682" s="14"/>
      <c r="J682" s="14"/>
      <c r="K682" s="14"/>
      <c r="L682" s="14"/>
      <c r="M682" s="14"/>
      <c r="N682" s="14"/>
      <c r="O682" s="14"/>
      <c r="P682" s="14"/>
    </row>
    <row r="683">
      <c r="A683" s="12"/>
      <c r="D683" s="95"/>
      <c r="E683" s="14"/>
      <c r="F683" s="96"/>
      <c r="H683" s="14"/>
      <c r="I683" s="14"/>
      <c r="J683" s="14"/>
      <c r="K683" s="14"/>
      <c r="L683" s="14"/>
      <c r="M683" s="14"/>
      <c r="N683" s="14"/>
      <c r="O683" s="14"/>
      <c r="P683" s="14"/>
    </row>
    <row r="684">
      <c r="A684" s="12"/>
      <c r="D684" s="95"/>
      <c r="E684" s="14"/>
      <c r="F684" s="96"/>
      <c r="H684" s="14"/>
      <c r="I684" s="14"/>
      <c r="J684" s="14"/>
      <c r="K684" s="14"/>
      <c r="L684" s="14"/>
      <c r="M684" s="14"/>
      <c r="N684" s="14"/>
      <c r="O684" s="14"/>
      <c r="P684" s="14"/>
    </row>
    <row r="685">
      <c r="A685" s="12"/>
      <c r="D685" s="95"/>
      <c r="E685" s="14"/>
      <c r="F685" s="96"/>
      <c r="H685" s="14"/>
      <c r="I685" s="14"/>
      <c r="J685" s="14"/>
      <c r="K685" s="14"/>
      <c r="L685" s="14"/>
      <c r="M685" s="14"/>
      <c r="N685" s="14"/>
      <c r="O685" s="14"/>
      <c r="P685" s="14"/>
    </row>
    <row r="686">
      <c r="A686" s="12"/>
      <c r="D686" s="95"/>
      <c r="E686" s="14"/>
      <c r="F686" s="96"/>
      <c r="H686" s="14"/>
      <c r="I686" s="14"/>
      <c r="J686" s="14"/>
      <c r="K686" s="14"/>
      <c r="L686" s="14"/>
      <c r="M686" s="14"/>
      <c r="N686" s="14"/>
      <c r="O686" s="14"/>
      <c r="P686" s="14"/>
    </row>
    <row r="687">
      <c r="A687" s="12"/>
      <c r="D687" s="95"/>
      <c r="E687" s="14"/>
      <c r="F687" s="96"/>
      <c r="H687" s="14"/>
      <c r="I687" s="14"/>
      <c r="J687" s="14"/>
      <c r="K687" s="14"/>
      <c r="L687" s="14"/>
      <c r="M687" s="14"/>
      <c r="N687" s="14"/>
      <c r="O687" s="14"/>
      <c r="P687" s="14"/>
    </row>
    <row r="688">
      <c r="A688" s="12"/>
      <c r="D688" s="95"/>
      <c r="E688" s="14"/>
      <c r="F688" s="96"/>
      <c r="H688" s="14"/>
      <c r="I688" s="14"/>
      <c r="J688" s="14"/>
      <c r="K688" s="14"/>
      <c r="L688" s="14"/>
      <c r="M688" s="14"/>
      <c r="N688" s="14"/>
      <c r="O688" s="14"/>
      <c r="P688" s="14"/>
    </row>
    <row r="689">
      <c r="A689" s="12"/>
      <c r="D689" s="95"/>
      <c r="E689" s="14"/>
      <c r="F689" s="96"/>
      <c r="H689" s="14"/>
      <c r="I689" s="14"/>
      <c r="J689" s="14"/>
      <c r="K689" s="14"/>
      <c r="L689" s="14"/>
      <c r="M689" s="14"/>
      <c r="N689" s="14"/>
      <c r="O689" s="14"/>
      <c r="P689" s="14"/>
    </row>
    <row r="690">
      <c r="A690" s="12"/>
      <c r="D690" s="95"/>
      <c r="E690" s="14"/>
      <c r="F690" s="96"/>
      <c r="H690" s="14"/>
      <c r="I690" s="14"/>
      <c r="J690" s="14"/>
      <c r="K690" s="14"/>
      <c r="L690" s="14"/>
      <c r="M690" s="14"/>
      <c r="N690" s="14"/>
      <c r="O690" s="14"/>
      <c r="P690" s="14"/>
    </row>
    <row r="691">
      <c r="A691" s="12"/>
      <c r="D691" s="95"/>
      <c r="E691" s="14"/>
      <c r="F691" s="96"/>
      <c r="H691" s="14"/>
      <c r="I691" s="14"/>
      <c r="J691" s="14"/>
      <c r="K691" s="14"/>
      <c r="L691" s="14"/>
      <c r="M691" s="14"/>
      <c r="N691" s="14"/>
      <c r="O691" s="14"/>
      <c r="P691" s="14"/>
    </row>
    <row r="692">
      <c r="A692" s="12"/>
      <c r="D692" s="95"/>
      <c r="E692" s="14"/>
      <c r="F692" s="96"/>
      <c r="H692" s="14"/>
      <c r="I692" s="14"/>
      <c r="J692" s="14"/>
      <c r="K692" s="14"/>
      <c r="L692" s="14"/>
      <c r="M692" s="14"/>
      <c r="N692" s="14"/>
      <c r="O692" s="14"/>
      <c r="P692" s="14"/>
    </row>
    <row r="693">
      <c r="A693" s="12"/>
      <c r="D693" s="95"/>
      <c r="E693" s="14"/>
      <c r="F693" s="96"/>
      <c r="H693" s="14"/>
      <c r="I693" s="14"/>
      <c r="J693" s="14"/>
      <c r="K693" s="14"/>
      <c r="L693" s="14"/>
      <c r="M693" s="14"/>
      <c r="N693" s="14"/>
      <c r="O693" s="14"/>
      <c r="P693" s="14"/>
    </row>
    <row r="694">
      <c r="A694" s="12"/>
      <c r="D694" s="95"/>
      <c r="E694" s="14"/>
      <c r="F694" s="96"/>
      <c r="H694" s="14"/>
      <c r="I694" s="14"/>
      <c r="J694" s="14"/>
      <c r="K694" s="14"/>
      <c r="L694" s="14"/>
      <c r="M694" s="14"/>
      <c r="N694" s="14"/>
      <c r="O694" s="14"/>
      <c r="P694" s="14"/>
    </row>
    <row r="695">
      <c r="A695" s="12"/>
      <c r="D695" s="95"/>
      <c r="E695" s="14"/>
      <c r="F695" s="96"/>
      <c r="H695" s="14"/>
      <c r="I695" s="14"/>
      <c r="J695" s="14"/>
      <c r="K695" s="14"/>
      <c r="L695" s="14"/>
      <c r="M695" s="14"/>
      <c r="N695" s="14"/>
      <c r="O695" s="14"/>
      <c r="P695" s="14"/>
    </row>
    <row r="696">
      <c r="A696" s="12"/>
      <c r="D696" s="95"/>
      <c r="E696" s="14"/>
      <c r="F696" s="96"/>
      <c r="H696" s="14"/>
      <c r="I696" s="14"/>
      <c r="J696" s="14"/>
      <c r="K696" s="14"/>
      <c r="L696" s="14"/>
      <c r="M696" s="14"/>
      <c r="N696" s="14"/>
      <c r="O696" s="14"/>
      <c r="P696" s="14"/>
    </row>
    <row r="697">
      <c r="A697" s="12"/>
      <c r="D697" s="95"/>
      <c r="E697" s="14"/>
      <c r="F697" s="96"/>
      <c r="H697" s="14"/>
      <c r="I697" s="14"/>
      <c r="J697" s="14"/>
      <c r="K697" s="14"/>
      <c r="L697" s="14"/>
      <c r="M697" s="14"/>
      <c r="N697" s="14"/>
      <c r="O697" s="14"/>
      <c r="P697" s="14"/>
    </row>
    <row r="698">
      <c r="A698" s="12"/>
      <c r="D698" s="95"/>
      <c r="E698" s="14"/>
      <c r="F698" s="96"/>
      <c r="H698" s="14"/>
      <c r="I698" s="14"/>
      <c r="J698" s="14"/>
      <c r="K698" s="14"/>
      <c r="L698" s="14"/>
      <c r="M698" s="14"/>
      <c r="N698" s="14"/>
      <c r="O698" s="14"/>
      <c r="P698" s="14"/>
    </row>
    <row r="699">
      <c r="A699" s="12"/>
      <c r="D699" s="95"/>
      <c r="E699" s="14"/>
      <c r="F699" s="96"/>
      <c r="H699" s="14"/>
      <c r="I699" s="14"/>
      <c r="J699" s="14"/>
      <c r="K699" s="14"/>
      <c r="L699" s="14"/>
      <c r="M699" s="14"/>
      <c r="N699" s="14"/>
      <c r="O699" s="14"/>
      <c r="P699" s="14"/>
    </row>
    <row r="700">
      <c r="A700" s="12"/>
      <c r="D700" s="95"/>
      <c r="E700" s="14"/>
      <c r="F700" s="96"/>
      <c r="H700" s="14"/>
      <c r="I700" s="14"/>
      <c r="J700" s="14"/>
      <c r="K700" s="14"/>
      <c r="L700" s="14"/>
      <c r="M700" s="14"/>
      <c r="N700" s="14"/>
      <c r="O700" s="14"/>
      <c r="P700" s="14"/>
    </row>
    <row r="701">
      <c r="A701" s="12"/>
      <c r="D701" s="95"/>
      <c r="E701" s="14"/>
      <c r="F701" s="96"/>
      <c r="H701" s="14"/>
      <c r="I701" s="14"/>
      <c r="J701" s="14"/>
      <c r="K701" s="14"/>
      <c r="L701" s="14"/>
      <c r="M701" s="14"/>
      <c r="N701" s="14"/>
      <c r="O701" s="14"/>
      <c r="P701" s="14"/>
    </row>
    <row r="702">
      <c r="A702" s="12"/>
      <c r="D702" s="95"/>
      <c r="E702" s="14"/>
      <c r="F702" s="96"/>
      <c r="H702" s="14"/>
      <c r="I702" s="14"/>
      <c r="J702" s="14"/>
      <c r="K702" s="14"/>
      <c r="L702" s="14"/>
      <c r="M702" s="14"/>
      <c r="N702" s="14"/>
      <c r="O702" s="14"/>
      <c r="P702" s="14"/>
    </row>
    <row r="703">
      <c r="A703" s="12"/>
      <c r="D703" s="95"/>
      <c r="E703" s="14"/>
      <c r="F703" s="96"/>
      <c r="H703" s="14"/>
      <c r="I703" s="14"/>
      <c r="J703" s="14"/>
      <c r="K703" s="14"/>
      <c r="L703" s="14"/>
      <c r="M703" s="14"/>
      <c r="N703" s="14"/>
      <c r="O703" s="14"/>
      <c r="P703" s="14"/>
    </row>
    <row r="704">
      <c r="A704" s="12"/>
      <c r="D704" s="95"/>
      <c r="E704" s="14"/>
      <c r="F704" s="96"/>
      <c r="H704" s="14"/>
      <c r="I704" s="14"/>
      <c r="J704" s="14"/>
      <c r="K704" s="14"/>
      <c r="L704" s="14"/>
      <c r="M704" s="14"/>
      <c r="N704" s="14"/>
      <c r="O704" s="14"/>
      <c r="P704" s="14"/>
    </row>
    <row r="705">
      <c r="A705" s="12"/>
      <c r="D705" s="95"/>
      <c r="E705" s="14"/>
      <c r="F705" s="96"/>
      <c r="H705" s="14"/>
      <c r="I705" s="14"/>
      <c r="J705" s="14"/>
      <c r="K705" s="14"/>
      <c r="L705" s="14"/>
      <c r="M705" s="14"/>
      <c r="N705" s="14"/>
      <c r="O705" s="14"/>
      <c r="P705" s="14"/>
    </row>
    <row r="706">
      <c r="A706" s="12"/>
      <c r="D706" s="95"/>
      <c r="E706" s="14"/>
      <c r="F706" s="96"/>
      <c r="H706" s="14"/>
      <c r="I706" s="14"/>
      <c r="J706" s="14"/>
      <c r="K706" s="14"/>
      <c r="L706" s="14"/>
      <c r="M706" s="14"/>
      <c r="N706" s="14"/>
      <c r="O706" s="14"/>
      <c r="P706" s="14"/>
    </row>
    <row r="707">
      <c r="A707" s="12"/>
      <c r="D707" s="95"/>
      <c r="E707" s="14"/>
      <c r="F707" s="96"/>
      <c r="H707" s="14"/>
      <c r="I707" s="14"/>
      <c r="J707" s="14"/>
      <c r="K707" s="14"/>
      <c r="L707" s="14"/>
      <c r="M707" s="14"/>
      <c r="N707" s="14"/>
      <c r="O707" s="14"/>
      <c r="P707" s="14"/>
    </row>
    <row r="708">
      <c r="A708" s="12"/>
      <c r="D708" s="95"/>
      <c r="E708" s="14"/>
      <c r="F708" s="96"/>
      <c r="H708" s="14"/>
      <c r="I708" s="14"/>
      <c r="J708" s="14"/>
      <c r="K708" s="14"/>
      <c r="L708" s="14"/>
      <c r="M708" s="14"/>
      <c r="N708" s="14"/>
      <c r="O708" s="14"/>
      <c r="P708" s="14"/>
    </row>
    <row r="709">
      <c r="A709" s="12"/>
      <c r="D709" s="95"/>
      <c r="E709" s="14"/>
      <c r="F709" s="96"/>
      <c r="H709" s="14"/>
      <c r="I709" s="14"/>
      <c r="J709" s="14"/>
      <c r="K709" s="14"/>
      <c r="L709" s="14"/>
      <c r="M709" s="14"/>
      <c r="N709" s="14"/>
      <c r="O709" s="14"/>
      <c r="P709" s="14"/>
    </row>
    <row r="710">
      <c r="A710" s="12"/>
      <c r="D710" s="95"/>
      <c r="E710" s="14"/>
      <c r="F710" s="96"/>
      <c r="H710" s="14"/>
      <c r="I710" s="14"/>
      <c r="J710" s="14"/>
      <c r="K710" s="14"/>
      <c r="L710" s="14"/>
      <c r="M710" s="14"/>
      <c r="N710" s="14"/>
      <c r="O710" s="14"/>
      <c r="P710" s="14"/>
    </row>
    <row r="711">
      <c r="A711" s="12"/>
      <c r="D711" s="95"/>
      <c r="E711" s="14"/>
      <c r="F711" s="96"/>
      <c r="H711" s="14"/>
      <c r="I711" s="14"/>
      <c r="J711" s="14"/>
      <c r="K711" s="14"/>
      <c r="L711" s="14"/>
      <c r="M711" s="14"/>
      <c r="N711" s="14"/>
      <c r="O711" s="14"/>
      <c r="P711" s="14"/>
    </row>
    <row r="712">
      <c r="A712" s="12"/>
      <c r="D712" s="95"/>
      <c r="E712" s="14"/>
      <c r="F712" s="96"/>
      <c r="H712" s="14"/>
      <c r="I712" s="14"/>
      <c r="J712" s="14"/>
      <c r="K712" s="14"/>
      <c r="L712" s="14"/>
      <c r="M712" s="14"/>
      <c r="N712" s="14"/>
      <c r="O712" s="14"/>
      <c r="P712" s="14"/>
    </row>
    <row r="713">
      <c r="A713" s="12"/>
      <c r="D713" s="95"/>
      <c r="E713" s="14"/>
      <c r="F713" s="96"/>
      <c r="H713" s="14"/>
      <c r="I713" s="14"/>
      <c r="J713" s="14"/>
      <c r="K713" s="14"/>
      <c r="L713" s="14"/>
      <c r="M713" s="14"/>
      <c r="N713" s="14"/>
      <c r="O713" s="14"/>
      <c r="P713" s="14"/>
    </row>
    <row r="714">
      <c r="A714" s="12"/>
      <c r="D714" s="95"/>
      <c r="E714" s="14"/>
      <c r="F714" s="96"/>
      <c r="H714" s="14"/>
      <c r="I714" s="14"/>
      <c r="J714" s="14"/>
      <c r="K714" s="14"/>
      <c r="L714" s="14"/>
      <c r="M714" s="14"/>
      <c r="N714" s="14"/>
      <c r="O714" s="14"/>
      <c r="P714" s="14"/>
    </row>
    <row r="715">
      <c r="A715" s="12"/>
      <c r="D715" s="95"/>
      <c r="E715" s="14"/>
      <c r="F715" s="96"/>
      <c r="H715" s="14"/>
      <c r="I715" s="14"/>
      <c r="J715" s="14"/>
      <c r="K715" s="14"/>
      <c r="L715" s="14"/>
      <c r="M715" s="14"/>
      <c r="N715" s="14"/>
      <c r="O715" s="14"/>
      <c r="P715" s="14"/>
    </row>
    <row r="716">
      <c r="A716" s="12"/>
      <c r="D716" s="95"/>
      <c r="E716" s="14"/>
      <c r="F716" s="96"/>
      <c r="H716" s="14"/>
      <c r="I716" s="14"/>
      <c r="J716" s="14"/>
      <c r="K716" s="14"/>
      <c r="L716" s="14"/>
      <c r="M716" s="14"/>
      <c r="N716" s="14"/>
      <c r="O716" s="14"/>
      <c r="P716" s="14"/>
    </row>
    <row r="717">
      <c r="A717" s="12"/>
      <c r="D717" s="95"/>
      <c r="E717" s="14"/>
      <c r="F717" s="96"/>
      <c r="H717" s="14"/>
      <c r="I717" s="14"/>
      <c r="J717" s="14"/>
      <c r="K717" s="14"/>
      <c r="L717" s="14"/>
      <c r="M717" s="14"/>
      <c r="N717" s="14"/>
      <c r="O717" s="14"/>
      <c r="P717" s="14"/>
    </row>
    <row r="718">
      <c r="A718" s="12"/>
      <c r="D718" s="95"/>
      <c r="E718" s="14"/>
      <c r="F718" s="96"/>
      <c r="H718" s="14"/>
      <c r="I718" s="14"/>
      <c r="J718" s="14"/>
      <c r="K718" s="14"/>
      <c r="L718" s="14"/>
      <c r="M718" s="14"/>
      <c r="N718" s="14"/>
      <c r="O718" s="14"/>
      <c r="P718" s="14"/>
    </row>
    <row r="719">
      <c r="A719" s="12"/>
      <c r="D719" s="95"/>
      <c r="E719" s="14"/>
      <c r="F719" s="96"/>
      <c r="H719" s="14"/>
      <c r="I719" s="14"/>
      <c r="J719" s="14"/>
      <c r="K719" s="14"/>
      <c r="L719" s="14"/>
      <c r="M719" s="14"/>
      <c r="N719" s="14"/>
      <c r="O719" s="14"/>
      <c r="P719" s="14"/>
    </row>
    <row r="720">
      <c r="A720" s="12"/>
      <c r="D720" s="95"/>
      <c r="E720" s="14"/>
      <c r="F720" s="96"/>
      <c r="H720" s="14"/>
      <c r="I720" s="14"/>
      <c r="J720" s="14"/>
      <c r="K720" s="14"/>
      <c r="L720" s="14"/>
      <c r="M720" s="14"/>
      <c r="N720" s="14"/>
      <c r="O720" s="14"/>
      <c r="P720" s="14"/>
    </row>
    <row r="721">
      <c r="A721" s="12"/>
      <c r="D721" s="95"/>
      <c r="E721" s="14"/>
      <c r="F721" s="96"/>
      <c r="H721" s="14"/>
      <c r="I721" s="14"/>
      <c r="J721" s="14"/>
      <c r="K721" s="14"/>
      <c r="L721" s="14"/>
      <c r="M721" s="14"/>
      <c r="N721" s="14"/>
      <c r="O721" s="14"/>
      <c r="P721" s="14"/>
    </row>
    <row r="722">
      <c r="A722" s="12"/>
      <c r="D722" s="95"/>
      <c r="E722" s="14"/>
      <c r="F722" s="96"/>
      <c r="H722" s="14"/>
      <c r="I722" s="14"/>
      <c r="J722" s="14"/>
      <c r="K722" s="14"/>
      <c r="L722" s="14"/>
      <c r="M722" s="14"/>
      <c r="N722" s="14"/>
      <c r="O722" s="14"/>
      <c r="P722" s="14"/>
    </row>
    <row r="723">
      <c r="A723" s="12"/>
      <c r="D723" s="95"/>
      <c r="E723" s="14"/>
      <c r="F723" s="96"/>
      <c r="H723" s="14"/>
      <c r="I723" s="14"/>
      <c r="J723" s="14"/>
      <c r="K723" s="14"/>
      <c r="L723" s="14"/>
      <c r="M723" s="14"/>
      <c r="N723" s="14"/>
      <c r="O723" s="14"/>
      <c r="P723" s="14"/>
    </row>
    <row r="724">
      <c r="A724" s="12"/>
      <c r="D724" s="95"/>
      <c r="E724" s="14"/>
      <c r="F724" s="96"/>
      <c r="H724" s="14"/>
      <c r="I724" s="14"/>
      <c r="J724" s="14"/>
      <c r="K724" s="14"/>
      <c r="L724" s="14"/>
      <c r="M724" s="14"/>
      <c r="N724" s="14"/>
      <c r="O724" s="14"/>
      <c r="P724" s="14"/>
    </row>
    <row r="725">
      <c r="A725" s="12"/>
      <c r="D725" s="95"/>
      <c r="E725" s="14"/>
      <c r="F725" s="96"/>
      <c r="H725" s="14"/>
      <c r="I725" s="14"/>
      <c r="J725" s="14"/>
      <c r="K725" s="14"/>
      <c r="L725" s="14"/>
      <c r="M725" s="14"/>
      <c r="N725" s="14"/>
      <c r="O725" s="14"/>
      <c r="P725" s="14"/>
    </row>
    <row r="726">
      <c r="A726" s="12"/>
      <c r="D726" s="95"/>
      <c r="E726" s="14"/>
      <c r="F726" s="96"/>
      <c r="H726" s="14"/>
      <c r="I726" s="14"/>
      <c r="J726" s="14"/>
      <c r="K726" s="14"/>
      <c r="L726" s="14"/>
      <c r="M726" s="14"/>
      <c r="N726" s="14"/>
      <c r="O726" s="14"/>
      <c r="P726" s="14"/>
    </row>
    <row r="727">
      <c r="A727" s="12"/>
      <c r="D727" s="95"/>
      <c r="E727" s="14"/>
      <c r="F727" s="96"/>
      <c r="H727" s="14"/>
      <c r="I727" s="14"/>
      <c r="J727" s="14"/>
      <c r="K727" s="14"/>
      <c r="L727" s="14"/>
      <c r="M727" s="14"/>
      <c r="N727" s="14"/>
      <c r="O727" s="14"/>
      <c r="P727" s="14"/>
    </row>
    <row r="728">
      <c r="A728" s="12"/>
      <c r="D728" s="95"/>
      <c r="E728" s="14"/>
      <c r="F728" s="96"/>
      <c r="H728" s="14"/>
      <c r="I728" s="14"/>
      <c r="J728" s="14"/>
      <c r="K728" s="14"/>
      <c r="L728" s="14"/>
      <c r="M728" s="14"/>
      <c r="N728" s="14"/>
      <c r="O728" s="14"/>
      <c r="P728" s="14"/>
    </row>
    <row r="729">
      <c r="A729" s="12"/>
      <c r="D729" s="95"/>
      <c r="E729" s="14"/>
      <c r="F729" s="96"/>
      <c r="H729" s="14"/>
      <c r="I729" s="14"/>
      <c r="J729" s="14"/>
      <c r="K729" s="14"/>
      <c r="L729" s="14"/>
      <c r="M729" s="14"/>
      <c r="N729" s="14"/>
      <c r="O729" s="14"/>
      <c r="P729" s="14"/>
    </row>
    <row r="730">
      <c r="A730" s="12"/>
      <c r="D730" s="95"/>
      <c r="E730" s="14"/>
      <c r="F730" s="96"/>
      <c r="H730" s="14"/>
      <c r="I730" s="14"/>
      <c r="J730" s="14"/>
      <c r="K730" s="14"/>
      <c r="L730" s="14"/>
      <c r="M730" s="14"/>
      <c r="N730" s="14"/>
      <c r="O730" s="14"/>
      <c r="P730" s="14"/>
    </row>
    <row r="731">
      <c r="A731" s="12"/>
      <c r="D731" s="95"/>
      <c r="E731" s="14"/>
      <c r="F731" s="96"/>
      <c r="H731" s="14"/>
      <c r="I731" s="14"/>
      <c r="J731" s="14"/>
      <c r="K731" s="14"/>
      <c r="L731" s="14"/>
      <c r="M731" s="14"/>
      <c r="N731" s="14"/>
      <c r="O731" s="14"/>
      <c r="P731" s="14"/>
    </row>
    <row r="732">
      <c r="A732" s="12"/>
      <c r="D732" s="95"/>
      <c r="E732" s="14"/>
      <c r="F732" s="96"/>
      <c r="H732" s="14"/>
      <c r="I732" s="14"/>
      <c r="J732" s="14"/>
      <c r="K732" s="14"/>
      <c r="L732" s="14"/>
      <c r="M732" s="14"/>
      <c r="N732" s="14"/>
      <c r="O732" s="14"/>
      <c r="P732" s="14"/>
    </row>
    <row r="733">
      <c r="A733" s="12"/>
      <c r="D733" s="95"/>
      <c r="E733" s="14"/>
      <c r="F733" s="96"/>
      <c r="H733" s="14"/>
      <c r="I733" s="14"/>
      <c r="J733" s="14"/>
      <c r="K733" s="14"/>
      <c r="L733" s="14"/>
      <c r="M733" s="14"/>
      <c r="N733" s="14"/>
      <c r="O733" s="14"/>
      <c r="P733" s="14"/>
    </row>
    <row r="734">
      <c r="A734" s="12"/>
      <c r="D734" s="95"/>
      <c r="E734" s="14"/>
      <c r="F734" s="96"/>
      <c r="H734" s="14"/>
      <c r="I734" s="14"/>
      <c r="J734" s="14"/>
      <c r="K734" s="14"/>
      <c r="L734" s="14"/>
      <c r="M734" s="14"/>
      <c r="N734" s="14"/>
      <c r="O734" s="14"/>
      <c r="P734" s="14"/>
    </row>
    <row r="735">
      <c r="A735" s="12"/>
      <c r="D735" s="95"/>
      <c r="E735" s="14"/>
      <c r="F735" s="96"/>
      <c r="H735" s="14"/>
      <c r="I735" s="14"/>
      <c r="J735" s="14"/>
      <c r="K735" s="14"/>
      <c r="L735" s="14"/>
      <c r="M735" s="14"/>
      <c r="N735" s="14"/>
      <c r="O735" s="14"/>
      <c r="P735" s="14"/>
    </row>
    <row r="736">
      <c r="A736" s="12"/>
      <c r="D736" s="95"/>
      <c r="E736" s="14"/>
      <c r="F736" s="96"/>
      <c r="H736" s="14"/>
      <c r="I736" s="14"/>
      <c r="J736" s="14"/>
      <c r="K736" s="14"/>
      <c r="L736" s="14"/>
      <c r="M736" s="14"/>
      <c r="N736" s="14"/>
      <c r="O736" s="14"/>
      <c r="P736" s="14"/>
    </row>
    <row r="737">
      <c r="A737" s="12"/>
      <c r="D737" s="95"/>
      <c r="E737" s="14"/>
      <c r="F737" s="96"/>
      <c r="H737" s="14"/>
      <c r="I737" s="14"/>
      <c r="J737" s="14"/>
      <c r="K737" s="14"/>
      <c r="L737" s="14"/>
      <c r="M737" s="14"/>
      <c r="N737" s="14"/>
      <c r="O737" s="14"/>
      <c r="P737" s="14"/>
    </row>
    <row r="738">
      <c r="A738" s="12"/>
      <c r="D738" s="95"/>
      <c r="E738" s="14"/>
      <c r="F738" s="96"/>
      <c r="H738" s="14"/>
      <c r="I738" s="14"/>
      <c r="J738" s="14"/>
      <c r="K738" s="14"/>
      <c r="L738" s="14"/>
      <c r="M738" s="14"/>
      <c r="N738" s="14"/>
      <c r="O738" s="14"/>
      <c r="P738" s="14"/>
    </row>
    <row r="739">
      <c r="A739" s="12"/>
      <c r="D739" s="95"/>
      <c r="E739" s="14"/>
      <c r="F739" s="96"/>
      <c r="H739" s="14"/>
      <c r="I739" s="14"/>
      <c r="J739" s="14"/>
      <c r="K739" s="14"/>
      <c r="L739" s="14"/>
      <c r="M739" s="14"/>
      <c r="N739" s="14"/>
      <c r="O739" s="14"/>
      <c r="P739" s="14"/>
    </row>
    <row r="740">
      <c r="A740" s="12"/>
      <c r="D740" s="95"/>
      <c r="E740" s="14"/>
      <c r="F740" s="96"/>
      <c r="H740" s="14"/>
      <c r="I740" s="14"/>
      <c r="J740" s="14"/>
      <c r="K740" s="14"/>
      <c r="L740" s="14"/>
      <c r="M740" s="14"/>
      <c r="N740" s="14"/>
      <c r="O740" s="14"/>
      <c r="P740" s="14"/>
    </row>
    <row r="741">
      <c r="A741" s="12"/>
      <c r="D741" s="95"/>
      <c r="E741" s="14"/>
      <c r="F741" s="96"/>
      <c r="H741" s="14"/>
      <c r="I741" s="14"/>
      <c r="J741" s="14"/>
      <c r="K741" s="14"/>
      <c r="L741" s="14"/>
      <c r="M741" s="14"/>
      <c r="N741" s="14"/>
      <c r="O741" s="14"/>
      <c r="P741" s="14"/>
    </row>
    <row r="742">
      <c r="A742" s="12"/>
      <c r="D742" s="95"/>
      <c r="E742" s="14"/>
      <c r="F742" s="96"/>
      <c r="H742" s="14"/>
      <c r="I742" s="14"/>
      <c r="J742" s="14"/>
      <c r="K742" s="14"/>
      <c r="L742" s="14"/>
      <c r="M742" s="14"/>
      <c r="N742" s="14"/>
      <c r="O742" s="14"/>
      <c r="P742" s="14"/>
    </row>
    <row r="743">
      <c r="A743" s="12"/>
      <c r="D743" s="95"/>
      <c r="E743" s="14"/>
      <c r="F743" s="96"/>
      <c r="H743" s="14"/>
      <c r="I743" s="14"/>
      <c r="J743" s="14"/>
      <c r="K743" s="14"/>
      <c r="L743" s="14"/>
      <c r="M743" s="14"/>
      <c r="N743" s="14"/>
      <c r="O743" s="14"/>
      <c r="P743" s="14"/>
    </row>
    <row r="744">
      <c r="A744" s="12"/>
      <c r="D744" s="95"/>
      <c r="E744" s="14"/>
      <c r="F744" s="96"/>
      <c r="H744" s="14"/>
      <c r="I744" s="14"/>
      <c r="J744" s="14"/>
      <c r="K744" s="14"/>
      <c r="L744" s="14"/>
      <c r="M744" s="14"/>
      <c r="N744" s="14"/>
      <c r="O744" s="14"/>
      <c r="P744" s="14"/>
    </row>
    <row r="745">
      <c r="A745" s="12"/>
      <c r="D745" s="95"/>
      <c r="E745" s="14"/>
      <c r="F745" s="96"/>
      <c r="H745" s="14"/>
      <c r="I745" s="14"/>
      <c r="J745" s="14"/>
      <c r="K745" s="14"/>
      <c r="L745" s="14"/>
      <c r="M745" s="14"/>
      <c r="N745" s="14"/>
      <c r="O745" s="14"/>
      <c r="P745" s="14"/>
    </row>
    <row r="746">
      <c r="A746" s="12"/>
      <c r="D746" s="95"/>
      <c r="E746" s="14"/>
      <c r="F746" s="96"/>
      <c r="H746" s="14"/>
      <c r="I746" s="14"/>
      <c r="J746" s="14"/>
      <c r="K746" s="14"/>
      <c r="L746" s="14"/>
      <c r="M746" s="14"/>
      <c r="N746" s="14"/>
      <c r="O746" s="14"/>
      <c r="P746" s="14"/>
    </row>
    <row r="747">
      <c r="A747" s="12"/>
      <c r="D747" s="95"/>
      <c r="E747" s="14"/>
      <c r="F747" s="96"/>
      <c r="H747" s="14"/>
      <c r="I747" s="14"/>
      <c r="J747" s="14"/>
      <c r="K747" s="14"/>
      <c r="L747" s="14"/>
      <c r="M747" s="14"/>
      <c r="N747" s="14"/>
      <c r="O747" s="14"/>
      <c r="P747" s="14"/>
    </row>
    <row r="748">
      <c r="A748" s="12"/>
      <c r="D748" s="95"/>
      <c r="E748" s="14"/>
      <c r="F748" s="96"/>
      <c r="H748" s="14"/>
      <c r="I748" s="14"/>
      <c r="J748" s="14"/>
      <c r="K748" s="14"/>
      <c r="L748" s="14"/>
      <c r="M748" s="14"/>
      <c r="N748" s="14"/>
      <c r="O748" s="14"/>
      <c r="P748" s="14"/>
    </row>
    <row r="749">
      <c r="A749" s="12"/>
      <c r="D749" s="95"/>
      <c r="E749" s="14"/>
      <c r="F749" s="96"/>
      <c r="H749" s="14"/>
      <c r="I749" s="14"/>
      <c r="J749" s="14"/>
      <c r="K749" s="14"/>
      <c r="L749" s="14"/>
      <c r="M749" s="14"/>
      <c r="N749" s="14"/>
      <c r="O749" s="14"/>
      <c r="P749" s="14"/>
    </row>
    <row r="750">
      <c r="A750" s="12"/>
      <c r="D750" s="95"/>
      <c r="E750" s="14"/>
      <c r="F750" s="96"/>
      <c r="H750" s="14"/>
      <c r="I750" s="14"/>
      <c r="J750" s="14"/>
      <c r="K750" s="14"/>
      <c r="L750" s="14"/>
      <c r="M750" s="14"/>
      <c r="N750" s="14"/>
      <c r="O750" s="14"/>
      <c r="P750" s="14"/>
    </row>
    <row r="751">
      <c r="A751" s="12"/>
      <c r="D751" s="95"/>
      <c r="E751" s="14"/>
      <c r="F751" s="96"/>
      <c r="H751" s="14"/>
      <c r="I751" s="14"/>
      <c r="J751" s="14"/>
      <c r="K751" s="14"/>
      <c r="L751" s="14"/>
      <c r="M751" s="14"/>
      <c r="N751" s="14"/>
      <c r="O751" s="14"/>
      <c r="P751" s="14"/>
    </row>
    <row r="752">
      <c r="A752" s="12"/>
      <c r="D752" s="95"/>
      <c r="E752" s="14"/>
      <c r="F752" s="96"/>
      <c r="H752" s="14"/>
      <c r="I752" s="14"/>
      <c r="J752" s="14"/>
      <c r="K752" s="14"/>
      <c r="L752" s="14"/>
      <c r="M752" s="14"/>
      <c r="N752" s="14"/>
      <c r="O752" s="14"/>
      <c r="P752" s="14"/>
    </row>
    <row r="753">
      <c r="A753" s="12"/>
      <c r="D753" s="95"/>
      <c r="E753" s="14"/>
      <c r="F753" s="96"/>
      <c r="H753" s="14"/>
      <c r="I753" s="14"/>
      <c r="J753" s="14"/>
      <c r="K753" s="14"/>
      <c r="L753" s="14"/>
      <c r="M753" s="14"/>
      <c r="N753" s="14"/>
      <c r="O753" s="14"/>
      <c r="P753" s="14"/>
    </row>
    <row r="754">
      <c r="A754" s="12"/>
      <c r="D754" s="95"/>
      <c r="E754" s="14"/>
      <c r="F754" s="96"/>
      <c r="H754" s="14"/>
      <c r="I754" s="14"/>
      <c r="J754" s="14"/>
      <c r="K754" s="14"/>
      <c r="L754" s="14"/>
      <c r="M754" s="14"/>
      <c r="N754" s="14"/>
      <c r="O754" s="14"/>
      <c r="P754" s="14"/>
    </row>
    <row r="755">
      <c r="A755" s="12"/>
      <c r="D755" s="95"/>
      <c r="E755" s="14"/>
      <c r="F755" s="96"/>
      <c r="H755" s="14"/>
      <c r="I755" s="14"/>
      <c r="J755" s="14"/>
      <c r="K755" s="14"/>
      <c r="L755" s="14"/>
      <c r="M755" s="14"/>
      <c r="N755" s="14"/>
      <c r="O755" s="14"/>
      <c r="P755" s="14"/>
    </row>
    <row r="756">
      <c r="A756" s="12"/>
      <c r="D756" s="95"/>
      <c r="E756" s="14"/>
      <c r="F756" s="96"/>
      <c r="H756" s="14"/>
      <c r="I756" s="14"/>
      <c r="J756" s="14"/>
      <c r="K756" s="14"/>
      <c r="L756" s="14"/>
      <c r="M756" s="14"/>
      <c r="N756" s="14"/>
      <c r="O756" s="14"/>
      <c r="P756" s="14"/>
    </row>
    <row r="757">
      <c r="A757" s="12"/>
      <c r="D757" s="95"/>
      <c r="E757" s="14"/>
      <c r="F757" s="96"/>
      <c r="H757" s="14"/>
      <c r="I757" s="14"/>
      <c r="J757" s="14"/>
      <c r="K757" s="14"/>
      <c r="L757" s="14"/>
      <c r="M757" s="14"/>
      <c r="N757" s="14"/>
      <c r="O757" s="14"/>
      <c r="P757" s="14"/>
    </row>
    <row r="758">
      <c r="A758" s="12"/>
      <c r="D758" s="95"/>
      <c r="E758" s="14"/>
      <c r="F758" s="96"/>
      <c r="H758" s="14"/>
      <c r="I758" s="14"/>
      <c r="J758" s="14"/>
      <c r="K758" s="14"/>
      <c r="L758" s="14"/>
      <c r="M758" s="14"/>
      <c r="N758" s="14"/>
      <c r="O758" s="14"/>
      <c r="P758" s="14"/>
    </row>
    <row r="759">
      <c r="A759" s="12"/>
      <c r="D759" s="95"/>
      <c r="E759" s="14"/>
      <c r="F759" s="96"/>
      <c r="H759" s="14"/>
      <c r="I759" s="14"/>
      <c r="J759" s="14"/>
      <c r="K759" s="14"/>
      <c r="L759" s="14"/>
      <c r="M759" s="14"/>
      <c r="N759" s="14"/>
      <c r="O759" s="14"/>
      <c r="P759" s="14"/>
    </row>
    <row r="760">
      <c r="A760" s="12"/>
      <c r="D760" s="95"/>
      <c r="E760" s="14"/>
      <c r="F760" s="96"/>
      <c r="H760" s="14"/>
      <c r="I760" s="14"/>
      <c r="J760" s="14"/>
      <c r="K760" s="14"/>
      <c r="L760" s="14"/>
      <c r="M760" s="14"/>
      <c r="N760" s="14"/>
      <c r="O760" s="14"/>
      <c r="P760" s="14"/>
    </row>
    <row r="761">
      <c r="A761" s="12"/>
      <c r="D761" s="95"/>
      <c r="E761" s="14"/>
      <c r="F761" s="96"/>
      <c r="H761" s="14"/>
      <c r="I761" s="14"/>
      <c r="J761" s="14"/>
      <c r="K761" s="14"/>
      <c r="L761" s="14"/>
      <c r="M761" s="14"/>
      <c r="N761" s="14"/>
      <c r="O761" s="14"/>
      <c r="P761" s="14"/>
    </row>
    <row r="762">
      <c r="A762" s="12"/>
      <c r="D762" s="95"/>
      <c r="E762" s="14"/>
      <c r="F762" s="96"/>
      <c r="H762" s="14"/>
      <c r="I762" s="14"/>
      <c r="J762" s="14"/>
      <c r="K762" s="14"/>
      <c r="L762" s="14"/>
      <c r="M762" s="14"/>
      <c r="N762" s="14"/>
      <c r="O762" s="14"/>
      <c r="P762" s="14"/>
    </row>
    <row r="763">
      <c r="A763" s="12"/>
      <c r="D763" s="95"/>
      <c r="E763" s="14"/>
      <c r="F763" s="96"/>
      <c r="H763" s="14"/>
      <c r="I763" s="14"/>
      <c r="J763" s="14"/>
      <c r="K763" s="14"/>
      <c r="L763" s="14"/>
      <c r="M763" s="14"/>
      <c r="N763" s="14"/>
      <c r="O763" s="14"/>
      <c r="P763" s="14"/>
    </row>
    <row r="764">
      <c r="A764" s="12"/>
      <c r="D764" s="95"/>
      <c r="E764" s="14"/>
      <c r="F764" s="96"/>
      <c r="H764" s="14"/>
      <c r="I764" s="14"/>
      <c r="J764" s="14"/>
      <c r="K764" s="14"/>
      <c r="L764" s="14"/>
      <c r="M764" s="14"/>
      <c r="N764" s="14"/>
      <c r="O764" s="14"/>
      <c r="P764" s="14"/>
    </row>
    <row r="765">
      <c r="A765" s="12"/>
      <c r="D765" s="95"/>
      <c r="E765" s="14"/>
      <c r="F765" s="96"/>
      <c r="H765" s="14"/>
      <c r="I765" s="14"/>
      <c r="J765" s="14"/>
      <c r="K765" s="14"/>
      <c r="L765" s="14"/>
      <c r="M765" s="14"/>
      <c r="N765" s="14"/>
      <c r="O765" s="14"/>
      <c r="P765" s="14"/>
    </row>
    <row r="766">
      <c r="A766" s="12"/>
      <c r="D766" s="95"/>
      <c r="E766" s="14"/>
      <c r="F766" s="96"/>
      <c r="H766" s="14"/>
      <c r="I766" s="14"/>
      <c r="J766" s="14"/>
      <c r="K766" s="14"/>
      <c r="L766" s="14"/>
      <c r="M766" s="14"/>
      <c r="N766" s="14"/>
      <c r="O766" s="14"/>
      <c r="P766" s="14"/>
    </row>
    <row r="767">
      <c r="A767" s="12"/>
      <c r="D767" s="95"/>
      <c r="E767" s="14"/>
      <c r="F767" s="96"/>
      <c r="H767" s="14"/>
      <c r="I767" s="14"/>
      <c r="J767" s="14"/>
      <c r="K767" s="14"/>
      <c r="L767" s="14"/>
      <c r="M767" s="14"/>
      <c r="N767" s="14"/>
      <c r="O767" s="14"/>
      <c r="P767" s="14"/>
    </row>
    <row r="768">
      <c r="A768" s="12"/>
      <c r="D768" s="95"/>
      <c r="E768" s="14"/>
      <c r="F768" s="96"/>
      <c r="H768" s="14"/>
      <c r="I768" s="14"/>
      <c r="J768" s="14"/>
      <c r="K768" s="14"/>
      <c r="L768" s="14"/>
      <c r="M768" s="14"/>
      <c r="N768" s="14"/>
      <c r="O768" s="14"/>
      <c r="P768" s="14"/>
    </row>
    <row r="769">
      <c r="A769" s="12"/>
      <c r="D769" s="95"/>
      <c r="E769" s="14"/>
      <c r="F769" s="96"/>
      <c r="H769" s="14"/>
      <c r="I769" s="14"/>
      <c r="J769" s="14"/>
      <c r="K769" s="14"/>
      <c r="L769" s="14"/>
      <c r="M769" s="14"/>
      <c r="N769" s="14"/>
      <c r="O769" s="14"/>
      <c r="P769" s="14"/>
    </row>
    <row r="770">
      <c r="A770" s="12"/>
      <c r="D770" s="95"/>
      <c r="E770" s="14"/>
      <c r="F770" s="96"/>
      <c r="H770" s="14"/>
      <c r="I770" s="14"/>
      <c r="J770" s="14"/>
      <c r="K770" s="14"/>
      <c r="L770" s="14"/>
      <c r="M770" s="14"/>
      <c r="N770" s="14"/>
      <c r="O770" s="14"/>
      <c r="P770" s="14"/>
    </row>
    <row r="771">
      <c r="A771" s="12"/>
      <c r="D771" s="95"/>
      <c r="E771" s="14"/>
      <c r="F771" s="96"/>
      <c r="H771" s="14"/>
      <c r="I771" s="14"/>
      <c r="J771" s="14"/>
      <c r="K771" s="14"/>
      <c r="L771" s="14"/>
      <c r="M771" s="14"/>
      <c r="N771" s="14"/>
      <c r="O771" s="14"/>
      <c r="P771" s="14"/>
    </row>
    <row r="772">
      <c r="A772" s="12"/>
      <c r="D772" s="95"/>
      <c r="E772" s="14"/>
      <c r="F772" s="96"/>
      <c r="H772" s="14"/>
      <c r="I772" s="14"/>
      <c r="J772" s="14"/>
      <c r="K772" s="14"/>
      <c r="L772" s="14"/>
      <c r="M772" s="14"/>
      <c r="N772" s="14"/>
      <c r="O772" s="14"/>
      <c r="P772" s="14"/>
    </row>
    <row r="773">
      <c r="A773" s="12"/>
      <c r="D773" s="95"/>
      <c r="E773" s="14"/>
      <c r="F773" s="96"/>
      <c r="H773" s="14"/>
      <c r="I773" s="14"/>
      <c r="J773" s="14"/>
      <c r="K773" s="14"/>
      <c r="L773" s="14"/>
      <c r="M773" s="14"/>
      <c r="N773" s="14"/>
      <c r="O773" s="14"/>
      <c r="P773" s="14"/>
    </row>
    <row r="774">
      <c r="A774" s="12"/>
      <c r="D774" s="95"/>
      <c r="E774" s="14"/>
      <c r="F774" s="96"/>
      <c r="H774" s="14"/>
      <c r="I774" s="14"/>
      <c r="J774" s="14"/>
      <c r="K774" s="14"/>
      <c r="L774" s="14"/>
      <c r="M774" s="14"/>
      <c r="N774" s="14"/>
      <c r="O774" s="14"/>
      <c r="P774" s="14"/>
    </row>
    <row r="775">
      <c r="A775" s="12"/>
      <c r="D775" s="95"/>
      <c r="E775" s="14"/>
      <c r="F775" s="96"/>
      <c r="H775" s="14"/>
      <c r="I775" s="14"/>
      <c r="J775" s="14"/>
      <c r="K775" s="14"/>
      <c r="L775" s="14"/>
      <c r="M775" s="14"/>
      <c r="N775" s="14"/>
      <c r="O775" s="14"/>
      <c r="P775" s="14"/>
    </row>
    <row r="776">
      <c r="A776" s="12"/>
      <c r="D776" s="95"/>
      <c r="E776" s="14"/>
      <c r="F776" s="96"/>
      <c r="H776" s="14"/>
      <c r="I776" s="14"/>
      <c r="J776" s="14"/>
      <c r="K776" s="14"/>
      <c r="L776" s="14"/>
      <c r="M776" s="14"/>
      <c r="N776" s="14"/>
      <c r="O776" s="14"/>
      <c r="P776" s="14"/>
    </row>
    <row r="777">
      <c r="A777" s="12"/>
      <c r="D777" s="95"/>
      <c r="E777" s="14"/>
      <c r="F777" s="96"/>
      <c r="H777" s="14"/>
      <c r="I777" s="14"/>
      <c r="J777" s="14"/>
      <c r="K777" s="14"/>
      <c r="L777" s="14"/>
      <c r="M777" s="14"/>
      <c r="N777" s="14"/>
      <c r="O777" s="14"/>
      <c r="P777" s="14"/>
    </row>
    <row r="778">
      <c r="A778" s="12"/>
      <c r="D778" s="95"/>
      <c r="E778" s="14"/>
      <c r="F778" s="96"/>
      <c r="H778" s="14"/>
      <c r="I778" s="14"/>
      <c r="J778" s="14"/>
      <c r="K778" s="14"/>
      <c r="L778" s="14"/>
      <c r="M778" s="14"/>
      <c r="N778" s="14"/>
      <c r="O778" s="14"/>
      <c r="P778" s="14"/>
    </row>
    <row r="779">
      <c r="A779" s="12"/>
      <c r="D779" s="95"/>
      <c r="E779" s="14"/>
      <c r="F779" s="96"/>
      <c r="H779" s="14"/>
      <c r="I779" s="14"/>
      <c r="J779" s="14"/>
      <c r="K779" s="14"/>
      <c r="L779" s="14"/>
      <c r="M779" s="14"/>
      <c r="N779" s="14"/>
      <c r="O779" s="14"/>
      <c r="P779" s="14"/>
    </row>
    <row r="780">
      <c r="A780" s="12"/>
      <c r="D780" s="95"/>
      <c r="E780" s="14"/>
      <c r="F780" s="96"/>
      <c r="H780" s="14"/>
      <c r="I780" s="14"/>
      <c r="J780" s="14"/>
      <c r="K780" s="14"/>
      <c r="L780" s="14"/>
      <c r="M780" s="14"/>
      <c r="N780" s="14"/>
      <c r="O780" s="14"/>
      <c r="P780" s="14"/>
    </row>
    <row r="781">
      <c r="A781" s="12"/>
      <c r="D781" s="95"/>
      <c r="E781" s="14"/>
      <c r="F781" s="96"/>
      <c r="H781" s="14"/>
      <c r="I781" s="14"/>
      <c r="J781" s="14"/>
      <c r="K781" s="14"/>
      <c r="L781" s="14"/>
      <c r="M781" s="14"/>
      <c r="N781" s="14"/>
      <c r="O781" s="14"/>
      <c r="P781" s="14"/>
    </row>
    <row r="782">
      <c r="A782" s="12"/>
      <c r="D782" s="95"/>
      <c r="E782" s="14"/>
      <c r="F782" s="96"/>
      <c r="H782" s="14"/>
      <c r="I782" s="14"/>
      <c r="J782" s="14"/>
      <c r="K782" s="14"/>
      <c r="L782" s="14"/>
      <c r="M782" s="14"/>
      <c r="N782" s="14"/>
      <c r="O782" s="14"/>
      <c r="P782" s="14"/>
    </row>
    <row r="783">
      <c r="A783" s="12"/>
      <c r="D783" s="95"/>
      <c r="E783" s="14"/>
      <c r="F783" s="96"/>
      <c r="H783" s="14"/>
      <c r="I783" s="14"/>
      <c r="J783" s="14"/>
      <c r="K783" s="14"/>
      <c r="L783" s="14"/>
      <c r="M783" s="14"/>
      <c r="N783" s="14"/>
      <c r="O783" s="14"/>
      <c r="P783" s="14"/>
    </row>
    <row r="784">
      <c r="A784" s="12"/>
      <c r="D784" s="95"/>
      <c r="E784" s="14"/>
      <c r="F784" s="96"/>
      <c r="H784" s="14"/>
      <c r="I784" s="14"/>
      <c r="J784" s="14"/>
      <c r="K784" s="14"/>
      <c r="L784" s="14"/>
      <c r="M784" s="14"/>
      <c r="N784" s="14"/>
      <c r="O784" s="14"/>
      <c r="P784" s="14"/>
    </row>
    <row r="785">
      <c r="A785" s="12"/>
      <c r="D785" s="95"/>
      <c r="E785" s="14"/>
      <c r="F785" s="96"/>
      <c r="H785" s="14"/>
      <c r="I785" s="14"/>
      <c r="J785" s="14"/>
      <c r="K785" s="14"/>
      <c r="L785" s="14"/>
      <c r="M785" s="14"/>
      <c r="N785" s="14"/>
      <c r="O785" s="14"/>
      <c r="P785" s="14"/>
    </row>
    <row r="786">
      <c r="A786" s="12"/>
      <c r="D786" s="95"/>
      <c r="E786" s="14"/>
      <c r="F786" s="96"/>
      <c r="H786" s="14"/>
      <c r="I786" s="14"/>
      <c r="J786" s="14"/>
      <c r="K786" s="14"/>
      <c r="L786" s="14"/>
      <c r="M786" s="14"/>
      <c r="N786" s="14"/>
      <c r="O786" s="14"/>
      <c r="P786" s="14"/>
    </row>
    <row r="787">
      <c r="A787" s="12"/>
      <c r="D787" s="95"/>
      <c r="E787" s="14"/>
      <c r="F787" s="96"/>
      <c r="H787" s="14"/>
      <c r="I787" s="14"/>
      <c r="J787" s="14"/>
      <c r="K787" s="14"/>
      <c r="L787" s="14"/>
      <c r="M787" s="14"/>
      <c r="N787" s="14"/>
      <c r="O787" s="14"/>
      <c r="P787" s="14"/>
    </row>
    <row r="788">
      <c r="A788" s="12"/>
      <c r="D788" s="95"/>
      <c r="E788" s="14"/>
      <c r="F788" s="96"/>
      <c r="H788" s="14"/>
      <c r="I788" s="14"/>
      <c r="J788" s="14"/>
      <c r="K788" s="14"/>
      <c r="L788" s="14"/>
      <c r="M788" s="14"/>
      <c r="N788" s="14"/>
      <c r="O788" s="14"/>
      <c r="P788" s="14"/>
    </row>
    <row r="789">
      <c r="A789" s="12"/>
      <c r="D789" s="95"/>
      <c r="E789" s="14"/>
      <c r="F789" s="96"/>
      <c r="H789" s="14"/>
      <c r="I789" s="14"/>
      <c r="J789" s="14"/>
      <c r="K789" s="14"/>
      <c r="L789" s="14"/>
      <c r="M789" s="14"/>
      <c r="N789" s="14"/>
      <c r="O789" s="14"/>
      <c r="P789" s="14"/>
    </row>
    <row r="790">
      <c r="A790" s="12"/>
      <c r="D790" s="95"/>
      <c r="E790" s="14"/>
      <c r="F790" s="96"/>
      <c r="H790" s="14"/>
      <c r="I790" s="14"/>
      <c r="J790" s="14"/>
      <c r="K790" s="14"/>
      <c r="L790" s="14"/>
      <c r="M790" s="14"/>
      <c r="N790" s="14"/>
      <c r="O790" s="14"/>
      <c r="P790" s="14"/>
    </row>
    <row r="791">
      <c r="A791" s="12"/>
      <c r="D791" s="95"/>
      <c r="E791" s="14"/>
      <c r="F791" s="96"/>
      <c r="H791" s="14"/>
      <c r="I791" s="14"/>
      <c r="J791" s="14"/>
      <c r="K791" s="14"/>
      <c r="L791" s="14"/>
      <c r="M791" s="14"/>
      <c r="N791" s="14"/>
      <c r="O791" s="14"/>
      <c r="P791" s="14"/>
    </row>
    <row r="792">
      <c r="A792" s="12"/>
      <c r="D792" s="95"/>
      <c r="E792" s="14"/>
      <c r="F792" s="96"/>
      <c r="H792" s="14"/>
      <c r="I792" s="14"/>
      <c r="J792" s="14"/>
      <c r="K792" s="14"/>
      <c r="L792" s="14"/>
      <c r="M792" s="14"/>
      <c r="N792" s="14"/>
      <c r="O792" s="14"/>
      <c r="P792" s="14"/>
    </row>
    <row r="793">
      <c r="A793" s="12"/>
      <c r="D793" s="95"/>
      <c r="E793" s="14"/>
      <c r="F793" s="96"/>
      <c r="H793" s="14"/>
      <c r="I793" s="14"/>
      <c r="J793" s="14"/>
      <c r="K793" s="14"/>
      <c r="L793" s="14"/>
      <c r="M793" s="14"/>
      <c r="N793" s="14"/>
      <c r="O793" s="14"/>
      <c r="P793" s="14"/>
    </row>
    <row r="794">
      <c r="A794" s="12"/>
      <c r="D794" s="95"/>
      <c r="E794" s="14"/>
      <c r="F794" s="96"/>
      <c r="H794" s="14"/>
      <c r="I794" s="14"/>
      <c r="J794" s="14"/>
      <c r="K794" s="14"/>
      <c r="L794" s="14"/>
      <c r="M794" s="14"/>
      <c r="N794" s="14"/>
      <c r="O794" s="14"/>
      <c r="P794" s="14"/>
    </row>
    <row r="795">
      <c r="A795" s="12"/>
      <c r="D795" s="95"/>
      <c r="E795" s="14"/>
      <c r="F795" s="96"/>
      <c r="H795" s="14"/>
      <c r="I795" s="14"/>
      <c r="J795" s="14"/>
      <c r="K795" s="14"/>
      <c r="L795" s="14"/>
      <c r="M795" s="14"/>
      <c r="N795" s="14"/>
      <c r="O795" s="14"/>
      <c r="P795" s="14"/>
    </row>
    <row r="796">
      <c r="A796" s="12"/>
      <c r="D796" s="95"/>
      <c r="E796" s="14"/>
      <c r="F796" s="96"/>
      <c r="H796" s="14"/>
      <c r="I796" s="14"/>
      <c r="J796" s="14"/>
      <c r="K796" s="14"/>
      <c r="L796" s="14"/>
      <c r="M796" s="14"/>
      <c r="N796" s="14"/>
      <c r="O796" s="14"/>
      <c r="P796" s="14"/>
    </row>
    <row r="797">
      <c r="A797" s="12"/>
      <c r="D797" s="95"/>
      <c r="E797" s="14"/>
      <c r="F797" s="96"/>
      <c r="H797" s="14"/>
      <c r="I797" s="14"/>
      <c r="J797" s="14"/>
      <c r="K797" s="14"/>
      <c r="L797" s="14"/>
      <c r="M797" s="14"/>
      <c r="N797" s="14"/>
      <c r="O797" s="14"/>
      <c r="P797" s="14"/>
    </row>
    <row r="798">
      <c r="A798" s="12"/>
      <c r="D798" s="95"/>
      <c r="E798" s="14"/>
      <c r="F798" s="96"/>
      <c r="H798" s="14"/>
      <c r="I798" s="14"/>
      <c r="J798" s="14"/>
      <c r="K798" s="14"/>
      <c r="L798" s="14"/>
      <c r="M798" s="14"/>
      <c r="N798" s="14"/>
      <c r="O798" s="14"/>
      <c r="P798" s="14"/>
    </row>
    <row r="799">
      <c r="A799" s="12"/>
      <c r="D799" s="95"/>
      <c r="E799" s="14"/>
      <c r="F799" s="96"/>
      <c r="H799" s="14"/>
      <c r="I799" s="14"/>
      <c r="J799" s="14"/>
      <c r="K799" s="14"/>
      <c r="L799" s="14"/>
      <c r="M799" s="14"/>
      <c r="N799" s="14"/>
      <c r="O799" s="14"/>
      <c r="P799" s="14"/>
    </row>
    <row r="800">
      <c r="A800" s="12"/>
      <c r="D800" s="95"/>
      <c r="E800" s="14"/>
      <c r="F800" s="96"/>
      <c r="H800" s="14"/>
      <c r="I800" s="14"/>
      <c r="J800" s="14"/>
      <c r="K800" s="14"/>
      <c r="L800" s="14"/>
      <c r="M800" s="14"/>
      <c r="N800" s="14"/>
      <c r="O800" s="14"/>
      <c r="P800" s="14"/>
    </row>
    <row r="801">
      <c r="A801" s="12"/>
      <c r="D801" s="95"/>
      <c r="E801" s="14"/>
      <c r="F801" s="96"/>
      <c r="H801" s="14"/>
      <c r="I801" s="14"/>
      <c r="J801" s="14"/>
      <c r="K801" s="14"/>
      <c r="L801" s="14"/>
      <c r="M801" s="14"/>
      <c r="N801" s="14"/>
      <c r="O801" s="14"/>
      <c r="P801" s="14"/>
    </row>
    <row r="802">
      <c r="A802" s="12"/>
      <c r="D802" s="95"/>
      <c r="E802" s="14"/>
      <c r="F802" s="96"/>
      <c r="H802" s="14"/>
      <c r="I802" s="14"/>
      <c r="J802" s="14"/>
      <c r="K802" s="14"/>
      <c r="L802" s="14"/>
      <c r="M802" s="14"/>
      <c r="N802" s="14"/>
      <c r="O802" s="14"/>
      <c r="P802" s="14"/>
    </row>
    <row r="803">
      <c r="A803" s="12"/>
      <c r="D803" s="95"/>
      <c r="E803" s="14"/>
      <c r="F803" s="96"/>
      <c r="H803" s="14"/>
      <c r="I803" s="14"/>
      <c r="J803" s="14"/>
      <c r="K803" s="14"/>
      <c r="L803" s="14"/>
      <c r="M803" s="14"/>
      <c r="N803" s="14"/>
      <c r="O803" s="14"/>
      <c r="P803" s="14"/>
    </row>
    <row r="804">
      <c r="A804" s="12"/>
      <c r="D804" s="95"/>
      <c r="E804" s="14"/>
      <c r="F804" s="96"/>
      <c r="H804" s="14"/>
      <c r="I804" s="14"/>
      <c r="J804" s="14"/>
      <c r="K804" s="14"/>
      <c r="L804" s="14"/>
      <c r="M804" s="14"/>
      <c r="N804" s="14"/>
      <c r="O804" s="14"/>
      <c r="P804" s="14"/>
    </row>
    <row r="805">
      <c r="A805" s="12"/>
      <c r="D805" s="95"/>
      <c r="E805" s="14"/>
      <c r="F805" s="96"/>
      <c r="H805" s="14"/>
      <c r="I805" s="14"/>
      <c r="J805" s="14"/>
      <c r="K805" s="14"/>
      <c r="L805" s="14"/>
      <c r="M805" s="14"/>
      <c r="N805" s="14"/>
      <c r="O805" s="14"/>
      <c r="P805" s="14"/>
    </row>
    <row r="806">
      <c r="A806" s="12"/>
      <c r="D806" s="95"/>
      <c r="E806" s="14"/>
      <c r="F806" s="96"/>
      <c r="H806" s="14"/>
      <c r="I806" s="14"/>
      <c r="J806" s="14"/>
      <c r="K806" s="14"/>
      <c r="L806" s="14"/>
      <c r="M806" s="14"/>
      <c r="N806" s="14"/>
      <c r="O806" s="14"/>
      <c r="P806" s="14"/>
    </row>
    <row r="807">
      <c r="A807" s="12"/>
      <c r="D807" s="95"/>
      <c r="E807" s="14"/>
      <c r="F807" s="96"/>
      <c r="H807" s="14"/>
      <c r="I807" s="14"/>
      <c r="J807" s="14"/>
      <c r="K807" s="14"/>
      <c r="L807" s="14"/>
      <c r="M807" s="14"/>
      <c r="N807" s="14"/>
      <c r="O807" s="14"/>
      <c r="P807" s="14"/>
    </row>
    <row r="808">
      <c r="A808" s="12"/>
      <c r="D808" s="95"/>
      <c r="E808" s="14"/>
      <c r="F808" s="96"/>
      <c r="H808" s="14"/>
      <c r="I808" s="14"/>
      <c r="J808" s="14"/>
      <c r="K808" s="14"/>
      <c r="L808" s="14"/>
      <c r="M808" s="14"/>
      <c r="N808" s="14"/>
      <c r="O808" s="14"/>
      <c r="P808" s="14"/>
    </row>
    <row r="809">
      <c r="A809" s="12"/>
      <c r="D809" s="95"/>
      <c r="E809" s="14"/>
      <c r="F809" s="96"/>
      <c r="H809" s="14"/>
      <c r="I809" s="14"/>
      <c r="J809" s="14"/>
      <c r="K809" s="14"/>
      <c r="L809" s="14"/>
      <c r="M809" s="14"/>
      <c r="N809" s="14"/>
      <c r="O809" s="14"/>
      <c r="P809" s="14"/>
    </row>
    <row r="810">
      <c r="A810" s="12"/>
      <c r="D810" s="95"/>
      <c r="E810" s="14"/>
      <c r="F810" s="96"/>
      <c r="H810" s="14"/>
      <c r="I810" s="14"/>
      <c r="J810" s="14"/>
      <c r="K810" s="14"/>
      <c r="L810" s="14"/>
      <c r="M810" s="14"/>
      <c r="N810" s="14"/>
      <c r="O810" s="14"/>
      <c r="P810" s="14"/>
    </row>
    <row r="811">
      <c r="A811" s="12"/>
      <c r="D811" s="95"/>
      <c r="E811" s="14"/>
      <c r="F811" s="96"/>
      <c r="H811" s="14"/>
      <c r="I811" s="14"/>
      <c r="J811" s="14"/>
      <c r="K811" s="14"/>
      <c r="L811" s="14"/>
      <c r="M811" s="14"/>
      <c r="N811" s="14"/>
      <c r="O811" s="14"/>
      <c r="P811" s="14"/>
    </row>
    <row r="812">
      <c r="A812" s="12"/>
      <c r="D812" s="95"/>
      <c r="E812" s="14"/>
      <c r="F812" s="96"/>
      <c r="H812" s="14"/>
      <c r="I812" s="14"/>
      <c r="J812" s="14"/>
      <c r="K812" s="14"/>
      <c r="L812" s="14"/>
      <c r="M812" s="14"/>
      <c r="N812" s="14"/>
      <c r="O812" s="14"/>
      <c r="P812" s="14"/>
    </row>
    <row r="813">
      <c r="A813" s="12"/>
      <c r="D813" s="95"/>
      <c r="E813" s="14"/>
      <c r="F813" s="96"/>
      <c r="H813" s="14"/>
      <c r="I813" s="14"/>
      <c r="J813" s="14"/>
      <c r="K813" s="14"/>
      <c r="L813" s="14"/>
      <c r="M813" s="14"/>
      <c r="N813" s="14"/>
      <c r="O813" s="14"/>
      <c r="P813" s="14"/>
    </row>
    <row r="814">
      <c r="A814" s="12"/>
      <c r="D814" s="95"/>
      <c r="E814" s="14"/>
      <c r="F814" s="96"/>
      <c r="H814" s="14"/>
      <c r="I814" s="14"/>
      <c r="J814" s="14"/>
      <c r="K814" s="14"/>
      <c r="L814" s="14"/>
      <c r="M814" s="14"/>
      <c r="N814" s="14"/>
      <c r="O814" s="14"/>
      <c r="P814" s="14"/>
    </row>
    <row r="815">
      <c r="A815" s="12"/>
      <c r="D815" s="95"/>
      <c r="E815" s="14"/>
      <c r="F815" s="96"/>
      <c r="H815" s="14"/>
      <c r="I815" s="14"/>
      <c r="J815" s="14"/>
      <c r="K815" s="14"/>
      <c r="L815" s="14"/>
      <c r="M815" s="14"/>
      <c r="N815" s="14"/>
      <c r="O815" s="14"/>
      <c r="P815" s="14"/>
    </row>
    <row r="816">
      <c r="A816" s="12"/>
      <c r="D816" s="95"/>
      <c r="E816" s="14"/>
      <c r="F816" s="96"/>
      <c r="H816" s="14"/>
      <c r="I816" s="14"/>
      <c r="J816" s="14"/>
      <c r="K816" s="14"/>
      <c r="L816" s="14"/>
      <c r="M816" s="14"/>
      <c r="N816" s="14"/>
      <c r="O816" s="14"/>
      <c r="P816" s="14"/>
    </row>
    <row r="817">
      <c r="A817" s="12"/>
      <c r="D817" s="95"/>
      <c r="E817" s="14"/>
      <c r="F817" s="96"/>
      <c r="H817" s="14"/>
      <c r="I817" s="14"/>
      <c r="J817" s="14"/>
      <c r="K817" s="14"/>
      <c r="L817" s="14"/>
      <c r="M817" s="14"/>
      <c r="N817" s="14"/>
      <c r="O817" s="14"/>
      <c r="P817" s="14"/>
    </row>
    <row r="818">
      <c r="A818" s="12"/>
      <c r="D818" s="95"/>
      <c r="E818" s="14"/>
      <c r="F818" s="96"/>
      <c r="H818" s="14"/>
      <c r="I818" s="14"/>
      <c r="J818" s="14"/>
      <c r="K818" s="14"/>
      <c r="L818" s="14"/>
      <c r="M818" s="14"/>
      <c r="N818" s="14"/>
      <c r="O818" s="14"/>
      <c r="P818" s="14"/>
    </row>
    <row r="819">
      <c r="A819" s="12"/>
      <c r="D819" s="95"/>
      <c r="E819" s="14"/>
      <c r="F819" s="96"/>
      <c r="H819" s="14"/>
      <c r="I819" s="14"/>
      <c r="J819" s="14"/>
      <c r="K819" s="14"/>
      <c r="L819" s="14"/>
      <c r="M819" s="14"/>
      <c r="N819" s="14"/>
      <c r="O819" s="14"/>
      <c r="P819" s="14"/>
    </row>
    <row r="820">
      <c r="A820" s="12"/>
      <c r="D820" s="95"/>
      <c r="E820" s="14"/>
      <c r="F820" s="96"/>
      <c r="H820" s="14"/>
      <c r="I820" s="14"/>
      <c r="J820" s="14"/>
      <c r="K820" s="14"/>
      <c r="L820" s="14"/>
      <c r="M820" s="14"/>
      <c r="N820" s="14"/>
      <c r="O820" s="14"/>
      <c r="P820" s="14"/>
    </row>
    <row r="821">
      <c r="A821" s="12"/>
      <c r="D821" s="95"/>
      <c r="E821" s="14"/>
      <c r="F821" s="96"/>
      <c r="H821" s="14"/>
      <c r="I821" s="14"/>
      <c r="J821" s="14"/>
      <c r="K821" s="14"/>
      <c r="L821" s="14"/>
      <c r="M821" s="14"/>
      <c r="N821" s="14"/>
      <c r="O821" s="14"/>
      <c r="P821" s="14"/>
    </row>
    <row r="822">
      <c r="A822" s="12"/>
      <c r="D822" s="95"/>
      <c r="E822" s="14"/>
      <c r="F822" s="96"/>
      <c r="H822" s="14"/>
      <c r="I822" s="14"/>
      <c r="J822" s="14"/>
      <c r="K822" s="14"/>
      <c r="L822" s="14"/>
      <c r="M822" s="14"/>
      <c r="N822" s="14"/>
      <c r="O822" s="14"/>
      <c r="P822" s="14"/>
    </row>
    <row r="823">
      <c r="A823" s="12"/>
      <c r="D823" s="95"/>
      <c r="E823" s="14"/>
      <c r="F823" s="96"/>
      <c r="H823" s="14"/>
      <c r="I823" s="14"/>
      <c r="J823" s="14"/>
      <c r="K823" s="14"/>
      <c r="L823" s="14"/>
      <c r="M823" s="14"/>
      <c r="N823" s="14"/>
      <c r="O823" s="14"/>
      <c r="P823" s="14"/>
    </row>
    <row r="824">
      <c r="A824" s="12"/>
      <c r="D824" s="95"/>
      <c r="E824" s="14"/>
      <c r="F824" s="96"/>
      <c r="H824" s="14"/>
      <c r="I824" s="14"/>
      <c r="J824" s="14"/>
      <c r="K824" s="14"/>
      <c r="L824" s="14"/>
      <c r="M824" s="14"/>
      <c r="N824" s="14"/>
      <c r="O824" s="14"/>
      <c r="P824" s="14"/>
    </row>
    <row r="825">
      <c r="A825" s="12"/>
      <c r="D825" s="95"/>
      <c r="E825" s="14"/>
      <c r="F825" s="96"/>
      <c r="H825" s="14"/>
      <c r="I825" s="14"/>
      <c r="J825" s="14"/>
      <c r="K825" s="14"/>
      <c r="L825" s="14"/>
      <c r="M825" s="14"/>
      <c r="N825" s="14"/>
      <c r="O825" s="14"/>
      <c r="P825" s="14"/>
    </row>
    <row r="826">
      <c r="A826" s="12"/>
      <c r="D826" s="95"/>
      <c r="E826" s="14"/>
      <c r="F826" s="96"/>
      <c r="H826" s="14"/>
      <c r="I826" s="14"/>
      <c r="J826" s="14"/>
      <c r="K826" s="14"/>
      <c r="L826" s="14"/>
      <c r="M826" s="14"/>
      <c r="N826" s="14"/>
      <c r="O826" s="14"/>
      <c r="P826" s="14"/>
    </row>
    <row r="827">
      <c r="A827" s="12"/>
      <c r="D827" s="95"/>
      <c r="E827" s="14"/>
      <c r="F827" s="96"/>
      <c r="H827" s="14"/>
      <c r="I827" s="14"/>
      <c r="J827" s="14"/>
      <c r="K827" s="14"/>
      <c r="L827" s="14"/>
      <c r="M827" s="14"/>
      <c r="N827" s="14"/>
      <c r="O827" s="14"/>
      <c r="P827" s="14"/>
    </row>
    <row r="828">
      <c r="A828" s="12"/>
      <c r="D828" s="95"/>
      <c r="E828" s="14"/>
      <c r="F828" s="96"/>
      <c r="H828" s="14"/>
      <c r="I828" s="14"/>
      <c r="J828" s="14"/>
      <c r="K828" s="14"/>
      <c r="L828" s="14"/>
      <c r="M828" s="14"/>
      <c r="N828" s="14"/>
      <c r="O828" s="14"/>
      <c r="P828" s="14"/>
    </row>
    <row r="829">
      <c r="A829" s="12"/>
      <c r="D829" s="95"/>
      <c r="E829" s="14"/>
      <c r="F829" s="96"/>
      <c r="H829" s="14"/>
      <c r="I829" s="14"/>
      <c r="J829" s="14"/>
      <c r="K829" s="14"/>
      <c r="L829" s="14"/>
      <c r="M829" s="14"/>
      <c r="N829" s="14"/>
      <c r="O829" s="14"/>
      <c r="P829" s="14"/>
    </row>
    <row r="830">
      <c r="A830" s="12"/>
      <c r="D830" s="95"/>
      <c r="E830" s="14"/>
      <c r="F830" s="96"/>
      <c r="H830" s="14"/>
      <c r="I830" s="14"/>
      <c r="J830" s="14"/>
      <c r="K830" s="14"/>
      <c r="L830" s="14"/>
      <c r="M830" s="14"/>
      <c r="N830" s="14"/>
      <c r="O830" s="14"/>
      <c r="P830" s="14"/>
    </row>
    <row r="831">
      <c r="A831" s="12"/>
      <c r="D831" s="95"/>
      <c r="E831" s="14"/>
      <c r="F831" s="96"/>
      <c r="H831" s="14"/>
      <c r="I831" s="14"/>
      <c r="J831" s="14"/>
      <c r="K831" s="14"/>
      <c r="L831" s="14"/>
      <c r="M831" s="14"/>
      <c r="N831" s="14"/>
      <c r="O831" s="14"/>
      <c r="P831" s="14"/>
    </row>
    <row r="832">
      <c r="A832" s="12"/>
      <c r="D832" s="95"/>
      <c r="E832" s="14"/>
      <c r="F832" s="96"/>
      <c r="H832" s="14"/>
      <c r="I832" s="14"/>
      <c r="J832" s="14"/>
      <c r="K832" s="14"/>
      <c r="L832" s="14"/>
      <c r="M832" s="14"/>
      <c r="N832" s="14"/>
      <c r="O832" s="14"/>
      <c r="P832" s="14"/>
    </row>
    <row r="833">
      <c r="A833" s="12"/>
      <c r="D833" s="95"/>
      <c r="E833" s="14"/>
      <c r="F833" s="96"/>
      <c r="H833" s="14"/>
      <c r="I833" s="14"/>
      <c r="J833" s="14"/>
      <c r="K833" s="14"/>
      <c r="L833" s="14"/>
      <c r="M833" s="14"/>
      <c r="N833" s="14"/>
      <c r="O833" s="14"/>
      <c r="P833" s="14"/>
    </row>
    <row r="834">
      <c r="A834" s="12"/>
      <c r="D834" s="95"/>
      <c r="E834" s="14"/>
      <c r="F834" s="96"/>
      <c r="H834" s="14"/>
      <c r="I834" s="14"/>
      <c r="J834" s="14"/>
      <c r="K834" s="14"/>
      <c r="L834" s="14"/>
      <c r="M834" s="14"/>
      <c r="N834" s="14"/>
      <c r="O834" s="14"/>
      <c r="P834" s="14"/>
    </row>
    <row r="835">
      <c r="A835" s="12"/>
      <c r="D835" s="95"/>
      <c r="E835" s="14"/>
      <c r="F835" s="96"/>
      <c r="H835" s="14"/>
      <c r="I835" s="14"/>
      <c r="J835" s="14"/>
      <c r="K835" s="14"/>
      <c r="L835" s="14"/>
      <c r="M835" s="14"/>
      <c r="N835" s="14"/>
      <c r="O835" s="14"/>
      <c r="P835" s="14"/>
    </row>
    <row r="836">
      <c r="A836" s="12"/>
      <c r="D836" s="95"/>
      <c r="E836" s="14"/>
      <c r="F836" s="96"/>
      <c r="H836" s="14"/>
      <c r="I836" s="14"/>
      <c r="J836" s="14"/>
      <c r="K836" s="14"/>
      <c r="L836" s="14"/>
      <c r="M836" s="14"/>
      <c r="N836" s="14"/>
      <c r="O836" s="14"/>
      <c r="P836" s="14"/>
    </row>
    <row r="837">
      <c r="A837" s="12"/>
      <c r="D837" s="95"/>
      <c r="E837" s="14"/>
      <c r="F837" s="96"/>
      <c r="H837" s="14"/>
      <c r="I837" s="14"/>
      <c r="J837" s="14"/>
      <c r="K837" s="14"/>
      <c r="L837" s="14"/>
      <c r="M837" s="14"/>
      <c r="N837" s="14"/>
      <c r="O837" s="14"/>
      <c r="P837" s="14"/>
    </row>
    <row r="838">
      <c r="A838" s="12"/>
      <c r="D838" s="95"/>
      <c r="E838" s="14"/>
      <c r="F838" s="96"/>
      <c r="H838" s="14"/>
      <c r="I838" s="14"/>
      <c r="J838" s="14"/>
      <c r="K838" s="14"/>
      <c r="L838" s="14"/>
      <c r="M838" s="14"/>
      <c r="N838" s="14"/>
      <c r="O838" s="14"/>
      <c r="P838" s="14"/>
    </row>
    <row r="839">
      <c r="A839" s="12"/>
      <c r="D839" s="95"/>
      <c r="E839" s="14"/>
      <c r="F839" s="96"/>
      <c r="H839" s="14"/>
      <c r="I839" s="14"/>
      <c r="J839" s="14"/>
      <c r="K839" s="14"/>
      <c r="L839" s="14"/>
      <c r="M839" s="14"/>
      <c r="N839" s="14"/>
      <c r="O839" s="14"/>
      <c r="P839" s="14"/>
    </row>
    <row r="840">
      <c r="A840" s="12"/>
      <c r="D840" s="95"/>
      <c r="E840" s="14"/>
      <c r="F840" s="96"/>
      <c r="H840" s="14"/>
      <c r="I840" s="14"/>
      <c r="J840" s="14"/>
      <c r="K840" s="14"/>
      <c r="L840" s="14"/>
      <c r="M840" s="14"/>
      <c r="N840" s="14"/>
      <c r="O840" s="14"/>
      <c r="P840" s="14"/>
    </row>
    <row r="841">
      <c r="A841" s="12"/>
      <c r="D841" s="95"/>
      <c r="E841" s="14"/>
      <c r="F841" s="96"/>
      <c r="H841" s="14"/>
      <c r="I841" s="14"/>
      <c r="J841" s="14"/>
      <c r="K841" s="14"/>
      <c r="L841" s="14"/>
      <c r="M841" s="14"/>
      <c r="N841" s="14"/>
      <c r="O841" s="14"/>
      <c r="P841" s="14"/>
    </row>
    <row r="842">
      <c r="A842" s="12"/>
      <c r="D842" s="95"/>
      <c r="E842" s="14"/>
      <c r="F842" s="96"/>
      <c r="H842" s="14"/>
      <c r="I842" s="14"/>
      <c r="J842" s="14"/>
      <c r="K842" s="14"/>
      <c r="L842" s="14"/>
      <c r="M842" s="14"/>
      <c r="N842" s="14"/>
      <c r="O842" s="14"/>
      <c r="P842" s="14"/>
    </row>
    <row r="843">
      <c r="A843" s="12"/>
      <c r="D843" s="95"/>
      <c r="E843" s="14"/>
      <c r="F843" s="96"/>
      <c r="H843" s="14"/>
      <c r="I843" s="14"/>
      <c r="J843" s="14"/>
      <c r="K843" s="14"/>
      <c r="L843" s="14"/>
      <c r="M843" s="14"/>
      <c r="N843" s="14"/>
      <c r="O843" s="14"/>
      <c r="P843" s="14"/>
    </row>
    <row r="844">
      <c r="A844" s="12"/>
      <c r="D844" s="95"/>
      <c r="E844" s="14"/>
      <c r="F844" s="96"/>
      <c r="H844" s="14"/>
      <c r="I844" s="14"/>
      <c r="J844" s="14"/>
      <c r="K844" s="14"/>
      <c r="L844" s="14"/>
      <c r="M844" s="14"/>
      <c r="N844" s="14"/>
      <c r="O844" s="14"/>
      <c r="P844" s="14"/>
    </row>
    <row r="845">
      <c r="A845" s="12"/>
      <c r="D845" s="95"/>
      <c r="E845" s="14"/>
      <c r="F845" s="96"/>
      <c r="H845" s="14"/>
      <c r="I845" s="14"/>
      <c r="J845" s="14"/>
      <c r="K845" s="14"/>
      <c r="L845" s="14"/>
      <c r="M845" s="14"/>
      <c r="N845" s="14"/>
      <c r="O845" s="14"/>
      <c r="P845" s="14"/>
    </row>
    <row r="846">
      <c r="A846" s="12"/>
      <c r="D846" s="95"/>
      <c r="E846" s="14"/>
      <c r="F846" s="96"/>
      <c r="H846" s="14"/>
      <c r="I846" s="14"/>
      <c r="J846" s="14"/>
      <c r="K846" s="14"/>
      <c r="L846" s="14"/>
      <c r="M846" s="14"/>
      <c r="N846" s="14"/>
      <c r="O846" s="14"/>
      <c r="P846" s="14"/>
    </row>
    <row r="847">
      <c r="A847" s="12"/>
      <c r="D847" s="95"/>
      <c r="E847" s="14"/>
      <c r="F847" s="96"/>
      <c r="H847" s="14"/>
      <c r="I847" s="14"/>
      <c r="J847" s="14"/>
      <c r="K847" s="14"/>
      <c r="L847" s="14"/>
      <c r="M847" s="14"/>
      <c r="N847" s="14"/>
      <c r="O847" s="14"/>
      <c r="P847" s="14"/>
    </row>
    <row r="848">
      <c r="A848" s="12"/>
      <c r="D848" s="95"/>
      <c r="E848" s="14"/>
      <c r="F848" s="96"/>
      <c r="H848" s="14"/>
      <c r="I848" s="14"/>
      <c r="J848" s="14"/>
      <c r="K848" s="14"/>
      <c r="L848" s="14"/>
      <c r="M848" s="14"/>
      <c r="N848" s="14"/>
      <c r="O848" s="14"/>
      <c r="P848" s="14"/>
    </row>
    <row r="849">
      <c r="A849" s="12"/>
      <c r="D849" s="95"/>
      <c r="E849" s="14"/>
      <c r="F849" s="96"/>
      <c r="H849" s="14"/>
      <c r="I849" s="14"/>
      <c r="J849" s="14"/>
      <c r="K849" s="14"/>
      <c r="L849" s="14"/>
      <c r="M849" s="14"/>
      <c r="N849" s="14"/>
      <c r="O849" s="14"/>
      <c r="P849" s="14"/>
    </row>
    <row r="850">
      <c r="A850" s="12"/>
      <c r="D850" s="95"/>
      <c r="E850" s="14"/>
      <c r="F850" s="96"/>
      <c r="H850" s="14"/>
      <c r="I850" s="14"/>
      <c r="J850" s="14"/>
      <c r="K850" s="14"/>
      <c r="L850" s="14"/>
      <c r="M850" s="14"/>
      <c r="N850" s="14"/>
      <c r="O850" s="14"/>
      <c r="P850" s="14"/>
    </row>
    <row r="851">
      <c r="A851" s="12"/>
      <c r="D851" s="95"/>
      <c r="E851" s="14"/>
      <c r="F851" s="96"/>
      <c r="H851" s="14"/>
      <c r="I851" s="14"/>
      <c r="J851" s="14"/>
      <c r="K851" s="14"/>
      <c r="L851" s="14"/>
      <c r="M851" s="14"/>
      <c r="N851" s="14"/>
      <c r="O851" s="14"/>
      <c r="P851" s="14"/>
    </row>
    <row r="852">
      <c r="A852" s="12"/>
      <c r="D852" s="95"/>
      <c r="E852" s="14"/>
      <c r="F852" s="96"/>
      <c r="H852" s="14"/>
      <c r="I852" s="14"/>
      <c r="J852" s="14"/>
      <c r="K852" s="14"/>
      <c r="L852" s="14"/>
      <c r="M852" s="14"/>
      <c r="N852" s="14"/>
      <c r="O852" s="14"/>
      <c r="P852" s="14"/>
    </row>
    <row r="853">
      <c r="A853" s="12"/>
      <c r="D853" s="95"/>
      <c r="E853" s="14"/>
      <c r="F853" s="96"/>
      <c r="H853" s="14"/>
      <c r="I853" s="14"/>
      <c r="J853" s="14"/>
      <c r="K853" s="14"/>
      <c r="L853" s="14"/>
      <c r="M853" s="14"/>
      <c r="N853" s="14"/>
      <c r="O853" s="14"/>
      <c r="P853" s="14"/>
    </row>
    <row r="854">
      <c r="A854" s="12"/>
      <c r="D854" s="95"/>
      <c r="E854" s="14"/>
      <c r="F854" s="96"/>
      <c r="H854" s="14"/>
      <c r="I854" s="14"/>
      <c r="J854" s="14"/>
      <c r="K854" s="14"/>
      <c r="L854" s="14"/>
      <c r="M854" s="14"/>
      <c r="N854" s="14"/>
      <c r="O854" s="14"/>
      <c r="P854" s="14"/>
    </row>
    <row r="855">
      <c r="A855" s="12"/>
      <c r="D855" s="95"/>
      <c r="E855" s="14"/>
      <c r="F855" s="96"/>
      <c r="H855" s="14"/>
      <c r="I855" s="14"/>
      <c r="J855" s="14"/>
      <c r="K855" s="14"/>
      <c r="L855" s="14"/>
      <c r="M855" s="14"/>
      <c r="N855" s="14"/>
      <c r="O855" s="14"/>
      <c r="P855" s="14"/>
    </row>
    <row r="856">
      <c r="A856" s="12"/>
      <c r="D856" s="95"/>
      <c r="E856" s="14"/>
      <c r="F856" s="96"/>
      <c r="H856" s="14"/>
      <c r="I856" s="14"/>
      <c r="J856" s="14"/>
      <c r="K856" s="14"/>
      <c r="L856" s="14"/>
      <c r="M856" s="14"/>
      <c r="N856" s="14"/>
      <c r="O856" s="14"/>
      <c r="P856" s="14"/>
    </row>
    <row r="857">
      <c r="A857" s="12"/>
      <c r="D857" s="95"/>
      <c r="E857" s="14"/>
      <c r="F857" s="96"/>
      <c r="H857" s="14"/>
      <c r="I857" s="14"/>
      <c r="J857" s="14"/>
      <c r="K857" s="14"/>
      <c r="L857" s="14"/>
      <c r="M857" s="14"/>
      <c r="N857" s="14"/>
      <c r="O857" s="14"/>
      <c r="P857" s="14"/>
    </row>
    <row r="858">
      <c r="A858" s="12"/>
      <c r="D858" s="95"/>
      <c r="E858" s="14"/>
      <c r="F858" s="96"/>
      <c r="H858" s="14"/>
      <c r="I858" s="14"/>
      <c r="J858" s="14"/>
      <c r="K858" s="14"/>
      <c r="L858" s="14"/>
      <c r="M858" s="14"/>
      <c r="N858" s="14"/>
      <c r="O858" s="14"/>
      <c r="P858" s="14"/>
    </row>
    <row r="859">
      <c r="A859" s="12"/>
      <c r="D859" s="95"/>
      <c r="E859" s="14"/>
      <c r="F859" s="96"/>
      <c r="H859" s="14"/>
      <c r="I859" s="14"/>
      <c r="J859" s="14"/>
      <c r="K859" s="14"/>
      <c r="L859" s="14"/>
      <c r="M859" s="14"/>
      <c r="N859" s="14"/>
      <c r="O859" s="14"/>
      <c r="P859" s="14"/>
    </row>
    <row r="860">
      <c r="A860" s="12"/>
      <c r="D860" s="95"/>
      <c r="E860" s="14"/>
      <c r="F860" s="96"/>
      <c r="H860" s="14"/>
      <c r="I860" s="14"/>
      <c r="J860" s="14"/>
      <c r="K860" s="14"/>
      <c r="L860" s="14"/>
      <c r="M860" s="14"/>
      <c r="N860" s="14"/>
      <c r="O860" s="14"/>
      <c r="P860" s="14"/>
    </row>
    <row r="861">
      <c r="A861" s="12"/>
      <c r="D861" s="95"/>
      <c r="E861" s="14"/>
      <c r="F861" s="96"/>
      <c r="H861" s="14"/>
      <c r="I861" s="14"/>
      <c r="J861" s="14"/>
      <c r="K861" s="14"/>
      <c r="L861" s="14"/>
      <c r="M861" s="14"/>
      <c r="N861" s="14"/>
      <c r="O861" s="14"/>
      <c r="P861" s="14"/>
    </row>
    <row r="862">
      <c r="A862" s="12"/>
      <c r="D862" s="95"/>
      <c r="E862" s="14"/>
      <c r="F862" s="96"/>
      <c r="H862" s="14"/>
      <c r="I862" s="14"/>
      <c r="J862" s="14"/>
      <c r="K862" s="14"/>
      <c r="L862" s="14"/>
      <c r="M862" s="14"/>
      <c r="N862" s="14"/>
      <c r="O862" s="14"/>
      <c r="P862" s="14"/>
    </row>
    <row r="863">
      <c r="A863" s="12"/>
      <c r="D863" s="95"/>
      <c r="E863" s="14"/>
      <c r="F863" s="96"/>
      <c r="H863" s="14"/>
      <c r="I863" s="14"/>
      <c r="J863" s="14"/>
      <c r="K863" s="14"/>
      <c r="L863" s="14"/>
      <c r="M863" s="14"/>
      <c r="N863" s="14"/>
      <c r="O863" s="14"/>
      <c r="P863" s="14"/>
    </row>
    <row r="864">
      <c r="A864" s="12"/>
      <c r="D864" s="95"/>
      <c r="E864" s="14"/>
      <c r="F864" s="96"/>
      <c r="H864" s="14"/>
      <c r="I864" s="14"/>
      <c r="J864" s="14"/>
      <c r="K864" s="14"/>
      <c r="L864" s="14"/>
      <c r="M864" s="14"/>
      <c r="N864" s="14"/>
      <c r="O864" s="14"/>
      <c r="P864" s="14"/>
    </row>
    <row r="865">
      <c r="A865" s="12"/>
      <c r="D865" s="95"/>
      <c r="E865" s="14"/>
      <c r="F865" s="96"/>
      <c r="H865" s="14"/>
      <c r="I865" s="14"/>
      <c r="J865" s="14"/>
      <c r="K865" s="14"/>
      <c r="L865" s="14"/>
      <c r="M865" s="14"/>
      <c r="N865" s="14"/>
      <c r="O865" s="14"/>
      <c r="P865" s="14"/>
    </row>
    <row r="866">
      <c r="A866" s="12"/>
      <c r="D866" s="95"/>
      <c r="E866" s="14"/>
      <c r="F866" s="96"/>
      <c r="H866" s="14"/>
      <c r="I866" s="14"/>
      <c r="J866" s="14"/>
      <c r="K866" s="14"/>
      <c r="L866" s="14"/>
      <c r="M866" s="14"/>
      <c r="N866" s="14"/>
      <c r="O866" s="14"/>
      <c r="P866" s="14"/>
    </row>
    <row r="867">
      <c r="A867" s="12"/>
      <c r="D867" s="95"/>
      <c r="E867" s="14"/>
      <c r="F867" s="96"/>
      <c r="H867" s="14"/>
      <c r="I867" s="14"/>
      <c r="J867" s="14"/>
      <c r="K867" s="14"/>
      <c r="L867" s="14"/>
      <c r="M867" s="14"/>
      <c r="N867" s="14"/>
      <c r="O867" s="14"/>
      <c r="P867" s="14"/>
    </row>
    <row r="868">
      <c r="A868" s="12"/>
      <c r="D868" s="95"/>
      <c r="E868" s="14"/>
      <c r="F868" s="96"/>
      <c r="H868" s="14"/>
      <c r="I868" s="14"/>
      <c r="J868" s="14"/>
      <c r="K868" s="14"/>
      <c r="L868" s="14"/>
      <c r="M868" s="14"/>
      <c r="N868" s="14"/>
      <c r="O868" s="14"/>
      <c r="P868" s="14"/>
    </row>
    <row r="869">
      <c r="A869" s="12"/>
      <c r="D869" s="95"/>
      <c r="E869" s="14"/>
      <c r="F869" s="96"/>
      <c r="H869" s="14"/>
      <c r="I869" s="14"/>
      <c r="J869" s="14"/>
      <c r="K869" s="14"/>
      <c r="L869" s="14"/>
      <c r="M869" s="14"/>
      <c r="N869" s="14"/>
      <c r="O869" s="14"/>
      <c r="P869" s="14"/>
    </row>
    <row r="870">
      <c r="A870" s="12"/>
      <c r="D870" s="95"/>
      <c r="E870" s="14"/>
      <c r="F870" s="96"/>
      <c r="H870" s="14"/>
      <c r="I870" s="14"/>
      <c r="J870" s="14"/>
      <c r="K870" s="14"/>
      <c r="L870" s="14"/>
      <c r="M870" s="14"/>
      <c r="N870" s="14"/>
      <c r="O870" s="14"/>
      <c r="P870" s="14"/>
    </row>
    <row r="871">
      <c r="A871" s="12"/>
      <c r="D871" s="95"/>
      <c r="E871" s="14"/>
      <c r="F871" s="96"/>
      <c r="H871" s="14"/>
      <c r="I871" s="14"/>
      <c r="J871" s="14"/>
      <c r="K871" s="14"/>
      <c r="L871" s="14"/>
      <c r="M871" s="14"/>
      <c r="N871" s="14"/>
      <c r="O871" s="14"/>
      <c r="P871" s="14"/>
    </row>
    <row r="872">
      <c r="A872" s="12"/>
      <c r="D872" s="95"/>
      <c r="E872" s="14"/>
      <c r="F872" s="96"/>
      <c r="H872" s="14"/>
      <c r="I872" s="14"/>
      <c r="J872" s="14"/>
      <c r="K872" s="14"/>
      <c r="L872" s="14"/>
      <c r="M872" s="14"/>
      <c r="N872" s="14"/>
      <c r="O872" s="14"/>
      <c r="P872" s="14"/>
    </row>
    <row r="873">
      <c r="A873" s="12"/>
      <c r="D873" s="95"/>
      <c r="E873" s="14"/>
      <c r="F873" s="96"/>
      <c r="H873" s="14"/>
      <c r="I873" s="14"/>
      <c r="J873" s="14"/>
      <c r="K873" s="14"/>
      <c r="L873" s="14"/>
      <c r="M873" s="14"/>
      <c r="N873" s="14"/>
      <c r="O873" s="14"/>
      <c r="P873" s="14"/>
    </row>
    <row r="874">
      <c r="A874" s="12"/>
      <c r="D874" s="95"/>
      <c r="E874" s="14"/>
      <c r="F874" s="96"/>
      <c r="H874" s="14"/>
      <c r="I874" s="14"/>
      <c r="J874" s="14"/>
      <c r="K874" s="14"/>
      <c r="L874" s="14"/>
      <c r="M874" s="14"/>
      <c r="N874" s="14"/>
      <c r="O874" s="14"/>
      <c r="P874" s="14"/>
    </row>
    <row r="875">
      <c r="A875" s="12"/>
      <c r="D875" s="95"/>
      <c r="E875" s="14"/>
      <c r="F875" s="96"/>
      <c r="H875" s="14"/>
      <c r="I875" s="14"/>
      <c r="J875" s="14"/>
      <c r="K875" s="14"/>
      <c r="L875" s="14"/>
      <c r="M875" s="14"/>
      <c r="N875" s="14"/>
      <c r="O875" s="14"/>
      <c r="P875" s="14"/>
    </row>
    <row r="876">
      <c r="A876" s="12"/>
      <c r="D876" s="95"/>
      <c r="E876" s="14"/>
      <c r="F876" s="96"/>
      <c r="H876" s="14"/>
      <c r="I876" s="14"/>
      <c r="J876" s="14"/>
      <c r="K876" s="14"/>
      <c r="L876" s="14"/>
      <c r="M876" s="14"/>
      <c r="N876" s="14"/>
      <c r="O876" s="14"/>
      <c r="P876" s="14"/>
    </row>
    <row r="877">
      <c r="A877" s="12"/>
      <c r="D877" s="95"/>
      <c r="E877" s="14"/>
      <c r="F877" s="96"/>
      <c r="H877" s="14"/>
      <c r="I877" s="14"/>
      <c r="J877" s="14"/>
      <c r="K877" s="14"/>
      <c r="L877" s="14"/>
      <c r="M877" s="14"/>
      <c r="N877" s="14"/>
      <c r="O877" s="14"/>
      <c r="P877" s="14"/>
    </row>
    <row r="878">
      <c r="A878" s="12"/>
      <c r="D878" s="95"/>
      <c r="E878" s="14"/>
      <c r="F878" s="96"/>
      <c r="H878" s="14"/>
      <c r="I878" s="14"/>
      <c r="J878" s="14"/>
      <c r="K878" s="14"/>
      <c r="L878" s="14"/>
      <c r="M878" s="14"/>
      <c r="N878" s="14"/>
      <c r="O878" s="14"/>
      <c r="P878" s="14"/>
    </row>
    <row r="879">
      <c r="A879" s="12"/>
      <c r="D879" s="95"/>
      <c r="E879" s="14"/>
      <c r="F879" s="96"/>
      <c r="H879" s="14"/>
      <c r="I879" s="14"/>
      <c r="J879" s="14"/>
      <c r="K879" s="14"/>
      <c r="L879" s="14"/>
      <c r="M879" s="14"/>
      <c r="N879" s="14"/>
      <c r="O879" s="14"/>
      <c r="P879" s="14"/>
    </row>
    <row r="880">
      <c r="A880" s="12"/>
      <c r="D880" s="95"/>
      <c r="E880" s="14"/>
      <c r="F880" s="96"/>
      <c r="H880" s="14"/>
      <c r="I880" s="14"/>
      <c r="J880" s="14"/>
      <c r="K880" s="14"/>
      <c r="L880" s="14"/>
      <c r="M880" s="14"/>
      <c r="N880" s="14"/>
      <c r="O880" s="14"/>
      <c r="P880" s="14"/>
    </row>
    <row r="881">
      <c r="A881" s="12"/>
      <c r="D881" s="95"/>
      <c r="E881" s="14"/>
      <c r="F881" s="96"/>
      <c r="H881" s="14"/>
      <c r="I881" s="14"/>
      <c r="J881" s="14"/>
      <c r="K881" s="14"/>
      <c r="L881" s="14"/>
      <c r="M881" s="14"/>
      <c r="N881" s="14"/>
      <c r="O881" s="14"/>
      <c r="P881" s="14"/>
    </row>
    <row r="882">
      <c r="A882" s="12"/>
      <c r="D882" s="95"/>
      <c r="E882" s="14"/>
      <c r="F882" s="96"/>
      <c r="H882" s="14"/>
      <c r="I882" s="14"/>
      <c r="J882" s="14"/>
      <c r="K882" s="14"/>
      <c r="L882" s="14"/>
      <c r="M882" s="14"/>
      <c r="N882" s="14"/>
      <c r="O882" s="14"/>
      <c r="P882" s="14"/>
    </row>
    <row r="883">
      <c r="A883" s="12"/>
      <c r="D883" s="95"/>
      <c r="E883" s="14"/>
      <c r="F883" s="96"/>
      <c r="H883" s="14"/>
      <c r="I883" s="14"/>
      <c r="J883" s="14"/>
      <c r="K883" s="14"/>
      <c r="L883" s="14"/>
      <c r="M883" s="14"/>
      <c r="N883" s="14"/>
      <c r="O883" s="14"/>
      <c r="P883" s="14"/>
    </row>
    <row r="884">
      <c r="A884" s="12"/>
      <c r="D884" s="95"/>
      <c r="E884" s="14"/>
      <c r="F884" s="96"/>
      <c r="H884" s="14"/>
      <c r="I884" s="14"/>
      <c r="J884" s="14"/>
      <c r="K884" s="14"/>
      <c r="L884" s="14"/>
      <c r="M884" s="14"/>
      <c r="N884" s="14"/>
      <c r="O884" s="14"/>
      <c r="P884" s="14"/>
    </row>
    <row r="885">
      <c r="A885" s="12"/>
      <c r="D885" s="95"/>
      <c r="E885" s="14"/>
      <c r="F885" s="96"/>
      <c r="H885" s="14"/>
      <c r="I885" s="14"/>
      <c r="J885" s="14"/>
      <c r="K885" s="14"/>
      <c r="L885" s="14"/>
      <c r="M885" s="14"/>
      <c r="N885" s="14"/>
      <c r="O885" s="14"/>
      <c r="P885" s="14"/>
    </row>
    <row r="886">
      <c r="A886" s="12"/>
      <c r="D886" s="95"/>
      <c r="E886" s="14"/>
      <c r="F886" s="96"/>
      <c r="H886" s="14"/>
      <c r="I886" s="14"/>
      <c r="J886" s="14"/>
      <c r="K886" s="14"/>
      <c r="L886" s="14"/>
      <c r="M886" s="14"/>
      <c r="N886" s="14"/>
      <c r="O886" s="14"/>
      <c r="P886" s="14"/>
    </row>
    <row r="887">
      <c r="A887" s="12"/>
      <c r="D887" s="95"/>
      <c r="E887" s="14"/>
      <c r="F887" s="96"/>
      <c r="H887" s="14"/>
      <c r="I887" s="14"/>
      <c r="J887" s="14"/>
      <c r="K887" s="14"/>
      <c r="L887" s="14"/>
      <c r="M887" s="14"/>
      <c r="N887" s="14"/>
      <c r="O887" s="14"/>
      <c r="P887" s="14"/>
    </row>
    <row r="888">
      <c r="A888" s="12"/>
      <c r="D888" s="95"/>
      <c r="E888" s="14"/>
      <c r="F888" s="96"/>
      <c r="H888" s="14"/>
      <c r="I888" s="14"/>
      <c r="J888" s="14"/>
      <c r="K888" s="14"/>
      <c r="L888" s="14"/>
      <c r="M888" s="14"/>
      <c r="N888" s="14"/>
      <c r="O888" s="14"/>
      <c r="P888" s="14"/>
    </row>
    <row r="889">
      <c r="A889" s="12"/>
      <c r="D889" s="95"/>
      <c r="E889" s="14"/>
      <c r="F889" s="96"/>
      <c r="H889" s="14"/>
      <c r="I889" s="14"/>
      <c r="J889" s="14"/>
      <c r="K889" s="14"/>
      <c r="L889" s="14"/>
      <c r="M889" s="14"/>
      <c r="N889" s="14"/>
      <c r="O889" s="14"/>
      <c r="P889" s="14"/>
    </row>
    <row r="890">
      <c r="A890" s="12"/>
      <c r="D890" s="95"/>
      <c r="E890" s="14"/>
      <c r="F890" s="96"/>
      <c r="H890" s="14"/>
      <c r="I890" s="14"/>
      <c r="J890" s="14"/>
      <c r="K890" s="14"/>
      <c r="L890" s="14"/>
      <c r="M890" s="14"/>
      <c r="N890" s="14"/>
      <c r="O890" s="14"/>
      <c r="P890" s="14"/>
    </row>
    <row r="891">
      <c r="A891" s="12"/>
      <c r="D891" s="95"/>
      <c r="E891" s="14"/>
      <c r="F891" s="96"/>
      <c r="H891" s="14"/>
      <c r="I891" s="14"/>
      <c r="J891" s="14"/>
      <c r="K891" s="14"/>
      <c r="L891" s="14"/>
      <c r="M891" s="14"/>
      <c r="N891" s="14"/>
      <c r="O891" s="14"/>
      <c r="P891" s="14"/>
    </row>
    <row r="892">
      <c r="A892" s="12"/>
      <c r="D892" s="95"/>
      <c r="E892" s="14"/>
      <c r="F892" s="96"/>
      <c r="H892" s="14"/>
      <c r="I892" s="14"/>
      <c r="J892" s="14"/>
      <c r="K892" s="14"/>
      <c r="L892" s="14"/>
      <c r="M892" s="14"/>
      <c r="N892" s="14"/>
      <c r="O892" s="14"/>
      <c r="P892" s="14"/>
    </row>
    <row r="893">
      <c r="A893" s="12"/>
      <c r="D893" s="95"/>
      <c r="E893" s="14"/>
      <c r="F893" s="96"/>
      <c r="H893" s="14"/>
      <c r="I893" s="14"/>
      <c r="J893" s="14"/>
      <c r="K893" s="14"/>
      <c r="L893" s="14"/>
      <c r="M893" s="14"/>
      <c r="N893" s="14"/>
      <c r="O893" s="14"/>
      <c r="P893" s="14"/>
    </row>
    <row r="894">
      <c r="A894" s="12"/>
      <c r="D894" s="95"/>
      <c r="E894" s="14"/>
      <c r="F894" s="96"/>
      <c r="H894" s="14"/>
      <c r="I894" s="14"/>
      <c r="J894" s="14"/>
      <c r="K894" s="14"/>
      <c r="L894" s="14"/>
      <c r="M894" s="14"/>
      <c r="N894" s="14"/>
      <c r="O894" s="14"/>
      <c r="P894" s="14"/>
    </row>
    <row r="895">
      <c r="A895" s="12"/>
      <c r="D895" s="95"/>
      <c r="E895" s="14"/>
      <c r="F895" s="96"/>
      <c r="H895" s="14"/>
      <c r="I895" s="14"/>
      <c r="J895" s="14"/>
      <c r="K895" s="14"/>
      <c r="L895" s="14"/>
      <c r="M895" s="14"/>
      <c r="N895" s="14"/>
      <c r="O895" s="14"/>
      <c r="P895" s="14"/>
    </row>
    <row r="896">
      <c r="A896" s="12"/>
      <c r="D896" s="95"/>
      <c r="E896" s="14"/>
      <c r="F896" s="96"/>
      <c r="H896" s="14"/>
      <c r="I896" s="14"/>
      <c r="J896" s="14"/>
      <c r="K896" s="14"/>
      <c r="L896" s="14"/>
      <c r="M896" s="14"/>
      <c r="N896" s="14"/>
      <c r="O896" s="14"/>
      <c r="P896" s="14"/>
    </row>
    <row r="897">
      <c r="A897" s="12"/>
      <c r="D897" s="95"/>
      <c r="E897" s="14"/>
      <c r="F897" s="96"/>
      <c r="H897" s="14"/>
      <c r="I897" s="14"/>
      <c r="J897" s="14"/>
      <c r="K897" s="14"/>
      <c r="L897" s="14"/>
      <c r="M897" s="14"/>
      <c r="N897" s="14"/>
      <c r="O897" s="14"/>
      <c r="P897" s="14"/>
    </row>
    <row r="898">
      <c r="A898" s="12"/>
      <c r="D898" s="95"/>
      <c r="E898" s="14"/>
      <c r="F898" s="96"/>
      <c r="H898" s="14"/>
      <c r="I898" s="14"/>
      <c r="J898" s="14"/>
      <c r="K898" s="14"/>
      <c r="L898" s="14"/>
      <c r="M898" s="14"/>
      <c r="N898" s="14"/>
      <c r="O898" s="14"/>
      <c r="P898" s="14"/>
    </row>
    <row r="899">
      <c r="A899" s="12"/>
      <c r="D899" s="95"/>
      <c r="E899" s="14"/>
      <c r="F899" s="96"/>
      <c r="H899" s="14"/>
      <c r="I899" s="14"/>
      <c r="J899" s="14"/>
      <c r="K899" s="14"/>
      <c r="L899" s="14"/>
      <c r="M899" s="14"/>
      <c r="N899" s="14"/>
      <c r="O899" s="14"/>
      <c r="P899" s="14"/>
    </row>
    <row r="900">
      <c r="A900" s="12"/>
      <c r="D900" s="95"/>
      <c r="E900" s="14"/>
      <c r="F900" s="96"/>
      <c r="H900" s="14"/>
      <c r="I900" s="14"/>
      <c r="J900" s="14"/>
      <c r="K900" s="14"/>
      <c r="L900" s="14"/>
      <c r="M900" s="14"/>
      <c r="N900" s="14"/>
      <c r="O900" s="14"/>
      <c r="P900" s="14"/>
    </row>
    <row r="901">
      <c r="A901" s="12"/>
      <c r="D901" s="95"/>
      <c r="E901" s="14"/>
      <c r="F901" s="96"/>
      <c r="H901" s="14"/>
      <c r="I901" s="14"/>
      <c r="J901" s="14"/>
      <c r="K901" s="14"/>
      <c r="L901" s="14"/>
      <c r="M901" s="14"/>
      <c r="N901" s="14"/>
      <c r="O901" s="14"/>
      <c r="P901" s="14"/>
    </row>
    <row r="902">
      <c r="A902" s="12"/>
      <c r="D902" s="95"/>
      <c r="E902" s="14"/>
      <c r="F902" s="96"/>
      <c r="H902" s="14"/>
      <c r="I902" s="14"/>
      <c r="J902" s="14"/>
      <c r="K902" s="14"/>
      <c r="L902" s="14"/>
      <c r="M902" s="14"/>
      <c r="N902" s="14"/>
      <c r="O902" s="14"/>
      <c r="P902" s="14"/>
    </row>
    <row r="903">
      <c r="A903" s="12"/>
      <c r="D903" s="95"/>
      <c r="E903" s="14"/>
      <c r="F903" s="96"/>
      <c r="H903" s="14"/>
      <c r="I903" s="14"/>
      <c r="J903" s="14"/>
      <c r="K903" s="14"/>
      <c r="L903" s="14"/>
      <c r="M903" s="14"/>
      <c r="N903" s="14"/>
      <c r="O903" s="14"/>
      <c r="P903" s="14"/>
    </row>
    <row r="904">
      <c r="A904" s="12"/>
      <c r="D904" s="95"/>
      <c r="E904" s="14"/>
      <c r="F904" s="96"/>
      <c r="H904" s="14"/>
      <c r="I904" s="14"/>
      <c r="J904" s="14"/>
      <c r="K904" s="14"/>
      <c r="L904" s="14"/>
      <c r="M904" s="14"/>
      <c r="N904" s="14"/>
      <c r="O904" s="14"/>
      <c r="P904" s="14"/>
    </row>
    <row r="905">
      <c r="A905" s="12"/>
      <c r="D905" s="95"/>
      <c r="E905" s="14"/>
      <c r="F905" s="96"/>
      <c r="H905" s="14"/>
      <c r="I905" s="14"/>
      <c r="J905" s="14"/>
      <c r="K905" s="14"/>
      <c r="L905" s="14"/>
      <c r="M905" s="14"/>
      <c r="N905" s="14"/>
      <c r="O905" s="14"/>
      <c r="P905" s="14"/>
    </row>
    <row r="906">
      <c r="A906" s="12"/>
      <c r="D906" s="95"/>
      <c r="E906" s="14"/>
      <c r="F906" s="96"/>
      <c r="H906" s="14"/>
      <c r="I906" s="14"/>
      <c r="J906" s="14"/>
      <c r="K906" s="14"/>
      <c r="L906" s="14"/>
      <c r="M906" s="14"/>
      <c r="N906" s="14"/>
      <c r="O906" s="14"/>
      <c r="P906" s="14"/>
    </row>
    <row r="907">
      <c r="A907" s="12"/>
      <c r="D907" s="95"/>
      <c r="E907" s="14"/>
      <c r="F907" s="96"/>
      <c r="H907" s="14"/>
      <c r="I907" s="14"/>
      <c r="J907" s="14"/>
      <c r="K907" s="14"/>
      <c r="L907" s="14"/>
      <c r="M907" s="14"/>
      <c r="N907" s="14"/>
      <c r="O907" s="14"/>
      <c r="P907" s="14"/>
    </row>
    <row r="908">
      <c r="A908" s="12"/>
      <c r="D908" s="95"/>
      <c r="E908" s="14"/>
      <c r="F908" s="96"/>
      <c r="H908" s="14"/>
      <c r="I908" s="14"/>
      <c r="J908" s="14"/>
      <c r="K908" s="14"/>
      <c r="L908" s="14"/>
      <c r="M908" s="14"/>
      <c r="N908" s="14"/>
      <c r="O908" s="14"/>
      <c r="P908" s="14"/>
    </row>
    <row r="909">
      <c r="A909" s="12"/>
      <c r="D909" s="95"/>
      <c r="E909" s="14"/>
      <c r="F909" s="96"/>
      <c r="H909" s="14"/>
      <c r="I909" s="14"/>
      <c r="J909" s="14"/>
      <c r="K909" s="14"/>
      <c r="L909" s="14"/>
      <c r="M909" s="14"/>
      <c r="N909" s="14"/>
      <c r="O909" s="14"/>
      <c r="P909" s="14"/>
    </row>
    <row r="910">
      <c r="A910" s="12"/>
      <c r="D910" s="95"/>
      <c r="E910" s="14"/>
      <c r="F910" s="96"/>
      <c r="H910" s="14"/>
      <c r="I910" s="14"/>
      <c r="J910" s="14"/>
      <c r="K910" s="14"/>
      <c r="L910" s="14"/>
      <c r="M910" s="14"/>
      <c r="N910" s="14"/>
      <c r="O910" s="14"/>
      <c r="P910" s="14"/>
    </row>
    <row r="911">
      <c r="A911" s="12"/>
      <c r="D911" s="95"/>
      <c r="E911" s="14"/>
      <c r="F911" s="96"/>
      <c r="H911" s="14"/>
      <c r="I911" s="14"/>
      <c r="J911" s="14"/>
      <c r="K911" s="14"/>
      <c r="L911" s="14"/>
      <c r="M911" s="14"/>
      <c r="N911" s="14"/>
      <c r="O911" s="14"/>
      <c r="P911" s="14"/>
    </row>
    <row r="912">
      <c r="A912" s="12"/>
      <c r="D912" s="95"/>
      <c r="E912" s="14"/>
      <c r="F912" s="96"/>
      <c r="H912" s="14"/>
      <c r="I912" s="14"/>
      <c r="J912" s="14"/>
      <c r="K912" s="14"/>
      <c r="L912" s="14"/>
      <c r="M912" s="14"/>
      <c r="N912" s="14"/>
      <c r="O912" s="14"/>
      <c r="P912" s="14"/>
    </row>
    <row r="913">
      <c r="A913" s="12"/>
      <c r="D913" s="95"/>
      <c r="E913" s="14"/>
      <c r="F913" s="96"/>
      <c r="H913" s="14"/>
      <c r="I913" s="14"/>
      <c r="J913" s="14"/>
      <c r="K913" s="14"/>
      <c r="L913" s="14"/>
      <c r="M913" s="14"/>
      <c r="N913" s="14"/>
      <c r="O913" s="14"/>
      <c r="P913" s="14"/>
    </row>
    <row r="914">
      <c r="A914" s="12"/>
      <c r="D914" s="95"/>
      <c r="E914" s="14"/>
      <c r="F914" s="96"/>
      <c r="H914" s="14"/>
      <c r="I914" s="14"/>
      <c r="J914" s="14"/>
      <c r="K914" s="14"/>
      <c r="L914" s="14"/>
      <c r="M914" s="14"/>
      <c r="N914" s="14"/>
      <c r="O914" s="14"/>
      <c r="P914" s="14"/>
    </row>
    <row r="915">
      <c r="A915" s="12"/>
      <c r="D915" s="95"/>
      <c r="E915" s="14"/>
      <c r="F915" s="96"/>
      <c r="H915" s="14"/>
      <c r="I915" s="14"/>
      <c r="J915" s="14"/>
      <c r="K915" s="14"/>
      <c r="L915" s="14"/>
      <c r="M915" s="14"/>
      <c r="N915" s="14"/>
      <c r="O915" s="14"/>
      <c r="P915" s="14"/>
    </row>
    <row r="916">
      <c r="A916" s="12"/>
      <c r="D916" s="95"/>
      <c r="E916" s="14"/>
      <c r="F916" s="96"/>
      <c r="H916" s="14"/>
      <c r="I916" s="14"/>
      <c r="J916" s="14"/>
      <c r="K916" s="14"/>
      <c r="L916" s="14"/>
      <c r="M916" s="14"/>
      <c r="N916" s="14"/>
      <c r="O916" s="14"/>
      <c r="P916" s="14"/>
    </row>
    <row r="917">
      <c r="A917" s="12"/>
      <c r="D917" s="95"/>
      <c r="E917" s="14"/>
      <c r="F917" s="96"/>
      <c r="H917" s="14"/>
      <c r="I917" s="14"/>
      <c r="J917" s="14"/>
      <c r="K917" s="14"/>
      <c r="L917" s="14"/>
      <c r="M917" s="14"/>
      <c r="N917" s="14"/>
      <c r="O917" s="14"/>
      <c r="P917" s="14"/>
    </row>
    <row r="918">
      <c r="A918" s="12"/>
      <c r="D918" s="95"/>
      <c r="E918" s="14"/>
      <c r="F918" s="96"/>
      <c r="H918" s="14"/>
      <c r="I918" s="14"/>
      <c r="J918" s="14"/>
      <c r="K918" s="14"/>
      <c r="L918" s="14"/>
      <c r="M918" s="14"/>
      <c r="N918" s="14"/>
      <c r="O918" s="14"/>
      <c r="P918" s="14"/>
    </row>
    <row r="919">
      <c r="A919" s="12"/>
      <c r="D919" s="95"/>
      <c r="E919" s="14"/>
      <c r="F919" s="96"/>
      <c r="H919" s="14"/>
      <c r="I919" s="14"/>
      <c r="J919" s="14"/>
      <c r="K919" s="14"/>
      <c r="L919" s="14"/>
      <c r="M919" s="14"/>
      <c r="N919" s="14"/>
      <c r="O919" s="14"/>
      <c r="P919" s="14"/>
    </row>
    <row r="920">
      <c r="A920" s="12"/>
      <c r="D920" s="95"/>
      <c r="E920" s="14"/>
      <c r="F920" s="96"/>
      <c r="H920" s="14"/>
      <c r="I920" s="14"/>
      <c r="J920" s="14"/>
      <c r="K920" s="14"/>
      <c r="L920" s="14"/>
      <c r="M920" s="14"/>
      <c r="N920" s="14"/>
      <c r="O920" s="14"/>
      <c r="P920" s="14"/>
    </row>
    <row r="921">
      <c r="A921" s="12"/>
      <c r="D921" s="95"/>
      <c r="E921" s="14"/>
      <c r="F921" s="96"/>
      <c r="H921" s="14"/>
      <c r="I921" s="14"/>
      <c r="J921" s="14"/>
      <c r="K921" s="14"/>
      <c r="L921" s="14"/>
      <c r="M921" s="14"/>
      <c r="N921" s="14"/>
      <c r="O921" s="14"/>
      <c r="P921" s="14"/>
    </row>
    <row r="922">
      <c r="A922" s="12"/>
      <c r="D922" s="95"/>
      <c r="E922" s="14"/>
      <c r="F922" s="96"/>
      <c r="H922" s="14"/>
      <c r="I922" s="14"/>
      <c r="J922" s="14"/>
      <c r="K922" s="14"/>
      <c r="L922" s="14"/>
      <c r="M922" s="14"/>
      <c r="N922" s="14"/>
      <c r="O922" s="14"/>
      <c r="P922" s="14"/>
    </row>
    <row r="923">
      <c r="A923" s="12"/>
      <c r="D923" s="95"/>
      <c r="E923" s="14"/>
      <c r="F923" s="96"/>
      <c r="H923" s="14"/>
      <c r="I923" s="14"/>
      <c r="J923" s="14"/>
      <c r="K923" s="14"/>
      <c r="L923" s="14"/>
      <c r="M923" s="14"/>
      <c r="N923" s="14"/>
      <c r="O923" s="14"/>
      <c r="P923" s="14"/>
    </row>
    <row r="924">
      <c r="A924" s="12"/>
      <c r="D924" s="95"/>
      <c r="E924" s="14"/>
      <c r="F924" s="96"/>
      <c r="H924" s="14"/>
      <c r="I924" s="14"/>
      <c r="J924" s="14"/>
      <c r="K924" s="14"/>
      <c r="L924" s="14"/>
      <c r="M924" s="14"/>
      <c r="N924" s="14"/>
      <c r="O924" s="14"/>
      <c r="P924" s="14"/>
    </row>
    <row r="925">
      <c r="A925" s="12"/>
      <c r="D925" s="95"/>
      <c r="E925" s="14"/>
      <c r="F925" s="96"/>
      <c r="H925" s="14"/>
      <c r="I925" s="14"/>
      <c r="J925" s="14"/>
      <c r="K925" s="14"/>
      <c r="L925" s="14"/>
      <c r="M925" s="14"/>
      <c r="N925" s="14"/>
      <c r="O925" s="14"/>
      <c r="P925" s="14"/>
    </row>
    <row r="926">
      <c r="A926" s="12"/>
      <c r="D926" s="95"/>
      <c r="E926" s="14"/>
      <c r="F926" s="96"/>
      <c r="H926" s="14"/>
      <c r="I926" s="14"/>
      <c r="J926" s="14"/>
      <c r="K926" s="14"/>
      <c r="L926" s="14"/>
      <c r="M926" s="14"/>
      <c r="N926" s="14"/>
      <c r="O926" s="14"/>
      <c r="P926" s="14"/>
    </row>
    <row r="927">
      <c r="A927" s="12"/>
      <c r="D927" s="95"/>
      <c r="E927" s="14"/>
      <c r="F927" s="96"/>
      <c r="H927" s="14"/>
      <c r="I927" s="14"/>
      <c r="J927" s="14"/>
      <c r="K927" s="14"/>
      <c r="L927" s="14"/>
      <c r="M927" s="14"/>
      <c r="N927" s="14"/>
      <c r="O927" s="14"/>
      <c r="P927" s="14"/>
    </row>
    <row r="928">
      <c r="A928" s="12"/>
      <c r="D928" s="95"/>
      <c r="E928" s="14"/>
      <c r="F928" s="96"/>
      <c r="H928" s="14"/>
      <c r="I928" s="14"/>
      <c r="J928" s="14"/>
      <c r="K928" s="14"/>
      <c r="L928" s="14"/>
      <c r="M928" s="14"/>
      <c r="N928" s="14"/>
      <c r="O928" s="14"/>
      <c r="P928" s="14"/>
    </row>
    <row r="929">
      <c r="A929" s="12"/>
      <c r="D929" s="95"/>
      <c r="E929" s="14"/>
      <c r="F929" s="96"/>
      <c r="H929" s="14"/>
      <c r="I929" s="14"/>
      <c r="J929" s="14"/>
      <c r="K929" s="14"/>
      <c r="L929" s="14"/>
      <c r="M929" s="14"/>
      <c r="N929" s="14"/>
      <c r="O929" s="14"/>
      <c r="P929" s="14"/>
    </row>
    <row r="930">
      <c r="A930" s="12"/>
      <c r="D930" s="95"/>
      <c r="E930" s="14"/>
      <c r="F930" s="96"/>
      <c r="H930" s="14"/>
      <c r="I930" s="14"/>
      <c r="J930" s="14"/>
      <c r="K930" s="14"/>
      <c r="L930" s="14"/>
      <c r="M930" s="14"/>
      <c r="N930" s="14"/>
      <c r="O930" s="14"/>
      <c r="P930" s="14"/>
    </row>
    <row r="931">
      <c r="A931" s="12"/>
      <c r="D931" s="95"/>
      <c r="E931" s="14"/>
      <c r="F931" s="96"/>
      <c r="H931" s="14"/>
      <c r="I931" s="14"/>
      <c r="J931" s="14"/>
      <c r="K931" s="14"/>
      <c r="L931" s="14"/>
      <c r="M931" s="14"/>
      <c r="N931" s="14"/>
      <c r="O931" s="14"/>
      <c r="P931" s="14"/>
    </row>
    <row r="932">
      <c r="A932" s="12"/>
      <c r="D932" s="95"/>
      <c r="E932" s="14"/>
      <c r="F932" s="96"/>
      <c r="H932" s="14"/>
      <c r="I932" s="14"/>
      <c r="J932" s="14"/>
      <c r="K932" s="14"/>
      <c r="L932" s="14"/>
      <c r="M932" s="14"/>
      <c r="N932" s="14"/>
      <c r="O932" s="14"/>
      <c r="P932" s="14"/>
    </row>
    <row r="933">
      <c r="A933" s="12"/>
      <c r="D933" s="95"/>
      <c r="E933" s="14"/>
      <c r="F933" s="96"/>
      <c r="H933" s="14"/>
      <c r="I933" s="14"/>
      <c r="J933" s="14"/>
      <c r="K933" s="14"/>
      <c r="L933" s="14"/>
      <c r="M933" s="14"/>
      <c r="N933" s="14"/>
      <c r="O933" s="14"/>
      <c r="P933" s="14"/>
    </row>
    <row r="934">
      <c r="A934" s="12"/>
      <c r="D934" s="95"/>
      <c r="E934" s="14"/>
      <c r="F934" s="96"/>
      <c r="H934" s="14"/>
      <c r="I934" s="14"/>
      <c r="J934" s="14"/>
      <c r="K934" s="14"/>
      <c r="L934" s="14"/>
      <c r="M934" s="14"/>
      <c r="N934" s="14"/>
      <c r="O934" s="14"/>
      <c r="P934" s="14"/>
    </row>
    <row r="935">
      <c r="A935" s="12"/>
      <c r="D935" s="95"/>
      <c r="E935" s="14"/>
      <c r="F935" s="96"/>
      <c r="H935" s="14"/>
      <c r="I935" s="14"/>
      <c r="J935" s="14"/>
      <c r="K935" s="14"/>
      <c r="L935" s="14"/>
      <c r="M935" s="14"/>
      <c r="N935" s="14"/>
      <c r="O935" s="14"/>
      <c r="P935" s="14"/>
    </row>
    <row r="936">
      <c r="A936" s="12"/>
      <c r="D936" s="95"/>
      <c r="E936" s="14"/>
      <c r="F936" s="96"/>
      <c r="H936" s="14"/>
      <c r="I936" s="14"/>
      <c r="J936" s="14"/>
      <c r="K936" s="14"/>
      <c r="L936" s="14"/>
      <c r="M936" s="14"/>
      <c r="N936" s="14"/>
      <c r="O936" s="14"/>
      <c r="P936" s="14"/>
    </row>
    <row r="937">
      <c r="A937" s="12"/>
      <c r="D937" s="95"/>
      <c r="E937" s="14"/>
      <c r="F937" s="96"/>
      <c r="H937" s="14"/>
      <c r="I937" s="14"/>
      <c r="J937" s="14"/>
      <c r="K937" s="14"/>
      <c r="L937" s="14"/>
      <c r="M937" s="14"/>
      <c r="N937" s="14"/>
      <c r="O937" s="14"/>
      <c r="P937" s="14"/>
    </row>
    <row r="938">
      <c r="A938" s="12"/>
      <c r="D938" s="95"/>
      <c r="E938" s="14"/>
      <c r="F938" s="96"/>
      <c r="H938" s="14"/>
      <c r="I938" s="14"/>
      <c r="J938" s="14"/>
      <c r="K938" s="14"/>
      <c r="L938" s="14"/>
      <c r="M938" s="14"/>
      <c r="N938" s="14"/>
      <c r="O938" s="14"/>
      <c r="P938" s="14"/>
    </row>
    <row r="939">
      <c r="A939" s="12"/>
      <c r="D939" s="95"/>
      <c r="E939" s="14"/>
      <c r="F939" s="96"/>
      <c r="H939" s="14"/>
      <c r="I939" s="14"/>
      <c r="J939" s="14"/>
      <c r="K939" s="14"/>
      <c r="L939" s="14"/>
      <c r="M939" s="14"/>
      <c r="N939" s="14"/>
      <c r="O939" s="14"/>
      <c r="P939" s="14"/>
    </row>
    <row r="940">
      <c r="A940" s="12"/>
      <c r="D940" s="95"/>
      <c r="E940" s="14"/>
      <c r="F940" s="96"/>
      <c r="H940" s="14"/>
      <c r="I940" s="14"/>
      <c r="J940" s="14"/>
      <c r="K940" s="14"/>
      <c r="L940" s="14"/>
      <c r="M940" s="14"/>
      <c r="N940" s="14"/>
      <c r="O940" s="14"/>
      <c r="P940" s="14"/>
    </row>
    <row r="941">
      <c r="A941" s="12"/>
      <c r="D941" s="95"/>
      <c r="E941" s="14"/>
      <c r="F941" s="96"/>
      <c r="H941" s="14"/>
      <c r="I941" s="14"/>
      <c r="J941" s="14"/>
      <c r="K941" s="14"/>
      <c r="L941" s="14"/>
      <c r="M941" s="14"/>
      <c r="N941" s="14"/>
      <c r="O941" s="14"/>
      <c r="P941" s="14"/>
    </row>
    <row r="942">
      <c r="A942" s="12"/>
      <c r="D942" s="95"/>
      <c r="E942" s="14"/>
      <c r="F942" s="96"/>
      <c r="H942" s="14"/>
      <c r="I942" s="14"/>
      <c r="J942" s="14"/>
      <c r="K942" s="14"/>
      <c r="L942" s="14"/>
      <c r="M942" s="14"/>
      <c r="N942" s="14"/>
      <c r="O942" s="14"/>
      <c r="P942" s="14"/>
    </row>
    <row r="943">
      <c r="A943" s="12"/>
      <c r="D943" s="95"/>
      <c r="E943" s="14"/>
      <c r="F943" s="96"/>
      <c r="H943" s="14"/>
      <c r="I943" s="14"/>
      <c r="J943" s="14"/>
      <c r="K943" s="14"/>
      <c r="L943" s="14"/>
      <c r="M943" s="14"/>
      <c r="N943" s="14"/>
      <c r="O943" s="14"/>
      <c r="P943" s="14"/>
    </row>
    <row r="944">
      <c r="A944" s="12"/>
      <c r="D944" s="95"/>
      <c r="E944" s="14"/>
      <c r="F944" s="96"/>
      <c r="H944" s="14"/>
      <c r="I944" s="14"/>
      <c r="J944" s="14"/>
      <c r="K944" s="14"/>
      <c r="L944" s="14"/>
      <c r="M944" s="14"/>
      <c r="N944" s="14"/>
      <c r="O944" s="14"/>
      <c r="P944" s="14"/>
    </row>
    <row r="945">
      <c r="A945" s="12"/>
      <c r="D945" s="95"/>
      <c r="E945" s="14"/>
      <c r="F945" s="96"/>
      <c r="H945" s="14"/>
      <c r="I945" s="14"/>
      <c r="J945" s="14"/>
      <c r="K945" s="14"/>
      <c r="L945" s="14"/>
      <c r="M945" s="14"/>
      <c r="N945" s="14"/>
      <c r="O945" s="14"/>
      <c r="P945" s="14"/>
    </row>
    <row r="946">
      <c r="A946" s="12"/>
      <c r="D946" s="95"/>
      <c r="E946" s="14"/>
      <c r="F946" s="96"/>
      <c r="H946" s="14"/>
      <c r="I946" s="14"/>
      <c r="J946" s="14"/>
      <c r="K946" s="14"/>
      <c r="L946" s="14"/>
      <c r="M946" s="14"/>
      <c r="N946" s="14"/>
      <c r="O946" s="14"/>
      <c r="P946" s="14"/>
    </row>
    <row r="947">
      <c r="A947" s="12"/>
      <c r="D947" s="95"/>
      <c r="E947" s="14"/>
      <c r="F947" s="96"/>
      <c r="H947" s="14"/>
      <c r="I947" s="14"/>
      <c r="J947" s="14"/>
      <c r="K947" s="14"/>
      <c r="L947" s="14"/>
      <c r="M947" s="14"/>
      <c r="N947" s="14"/>
      <c r="O947" s="14"/>
      <c r="P947" s="14"/>
    </row>
    <row r="948">
      <c r="A948" s="12"/>
      <c r="D948" s="95"/>
      <c r="E948" s="14"/>
      <c r="F948" s="96"/>
      <c r="H948" s="14"/>
      <c r="I948" s="14"/>
      <c r="J948" s="14"/>
      <c r="K948" s="14"/>
      <c r="L948" s="14"/>
      <c r="M948" s="14"/>
      <c r="N948" s="14"/>
      <c r="O948" s="14"/>
      <c r="P948" s="14"/>
    </row>
    <row r="949">
      <c r="A949" s="12"/>
      <c r="D949" s="95"/>
      <c r="E949" s="14"/>
      <c r="F949" s="96"/>
      <c r="H949" s="14"/>
      <c r="I949" s="14"/>
      <c r="J949" s="14"/>
      <c r="K949" s="14"/>
      <c r="L949" s="14"/>
      <c r="M949" s="14"/>
      <c r="N949" s="14"/>
      <c r="O949" s="14"/>
      <c r="P949" s="14"/>
    </row>
    <row r="950">
      <c r="A950" s="12"/>
      <c r="D950" s="95"/>
      <c r="E950" s="14"/>
      <c r="F950" s="96"/>
      <c r="H950" s="14"/>
      <c r="I950" s="14"/>
      <c r="J950" s="14"/>
      <c r="K950" s="14"/>
      <c r="L950" s="14"/>
      <c r="M950" s="14"/>
      <c r="N950" s="14"/>
      <c r="O950" s="14"/>
      <c r="P950" s="14"/>
    </row>
    <row r="951">
      <c r="A951" s="12"/>
      <c r="D951" s="95"/>
      <c r="E951" s="14"/>
      <c r="F951" s="96"/>
      <c r="H951" s="14"/>
      <c r="I951" s="14"/>
      <c r="J951" s="14"/>
      <c r="K951" s="14"/>
      <c r="L951" s="14"/>
      <c r="M951" s="14"/>
      <c r="N951" s="14"/>
      <c r="O951" s="14"/>
      <c r="P951" s="14"/>
    </row>
    <row r="952">
      <c r="A952" s="12"/>
      <c r="D952" s="95"/>
      <c r="E952" s="14"/>
      <c r="F952" s="96"/>
      <c r="H952" s="14"/>
      <c r="I952" s="14"/>
      <c r="J952" s="14"/>
      <c r="K952" s="14"/>
      <c r="L952" s="14"/>
      <c r="M952" s="14"/>
      <c r="N952" s="14"/>
      <c r="O952" s="14"/>
      <c r="P952" s="14"/>
    </row>
    <row r="953">
      <c r="A953" s="12"/>
      <c r="D953" s="95"/>
      <c r="E953" s="14"/>
      <c r="F953" s="96"/>
      <c r="H953" s="14"/>
      <c r="I953" s="14"/>
      <c r="J953" s="14"/>
      <c r="K953" s="14"/>
      <c r="L953" s="14"/>
      <c r="M953" s="14"/>
      <c r="N953" s="14"/>
      <c r="O953" s="14"/>
      <c r="P953" s="14"/>
    </row>
    <row r="954">
      <c r="A954" s="12"/>
      <c r="D954" s="95"/>
      <c r="E954" s="14"/>
      <c r="F954" s="96"/>
      <c r="H954" s="14"/>
      <c r="I954" s="14"/>
      <c r="J954" s="14"/>
      <c r="K954" s="14"/>
      <c r="L954" s="14"/>
      <c r="M954" s="14"/>
      <c r="N954" s="14"/>
      <c r="O954" s="14"/>
      <c r="P954" s="14"/>
    </row>
    <row r="955">
      <c r="A955" s="12"/>
      <c r="D955" s="95"/>
      <c r="E955" s="14"/>
      <c r="F955" s="96"/>
      <c r="H955" s="14"/>
      <c r="I955" s="14"/>
      <c r="J955" s="14"/>
      <c r="K955" s="14"/>
      <c r="L955" s="14"/>
      <c r="M955" s="14"/>
      <c r="N955" s="14"/>
      <c r="O955" s="14"/>
      <c r="P955" s="14"/>
    </row>
    <row r="956">
      <c r="A956" s="12"/>
      <c r="D956" s="95"/>
      <c r="E956" s="14"/>
      <c r="F956" s="96"/>
      <c r="H956" s="14"/>
      <c r="I956" s="14"/>
      <c r="J956" s="14"/>
      <c r="K956" s="14"/>
      <c r="L956" s="14"/>
      <c r="M956" s="14"/>
      <c r="N956" s="14"/>
      <c r="O956" s="14"/>
      <c r="P956" s="14"/>
    </row>
    <row r="957">
      <c r="A957" s="12"/>
      <c r="D957" s="95"/>
      <c r="E957" s="14"/>
      <c r="F957" s="96"/>
      <c r="H957" s="14"/>
      <c r="I957" s="14"/>
      <c r="J957" s="14"/>
      <c r="K957" s="14"/>
      <c r="L957" s="14"/>
      <c r="M957" s="14"/>
      <c r="N957" s="14"/>
      <c r="O957" s="14"/>
      <c r="P957" s="14"/>
    </row>
    <row r="958">
      <c r="A958" s="12"/>
      <c r="D958" s="95"/>
      <c r="E958" s="14"/>
      <c r="F958" s="96"/>
      <c r="H958" s="14"/>
      <c r="I958" s="14"/>
      <c r="J958" s="14"/>
      <c r="K958" s="14"/>
      <c r="L958" s="14"/>
      <c r="M958" s="14"/>
      <c r="N958" s="14"/>
      <c r="O958" s="14"/>
      <c r="P958" s="14"/>
    </row>
    <row r="959">
      <c r="A959" s="12"/>
      <c r="D959" s="95"/>
      <c r="E959" s="14"/>
      <c r="F959" s="96"/>
      <c r="H959" s="14"/>
      <c r="I959" s="14"/>
      <c r="J959" s="14"/>
      <c r="K959" s="14"/>
      <c r="L959" s="14"/>
      <c r="M959" s="14"/>
      <c r="N959" s="14"/>
      <c r="O959" s="14"/>
      <c r="P959" s="14"/>
    </row>
    <row r="960">
      <c r="A960" s="12"/>
      <c r="D960" s="95"/>
      <c r="E960" s="14"/>
      <c r="F960" s="96"/>
      <c r="H960" s="14"/>
      <c r="I960" s="14"/>
      <c r="J960" s="14"/>
      <c r="K960" s="14"/>
      <c r="L960" s="14"/>
      <c r="M960" s="14"/>
      <c r="N960" s="14"/>
      <c r="O960" s="14"/>
      <c r="P960" s="14"/>
    </row>
    <row r="961">
      <c r="A961" s="12"/>
      <c r="D961" s="95"/>
      <c r="E961" s="14"/>
      <c r="F961" s="96"/>
      <c r="H961" s="14"/>
      <c r="I961" s="14"/>
      <c r="J961" s="14"/>
      <c r="K961" s="14"/>
      <c r="L961" s="14"/>
      <c r="M961" s="14"/>
      <c r="N961" s="14"/>
      <c r="O961" s="14"/>
      <c r="P961" s="14"/>
    </row>
    <row r="962">
      <c r="A962" s="12"/>
      <c r="D962" s="95"/>
      <c r="E962" s="14"/>
      <c r="F962" s="96"/>
      <c r="H962" s="14"/>
      <c r="I962" s="14"/>
      <c r="J962" s="14"/>
      <c r="K962" s="14"/>
      <c r="L962" s="14"/>
      <c r="M962" s="14"/>
      <c r="N962" s="14"/>
      <c r="O962" s="14"/>
      <c r="P962" s="14"/>
    </row>
    <row r="963">
      <c r="A963" s="12"/>
      <c r="D963" s="95"/>
      <c r="E963" s="14"/>
      <c r="F963" s="96"/>
      <c r="H963" s="14"/>
      <c r="I963" s="14"/>
      <c r="J963" s="14"/>
      <c r="K963" s="14"/>
      <c r="L963" s="14"/>
      <c r="M963" s="14"/>
      <c r="N963" s="14"/>
      <c r="O963" s="14"/>
      <c r="P963" s="14"/>
    </row>
    <row r="964">
      <c r="A964" s="12"/>
      <c r="D964" s="95"/>
      <c r="E964" s="14"/>
      <c r="F964" s="96"/>
      <c r="H964" s="14"/>
      <c r="I964" s="14"/>
      <c r="J964" s="14"/>
      <c r="K964" s="14"/>
      <c r="L964" s="14"/>
      <c r="M964" s="14"/>
      <c r="N964" s="14"/>
      <c r="O964" s="14"/>
      <c r="P964" s="14"/>
    </row>
    <row r="965">
      <c r="A965" s="12"/>
      <c r="D965" s="95"/>
      <c r="E965" s="14"/>
      <c r="F965" s="96"/>
      <c r="H965" s="14"/>
      <c r="I965" s="14"/>
      <c r="J965" s="14"/>
      <c r="K965" s="14"/>
      <c r="L965" s="14"/>
      <c r="M965" s="14"/>
      <c r="N965" s="14"/>
      <c r="O965" s="14"/>
      <c r="P965" s="14"/>
    </row>
    <row r="966">
      <c r="A966" s="12"/>
      <c r="D966" s="95"/>
      <c r="E966" s="14"/>
      <c r="F966" s="96"/>
      <c r="H966" s="14"/>
      <c r="I966" s="14"/>
      <c r="J966" s="14"/>
      <c r="K966" s="14"/>
      <c r="L966" s="14"/>
      <c r="M966" s="14"/>
      <c r="N966" s="14"/>
      <c r="O966" s="14"/>
      <c r="P966" s="14"/>
    </row>
    <row r="967">
      <c r="A967" s="12"/>
      <c r="D967" s="95"/>
      <c r="E967" s="14"/>
      <c r="F967" s="96"/>
      <c r="H967" s="14"/>
      <c r="I967" s="14"/>
      <c r="J967" s="14"/>
      <c r="K967" s="14"/>
      <c r="L967" s="14"/>
      <c r="M967" s="14"/>
      <c r="N967" s="14"/>
      <c r="O967" s="14"/>
      <c r="P967" s="14"/>
    </row>
    <row r="968">
      <c r="A968" s="12"/>
      <c r="D968" s="95"/>
      <c r="E968" s="14"/>
      <c r="F968" s="96"/>
      <c r="H968" s="14"/>
      <c r="I968" s="14"/>
      <c r="J968" s="14"/>
      <c r="K968" s="14"/>
      <c r="L968" s="14"/>
      <c r="M968" s="14"/>
      <c r="N968" s="14"/>
      <c r="O968" s="14"/>
      <c r="P968" s="14"/>
    </row>
    <row r="969">
      <c r="A969" s="12"/>
      <c r="D969" s="95"/>
      <c r="E969" s="14"/>
      <c r="F969" s="96"/>
      <c r="H969" s="14"/>
      <c r="I969" s="14"/>
      <c r="J969" s="14"/>
      <c r="K969" s="14"/>
      <c r="L969" s="14"/>
      <c r="M969" s="14"/>
      <c r="N969" s="14"/>
      <c r="O969" s="14"/>
      <c r="P969" s="14"/>
    </row>
    <row r="970">
      <c r="A970" s="12"/>
      <c r="D970" s="95"/>
      <c r="E970" s="14"/>
      <c r="F970" s="96"/>
      <c r="H970" s="14"/>
      <c r="I970" s="14"/>
      <c r="J970" s="14"/>
      <c r="K970" s="14"/>
      <c r="L970" s="14"/>
      <c r="M970" s="14"/>
      <c r="N970" s="14"/>
      <c r="O970" s="14"/>
      <c r="P970" s="14"/>
    </row>
    <row r="971">
      <c r="A971" s="12"/>
      <c r="D971" s="95"/>
      <c r="E971" s="14"/>
      <c r="F971" s="96"/>
      <c r="H971" s="14"/>
      <c r="I971" s="14"/>
      <c r="J971" s="14"/>
      <c r="K971" s="14"/>
      <c r="L971" s="14"/>
      <c r="M971" s="14"/>
      <c r="N971" s="14"/>
      <c r="O971" s="14"/>
      <c r="P971" s="14"/>
    </row>
    <row r="972">
      <c r="A972" s="12"/>
      <c r="D972" s="95"/>
      <c r="E972" s="14"/>
      <c r="F972" s="96"/>
      <c r="H972" s="14"/>
      <c r="I972" s="14"/>
      <c r="J972" s="14"/>
      <c r="K972" s="14"/>
      <c r="L972" s="14"/>
      <c r="M972" s="14"/>
      <c r="N972" s="14"/>
      <c r="O972" s="14"/>
      <c r="P972" s="14"/>
    </row>
    <row r="973">
      <c r="A973" s="12"/>
      <c r="D973" s="95"/>
      <c r="E973" s="14"/>
      <c r="F973" s="96"/>
      <c r="H973" s="14"/>
      <c r="I973" s="14"/>
      <c r="J973" s="14"/>
      <c r="K973" s="14"/>
      <c r="L973" s="14"/>
      <c r="M973" s="14"/>
      <c r="N973" s="14"/>
      <c r="O973" s="14"/>
      <c r="P973" s="14"/>
    </row>
    <row r="974">
      <c r="A974" s="12"/>
      <c r="D974" s="95"/>
      <c r="E974" s="14"/>
      <c r="F974" s="96"/>
      <c r="H974" s="14"/>
      <c r="I974" s="14"/>
      <c r="J974" s="14"/>
      <c r="K974" s="14"/>
      <c r="L974" s="14"/>
      <c r="M974" s="14"/>
      <c r="N974" s="14"/>
      <c r="O974" s="14"/>
      <c r="P974" s="14"/>
    </row>
    <row r="975">
      <c r="A975" s="12"/>
      <c r="D975" s="95"/>
      <c r="E975" s="14"/>
      <c r="F975" s="96"/>
      <c r="H975" s="14"/>
      <c r="I975" s="14"/>
      <c r="J975" s="14"/>
      <c r="K975" s="14"/>
      <c r="L975" s="14"/>
      <c r="M975" s="14"/>
      <c r="N975" s="14"/>
      <c r="O975" s="14"/>
      <c r="P975" s="14"/>
    </row>
    <row r="976">
      <c r="A976" s="12"/>
      <c r="D976" s="95"/>
      <c r="E976" s="14"/>
      <c r="F976" s="96"/>
      <c r="H976" s="14"/>
      <c r="I976" s="14"/>
      <c r="J976" s="14"/>
      <c r="K976" s="14"/>
      <c r="L976" s="14"/>
      <c r="M976" s="14"/>
      <c r="N976" s="14"/>
      <c r="O976" s="14"/>
      <c r="P976" s="14"/>
    </row>
    <row r="977">
      <c r="A977" s="12"/>
      <c r="D977" s="95"/>
      <c r="E977" s="14"/>
      <c r="F977" s="96"/>
      <c r="H977" s="14"/>
      <c r="I977" s="14"/>
      <c r="J977" s="14"/>
      <c r="K977" s="14"/>
      <c r="L977" s="14"/>
      <c r="M977" s="14"/>
      <c r="N977" s="14"/>
      <c r="O977" s="14"/>
      <c r="P977" s="14"/>
    </row>
    <row r="978">
      <c r="A978" s="12"/>
      <c r="D978" s="95"/>
      <c r="E978" s="14"/>
      <c r="F978" s="96"/>
      <c r="H978" s="14"/>
      <c r="I978" s="14"/>
      <c r="J978" s="14"/>
      <c r="K978" s="14"/>
      <c r="L978" s="14"/>
      <c r="M978" s="14"/>
      <c r="N978" s="14"/>
      <c r="O978" s="14"/>
      <c r="P978" s="14"/>
    </row>
    <row r="979">
      <c r="A979" s="12"/>
      <c r="D979" s="95"/>
      <c r="E979" s="14"/>
      <c r="F979" s="96"/>
      <c r="H979" s="14"/>
      <c r="I979" s="14"/>
      <c r="J979" s="14"/>
      <c r="K979" s="14"/>
      <c r="L979" s="14"/>
      <c r="M979" s="14"/>
      <c r="N979" s="14"/>
      <c r="O979" s="14"/>
      <c r="P979" s="14"/>
    </row>
    <row r="980">
      <c r="A980" s="12"/>
      <c r="D980" s="95"/>
      <c r="E980" s="14"/>
      <c r="F980" s="96"/>
      <c r="H980" s="14"/>
      <c r="I980" s="14"/>
      <c r="J980" s="14"/>
      <c r="K980" s="14"/>
      <c r="L980" s="14"/>
      <c r="M980" s="14"/>
      <c r="N980" s="14"/>
      <c r="O980" s="14"/>
      <c r="P980" s="14"/>
    </row>
    <row r="981">
      <c r="A981" s="12"/>
      <c r="D981" s="95"/>
      <c r="E981" s="14"/>
      <c r="F981" s="96"/>
      <c r="H981" s="14"/>
      <c r="I981" s="14"/>
      <c r="J981" s="14"/>
      <c r="K981" s="14"/>
      <c r="L981" s="14"/>
      <c r="M981" s="14"/>
      <c r="N981" s="14"/>
      <c r="O981" s="14"/>
      <c r="P981" s="14"/>
    </row>
    <row r="982">
      <c r="A982" s="12"/>
      <c r="D982" s="95"/>
      <c r="E982" s="14"/>
      <c r="F982" s="96"/>
      <c r="H982" s="14"/>
      <c r="I982" s="14"/>
      <c r="J982" s="14"/>
      <c r="K982" s="14"/>
      <c r="L982" s="14"/>
      <c r="M982" s="14"/>
      <c r="N982" s="14"/>
      <c r="O982" s="14"/>
      <c r="P982" s="14"/>
    </row>
    <row r="983">
      <c r="A983" s="12"/>
      <c r="D983" s="95"/>
      <c r="E983" s="14"/>
      <c r="F983" s="96"/>
      <c r="H983" s="14"/>
      <c r="I983" s="14"/>
      <c r="J983" s="14"/>
      <c r="K983" s="14"/>
      <c r="L983" s="14"/>
      <c r="M983" s="14"/>
      <c r="N983" s="14"/>
      <c r="O983" s="14"/>
      <c r="P983" s="14"/>
    </row>
    <row r="984">
      <c r="A984" s="12"/>
      <c r="D984" s="95"/>
      <c r="E984" s="14"/>
      <c r="F984" s="96"/>
      <c r="H984" s="14"/>
      <c r="I984" s="14"/>
      <c r="J984" s="14"/>
      <c r="K984" s="14"/>
      <c r="L984" s="14"/>
      <c r="M984" s="14"/>
      <c r="N984" s="14"/>
      <c r="O984" s="14"/>
      <c r="P984" s="14"/>
    </row>
    <row r="985">
      <c r="A985" s="12"/>
      <c r="D985" s="95"/>
      <c r="E985" s="14"/>
      <c r="F985" s="96"/>
      <c r="H985" s="14"/>
      <c r="I985" s="14"/>
      <c r="J985" s="14"/>
      <c r="K985" s="14"/>
      <c r="L985" s="14"/>
      <c r="M985" s="14"/>
      <c r="N985" s="14"/>
      <c r="O985" s="14"/>
      <c r="P985" s="14"/>
    </row>
    <row r="986">
      <c r="A986" s="12"/>
      <c r="D986" s="95"/>
      <c r="E986" s="14"/>
      <c r="F986" s="96"/>
      <c r="H986" s="14"/>
      <c r="I986" s="14"/>
      <c r="J986" s="14"/>
      <c r="K986" s="14"/>
      <c r="L986" s="14"/>
      <c r="M986" s="14"/>
      <c r="N986" s="14"/>
      <c r="O986" s="14"/>
      <c r="P986" s="14"/>
    </row>
    <row r="987">
      <c r="A987" s="12"/>
      <c r="D987" s="95"/>
      <c r="E987" s="14"/>
      <c r="F987" s="96"/>
      <c r="H987" s="14"/>
      <c r="I987" s="14"/>
      <c r="J987" s="14"/>
      <c r="K987" s="14"/>
      <c r="L987" s="14"/>
      <c r="M987" s="14"/>
      <c r="N987" s="14"/>
      <c r="O987" s="14"/>
      <c r="P987" s="14"/>
    </row>
    <row r="988">
      <c r="A988" s="12"/>
      <c r="D988" s="95"/>
      <c r="E988" s="14"/>
      <c r="F988" s="96"/>
      <c r="H988" s="14"/>
      <c r="I988" s="14"/>
      <c r="J988" s="14"/>
      <c r="K988" s="14"/>
      <c r="L988" s="14"/>
      <c r="M988" s="14"/>
      <c r="N988" s="14"/>
      <c r="O988" s="14"/>
      <c r="P988" s="14"/>
    </row>
    <row r="989">
      <c r="A989" s="12"/>
      <c r="D989" s="95"/>
      <c r="E989" s="14"/>
      <c r="F989" s="96"/>
      <c r="H989" s="14"/>
      <c r="I989" s="14"/>
      <c r="J989" s="14"/>
      <c r="K989" s="14"/>
      <c r="L989" s="14"/>
      <c r="M989" s="14"/>
      <c r="N989" s="14"/>
      <c r="O989" s="14"/>
      <c r="P989" s="14"/>
    </row>
    <row r="990">
      <c r="A990" s="12"/>
      <c r="D990" s="95"/>
      <c r="E990" s="14"/>
      <c r="F990" s="96"/>
      <c r="H990" s="14"/>
      <c r="I990" s="14"/>
      <c r="J990" s="14"/>
      <c r="K990" s="14"/>
      <c r="L990" s="14"/>
      <c r="M990" s="14"/>
      <c r="N990" s="14"/>
      <c r="O990" s="14"/>
      <c r="P990" s="14"/>
    </row>
    <row r="991">
      <c r="A991" s="12"/>
      <c r="D991" s="95"/>
      <c r="E991" s="14"/>
      <c r="F991" s="96"/>
      <c r="H991" s="14"/>
      <c r="I991" s="14"/>
      <c r="J991" s="14"/>
      <c r="K991" s="14"/>
      <c r="L991" s="14"/>
      <c r="M991" s="14"/>
      <c r="N991" s="14"/>
      <c r="O991" s="14"/>
      <c r="P991" s="14"/>
    </row>
    <row r="992">
      <c r="A992" s="12"/>
      <c r="D992" s="95"/>
      <c r="E992" s="14"/>
      <c r="F992" s="96"/>
      <c r="H992" s="14"/>
      <c r="I992" s="14"/>
      <c r="J992" s="14"/>
      <c r="K992" s="14"/>
      <c r="L992" s="14"/>
      <c r="M992" s="14"/>
      <c r="N992" s="14"/>
      <c r="O992" s="14"/>
      <c r="P992" s="14"/>
    </row>
    <row r="993">
      <c r="A993" s="12"/>
      <c r="D993" s="95"/>
      <c r="E993" s="14"/>
      <c r="F993" s="96"/>
      <c r="H993" s="14"/>
      <c r="I993" s="14"/>
      <c r="J993" s="14"/>
      <c r="K993" s="14"/>
      <c r="L993" s="14"/>
      <c r="M993" s="14"/>
      <c r="N993" s="14"/>
      <c r="O993" s="14"/>
      <c r="P993" s="14"/>
    </row>
    <row r="994">
      <c r="A994" s="12"/>
      <c r="D994" s="95"/>
      <c r="E994" s="14"/>
      <c r="F994" s="96"/>
      <c r="H994" s="14"/>
      <c r="I994" s="14"/>
      <c r="J994" s="14"/>
      <c r="K994" s="14"/>
      <c r="L994" s="14"/>
      <c r="M994" s="14"/>
      <c r="N994" s="14"/>
      <c r="O994" s="14"/>
      <c r="P994" s="14"/>
    </row>
    <row r="995">
      <c r="A995" s="12"/>
      <c r="D995" s="95"/>
      <c r="E995" s="14"/>
      <c r="F995" s="96"/>
      <c r="H995" s="14"/>
      <c r="I995" s="14"/>
      <c r="J995" s="14"/>
      <c r="K995" s="14"/>
      <c r="L995" s="14"/>
      <c r="M995" s="14"/>
      <c r="N995" s="14"/>
      <c r="O995" s="14"/>
      <c r="P995" s="14"/>
    </row>
    <row r="996">
      <c r="A996" s="12"/>
      <c r="D996" s="95"/>
      <c r="E996" s="14"/>
      <c r="F996" s="96"/>
      <c r="H996" s="14"/>
      <c r="I996" s="14"/>
      <c r="J996" s="14"/>
      <c r="K996" s="14"/>
      <c r="L996" s="14"/>
      <c r="M996" s="14"/>
      <c r="N996" s="14"/>
      <c r="O996" s="14"/>
      <c r="P996" s="14"/>
    </row>
    <row r="997">
      <c r="A997" s="12"/>
      <c r="D997" s="95"/>
      <c r="E997" s="14"/>
      <c r="F997" s="96"/>
      <c r="H997" s="14"/>
      <c r="I997" s="14"/>
      <c r="J997" s="14"/>
      <c r="K997" s="14"/>
      <c r="L997" s="14"/>
      <c r="M997" s="14"/>
      <c r="N997" s="14"/>
      <c r="O997" s="14"/>
      <c r="P997" s="14"/>
    </row>
    <row r="998">
      <c r="A998" s="12"/>
      <c r="D998" s="95"/>
      <c r="E998" s="14"/>
      <c r="F998" s="96"/>
      <c r="H998" s="14"/>
      <c r="I998" s="14"/>
      <c r="J998" s="14"/>
      <c r="K998" s="14"/>
      <c r="L998" s="14"/>
      <c r="M998" s="14"/>
      <c r="N998" s="14"/>
      <c r="O998" s="14"/>
      <c r="P998" s="14"/>
    </row>
    <row r="999">
      <c r="A999" s="12"/>
      <c r="D999" s="95"/>
      <c r="E999" s="14"/>
      <c r="F999" s="96"/>
      <c r="H999" s="14"/>
      <c r="I999" s="14"/>
      <c r="J999" s="14"/>
      <c r="K999" s="14"/>
      <c r="L999" s="14"/>
      <c r="M999" s="14"/>
      <c r="N999" s="14"/>
      <c r="O999" s="14"/>
      <c r="P999" s="14"/>
    </row>
    <row r="1000">
      <c r="A1000" s="12"/>
      <c r="D1000" s="95"/>
      <c r="E1000" s="14"/>
      <c r="F1000" s="96"/>
      <c r="H1000" s="14"/>
      <c r="I1000" s="14"/>
      <c r="J1000" s="14"/>
      <c r="K1000" s="14"/>
      <c r="L1000" s="14"/>
      <c r="M1000" s="14"/>
      <c r="N1000" s="14"/>
      <c r="O1000" s="14"/>
      <c r="P1000" s="14"/>
    </row>
    <row r="1001">
      <c r="A1001" s="12"/>
      <c r="D1001" s="95"/>
      <c r="E1001" s="14"/>
      <c r="F1001" s="96"/>
      <c r="H1001" s="14"/>
      <c r="I1001" s="14"/>
      <c r="J1001" s="14"/>
      <c r="K1001" s="14"/>
      <c r="L1001" s="14"/>
      <c r="M1001" s="14"/>
      <c r="N1001" s="14"/>
      <c r="O1001" s="14"/>
      <c r="P1001" s="14"/>
    </row>
    <row r="1002">
      <c r="A1002" s="12"/>
      <c r="D1002" s="95"/>
      <c r="E1002" s="14"/>
      <c r="F1002" s="96"/>
      <c r="H1002" s="14"/>
      <c r="I1002" s="14"/>
      <c r="J1002" s="14"/>
      <c r="K1002" s="14"/>
      <c r="L1002" s="14"/>
      <c r="M1002" s="14"/>
      <c r="N1002" s="14"/>
      <c r="O1002" s="14"/>
      <c r="P1002" s="14"/>
    </row>
    <row r="1003">
      <c r="A1003" s="12"/>
      <c r="D1003" s="95"/>
      <c r="E1003" s="14"/>
      <c r="F1003" s="96"/>
      <c r="H1003" s="14"/>
      <c r="I1003" s="14"/>
      <c r="J1003" s="14"/>
      <c r="K1003" s="14"/>
      <c r="L1003" s="14"/>
      <c r="M1003" s="14"/>
      <c r="N1003" s="14"/>
      <c r="O1003" s="14"/>
      <c r="P1003" s="14"/>
    </row>
    <row r="1004">
      <c r="A1004" s="12"/>
      <c r="D1004" s="95"/>
      <c r="E1004" s="14"/>
      <c r="F1004" s="96"/>
      <c r="H1004" s="14"/>
      <c r="I1004" s="14"/>
      <c r="J1004" s="14"/>
      <c r="K1004" s="14"/>
      <c r="L1004" s="14"/>
      <c r="M1004" s="14"/>
      <c r="N1004" s="14"/>
      <c r="O1004" s="14"/>
      <c r="P1004" s="14"/>
    </row>
    <row r="1005">
      <c r="A1005" s="12"/>
      <c r="D1005" s="95"/>
      <c r="E1005" s="14"/>
      <c r="F1005" s="96"/>
      <c r="H1005" s="14"/>
      <c r="I1005" s="14"/>
      <c r="J1005" s="14"/>
      <c r="K1005" s="14"/>
      <c r="L1005" s="14"/>
      <c r="M1005" s="14"/>
      <c r="N1005" s="14"/>
      <c r="O1005" s="14"/>
      <c r="P1005" s="14"/>
    </row>
  </sheetData>
  <conditionalFormatting sqref="H2:P29">
    <cfRule type="cellIs" dxfId="10" priority="1" operator="equal">
      <formula>0</formula>
    </cfRule>
  </conditionalFormatting>
  <conditionalFormatting sqref="H2:H29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29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29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29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29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29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29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29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P29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6:C4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6:F4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(Camp Nou)"</formula1>
    </dataValidation>
    <dataValidation type="custom" allowBlank="1" showDropDown="1" sqref="F32:F33">
      <formula1>OR(NOT(ISERROR(DATEVALUE(F32))), AND(ISNUMBER(F32), LEFT(CELL("format", F32))="D"))</formula1>
    </dataValidation>
    <dataValidation type="list" allowBlank="1" showDropDown="1" sqref="C2:C29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9.5"/>
    <col customWidth="1" min="3" max="3" width="16.13"/>
    <col customWidth="1" min="4" max="4" width="33.25"/>
    <col customWidth="1" min="5" max="5" width="9.25"/>
    <col customWidth="1" min="6" max="6" width="29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63"/>
    <col customWidth="1" min="16" max="16" width="17.75"/>
  </cols>
  <sheetData>
    <row r="1" ht="22.5" customHeight="1">
      <c r="A1" s="201" t="s">
        <v>48</v>
      </c>
      <c r="B1" s="202" t="s">
        <v>49</v>
      </c>
      <c r="C1" s="202" t="s">
        <v>50</v>
      </c>
      <c r="D1" s="203" t="s">
        <v>56</v>
      </c>
      <c r="E1" s="201" t="s">
        <v>57</v>
      </c>
      <c r="F1" s="204" t="s">
        <v>52</v>
      </c>
      <c r="G1" s="205" t="s">
        <v>53</v>
      </c>
      <c r="H1" s="201" t="s">
        <v>4</v>
      </c>
      <c r="I1" s="201" t="s">
        <v>58</v>
      </c>
      <c r="J1" s="201" t="s">
        <v>59</v>
      </c>
      <c r="K1" s="201" t="s">
        <v>60</v>
      </c>
      <c r="L1" s="201" t="s">
        <v>61</v>
      </c>
      <c r="M1" s="201" t="s">
        <v>62</v>
      </c>
      <c r="N1" s="201" t="s">
        <v>63</v>
      </c>
      <c r="O1" s="206" t="s">
        <v>64</v>
      </c>
      <c r="P1" s="201" t="s">
        <v>65</v>
      </c>
    </row>
    <row r="2" ht="22.5" customHeight="1">
      <c r="A2" s="207">
        <v>1.0</v>
      </c>
      <c r="B2" s="208" t="s">
        <v>339</v>
      </c>
      <c r="C2" s="209" t="s">
        <v>67</v>
      </c>
      <c r="D2" s="210" t="s">
        <v>83</v>
      </c>
      <c r="E2" s="211" t="str">
        <f t="shared" ref="E2:E9" si="1">IMAGE("https://flagcdn.com/w320/es.png")</f>
        <v/>
      </c>
      <c r="F2" s="212">
        <v>35592.0</v>
      </c>
      <c r="G2" s="213">
        <f t="shared" ref="G2:G34" si="2">DATEDIF(F2,TODAY(),"Y")</f>
        <v>28</v>
      </c>
      <c r="H2" s="214">
        <f>1+1+1+1+1+1+1</f>
        <v>7</v>
      </c>
      <c r="I2" s="214">
        <f>90+90+90+90+90+90+90</f>
        <v>630</v>
      </c>
      <c r="J2" s="214"/>
      <c r="K2" s="214"/>
      <c r="L2" s="214"/>
      <c r="M2" s="214"/>
      <c r="N2" s="214">
        <f>1+1</f>
        <v>2</v>
      </c>
      <c r="O2" s="214">
        <f t="shared" ref="O2:O34" si="3">J2+K2</f>
        <v>0</v>
      </c>
      <c r="P2" s="214"/>
    </row>
    <row r="3" ht="22.5" customHeight="1">
      <c r="A3" s="207">
        <v>2.0</v>
      </c>
      <c r="B3" s="208" t="s">
        <v>340</v>
      </c>
      <c r="C3" s="209" t="s">
        <v>70</v>
      </c>
      <c r="D3" s="210" t="s">
        <v>83</v>
      </c>
      <c r="E3" s="211" t="str">
        <f t="shared" si="1"/>
        <v/>
      </c>
      <c r="F3" s="212">
        <v>35281.0</v>
      </c>
      <c r="G3" s="213">
        <f t="shared" si="2"/>
        <v>29</v>
      </c>
      <c r="H3" s="214">
        <f t="shared" ref="H3:H5" si="4">1+1+1+1+1+1</f>
        <v>6</v>
      </c>
      <c r="I3" s="214">
        <f>90+90+64+13+18+80</f>
        <v>355</v>
      </c>
      <c r="J3" s="214"/>
      <c r="K3" s="214"/>
      <c r="L3" s="214">
        <f t="shared" ref="L3:L4" si="5">1</f>
        <v>1</v>
      </c>
      <c r="M3" s="214"/>
      <c r="N3" s="214"/>
      <c r="O3" s="214">
        <f t="shared" si="3"/>
        <v>0</v>
      </c>
      <c r="P3" s="214"/>
    </row>
    <row r="4" ht="22.5" customHeight="1">
      <c r="A4" s="207">
        <v>3.0</v>
      </c>
      <c r="B4" s="208" t="s">
        <v>341</v>
      </c>
      <c r="C4" s="209" t="s">
        <v>70</v>
      </c>
      <c r="D4" s="210" t="s">
        <v>83</v>
      </c>
      <c r="E4" s="211" t="str">
        <f t="shared" si="1"/>
        <v/>
      </c>
      <c r="F4" s="212">
        <v>36346.0</v>
      </c>
      <c r="G4" s="213">
        <f t="shared" si="2"/>
        <v>26</v>
      </c>
      <c r="H4" s="214">
        <f t="shared" si="4"/>
        <v>6</v>
      </c>
      <c r="I4" s="214">
        <f>90+45+90+90+90+90</f>
        <v>495</v>
      </c>
      <c r="J4" s="214"/>
      <c r="K4" s="214"/>
      <c r="L4" s="214">
        <f t="shared" si="5"/>
        <v>1</v>
      </c>
      <c r="M4" s="214"/>
      <c r="N4" s="214"/>
      <c r="O4" s="214">
        <f t="shared" si="3"/>
        <v>0</v>
      </c>
      <c r="P4" s="214"/>
    </row>
    <row r="5" ht="22.5" customHeight="1">
      <c r="A5" s="207">
        <v>4.0</v>
      </c>
      <c r="B5" s="208" t="s">
        <v>342</v>
      </c>
      <c r="C5" s="209" t="s">
        <v>70</v>
      </c>
      <c r="D5" s="210" t="s">
        <v>83</v>
      </c>
      <c r="E5" s="211" t="str">
        <f t="shared" si="1"/>
        <v/>
      </c>
      <c r="F5" s="212">
        <v>36645.0</v>
      </c>
      <c r="G5" s="213">
        <f t="shared" si="2"/>
        <v>25</v>
      </c>
      <c r="H5" s="214">
        <f t="shared" si="4"/>
        <v>6</v>
      </c>
      <c r="I5" s="214">
        <f>90+90+90+90+90+90</f>
        <v>540</v>
      </c>
      <c r="J5" s="214"/>
      <c r="K5" s="214"/>
      <c r="L5" s="214">
        <f>1+1+1</f>
        <v>3</v>
      </c>
      <c r="M5" s="214"/>
      <c r="N5" s="214"/>
      <c r="O5" s="214">
        <f t="shared" si="3"/>
        <v>0</v>
      </c>
      <c r="P5" s="214"/>
    </row>
    <row r="6" ht="22.5" customHeight="1">
      <c r="A6" s="207">
        <v>5.0</v>
      </c>
      <c r="B6" s="208" t="s">
        <v>343</v>
      </c>
      <c r="C6" s="209" t="s">
        <v>70</v>
      </c>
      <c r="D6" s="210" t="s">
        <v>83</v>
      </c>
      <c r="E6" s="211" t="str">
        <f t="shared" si="1"/>
        <v/>
      </c>
      <c r="F6" s="212">
        <v>34723.0</v>
      </c>
      <c r="G6" s="213">
        <f t="shared" si="2"/>
        <v>31</v>
      </c>
      <c r="H6" s="214"/>
      <c r="I6" s="214"/>
      <c r="J6" s="214"/>
      <c r="K6" s="214"/>
      <c r="L6" s="214"/>
      <c r="M6" s="214"/>
      <c r="N6" s="214"/>
      <c r="O6" s="214">
        <f t="shared" si="3"/>
        <v>0</v>
      </c>
      <c r="P6" s="214"/>
    </row>
    <row r="7" ht="22.5" customHeight="1">
      <c r="A7" s="207">
        <v>6.0</v>
      </c>
      <c r="B7" s="208" t="s">
        <v>344</v>
      </c>
      <c r="C7" s="209" t="s">
        <v>79</v>
      </c>
      <c r="D7" s="210" t="s">
        <v>83</v>
      </c>
      <c r="E7" s="211" t="str">
        <f t="shared" si="1"/>
        <v/>
      </c>
      <c r="F7" s="212">
        <v>34067.0</v>
      </c>
      <c r="G7" s="213">
        <f t="shared" si="2"/>
        <v>32</v>
      </c>
      <c r="H7" s="214">
        <f t="shared" ref="H7:H9" si="6">1+1+1+1+1</f>
        <v>5</v>
      </c>
      <c r="I7" s="214">
        <f>80+10+90+13+32</f>
        <v>225</v>
      </c>
      <c r="J7" s="214"/>
      <c r="K7" s="214"/>
      <c r="L7" s="214"/>
      <c r="M7" s="214"/>
      <c r="N7" s="214"/>
      <c r="O7" s="214">
        <f t="shared" si="3"/>
        <v>0</v>
      </c>
      <c r="P7" s="214"/>
    </row>
    <row r="8" ht="22.5" customHeight="1">
      <c r="A8" s="207">
        <v>7.0</v>
      </c>
      <c r="B8" s="208" t="s">
        <v>345</v>
      </c>
      <c r="C8" s="209" t="s">
        <v>79</v>
      </c>
      <c r="D8" s="210" t="s">
        <v>83</v>
      </c>
      <c r="E8" s="211" t="str">
        <f t="shared" si="1"/>
        <v/>
      </c>
      <c r="F8" s="212">
        <v>34884.0</v>
      </c>
      <c r="G8" s="213">
        <f t="shared" si="2"/>
        <v>30</v>
      </c>
      <c r="H8" s="214">
        <f t="shared" si="6"/>
        <v>5</v>
      </c>
      <c r="I8" s="214">
        <f>90+53+90+56+90</f>
        <v>379</v>
      </c>
      <c r="J8" s="214"/>
      <c r="K8" s="214">
        <f t="shared" ref="K8:L8" si="7">1</f>
        <v>1</v>
      </c>
      <c r="L8" s="214">
        <f t="shared" si="7"/>
        <v>1</v>
      </c>
      <c r="M8" s="214"/>
      <c r="N8" s="214"/>
      <c r="O8" s="214">
        <f t="shared" si="3"/>
        <v>1</v>
      </c>
      <c r="P8" s="214"/>
    </row>
    <row r="9" ht="22.5" customHeight="1">
      <c r="A9" s="207">
        <v>8.0</v>
      </c>
      <c r="B9" s="208" t="s">
        <v>346</v>
      </c>
      <c r="C9" s="209" t="s">
        <v>79</v>
      </c>
      <c r="D9" s="210" t="s">
        <v>83</v>
      </c>
      <c r="E9" s="211" t="str">
        <f t="shared" si="1"/>
        <v/>
      </c>
      <c r="F9" s="212">
        <v>36641.0</v>
      </c>
      <c r="G9" s="213">
        <f t="shared" si="2"/>
        <v>25</v>
      </c>
      <c r="H9" s="214">
        <f t="shared" si="6"/>
        <v>5</v>
      </c>
      <c r="I9" s="214">
        <f>67+80+56+72+45</f>
        <v>320</v>
      </c>
      <c r="J9" s="214"/>
      <c r="K9" s="214">
        <f>1</f>
        <v>1</v>
      </c>
      <c r="L9" s="214"/>
      <c r="M9" s="214"/>
      <c r="N9" s="214"/>
      <c r="O9" s="214">
        <f t="shared" si="3"/>
        <v>1</v>
      </c>
      <c r="P9" s="214"/>
    </row>
    <row r="10" ht="22.5" customHeight="1">
      <c r="A10" s="207">
        <v>9.0</v>
      </c>
      <c r="B10" s="208" t="s">
        <v>347</v>
      </c>
      <c r="C10" s="209" t="s">
        <v>82</v>
      </c>
      <c r="D10" s="210" t="s">
        <v>348</v>
      </c>
      <c r="E10" s="211" t="str">
        <f>IMAGE("https://flagcdn.com/w320/gh.png")</f>
        <v/>
      </c>
      <c r="F10" s="212">
        <v>34500.0</v>
      </c>
      <c r="G10" s="213">
        <f t="shared" si="2"/>
        <v>31</v>
      </c>
      <c r="H10" s="214">
        <f t="shared" ref="H10:H11" si="8">1+1+1</f>
        <v>3</v>
      </c>
      <c r="I10" s="214">
        <f>90+45+64</f>
        <v>199</v>
      </c>
      <c r="J10" s="214"/>
      <c r="K10" s="214"/>
      <c r="L10" s="214"/>
      <c r="M10" s="214"/>
      <c r="N10" s="214"/>
      <c r="O10" s="214">
        <f t="shared" si="3"/>
        <v>0</v>
      </c>
      <c r="P10" s="214"/>
    </row>
    <row r="11" ht="22.5" customHeight="1">
      <c r="A11" s="207">
        <v>10.0</v>
      </c>
      <c r="B11" s="208" t="s">
        <v>349</v>
      </c>
      <c r="C11" s="209" t="s">
        <v>82</v>
      </c>
      <c r="D11" s="210" t="s">
        <v>350</v>
      </c>
      <c r="E11" s="211" t="str">
        <f t="shared" ref="E11:E20" si="9">IMAGE("https://flagcdn.com/w320/es.png")</f>
        <v/>
      </c>
      <c r="F11" s="212">
        <v>37449.0</v>
      </c>
      <c r="G11" s="213">
        <f t="shared" si="2"/>
        <v>23</v>
      </c>
      <c r="H11" s="214">
        <f t="shared" si="8"/>
        <v>3</v>
      </c>
      <c r="I11" s="214">
        <f>37+34+90</f>
        <v>161</v>
      </c>
      <c r="J11" s="214"/>
      <c r="K11" s="214"/>
      <c r="L11" s="214"/>
      <c r="M11" s="214"/>
      <c r="N11" s="214"/>
      <c r="O11" s="214">
        <f t="shared" si="3"/>
        <v>0</v>
      </c>
      <c r="P11" s="214"/>
    </row>
    <row r="12" ht="22.5" customHeight="1">
      <c r="A12" s="207">
        <v>11.0</v>
      </c>
      <c r="B12" s="208" t="s">
        <v>351</v>
      </c>
      <c r="C12" s="209" t="s">
        <v>82</v>
      </c>
      <c r="D12" s="210" t="s">
        <v>83</v>
      </c>
      <c r="E12" s="211" t="str">
        <f t="shared" si="9"/>
        <v/>
      </c>
      <c r="F12" s="212">
        <v>35320.0</v>
      </c>
      <c r="G12" s="213">
        <f t="shared" si="2"/>
        <v>29</v>
      </c>
      <c r="H12" s="214">
        <f>1+1+1+1+1+1</f>
        <v>6</v>
      </c>
      <c r="I12" s="214">
        <f>23+45+90+78+61+90</f>
        <v>387</v>
      </c>
      <c r="J12" s="214">
        <f>1+2+1</f>
        <v>4</v>
      </c>
      <c r="K12" s="214"/>
      <c r="L12" s="214">
        <f t="shared" ref="L12:L13" si="10">1</f>
        <v>1</v>
      </c>
      <c r="M12" s="214"/>
      <c r="N12" s="214"/>
      <c r="O12" s="214">
        <f t="shared" si="3"/>
        <v>4</v>
      </c>
      <c r="P12" s="214"/>
    </row>
    <row r="13" ht="22.5" customHeight="1">
      <c r="A13" s="207">
        <v>12.0</v>
      </c>
      <c r="B13" s="208" t="s">
        <v>352</v>
      </c>
      <c r="C13" s="209" t="s">
        <v>70</v>
      </c>
      <c r="D13" s="210" t="s">
        <v>83</v>
      </c>
      <c r="E13" s="211" t="str">
        <f t="shared" si="9"/>
        <v/>
      </c>
      <c r="F13" s="212">
        <v>36343.0</v>
      </c>
      <c r="G13" s="213">
        <f t="shared" si="2"/>
        <v>26</v>
      </c>
      <c r="H13" s="214">
        <f>1+1+1+1+1</f>
        <v>5</v>
      </c>
      <c r="I13" s="214">
        <f>26+77+78+72+10</f>
        <v>263</v>
      </c>
      <c r="J13" s="214"/>
      <c r="K13" s="214"/>
      <c r="L13" s="214">
        <f t="shared" si="10"/>
        <v>1</v>
      </c>
      <c r="M13" s="214"/>
      <c r="N13" s="214"/>
      <c r="O13" s="214">
        <f t="shared" si="3"/>
        <v>0</v>
      </c>
      <c r="P13" s="214"/>
    </row>
    <row r="14" ht="22.5" customHeight="1">
      <c r="A14" s="207">
        <v>14.0</v>
      </c>
      <c r="B14" s="208" t="s">
        <v>353</v>
      </c>
      <c r="C14" s="209" t="s">
        <v>70</v>
      </c>
      <c r="D14" s="210" t="s">
        <v>354</v>
      </c>
      <c r="E14" s="211" t="str">
        <f t="shared" si="9"/>
        <v/>
      </c>
      <c r="F14" s="212">
        <v>34481.0</v>
      </c>
      <c r="G14" s="213">
        <f t="shared" si="2"/>
        <v>31</v>
      </c>
      <c r="H14" s="214">
        <f>1+1</f>
        <v>2</v>
      </c>
      <c r="I14" s="214">
        <f>45+90</f>
        <v>135</v>
      </c>
      <c r="J14" s="214"/>
      <c r="K14" s="214"/>
      <c r="L14" s="214"/>
      <c r="M14" s="214"/>
      <c r="N14" s="214"/>
      <c r="O14" s="214">
        <f t="shared" si="3"/>
        <v>0</v>
      </c>
      <c r="P14" s="214"/>
    </row>
    <row r="15" ht="22.5" customHeight="1">
      <c r="A15" s="207">
        <v>15.0</v>
      </c>
      <c r="B15" s="208" t="s">
        <v>355</v>
      </c>
      <c r="C15" s="209" t="s">
        <v>70</v>
      </c>
      <c r="D15" s="210" t="s">
        <v>83</v>
      </c>
      <c r="E15" s="211" t="str">
        <f t="shared" si="9"/>
        <v/>
      </c>
      <c r="F15" s="212">
        <v>34093.0</v>
      </c>
      <c r="G15" s="213">
        <f t="shared" si="2"/>
        <v>32</v>
      </c>
      <c r="H15" s="214">
        <f>1+1+1</f>
        <v>3</v>
      </c>
      <c r="I15" s="214">
        <f>90+12+90</f>
        <v>192</v>
      </c>
      <c r="J15" s="214"/>
      <c r="K15" s="214"/>
      <c r="L15" s="214"/>
      <c r="M15" s="214"/>
      <c r="N15" s="214"/>
      <c r="O15" s="214">
        <f t="shared" si="3"/>
        <v>0</v>
      </c>
      <c r="P15" s="214"/>
    </row>
    <row r="16" ht="22.5" customHeight="1">
      <c r="A16" s="207">
        <v>16.0</v>
      </c>
      <c r="B16" s="208" t="s">
        <v>356</v>
      </c>
      <c r="C16" s="209" t="s">
        <v>79</v>
      </c>
      <c r="D16" s="210" t="s">
        <v>83</v>
      </c>
      <c r="E16" s="211" t="str">
        <f t="shared" si="9"/>
        <v/>
      </c>
      <c r="F16" s="212">
        <v>34187.0</v>
      </c>
      <c r="G16" s="213">
        <f t="shared" si="2"/>
        <v>32</v>
      </c>
      <c r="H16" s="214">
        <f>1+1+1+1+1+1</f>
        <v>6</v>
      </c>
      <c r="I16" s="214">
        <f>45+26+10+63+77+32</f>
        <v>253</v>
      </c>
      <c r="J16" s="214"/>
      <c r="K16" s="214"/>
      <c r="L16" s="214">
        <f>1</f>
        <v>1</v>
      </c>
      <c r="M16" s="214"/>
      <c r="N16" s="214"/>
      <c r="O16" s="214">
        <f t="shared" si="3"/>
        <v>0</v>
      </c>
      <c r="P16" s="214"/>
    </row>
    <row r="17" ht="22.5" customHeight="1">
      <c r="A17" s="207">
        <v>17.0</v>
      </c>
      <c r="B17" s="208" t="s">
        <v>357</v>
      </c>
      <c r="C17" s="209" t="s">
        <v>70</v>
      </c>
      <c r="D17" s="210" t="s">
        <v>358</v>
      </c>
      <c r="E17" s="211" t="str">
        <f t="shared" si="9"/>
        <v/>
      </c>
      <c r="F17" s="212">
        <v>32914.0</v>
      </c>
      <c r="G17" s="213">
        <f t="shared" si="2"/>
        <v>35</v>
      </c>
      <c r="H17" s="214">
        <f>1+1+1</f>
        <v>3</v>
      </c>
      <c r="I17" s="214">
        <f>23+90+90</f>
        <v>203</v>
      </c>
      <c r="J17" s="214"/>
      <c r="K17" s="214"/>
      <c r="L17" s="214"/>
      <c r="M17" s="214"/>
      <c r="N17" s="214"/>
      <c r="O17" s="214">
        <f t="shared" si="3"/>
        <v>0</v>
      </c>
      <c r="P17" s="214"/>
    </row>
    <row r="18" ht="22.5" customHeight="1">
      <c r="A18" s="207">
        <v>18.0</v>
      </c>
      <c r="B18" s="208" t="s">
        <v>359</v>
      </c>
      <c r="C18" s="209" t="s">
        <v>79</v>
      </c>
      <c r="D18" s="210" t="s">
        <v>83</v>
      </c>
      <c r="E18" s="211" t="str">
        <f t="shared" si="9"/>
        <v/>
      </c>
      <c r="F18" s="212">
        <v>37938.0</v>
      </c>
      <c r="G18" s="213">
        <f t="shared" si="2"/>
        <v>22</v>
      </c>
      <c r="H18" s="214">
        <f>1+1+1+1+1+1+1</f>
        <v>7</v>
      </c>
      <c r="I18" s="214">
        <f>90+45+90+69+27+72+58</f>
        <v>451</v>
      </c>
      <c r="J18" s="214"/>
      <c r="K18" s="214">
        <f>2</f>
        <v>2</v>
      </c>
      <c r="L18" s="214">
        <f>1+1+1</f>
        <v>3</v>
      </c>
      <c r="M18" s="214"/>
      <c r="N18" s="214"/>
      <c r="O18" s="214">
        <f t="shared" si="3"/>
        <v>2</v>
      </c>
      <c r="P18" s="214"/>
    </row>
    <row r="19" ht="22.5" customHeight="1">
      <c r="A19" s="207">
        <v>19.0</v>
      </c>
      <c r="B19" s="208" t="s">
        <v>360</v>
      </c>
      <c r="C19" s="209" t="s">
        <v>70</v>
      </c>
      <c r="D19" s="210" t="s">
        <v>361</v>
      </c>
      <c r="E19" s="211" t="str">
        <f t="shared" si="9"/>
        <v/>
      </c>
      <c r="F19" s="212">
        <v>37429.0</v>
      </c>
      <c r="G19" s="213">
        <f t="shared" si="2"/>
        <v>23</v>
      </c>
      <c r="H19" s="214">
        <f>1+1+1+1+1</f>
        <v>5</v>
      </c>
      <c r="I19" s="214">
        <f>67+90+90+90+45</f>
        <v>382</v>
      </c>
      <c r="J19" s="214"/>
      <c r="K19" s="214"/>
      <c r="L19" s="214"/>
      <c r="M19" s="214"/>
      <c r="N19" s="214"/>
      <c r="O19" s="214">
        <f t="shared" si="3"/>
        <v>0</v>
      </c>
      <c r="P19" s="214"/>
    </row>
    <row r="20" ht="22.5" customHeight="1">
      <c r="A20" s="207">
        <v>20.0</v>
      </c>
      <c r="B20" s="208" t="s">
        <v>362</v>
      </c>
      <c r="C20" s="209" t="s">
        <v>79</v>
      </c>
      <c r="D20" s="210" t="s">
        <v>83</v>
      </c>
      <c r="E20" s="211" t="str">
        <f t="shared" si="9"/>
        <v/>
      </c>
      <c r="F20" s="212">
        <v>37766.0</v>
      </c>
      <c r="G20" s="213">
        <f t="shared" si="2"/>
        <v>22</v>
      </c>
      <c r="H20" s="214">
        <f>1+1+1+1+1+1</f>
        <v>6</v>
      </c>
      <c r="I20" s="214">
        <f>20+62+77+12+29+67</f>
        <v>267</v>
      </c>
      <c r="J20" s="214"/>
      <c r="K20" s="214"/>
      <c r="L20" s="214">
        <f>1</f>
        <v>1</v>
      </c>
      <c r="M20" s="214"/>
      <c r="N20" s="214"/>
      <c r="O20" s="214">
        <f t="shared" si="3"/>
        <v>0</v>
      </c>
      <c r="P20" s="214"/>
    </row>
    <row r="21" ht="22.5" customHeight="1">
      <c r="A21" s="207">
        <v>21.0</v>
      </c>
      <c r="B21" s="208" t="s">
        <v>363</v>
      </c>
      <c r="C21" s="209" t="s">
        <v>82</v>
      </c>
      <c r="D21" s="210" t="s">
        <v>364</v>
      </c>
      <c r="E21" s="211" t="str">
        <f>IMAGE("https://flagcdn.com/w320/ma.png")</f>
        <v/>
      </c>
      <c r="F21" s="212">
        <v>36923.0</v>
      </c>
      <c r="G21" s="213">
        <f t="shared" si="2"/>
        <v>24</v>
      </c>
      <c r="H21" s="214">
        <f>1</f>
        <v>1</v>
      </c>
      <c r="I21" s="214">
        <f>79</f>
        <v>79</v>
      </c>
      <c r="J21" s="214"/>
      <c r="K21" s="214"/>
      <c r="L21" s="214"/>
      <c r="M21" s="214"/>
      <c r="N21" s="214"/>
      <c r="O21" s="214">
        <f t="shared" si="3"/>
        <v>0</v>
      </c>
      <c r="P21" s="214"/>
    </row>
    <row r="22" ht="22.5" customHeight="1">
      <c r="A22" s="207">
        <v>22.0</v>
      </c>
      <c r="B22" s="208" t="s">
        <v>365</v>
      </c>
      <c r="C22" s="209" t="s">
        <v>82</v>
      </c>
      <c r="D22" s="210" t="s">
        <v>83</v>
      </c>
      <c r="E22" s="211" t="str">
        <f t="shared" ref="E22:E25" si="11">IMAGE("https://flagcdn.com/w320/es.png")</f>
        <v/>
      </c>
      <c r="F22" s="212">
        <v>37685.0</v>
      </c>
      <c r="G22" s="213">
        <f t="shared" si="2"/>
        <v>22</v>
      </c>
      <c r="H22" s="214">
        <f>1+1+1+1</f>
        <v>4</v>
      </c>
      <c r="I22" s="214">
        <f>10+28+21+23</f>
        <v>82</v>
      </c>
      <c r="J22" s="214">
        <f>1</f>
        <v>1</v>
      </c>
      <c r="K22" s="214"/>
      <c r="L22" s="214"/>
      <c r="M22" s="214"/>
      <c r="N22" s="214"/>
      <c r="O22" s="214">
        <f t="shared" si="3"/>
        <v>1</v>
      </c>
      <c r="P22" s="214"/>
    </row>
    <row r="23" ht="22.5" customHeight="1">
      <c r="A23" s="207">
        <v>23.0</v>
      </c>
      <c r="B23" s="208" t="s">
        <v>366</v>
      </c>
      <c r="C23" s="209" t="s">
        <v>79</v>
      </c>
      <c r="D23" s="210" t="s">
        <v>83</v>
      </c>
      <c r="E23" s="211" t="str">
        <f t="shared" si="11"/>
        <v/>
      </c>
      <c r="F23" s="212">
        <v>37358.0</v>
      </c>
      <c r="G23" s="213">
        <f t="shared" si="2"/>
        <v>23</v>
      </c>
      <c r="H23" s="214">
        <f>1+1+1+1+1+1</f>
        <v>6</v>
      </c>
      <c r="I23" s="215">
        <f>60+90+26+69+90+90</f>
        <v>425</v>
      </c>
      <c r="J23" s="214">
        <f>1+1</f>
        <v>2</v>
      </c>
      <c r="K23" s="214">
        <f>2</f>
        <v>2</v>
      </c>
      <c r="L23" s="214"/>
      <c r="M23" s="214"/>
      <c r="N23" s="214"/>
      <c r="O23" s="214">
        <f t="shared" si="3"/>
        <v>4</v>
      </c>
      <c r="P23" s="214"/>
    </row>
    <row r="24" ht="22.5" customHeight="1">
      <c r="A24" s="207">
        <v>24.0</v>
      </c>
      <c r="B24" s="208" t="s">
        <v>367</v>
      </c>
      <c r="C24" s="209" t="s">
        <v>79</v>
      </c>
      <c r="D24" s="210" t="s">
        <v>83</v>
      </c>
      <c r="E24" s="211" t="str">
        <f t="shared" si="11"/>
        <v/>
      </c>
      <c r="F24" s="212">
        <v>36930.0</v>
      </c>
      <c r="G24" s="213">
        <f t="shared" si="2"/>
        <v>24</v>
      </c>
      <c r="H24" s="214"/>
      <c r="I24" s="214"/>
      <c r="J24" s="214"/>
      <c r="K24" s="214"/>
      <c r="L24" s="214"/>
      <c r="M24" s="214"/>
      <c r="N24" s="214"/>
      <c r="O24" s="214">
        <f t="shared" si="3"/>
        <v>0</v>
      </c>
      <c r="P24" s="214"/>
    </row>
    <row r="25" ht="22.5" customHeight="1">
      <c r="A25" s="216">
        <v>26.0</v>
      </c>
      <c r="B25" s="217" t="s">
        <v>368</v>
      </c>
      <c r="C25" s="218" t="s">
        <v>67</v>
      </c>
      <c r="D25" s="219" t="s">
        <v>83</v>
      </c>
      <c r="E25" s="220" t="str">
        <f t="shared" si="11"/>
        <v/>
      </c>
      <c r="F25" s="221">
        <v>38292.0</v>
      </c>
      <c r="G25" s="222">
        <f t="shared" si="2"/>
        <v>21</v>
      </c>
      <c r="H25" s="223">
        <f t="shared" ref="H25:I25" si="12">0</f>
        <v>0</v>
      </c>
      <c r="I25" s="223">
        <f t="shared" si="12"/>
        <v>0</v>
      </c>
      <c r="J25" s="223"/>
      <c r="K25" s="223"/>
      <c r="L25" s="223"/>
      <c r="M25" s="223"/>
      <c r="N25" s="223"/>
      <c r="O25" s="223">
        <f t="shared" si="3"/>
        <v>0</v>
      </c>
      <c r="P25" s="223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22.5" customHeight="1">
      <c r="A26" s="207">
        <v>27.0</v>
      </c>
      <c r="B26" s="208" t="s">
        <v>369</v>
      </c>
      <c r="C26" s="209" t="s">
        <v>67</v>
      </c>
      <c r="D26" s="210" t="s">
        <v>370</v>
      </c>
      <c r="E26" s="211" t="str">
        <f>IMAGE("https://flagcdn.com/w320/mx.png")</f>
        <v/>
      </c>
      <c r="F26" s="212">
        <v>37865.0</v>
      </c>
      <c r="G26" s="213">
        <f t="shared" si="2"/>
        <v>22</v>
      </c>
      <c r="H26" s="214">
        <f t="shared" ref="H26:I26" si="13">0</f>
        <v>0</v>
      </c>
      <c r="I26" s="214">
        <f t="shared" si="13"/>
        <v>0</v>
      </c>
      <c r="J26" s="214"/>
      <c r="K26" s="214"/>
      <c r="L26" s="214"/>
      <c r="M26" s="214"/>
      <c r="N26" s="214"/>
      <c r="O26" s="214">
        <f t="shared" si="3"/>
        <v>0</v>
      </c>
      <c r="P26" s="214"/>
    </row>
    <row r="27" ht="22.5" customHeight="1">
      <c r="A27" s="207">
        <v>29.0</v>
      </c>
      <c r="B27" s="208" t="s">
        <v>371</v>
      </c>
      <c r="C27" s="209" t="s">
        <v>70</v>
      </c>
      <c r="D27" s="210" t="s">
        <v>83</v>
      </c>
      <c r="E27" s="211" t="str">
        <f t="shared" ref="E27:E34" si="14">IMAGE("https://flagcdn.com/w320/es.png")</f>
        <v/>
      </c>
      <c r="F27" s="212">
        <v>37334.0</v>
      </c>
      <c r="G27" s="213">
        <f t="shared" si="2"/>
        <v>23</v>
      </c>
      <c r="H27" s="214"/>
      <c r="I27" s="214"/>
      <c r="J27" s="214"/>
      <c r="K27" s="214"/>
      <c r="L27" s="214"/>
      <c r="M27" s="214"/>
      <c r="N27" s="214"/>
      <c r="O27" s="214">
        <f t="shared" si="3"/>
        <v>0</v>
      </c>
      <c r="P27" s="214"/>
    </row>
    <row r="28" ht="22.5" customHeight="1">
      <c r="A28" s="207">
        <v>30.0</v>
      </c>
      <c r="B28" s="208" t="s">
        <v>372</v>
      </c>
      <c r="C28" s="209" t="s">
        <v>79</v>
      </c>
      <c r="D28" s="210" t="s">
        <v>83</v>
      </c>
      <c r="E28" s="211" t="str">
        <f t="shared" si="14"/>
        <v/>
      </c>
      <c r="F28" s="212">
        <v>37783.0</v>
      </c>
      <c r="G28" s="213">
        <f t="shared" si="2"/>
        <v>22</v>
      </c>
      <c r="H28" s="214">
        <f>1+1+1+1+1+1+1</f>
        <v>7</v>
      </c>
      <c r="I28" s="214">
        <f>10+90+64+80+90+18+58</f>
        <v>410</v>
      </c>
      <c r="J28" s="214"/>
      <c r="K28" s="214"/>
      <c r="L28" s="214"/>
      <c r="M28" s="214"/>
      <c r="N28" s="214"/>
      <c r="O28" s="214">
        <f t="shared" si="3"/>
        <v>0</v>
      </c>
      <c r="P28" s="214"/>
    </row>
    <row r="29" ht="22.5" customHeight="1">
      <c r="A29" s="216">
        <v>31.0</v>
      </c>
      <c r="B29" s="217" t="s">
        <v>373</v>
      </c>
      <c r="C29" s="218" t="s">
        <v>82</v>
      </c>
      <c r="D29" s="219" t="s">
        <v>83</v>
      </c>
      <c r="E29" s="220" t="str">
        <f t="shared" si="14"/>
        <v/>
      </c>
      <c r="F29" s="221">
        <v>38478.0</v>
      </c>
      <c r="G29" s="222">
        <f t="shared" si="2"/>
        <v>20</v>
      </c>
      <c r="H29" s="224">
        <f>1+1</f>
        <v>2</v>
      </c>
      <c r="I29" s="224">
        <f>13+18</f>
        <v>31</v>
      </c>
      <c r="J29" s="223"/>
      <c r="K29" s="223"/>
      <c r="L29" s="223"/>
      <c r="M29" s="223"/>
      <c r="N29" s="223"/>
      <c r="O29" s="223">
        <f t="shared" si="3"/>
        <v>0</v>
      </c>
      <c r="P29" s="223"/>
    </row>
    <row r="30" ht="22.5" customHeight="1">
      <c r="A30" s="216">
        <v>33.0</v>
      </c>
      <c r="B30" s="217" t="s">
        <v>374</v>
      </c>
      <c r="C30" s="218" t="s">
        <v>79</v>
      </c>
      <c r="D30" s="219" t="s">
        <v>83</v>
      </c>
      <c r="E30" s="220" t="str">
        <f t="shared" si="14"/>
        <v/>
      </c>
      <c r="F30" s="221">
        <v>39015.0</v>
      </c>
      <c r="G30" s="222">
        <f t="shared" si="2"/>
        <v>19</v>
      </c>
      <c r="H30" s="224">
        <v>0.0</v>
      </c>
      <c r="I30" s="224">
        <v>0.0</v>
      </c>
      <c r="J30" s="223"/>
      <c r="K30" s="223"/>
      <c r="L30" s="223"/>
      <c r="M30" s="223"/>
      <c r="N30" s="223"/>
      <c r="O30" s="223">
        <f t="shared" si="3"/>
        <v>0</v>
      </c>
      <c r="P30" s="2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ht="22.5" customHeight="1">
      <c r="A31" s="207">
        <v>34.0</v>
      </c>
      <c r="B31" s="208" t="s">
        <v>375</v>
      </c>
      <c r="C31" s="209" t="s">
        <v>70</v>
      </c>
      <c r="D31" s="210" t="s">
        <v>83</v>
      </c>
      <c r="E31" s="211" t="str">
        <f t="shared" si="14"/>
        <v/>
      </c>
      <c r="F31" s="212">
        <v>37838.0</v>
      </c>
      <c r="G31" s="213">
        <f t="shared" si="2"/>
        <v>22</v>
      </c>
      <c r="H31" s="214">
        <f t="shared" ref="H31:I31" si="15">0</f>
        <v>0</v>
      </c>
      <c r="I31" s="214">
        <f t="shared" si="15"/>
        <v>0</v>
      </c>
      <c r="J31" s="214"/>
      <c r="K31" s="214"/>
      <c r="L31" s="214"/>
      <c r="M31" s="214"/>
      <c r="N31" s="214"/>
      <c r="O31" s="214">
        <f t="shared" si="3"/>
        <v>0</v>
      </c>
      <c r="P31" s="214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ht="22.5" customHeight="1">
      <c r="A32" s="216">
        <v>35.0</v>
      </c>
      <c r="B32" s="217" t="s">
        <v>376</v>
      </c>
      <c r="C32" s="218" t="s">
        <v>79</v>
      </c>
      <c r="D32" s="219" t="s">
        <v>83</v>
      </c>
      <c r="E32" s="220" t="str">
        <f t="shared" si="14"/>
        <v/>
      </c>
      <c r="F32" s="221">
        <v>38085.0</v>
      </c>
      <c r="G32" s="222">
        <f t="shared" si="2"/>
        <v>21</v>
      </c>
      <c r="H32" s="223">
        <f>1</f>
        <v>1</v>
      </c>
      <c r="I32" s="223">
        <f>11</f>
        <v>11</v>
      </c>
      <c r="J32" s="223"/>
      <c r="K32" s="223"/>
      <c r="L32" s="223"/>
      <c r="M32" s="223"/>
      <c r="N32" s="223"/>
      <c r="O32" s="223">
        <f t="shared" si="3"/>
        <v>0</v>
      </c>
      <c r="P32" s="2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ht="22.5" customHeight="1">
      <c r="A33" s="207">
        <v>38.0</v>
      </c>
      <c r="B33" s="208" t="s">
        <v>377</v>
      </c>
      <c r="C33" s="209" t="s">
        <v>70</v>
      </c>
      <c r="D33" s="210" t="s">
        <v>83</v>
      </c>
      <c r="E33" s="211" t="str">
        <f t="shared" si="14"/>
        <v/>
      </c>
      <c r="F33" s="212">
        <v>37800.0</v>
      </c>
      <c r="G33" s="213">
        <f t="shared" si="2"/>
        <v>22</v>
      </c>
      <c r="H33" s="215">
        <v>0.0</v>
      </c>
      <c r="I33" s="215">
        <v>0.0</v>
      </c>
      <c r="J33" s="214"/>
      <c r="K33" s="214"/>
      <c r="L33" s="214"/>
      <c r="M33" s="214"/>
      <c r="N33" s="214"/>
      <c r="O33" s="214">
        <f t="shared" si="3"/>
        <v>0</v>
      </c>
      <c r="P33" s="214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ht="22.5" customHeight="1">
      <c r="A34" s="216">
        <v>44.0</v>
      </c>
      <c r="B34" s="217" t="s">
        <v>378</v>
      </c>
      <c r="C34" s="218" t="s">
        <v>79</v>
      </c>
      <c r="D34" s="219" t="s">
        <v>379</v>
      </c>
      <c r="E34" s="220" t="str">
        <f t="shared" si="14"/>
        <v/>
      </c>
      <c r="F34" s="221">
        <v>39133.0</v>
      </c>
      <c r="G34" s="222">
        <f t="shared" si="2"/>
        <v>18</v>
      </c>
      <c r="H34" s="223">
        <f>1+1</f>
        <v>2</v>
      </c>
      <c r="I34" s="223">
        <f>21+34</f>
        <v>55</v>
      </c>
      <c r="J34" s="223"/>
      <c r="K34" s="223"/>
      <c r="L34" s="223"/>
      <c r="M34" s="223"/>
      <c r="N34" s="223"/>
      <c r="O34" s="223">
        <f t="shared" si="3"/>
        <v>0</v>
      </c>
      <c r="P34" s="223"/>
    </row>
    <row r="35">
      <c r="A35" s="12"/>
      <c r="D35" s="95"/>
      <c r="F35" s="96"/>
      <c r="H35" s="11">
        <f t="shared" ref="H35:P35" si="16">SUM(H2:H34)</f>
        <v>112</v>
      </c>
      <c r="I35" s="11">
        <f t="shared" si="16"/>
        <v>6930</v>
      </c>
      <c r="J35" s="11">
        <f t="shared" si="16"/>
        <v>7</v>
      </c>
      <c r="K35" s="11">
        <f t="shared" si="16"/>
        <v>6</v>
      </c>
      <c r="L35" s="11">
        <f t="shared" si="16"/>
        <v>13</v>
      </c>
      <c r="M35" s="11">
        <f t="shared" si="16"/>
        <v>0</v>
      </c>
      <c r="N35" s="11">
        <f t="shared" si="16"/>
        <v>2</v>
      </c>
      <c r="O35" s="11">
        <f t="shared" si="16"/>
        <v>13</v>
      </c>
      <c r="P35" s="11">
        <f t="shared" si="16"/>
        <v>0</v>
      </c>
    </row>
    <row r="36" ht="22.5" customHeight="1">
      <c r="A36" s="201" t="s">
        <v>150</v>
      </c>
      <c r="B36" s="202" t="s">
        <v>49</v>
      </c>
      <c r="C36" s="202" t="s">
        <v>265</v>
      </c>
      <c r="D36" s="225" t="s">
        <v>56</v>
      </c>
      <c r="E36" s="202" t="s">
        <v>57</v>
      </c>
      <c r="F36" s="202" t="s">
        <v>52</v>
      </c>
      <c r="G36" s="202" t="s">
        <v>53</v>
      </c>
      <c r="H36" s="202" t="s">
        <v>4</v>
      </c>
      <c r="I36" s="202" t="s">
        <v>5</v>
      </c>
      <c r="J36" s="202" t="s">
        <v>6</v>
      </c>
      <c r="K36" s="202" t="s">
        <v>7</v>
      </c>
      <c r="L36" s="202" t="s">
        <v>8</v>
      </c>
      <c r="M36" s="202" t="s">
        <v>9</v>
      </c>
      <c r="N36" s="202" t="s">
        <v>10</v>
      </c>
    </row>
    <row r="37" ht="22.5" customHeight="1">
      <c r="A37" s="226"/>
      <c r="B37" s="208" t="s">
        <v>380</v>
      </c>
      <c r="C37" s="208" t="s">
        <v>153</v>
      </c>
      <c r="D37" s="210" t="s">
        <v>83</v>
      </c>
      <c r="E37" s="211" t="str">
        <f>IMAGE("https://flagcdn.com/w320/es.png")</f>
        <v/>
      </c>
      <c r="F37" s="212">
        <v>23416.0</v>
      </c>
      <c r="G37" s="213">
        <f>DATEDIF(F37,TODAY(),"Y")</f>
        <v>61</v>
      </c>
      <c r="H37" s="227">
        <f>L37+M37+N37</f>
        <v>7</v>
      </c>
      <c r="I37" s="227">
        <f>(3*L37)+M37</f>
        <v>8</v>
      </c>
      <c r="J37" s="227">
        <f>1+3+3</f>
        <v>7</v>
      </c>
      <c r="K37" s="227">
        <f>2+4+1+2+2</f>
        <v>11</v>
      </c>
      <c r="L37" s="228">
        <f t="shared" ref="L37:M37" si="17">1+1</f>
        <v>2</v>
      </c>
      <c r="M37" s="229">
        <f t="shared" si="17"/>
        <v>2</v>
      </c>
      <c r="N37" s="230">
        <f>1+1+1</f>
        <v>3</v>
      </c>
    </row>
    <row r="38">
      <c r="A38" s="11"/>
      <c r="B38" s="18"/>
      <c r="C38" s="18"/>
      <c r="D38" s="64"/>
      <c r="E38" s="18"/>
      <c r="F38" s="66"/>
      <c r="G38" s="18"/>
      <c r="H38" s="11">
        <f>SUM(trenerAthletic[mecze])</f>
        <v>7</v>
      </c>
      <c r="I38" s="11">
        <f>SUM(trenerAthletic[punkty])</f>
        <v>8</v>
      </c>
      <c r="J38" s="11">
        <f>SUM(trenerAthletic[strzelone])</f>
        <v>7</v>
      </c>
      <c r="K38" s="11">
        <f>SUM(trenerAthletic[stracone])</f>
        <v>11</v>
      </c>
      <c r="L38" s="11">
        <f>SUM(trenerAthletic[wygrane])</f>
        <v>2</v>
      </c>
      <c r="M38" s="11">
        <f>SUM(trenerAthletic[remisy])</f>
        <v>2</v>
      </c>
      <c r="N38" s="11">
        <f>SUM(trenerAthletic[porażki])</f>
        <v>3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22.5" customHeight="1">
      <c r="A39" s="201" t="s">
        <v>156</v>
      </c>
      <c r="B39" s="201" t="s">
        <v>157</v>
      </c>
      <c r="C39" s="201" t="s">
        <v>158</v>
      </c>
      <c r="D39" s="205" t="s">
        <v>381</v>
      </c>
      <c r="E39" s="201" t="s">
        <v>160</v>
      </c>
      <c r="F39" s="201" t="s">
        <v>161</v>
      </c>
    </row>
    <row r="40" ht="22.5" customHeight="1">
      <c r="A40" s="77">
        <v>1.0</v>
      </c>
      <c r="B40" s="78" t="s">
        <v>40</v>
      </c>
      <c r="C40" s="78" t="s">
        <v>12</v>
      </c>
      <c r="D40" s="79"/>
      <c r="E40" s="80" t="s">
        <v>162</v>
      </c>
      <c r="F40" s="78" t="s">
        <v>269</v>
      </c>
    </row>
    <row r="41" ht="22.5" customHeight="1">
      <c r="A41" s="77">
        <v>2.0</v>
      </c>
      <c r="B41" s="78" t="s">
        <v>21</v>
      </c>
      <c r="C41" s="78" t="s">
        <v>40</v>
      </c>
      <c r="D41" s="83" t="s">
        <v>382</v>
      </c>
      <c r="E41" s="84">
        <v>45748.0</v>
      </c>
      <c r="F41" s="78" t="s">
        <v>383</v>
      </c>
    </row>
    <row r="42" ht="22.5" customHeight="1">
      <c r="A42" s="86">
        <v>3.0</v>
      </c>
      <c r="B42" s="87" t="s">
        <v>40</v>
      </c>
      <c r="C42" s="87" t="s">
        <v>32</v>
      </c>
      <c r="D42" s="88" t="s">
        <v>384</v>
      </c>
      <c r="E42" s="89">
        <v>45717.0</v>
      </c>
      <c r="F42" s="87" t="s">
        <v>269</v>
      </c>
    </row>
    <row r="43" ht="22.5" customHeight="1">
      <c r="A43" s="77">
        <v>4.0</v>
      </c>
      <c r="B43" s="78" t="s">
        <v>26</v>
      </c>
      <c r="C43" s="78" t="s">
        <v>40</v>
      </c>
      <c r="D43" s="79"/>
      <c r="E43" s="80" t="s">
        <v>271</v>
      </c>
      <c r="F43" s="78" t="s">
        <v>385</v>
      </c>
    </row>
    <row r="44" ht="22.5" customHeight="1">
      <c r="A44" s="197">
        <v>5.0</v>
      </c>
      <c r="B44" s="198" t="s">
        <v>45</v>
      </c>
      <c r="C44" s="198" t="s">
        <v>40</v>
      </c>
      <c r="D44" s="199"/>
      <c r="E44" s="200" t="s">
        <v>331</v>
      </c>
      <c r="F44" s="198" t="s">
        <v>276</v>
      </c>
    </row>
    <row r="45" ht="22.5" customHeight="1">
      <c r="A45" s="197">
        <v>6.0</v>
      </c>
      <c r="B45" s="198" t="s">
        <v>40</v>
      </c>
      <c r="C45" s="198" t="s">
        <v>15</v>
      </c>
      <c r="D45" s="199"/>
      <c r="E45" s="200" t="s">
        <v>331</v>
      </c>
      <c r="F45" s="198" t="s">
        <v>269</v>
      </c>
    </row>
    <row r="46" ht="22.5" customHeight="1">
      <c r="A46" s="86">
        <v>7.0</v>
      </c>
      <c r="B46" s="87" t="s">
        <v>14</v>
      </c>
      <c r="C46" s="87" t="s">
        <v>40</v>
      </c>
      <c r="D46" s="88" t="s">
        <v>386</v>
      </c>
      <c r="E46" s="89">
        <v>46056.0</v>
      </c>
      <c r="F46" s="87" t="s">
        <v>330</v>
      </c>
    </row>
    <row r="47" ht="22.5" customHeight="1">
      <c r="A47" s="90">
        <v>8.0</v>
      </c>
      <c r="B47" s="91" t="s">
        <v>40</v>
      </c>
      <c r="C47" s="91" t="s">
        <v>24</v>
      </c>
      <c r="D47" s="92"/>
      <c r="E47" s="93"/>
      <c r="F47" s="94" t="s">
        <v>269</v>
      </c>
    </row>
    <row r="48">
      <c r="A48" s="12"/>
      <c r="D48" s="95"/>
      <c r="F48" s="96"/>
    </row>
    <row r="49">
      <c r="A49" s="12"/>
      <c r="D49" s="95"/>
      <c r="F49" s="96"/>
    </row>
    <row r="50">
      <c r="A50" s="12"/>
      <c r="D50" s="95"/>
      <c r="F50" s="96"/>
    </row>
    <row r="51">
      <c r="A51" s="12"/>
      <c r="D51" s="95"/>
      <c r="F51" s="96"/>
    </row>
    <row r="52">
      <c r="A52" s="12"/>
      <c r="D52" s="95"/>
      <c r="F52" s="96"/>
    </row>
    <row r="53">
      <c r="A53" s="12"/>
      <c r="D53" s="95"/>
      <c r="F53" s="96"/>
    </row>
    <row r="54">
      <c r="A54" s="12"/>
      <c r="D54" s="95"/>
      <c r="F54" s="96"/>
    </row>
    <row r="55">
      <c r="A55" s="12"/>
      <c r="D55" s="95"/>
      <c r="F55" s="96"/>
    </row>
    <row r="56">
      <c r="A56" s="12"/>
      <c r="D56" s="95"/>
      <c r="F56" s="96"/>
    </row>
    <row r="57">
      <c r="A57" s="12"/>
      <c r="D57" s="95"/>
      <c r="F57" s="96"/>
    </row>
    <row r="58">
      <c r="A58" s="12"/>
      <c r="D58" s="95"/>
      <c r="F58" s="96"/>
    </row>
    <row r="59">
      <c r="A59" s="12"/>
      <c r="D59" s="95"/>
      <c r="F59" s="96"/>
    </row>
    <row r="60">
      <c r="A60" s="12"/>
      <c r="D60" s="95"/>
      <c r="F60" s="96"/>
    </row>
    <row r="61">
      <c r="A61" s="12"/>
      <c r="D61" s="95"/>
      <c r="F61" s="96"/>
    </row>
    <row r="62">
      <c r="A62" s="12"/>
      <c r="D62" s="95"/>
      <c r="F62" s="96"/>
    </row>
    <row r="63">
      <c r="A63" s="12"/>
      <c r="D63" s="95"/>
      <c r="F63" s="96"/>
    </row>
    <row r="64">
      <c r="A64" s="12"/>
      <c r="D64" s="95"/>
      <c r="F64" s="96"/>
    </row>
    <row r="65">
      <c r="A65" s="12"/>
      <c r="D65" s="95"/>
      <c r="F65" s="96"/>
    </row>
    <row r="66">
      <c r="A66" s="12"/>
      <c r="D66" s="95"/>
      <c r="F66" s="96"/>
    </row>
    <row r="67">
      <c r="A67" s="12"/>
      <c r="D67" s="95"/>
      <c r="F67" s="96"/>
    </row>
    <row r="68">
      <c r="A68" s="12"/>
      <c r="D68" s="95"/>
      <c r="F68" s="96"/>
    </row>
    <row r="69">
      <c r="A69" s="12"/>
      <c r="D69" s="95"/>
      <c r="F69" s="96"/>
    </row>
    <row r="70">
      <c r="A70" s="12"/>
      <c r="D70" s="95"/>
      <c r="F70" s="96"/>
    </row>
    <row r="71">
      <c r="A71" s="12"/>
      <c r="D71" s="95"/>
      <c r="F71" s="96"/>
    </row>
    <row r="72">
      <c r="A72" s="12"/>
      <c r="D72" s="95"/>
      <c r="F72" s="96"/>
    </row>
    <row r="73">
      <c r="A73" s="12"/>
      <c r="D73" s="95"/>
      <c r="F73" s="96"/>
    </row>
    <row r="74">
      <c r="A74" s="12"/>
      <c r="D74" s="95"/>
      <c r="F74" s="96"/>
    </row>
    <row r="75">
      <c r="A75" s="12"/>
      <c r="D75" s="95"/>
      <c r="F75" s="96"/>
    </row>
    <row r="76">
      <c r="A76" s="12"/>
      <c r="D76" s="95"/>
      <c r="F76" s="96"/>
    </row>
    <row r="77">
      <c r="A77" s="12"/>
      <c r="D77" s="95"/>
      <c r="F77" s="96"/>
    </row>
    <row r="78">
      <c r="A78" s="12"/>
      <c r="D78" s="95"/>
      <c r="F78" s="96"/>
    </row>
    <row r="79">
      <c r="A79" s="12"/>
      <c r="D79" s="95"/>
      <c r="F79" s="96"/>
    </row>
    <row r="80">
      <c r="A80" s="12"/>
      <c r="D80" s="95"/>
      <c r="F80" s="96"/>
    </row>
    <row r="81">
      <c r="A81" s="12"/>
      <c r="D81" s="95"/>
      <c r="F81" s="96"/>
    </row>
    <row r="82">
      <c r="A82" s="12"/>
      <c r="D82" s="95"/>
      <c r="F82" s="96"/>
    </row>
    <row r="83">
      <c r="A83" s="12"/>
      <c r="D83" s="95"/>
      <c r="F83" s="96"/>
    </row>
    <row r="84">
      <c r="A84" s="12"/>
      <c r="D84" s="95"/>
      <c r="F84" s="96"/>
    </row>
    <row r="85">
      <c r="A85" s="12"/>
      <c r="D85" s="95"/>
      <c r="F85" s="96"/>
    </row>
    <row r="86">
      <c r="A86" s="12"/>
      <c r="D86" s="95"/>
      <c r="F86" s="96"/>
    </row>
    <row r="87">
      <c r="A87" s="12"/>
      <c r="D87" s="95"/>
      <c r="F87" s="96"/>
    </row>
    <row r="88">
      <c r="A88" s="12"/>
      <c r="D88" s="95"/>
      <c r="F88" s="96"/>
    </row>
    <row r="89">
      <c r="A89" s="12"/>
      <c r="D89" s="95"/>
      <c r="F89" s="96"/>
    </row>
    <row r="90">
      <c r="A90" s="12"/>
      <c r="D90" s="95"/>
      <c r="F90" s="96"/>
    </row>
    <row r="91">
      <c r="A91" s="12"/>
      <c r="D91" s="95"/>
      <c r="F91" s="96"/>
    </row>
    <row r="92">
      <c r="A92" s="12"/>
      <c r="D92" s="95"/>
      <c r="F92" s="96"/>
    </row>
    <row r="93">
      <c r="A93" s="12"/>
      <c r="D93" s="95"/>
      <c r="F93" s="96"/>
    </row>
    <row r="94">
      <c r="A94" s="12"/>
      <c r="D94" s="95"/>
      <c r="F94" s="96"/>
    </row>
    <row r="95">
      <c r="A95" s="12"/>
      <c r="D95" s="95"/>
      <c r="F95" s="96"/>
    </row>
    <row r="96">
      <c r="A96" s="12"/>
      <c r="D96" s="95"/>
      <c r="F96" s="96"/>
    </row>
    <row r="97">
      <c r="A97" s="12"/>
      <c r="D97" s="95"/>
      <c r="F97" s="96"/>
    </row>
    <row r="98">
      <c r="A98" s="12"/>
      <c r="D98" s="95"/>
      <c r="F98" s="96"/>
    </row>
    <row r="99">
      <c r="A99" s="12"/>
      <c r="D99" s="95"/>
      <c r="F99" s="96"/>
    </row>
    <row r="100">
      <c r="A100" s="12"/>
      <c r="D100" s="95"/>
      <c r="F100" s="96"/>
    </row>
    <row r="101">
      <c r="A101" s="12"/>
      <c r="D101" s="95"/>
      <c r="F101" s="96"/>
    </row>
    <row r="102">
      <c r="A102" s="12"/>
      <c r="D102" s="95"/>
      <c r="F102" s="96"/>
    </row>
    <row r="103">
      <c r="A103" s="12"/>
      <c r="D103" s="95"/>
      <c r="F103" s="96"/>
    </row>
    <row r="104">
      <c r="A104" s="12"/>
      <c r="D104" s="95"/>
      <c r="F104" s="96"/>
    </row>
    <row r="105">
      <c r="A105" s="12"/>
      <c r="D105" s="95"/>
      <c r="F105" s="96"/>
    </row>
    <row r="106">
      <c r="A106" s="12"/>
      <c r="D106" s="95"/>
      <c r="F106" s="96"/>
    </row>
    <row r="107">
      <c r="A107" s="12"/>
      <c r="D107" s="95"/>
      <c r="F107" s="96"/>
    </row>
    <row r="108">
      <c r="A108" s="12"/>
      <c r="D108" s="95"/>
      <c r="F108" s="96"/>
    </row>
    <row r="109">
      <c r="A109" s="12"/>
      <c r="D109" s="95"/>
      <c r="F109" s="96"/>
    </row>
    <row r="110">
      <c r="A110" s="12"/>
      <c r="D110" s="95"/>
      <c r="F110" s="96"/>
    </row>
    <row r="111">
      <c r="A111" s="12"/>
      <c r="D111" s="95"/>
      <c r="F111" s="96"/>
    </row>
    <row r="112">
      <c r="A112" s="12"/>
      <c r="D112" s="95"/>
      <c r="F112" s="96"/>
    </row>
    <row r="113">
      <c r="A113" s="12"/>
      <c r="D113" s="95"/>
      <c r="F113" s="96"/>
    </row>
    <row r="114">
      <c r="A114" s="12"/>
      <c r="D114" s="95"/>
      <c r="F114" s="96"/>
    </row>
    <row r="115">
      <c r="A115" s="12"/>
      <c r="D115" s="95"/>
      <c r="F115" s="96"/>
    </row>
    <row r="116">
      <c r="A116" s="12"/>
      <c r="D116" s="95"/>
      <c r="F116" s="96"/>
    </row>
    <row r="117">
      <c r="A117" s="12"/>
      <c r="D117" s="95"/>
      <c r="F117" s="96"/>
    </row>
    <row r="118">
      <c r="A118" s="12"/>
      <c r="D118" s="95"/>
      <c r="F118" s="96"/>
    </row>
    <row r="119">
      <c r="A119" s="12"/>
      <c r="D119" s="95"/>
      <c r="F119" s="96"/>
    </row>
    <row r="120">
      <c r="A120" s="12"/>
      <c r="D120" s="95"/>
      <c r="F120" s="96"/>
    </row>
    <row r="121">
      <c r="A121" s="12"/>
      <c r="D121" s="95"/>
      <c r="F121" s="96"/>
    </row>
    <row r="122">
      <c r="A122" s="12"/>
      <c r="D122" s="95"/>
      <c r="F122" s="96"/>
    </row>
    <row r="123">
      <c r="A123" s="12"/>
      <c r="D123" s="95"/>
      <c r="F123" s="96"/>
    </row>
    <row r="124">
      <c r="A124" s="12"/>
      <c r="D124" s="95"/>
      <c r="F124" s="96"/>
    </row>
    <row r="125">
      <c r="A125" s="12"/>
      <c r="D125" s="95"/>
      <c r="F125" s="96"/>
    </row>
    <row r="126">
      <c r="A126" s="12"/>
      <c r="D126" s="95"/>
      <c r="F126" s="96"/>
    </row>
    <row r="127">
      <c r="A127" s="12"/>
      <c r="D127" s="95"/>
      <c r="F127" s="96"/>
    </row>
    <row r="128">
      <c r="A128" s="12"/>
      <c r="D128" s="95"/>
      <c r="F128" s="96"/>
    </row>
    <row r="129">
      <c r="A129" s="12"/>
      <c r="D129" s="95"/>
      <c r="F129" s="96"/>
    </row>
    <row r="130">
      <c r="A130" s="12"/>
      <c r="D130" s="95"/>
      <c r="F130" s="96"/>
    </row>
    <row r="131">
      <c r="A131" s="12"/>
      <c r="D131" s="95"/>
      <c r="F131" s="96"/>
    </row>
    <row r="132">
      <c r="A132" s="12"/>
      <c r="D132" s="95"/>
      <c r="F132" s="96"/>
    </row>
    <row r="133">
      <c r="A133" s="12"/>
      <c r="D133" s="95"/>
      <c r="F133" s="96"/>
    </row>
    <row r="134">
      <c r="A134" s="12"/>
      <c r="D134" s="95"/>
      <c r="F134" s="96"/>
    </row>
    <row r="135">
      <c r="A135" s="12"/>
      <c r="D135" s="95"/>
      <c r="F135" s="96"/>
    </row>
    <row r="136">
      <c r="A136" s="12"/>
      <c r="D136" s="95"/>
      <c r="F136" s="96"/>
    </row>
    <row r="137">
      <c r="A137" s="12"/>
      <c r="D137" s="95"/>
      <c r="F137" s="96"/>
    </row>
    <row r="138">
      <c r="A138" s="12"/>
      <c r="D138" s="95"/>
      <c r="F138" s="96"/>
    </row>
    <row r="139">
      <c r="A139" s="12"/>
      <c r="D139" s="95"/>
      <c r="F139" s="96"/>
    </row>
    <row r="140">
      <c r="A140" s="12"/>
      <c r="D140" s="95"/>
      <c r="F140" s="96"/>
    </row>
    <row r="141">
      <c r="A141" s="12"/>
      <c r="D141" s="95"/>
      <c r="F141" s="96"/>
    </row>
    <row r="142">
      <c r="A142" s="12"/>
      <c r="D142" s="95"/>
      <c r="F142" s="96"/>
    </row>
    <row r="143">
      <c r="A143" s="12"/>
      <c r="D143" s="95"/>
      <c r="F143" s="96"/>
    </row>
    <row r="144">
      <c r="A144" s="12"/>
      <c r="D144" s="95"/>
      <c r="F144" s="96"/>
    </row>
    <row r="145">
      <c r="A145" s="12"/>
      <c r="D145" s="95"/>
      <c r="F145" s="96"/>
    </row>
    <row r="146">
      <c r="A146" s="12"/>
      <c r="D146" s="95"/>
      <c r="F146" s="96"/>
    </row>
    <row r="147">
      <c r="A147" s="12"/>
      <c r="D147" s="95"/>
      <c r="F147" s="96"/>
    </row>
    <row r="148">
      <c r="A148" s="12"/>
      <c r="D148" s="95"/>
      <c r="F148" s="96"/>
    </row>
    <row r="149">
      <c r="A149" s="12"/>
      <c r="D149" s="95"/>
      <c r="F149" s="96"/>
    </row>
    <row r="150">
      <c r="A150" s="12"/>
      <c r="D150" s="95"/>
      <c r="F150" s="96"/>
    </row>
    <row r="151">
      <c r="A151" s="12"/>
      <c r="D151" s="95"/>
      <c r="F151" s="96"/>
    </row>
    <row r="152">
      <c r="A152" s="12"/>
      <c r="D152" s="95"/>
      <c r="F152" s="96"/>
    </row>
    <row r="153">
      <c r="A153" s="12"/>
      <c r="D153" s="95"/>
      <c r="F153" s="96"/>
    </row>
    <row r="154">
      <c r="A154" s="12"/>
      <c r="D154" s="95"/>
      <c r="F154" s="96"/>
    </row>
    <row r="155">
      <c r="A155" s="12"/>
      <c r="D155" s="95"/>
      <c r="F155" s="96"/>
    </row>
    <row r="156">
      <c r="A156" s="12"/>
      <c r="D156" s="95"/>
      <c r="F156" s="96"/>
    </row>
    <row r="157">
      <c r="A157" s="12"/>
      <c r="D157" s="95"/>
      <c r="F157" s="96"/>
    </row>
    <row r="158">
      <c r="A158" s="12"/>
      <c r="D158" s="95"/>
      <c r="F158" s="96"/>
    </row>
    <row r="159">
      <c r="A159" s="12"/>
      <c r="D159" s="95"/>
      <c r="F159" s="96"/>
    </row>
    <row r="160">
      <c r="A160" s="12"/>
      <c r="D160" s="95"/>
      <c r="F160" s="96"/>
    </row>
    <row r="161">
      <c r="A161" s="12"/>
      <c r="D161" s="95"/>
      <c r="F161" s="96"/>
    </row>
    <row r="162">
      <c r="A162" s="12"/>
      <c r="D162" s="95"/>
      <c r="F162" s="96"/>
    </row>
    <row r="163">
      <c r="A163" s="12"/>
      <c r="D163" s="95"/>
      <c r="F163" s="96"/>
    </row>
    <row r="164">
      <c r="A164" s="12"/>
      <c r="D164" s="95"/>
      <c r="F164" s="96"/>
    </row>
    <row r="165">
      <c r="A165" s="12"/>
      <c r="D165" s="95"/>
      <c r="F165" s="96"/>
    </row>
    <row r="166">
      <c r="A166" s="12"/>
      <c r="D166" s="95"/>
      <c r="F166" s="96"/>
    </row>
    <row r="167">
      <c r="A167" s="12"/>
      <c r="D167" s="95"/>
      <c r="F167" s="96"/>
    </row>
    <row r="168">
      <c r="A168" s="12"/>
      <c r="D168" s="95"/>
      <c r="F168" s="96"/>
    </row>
    <row r="169">
      <c r="A169" s="12"/>
      <c r="D169" s="95"/>
      <c r="F169" s="96"/>
    </row>
    <row r="170">
      <c r="A170" s="12"/>
      <c r="D170" s="95"/>
      <c r="F170" s="96"/>
    </row>
    <row r="171">
      <c r="A171" s="12"/>
      <c r="D171" s="95"/>
      <c r="F171" s="96"/>
    </row>
    <row r="172">
      <c r="A172" s="12"/>
      <c r="D172" s="95"/>
      <c r="F172" s="96"/>
    </row>
    <row r="173">
      <c r="A173" s="12"/>
      <c r="D173" s="95"/>
      <c r="F173" s="96"/>
    </row>
    <row r="174">
      <c r="A174" s="12"/>
      <c r="D174" s="95"/>
      <c r="F174" s="96"/>
    </row>
    <row r="175">
      <c r="A175" s="12"/>
      <c r="D175" s="95"/>
      <c r="F175" s="96"/>
    </row>
    <row r="176">
      <c r="A176" s="12"/>
      <c r="D176" s="95"/>
      <c r="F176" s="96"/>
    </row>
    <row r="177">
      <c r="A177" s="12"/>
      <c r="D177" s="95"/>
      <c r="F177" s="96"/>
    </row>
    <row r="178">
      <c r="A178" s="12"/>
      <c r="D178" s="95"/>
      <c r="F178" s="96"/>
    </row>
    <row r="179">
      <c r="A179" s="12"/>
      <c r="D179" s="95"/>
      <c r="F179" s="96"/>
    </row>
    <row r="180">
      <c r="A180" s="12"/>
      <c r="D180" s="95"/>
      <c r="F180" s="96"/>
    </row>
    <row r="181">
      <c r="A181" s="12"/>
      <c r="D181" s="95"/>
      <c r="F181" s="96"/>
    </row>
    <row r="182">
      <c r="A182" s="12"/>
      <c r="D182" s="95"/>
      <c r="F182" s="96"/>
    </row>
    <row r="183">
      <c r="A183" s="12"/>
      <c r="D183" s="95"/>
      <c r="F183" s="96"/>
    </row>
    <row r="184">
      <c r="A184" s="12"/>
      <c r="D184" s="95"/>
      <c r="F184" s="96"/>
    </row>
    <row r="185">
      <c r="A185" s="12"/>
      <c r="D185" s="95"/>
      <c r="F185" s="96"/>
    </row>
    <row r="186">
      <c r="A186" s="12"/>
      <c r="D186" s="95"/>
      <c r="F186" s="96"/>
    </row>
    <row r="187">
      <c r="A187" s="12"/>
      <c r="D187" s="95"/>
      <c r="F187" s="96"/>
    </row>
    <row r="188">
      <c r="A188" s="12"/>
      <c r="D188" s="95"/>
      <c r="F188" s="96"/>
    </row>
    <row r="189">
      <c r="A189" s="12"/>
      <c r="D189" s="95"/>
      <c r="F189" s="96"/>
    </row>
    <row r="190">
      <c r="A190" s="12"/>
      <c r="D190" s="95"/>
      <c r="F190" s="96"/>
    </row>
    <row r="191">
      <c r="A191" s="12"/>
      <c r="D191" s="95"/>
      <c r="F191" s="96"/>
    </row>
    <row r="192">
      <c r="A192" s="12"/>
      <c r="D192" s="95"/>
      <c r="F192" s="96"/>
    </row>
    <row r="193">
      <c r="A193" s="12"/>
      <c r="D193" s="95"/>
      <c r="F193" s="96"/>
    </row>
    <row r="194">
      <c r="A194" s="12"/>
      <c r="D194" s="95"/>
      <c r="F194" s="96"/>
    </row>
    <row r="195">
      <c r="A195" s="12"/>
      <c r="D195" s="95"/>
      <c r="F195" s="96"/>
    </row>
    <row r="196">
      <c r="A196" s="12"/>
      <c r="D196" s="95"/>
      <c r="F196" s="96"/>
    </row>
    <row r="197">
      <c r="A197" s="12"/>
      <c r="D197" s="95"/>
      <c r="F197" s="96"/>
    </row>
    <row r="198">
      <c r="A198" s="12"/>
      <c r="D198" s="95"/>
      <c r="F198" s="96"/>
    </row>
    <row r="199">
      <c r="A199" s="12"/>
      <c r="D199" s="95"/>
      <c r="F199" s="96"/>
    </row>
    <row r="200">
      <c r="A200" s="12"/>
      <c r="D200" s="95"/>
      <c r="F200" s="96"/>
    </row>
    <row r="201">
      <c r="A201" s="12"/>
      <c r="D201" s="95"/>
      <c r="F201" s="96"/>
    </row>
    <row r="202">
      <c r="A202" s="12"/>
      <c r="D202" s="95"/>
      <c r="F202" s="96"/>
    </row>
    <row r="203">
      <c r="A203" s="12"/>
      <c r="D203" s="95"/>
      <c r="F203" s="96"/>
    </row>
    <row r="204">
      <c r="A204" s="12"/>
      <c r="D204" s="95"/>
      <c r="F204" s="96"/>
    </row>
    <row r="205">
      <c r="A205" s="12"/>
      <c r="D205" s="95"/>
      <c r="F205" s="96"/>
    </row>
    <row r="206">
      <c r="A206" s="12"/>
      <c r="D206" s="95"/>
      <c r="F206" s="96"/>
    </row>
    <row r="207">
      <c r="A207" s="12"/>
      <c r="D207" s="95"/>
      <c r="F207" s="96"/>
    </row>
    <row r="208">
      <c r="A208" s="12"/>
      <c r="D208" s="95"/>
      <c r="F208" s="96"/>
    </row>
    <row r="209">
      <c r="A209" s="12"/>
      <c r="D209" s="95"/>
      <c r="F209" s="96"/>
    </row>
    <row r="210">
      <c r="A210" s="12"/>
      <c r="D210" s="95"/>
      <c r="F210" s="96"/>
    </row>
    <row r="211">
      <c r="A211" s="12"/>
      <c r="D211" s="95"/>
      <c r="F211" s="96"/>
    </row>
    <row r="212">
      <c r="A212" s="12"/>
      <c r="D212" s="95"/>
      <c r="F212" s="96"/>
    </row>
    <row r="213">
      <c r="A213" s="12"/>
      <c r="D213" s="95"/>
      <c r="F213" s="96"/>
    </row>
    <row r="214">
      <c r="A214" s="12"/>
      <c r="D214" s="95"/>
      <c r="F214" s="96"/>
    </row>
    <row r="215">
      <c r="A215" s="12"/>
      <c r="D215" s="95"/>
      <c r="F215" s="96"/>
    </row>
    <row r="216">
      <c r="A216" s="12"/>
      <c r="D216" s="95"/>
      <c r="F216" s="96"/>
    </row>
    <row r="217">
      <c r="A217" s="12"/>
      <c r="D217" s="95"/>
      <c r="F217" s="96"/>
    </row>
    <row r="218">
      <c r="A218" s="12"/>
      <c r="D218" s="95"/>
      <c r="F218" s="96"/>
    </row>
    <row r="219">
      <c r="A219" s="12"/>
      <c r="D219" s="95"/>
      <c r="F219" s="96"/>
    </row>
    <row r="220">
      <c r="A220" s="12"/>
      <c r="D220" s="95"/>
      <c r="F220" s="96"/>
    </row>
    <row r="221">
      <c r="A221" s="12"/>
      <c r="D221" s="95"/>
      <c r="F221" s="96"/>
    </row>
    <row r="222">
      <c r="A222" s="12"/>
      <c r="D222" s="95"/>
      <c r="F222" s="96"/>
    </row>
    <row r="223">
      <c r="A223" s="12"/>
      <c r="D223" s="95"/>
      <c r="F223" s="96"/>
    </row>
    <row r="224">
      <c r="A224" s="12"/>
      <c r="D224" s="95"/>
      <c r="F224" s="96"/>
    </row>
    <row r="225">
      <c r="A225" s="12"/>
      <c r="D225" s="95"/>
      <c r="F225" s="96"/>
    </row>
    <row r="226">
      <c r="A226" s="12"/>
      <c r="D226" s="95"/>
      <c r="F226" s="96"/>
    </row>
    <row r="227">
      <c r="A227" s="12"/>
      <c r="D227" s="95"/>
      <c r="F227" s="96"/>
    </row>
    <row r="228">
      <c r="A228" s="12"/>
      <c r="D228" s="95"/>
      <c r="F228" s="96"/>
    </row>
    <row r="229">
      <c r="A229" s="12"/>
      <c r="D229" s="95"/>
      <c r="F229" s="96"/>
    </row>
    <row r="230">
      <c r="A230" s="12"/>
      <c r="D230" s="95"/>
      <c r="F230" s="96"/>
    </row>
    <row r="231">
      <c r="A231" s="12"/>
      <c r="D231" s="95"/>
      <c r="F231" s="96"/>
    </row>
    <row r="232">
      <c r="A232" s="12"/>
      <c r="D232" s="95"/>
      <c r="F232" s="96"/>
    </row>
    <row r="233">
      <c r="A233" s="12"/>
      <c r="D233" s="95"/>
      <c r="F233" s="96"/>
    </row>
    <row r="234">
      <c r="A234" s="12"/>
      <c r="D234" s="95"/>
      <c r="F234" s="96"/>
    </row>
    <row r="235">
      <c r="A235" s="12"/>
      <c r="D235" s="95"/>
      <c r="F235" s="96"/>
    </row>
    <row r="236">
      <c r="A236" s="12"/>
      <c r="D236" s="95"/>
      <c r="F236" s="96"/>
    </row>
    <row r="237">
      <c r="A237" s="12"/>
      <c r="D237" s="95"/>
      <c r="F237" s="96"/>
    </row>
    <row r="238">
      <c r="A238" s="12"/>
      <c r="D238" s="95"/>
      <c r="F238" s="96"/>
    </row>
    <row r="239">
      <c r="A239" s="12"/>
      <c r="D239" s="95"/>
      <c r="F239" s="96"/>
    </row>
    <row r="240">
      <c r="A240" s="12"/>
      <c r="D240" s="95"/>
      <c r="F240" s="96"/>
    </row>
    <row r="241">
      <c r="A241" s="12"/>
      <c r="D241" s="95"/>
      <c r="F241" s="96"/>
    </row>
    <row r="242">
      <c r="A242" s="12"/>
      <c r="D242" s="95"/>
      <c r="F242" s="96"/>
    </row>
    <row r="243">
      <c r="A243" s="12"/>
      <c r="D243" s="95"/>
      <c r="F243" s="96"/>
    </row>
    <row r="244">
      <c r="A244" s="12"/>
      <c r="D244" s="95"/>
      <c r="F244" s="96"/>
    </row>
    <row r="245">
      <c r="A245" s="12"/>
      <c r="D245" s="95"/>
      <c r="F245" s="96"/>
    </row>
    <row r="246">
      <c r="A246" s="12"/>
      <c r="D246" s="95"/>
      <c r="F246" s="96"/>
    </row>
    <row r="247">
      <c r="A247" s="12"/>
      <c r="D247" s="95"/>
      <c r="F247" s="96"/>
    </row>
    <row r="248">
      <c r="A248" s="12"/>
      <c r="D248" s="95"/>
      <c r="F248" s="96"/>
    </row>
    <row r="249">
      <c r="A249" s="12"/>
      <c r="D249" s="95"/>
      <c r="F249" s="96"/>
    </row>
    <row r="250">
      <c r="A250" s="12"/>
      <c r="D250" s="95"/>
      <c r="F250" s="96"/>
    </row>
    <row r="251">
      <c r="A251" s="12"/>
      <c r="D251" s="95"/>
      <c r="F251" s="96"/>
    </row>
    <row r="252">
      <c r="A252" s="12"/>
      <c r="D252" s="95"/>
      <c r="F252" s="96"/>
    </row>
    <row r="253">
      <c r="A253" s="12"/>
      <c r="D253" s="95"/>
      <c r="F253" s="96"/>
    </row>
    <row r="254">
      <c r="A254" s="12"/>
      <c r="D254" s="95"/>
      <c r="F254" s="96"/>
    </row>
    <row r="255">
      <c r="A255" s="12"/>
      <c r="D255" s="95"/>
      <c r="F255" s="96"/>
    </row>
    <row r="256">
      <c r="A256" s="12"/>
      <c r="D256" s="95"/>
      <c r="F256" s="96"/>
    </row>
    <row r="257">
      <c r="A257" s="12"/>
      <c r="D257" s="95"/>
      <c r="F257" s="96"/>
    </row>
    <row r="258">
      <c r="A258" s="12"/>
      <c r="D258" s="95"/>
      <c r="F258" s="96"/>
    </row>
    <row r="259">
      <c r="A259" s="12"/>
      <c r="D259" s="95"/>
      <c r="F259" s="96"/>
    </row>
    <row r="260">
      <c r="A260" s="12"/>
      <c r="D260" s="95"/>
      <c r="F260" s="96"/>
    </row>
    <row r="261">
      <c r="A261" s="12"/>
      <c r="D261" s="95"/>
      <c r="F261" s="96"/>
    </row>
    <row r="262">
      <c r="A262" s="12"/>
      <c r="D262" s="95"/>
      <c r="F262" s="96"/>
    </row>
    <row r="263">
      <c r="A263" s="12"/>
      <c r="D263" s="95"/>
      <c r="F263" s="96"/>
    </row>
    <row r="264">
      <c r="A264" s="12"/>
      <c r="D264" s="95"/>
      <c r="F264" s="96"/>
    </row>
    <row r="265">
      <c r="A265" s="12"/>
      <c r="D265" s="95"/>
      <c r="F265" s="96"/>
    </row>
    <row r="266">
      <c r="A266" s="12"/>
      <c r="D266" s="95"/>
      <c r="F266" s="96"/>
    </row>
    <row r="267">
      <c r="A267" s="12"/>
      <c r="D267" s="95"/>
      <c r="F267" s="96"/>
    </row>
    <row r="268">
      <c r="A268" s="12"/>
      <c r="D268" s="95"/>
      <c r="F268" s="96"/>
    </row>
    <row r="269">
      <c r="A269" s="12"/>
      <c r="D269" s="95"/>
      <c r="F269" s="96"/>
    </row>
    <row r="270">
      <c r="A270" s="12"/>
      <c r="D270" s="95"/>
      <c r="F270" s="96"/>
    </row>
    <row r="271">
      <c r="A271" s="12"/>
      <c r="D271" s="95"/>
      <c r="F271" s="96"/>
    </row>
    <row r="272">
      <c r="A272" s="12"/>
      <c r="D272" s="95"/>
      <c r="F272" s="96"/>
    </row>
    <row r="273">
      <c r="A273" s="12"/>
      <c r="D273" s="95"/>
      <c r="F273" s="96"/>
    </row>
    <row r="274">
      <c r="A274" s="12"/>
      <c r="D274" s="95"/>
      <c r="F274" s="96"/>
    </row>
    <row r="275">
      <c r="A275" s="12"/>
      <c r="D275" s="95"/>
      <c r="F275" s="96"/>
    </row>
    <row r="276">
      <c r="A276" s="12"/>
      <c r="D276" s="95"/>
      <c r="F276" s="96"/>
    </row>
    <row r="277">
      <c r="A277" s="12"/>
      <c r="D277" s="95"/>
      <c r="F277" s="96"/>
    </row>
    <row r="278">
      <c r="A278" s="12"/>
      <c r="D278" s="95"/>
      <c r="F278" s="96"/>
    </row>
    <row r="279">
      <c r="A279" s="12"/>
      <c r="D279" s="95"/>
      <c r="F279" s="96"/>
    </row>
    <row r="280">
      <c r="A280" s="12"/>
      <c r="D280" s="95"/>
      <c r="F280" s="96"/>
    </row>
    <row r="281">
      <c r="A281" s="12"/>
      <c r="D281" s="95"/>
      <c r="F281" s="96"/>
    </row>
    <row r="282">
      <c r="A282" s="12"/>
      <c r="D282" s="95"/>
      <c r="F282" s="96"/>
    </row>
    <row r="283">
      <c r="A283" s="12"/>
      <c r="D283" s="95"/>
      <c r="F283" s="96"/>
    </row>
    <row r="284">
      <c r="A284" s="12"/>
      <c r="D284" s="95"/>
      <c r="F284" s="96"/>
    </row>
    <row r="285">
      <c r="A285" s="12"/>
      <c r="D285" s="95"/>
      <c r="F285" s="96"/>
    </row>
    <row r="286">
      <c r="A286" s="12"/>
      <c r="D286" s="95"/>
      <c r="F286" s="96"/>
    </row>
    <row r="287">
      <c r="A287" s="12"/>
      <c r="D287" s="95"/>
      <c r="F287" s="96"/>
    </row>
    <row r="288">
      <c r="A288" s="12"/>
      <c r="D288" s="95"/>
      <c r="F288" s="96"/>
    </row>
    <row r="289">
      <c r="A289" s="12"/>
      <c r="D289" s="95"/>
      <c r="F289" s="96"/>
    </row>
    <row r="290">
      <c r="A290" s="12"/>
      <c r="D290" s="95"/>
      <c r="F290" s="96"/>
    </row>
    <row r="291">
      <c r="A291" s="12"/>
      <c r="D291" s="95"/>
      <c r="F291" s="96"/>
    </row>
    <row r="292">
      <c r="A292" s="12"/>
      <c r="D292" s="95"/>
      <c r="F292" s="96"/>
    </row>
    <row r="293">
      <c r="A293" s="12"/>
      <c r="D293" s="95"/>
      <c r="F293" s="96"/>
    </row>
    <row r="294">
      <c r="A294" s="12"/>
      <c r="D294" s="95"/>
      <c r="F294" s="96"/>
    </row>
    <row r="295">
      <c r="A295" s="12"/>
      <c r="D295" s="95"/>
      <c r="F295" s="96"/>
    </row>
    <row r="296">
      <c r="A296" s="12"/>
      <c r="D296" s="95"/>
      <c r="F296" s="96"/>
    </row>
    <row r="297">
      <c r="A297" s="12"/>
      <c r="D297" s="95"/>
      <c r="F297" s="96"/>
    </row>
    <row r="298">
      <c r="A298" s="12"/>
      <c r="D298" s="95"/>
      <c r="F298" s="96"/>
    </row>
    <row r="299">
      <c r="A299" s="12"/>
      <c r="D299" s="95"/>
      <c r="F299" s="96"/>
    </row>
    <row r="300">
      <c r="A300" s="12"/>
      <c r="D300" s="95"/>
      <c r="F300" s="96"/>
    </row>
    <row r="301">
      <c r="A301" s="12"/>
      <c r="D301" s="95"/>
      <c r="F301" s="96"/>
    </row>
    <row r="302">
      <c r="A302" s="12"/>
      <c r="D302" s="95"/>
      <c r="F302" s="96"/>
    </row>
    <row r="303">
      <c r="A303" s="12"/>
      <c r="D303" s="95"/>
      <c r="F303" s="96"/>
    </row>
    <row r="304">
      <c r="A304" s="12"/>
      <c r="D304" s="95"/>
      <c r="F304" s="96"/>
    </row>
    <row r="305">
      <c r="A305" s="12"/>
      <c r="D305" s="95"/>
      <c r="F305" s="96"/>
    </row>
    <row r="306">
      <c r="A306" s="12"/>
      <c r="D306" s="95"/>
      <c r="F306" s="96"/>
    </row>
    <row r="307">
      <c r="A307" s="12"/>
      <c r="D307" s="95"/>
      <c r="F307" s="96"/>
    </row>
    <row r="308">
      <c r="A308" s="12"/>
      <c r="D308" s="95"/>
      <c r="F308" s="96"/>
    </row>
    <row r="309">
      <c r="A309" s="12"/>
      <c r="D309" s="95"/>
      <c r="F309" s="96"/>
    </row>
    <row r="310">
      <c r="A310" s="12"/>
      <c r="D310" s="95"/>
      <c r="F310" s="96"/>
    </row>
    <row r="311">
      <c r="A311" s="12"/>
      <c r="D311" s="95"/>
      <c r="F311" s="96"/>
    </row>
    <row r="312">
      <c r="A312" s="12"/>
      <c r="D312" s="95"/>
      <c r="F312" s="96"/>
    </row>
    <row r="313">
      <c r="A313" s="12"/>
      <c r="D313" s="95"/>
      <c r="F313" s="96"/>
    </row>
    <row r="314">
      <c r="A314" s="12"/>
      <c r="D314" s="95"/>
      <c r="F314" s="96"/>
    </row>
    <row r="315">
      <c r="A315" s="12"/>
      <c r="D315" s="95"/>
      <c r="F315" s="96"/>
    </row>
    <row r="316">
      <c r="A316" s="12"/>
      <c r="D316" s="95"/>
      <c r="F316" s="96"/>
    </row>
    <row r="317">
      <c r="A317" s="12"/>
      <c r="D317" s="95"/>
      <c r="F317" s="96"/>
    </row>
    <row r="318">
      <c r="A318" s="12"/>
      <c r="D318" s="95"/>
      <c r="F318" s="96"/>
    </row>
    <row r="319">
      <c r="A319" s="12"/>
      <c r="D319" s="95"/>
      <c r="F319" s="96"/>
    </row>
    <row r="320">
      <c r="A320" s="12"/>
      <c r="D320" s="95"/>
      <c r="F320" s="96"/>
    </row>
    <row r="321">
      <c r="A321" s="12"/>
      <c r="D321" s="95"/>
      <c r="F321" s="96"/>
    </row>
    <row r="322">
      <c r="A322" s="12"/>
      <c r="D322" s="95"/>
      <c r="F322" s="96"/>
    </row>
    <row r="323">
      <c r="A323" s="12"/>
      <c r="D323" s="95"/>
      <c r="F323" s="96"/>
    </row>
    <row r="324">
      <c r="A324" s="12"/>
      <c r="D324" s="95"/>
      <c r="F324" s="96"/>
    </row>
    <row r="325">
      <c r="A325" s="12"/>
      <c r="D325" s="95"/>
      <c r="F325" s="96"/>
    </row>
    <row r="326">
      <c r="A326" s="12"/>
      <c r="D326" s="95"/>
      <c r="F326" s="96"/>
    </row>
    <row r="327">
      <c r="A327" s="12"/>
      <c r="D327" s="95"/>
      <c r="F327" s="96"/>
    </row>
    <row r="328">
      <c r="A328" s="12"/>
      <c r="D328" s="95"/>
      <c r="F328" s="96"/>
    </row>
    <row r="329">
      <c r="A329" s="12"/>
      <c r="D329" s="95"/>
      <c r="F329" s="96"/>
    </row>
    <row r="330">
      <c r="A330" s="12"/>
      <c r="D330" s="95"/>
      <c r="F330" s="96"/>
    </row>
    <row r="331">
      <c r="A331" s="12"/>
      <c r="D331" s="95"/>
      <c r="F331" s="96"/>
    </row>
    <row r="332">
      <c r="A332" s="12"/>
      <c r="D332" s="95"/>
      <c r="F332" s="96"/>
    </row>
    <row r="333">
      <c r="A333" s="12"/>
      <c r="D333" s="95"/>
      <c r="F333" s="96"/>
    </row>
    <row r="334">
      <c r="A334" s="12"/>
      <c r="D334" s="95"/>
      <c r="F334" s="96"/>
    </row>
    <row r="335">
      <c r="A335" s="12"/>
      <c r="D335" s="95"/>
      <c r="F335" s="96"/>
    </row>
    <row r="336">
      <c r="A336" s="12"/>
      <c r="D336" s="95"/>
      <c r="F336" s="96"/>
    </row>
    <row r="337">
      <c r="A337" s="12"/>
      <c r="D337" s="95"/>
      <c r="F337" s="96"/>
    </row>
    <row r="338">
      <c r="A338" s="12"/>
      <c r="D338" s="95"/>
      <c r="F338" s="96"/>
    </row>
    <row r="339">
      <c r="A339" s="12"/>
      <c r="D339" s="95"/>
      <c r="F339" s="96"/>
    </row>
    <row r="340">
      <c r="A340" s="12"/>
      <c r="D340" s="95"/>
      <c r="F340" s="96"/>
    </row>
    <row r="341">
      <c r="A341" s="12"/>
      <c r="D341" s="95"/>
      <c r="F341" s="96"/>
    </row>
    <row r="342">
      <c r="A342" s="12"/>
      <c r="D342" s="95"/>
      <c r="F342" s="96"/>
    </row>
    <row r="343">
      <c r="A343" s="12"/>
      <c r="D343" s="95"/>
      <c r="F343" s="96"/>
    </row>
    <row r="344">
      <c r="A344" s="12"/>
      <c r="D344" s="95"/>
      <c r="F344" s="96"/>
    </row>
    <row r="345">
      <c r="A345" s="12"/>
      <c r="D345" s="95"/>
      <c r="F345" s="96"/>
    </row>
    <row r="346">
      <c r="A346" s="12"/>
      <c r="D346" s="95"/>
      <c r="F346" s="96"/>
    </row>
    <row r="347">
      <c r="A347" s="12"/>
      <c r="D347" s="95"/>
      <c r="F347" s="96"/>
    </row>
    <row r="348">
      <c r="A348" s="12"/>
      <c r="D348" s="95"/>
      <c r="F348" s="96"/>
    </row>
    <row r="349">
      <c r="A349" s="12"/>
      <c r="D349" s="95"/>
      <c r="F349" s="96"/>
    </row>
    <row r="350">
      <c r="A350" s="12"/>
      <c r="D350" s="95"/>
      <c r="F350" s="96"/>
    </row>
    <row r="351">
      <c r="A351" s="12"/>
      <c r="D351" s="95"/>
      <c r="F351" s="96"/>
    </row>
    <row r="352">
      <c r="A352" s="12"/>
      <c r="D352" s="95"/>
      <c r="F352" s="96"/>
    </row>
    <row r="353">
      <c r="A353" s="12"/>
      <c r="D353" s="95"/>
      <c r="F353" s="96"/>
    </row>
    <row r="354">
      <c r="A354" s="12"/>
      <c r="D354" s="95"/>
      <c r="F354" s="96"/>
    </row>
    <row r="355">
      <c r="A355" s="12"/>
      <c r="D355" s="95"/>
      <c r="F355" s="96"/>
    </row>
    <row r="356">
      <c r="A356" s="12"/>
      <c r="D356" s="95"/>
      <c r="F356" s="96"/>
    </row>
    <row r="357">
      <c r="A357" s="12"/>
      <c r="D357" s="95"/>
      <c r="F357" s="96"/>
    </row>
    <row r="358">
      <c r="A358" s="12"/>
      <c r="D358" s="95"/>
      <c r="F358" s="96"/>
    </row>
    <row r="359">
      <c r="A359" s="12"/>
      <c r="D359" s="95"/>
      <c r="F359" s="96"/>
    </row>
    <row r="360">
      <c r="A360" s="12"/>
      <c r="D360" s="95"/>
      <c r="F360" s="96"/>
    </row>
    <row r="361">
      <c r="A361" s="12"/>
      <c r="D361" s="95"/>
      <c r="F361" s="96"/>
    </row>
    <row r="362">
      <c r="A362" s="12"/>
      <c r="D362" s="95"/>
      <c r="F362" s="96"/>
    </row>
    <row r="363">
      <c r="A363" s="12"/>
      <c r="D363" s="95"/>
      <c r="F363" s="96"/>
    </row>
    <row r="364">
      <c r="A364" s="12"/>
      <c r="D364" s="95"/>
      <c r="F364" s="96"/>
    </row>
    <row r="365">
      <c r="A365" s="12"/>
      <c r="D365" s="95"/>
      <c r="F365" s="96"/>
    </row>
    <row r="366">
      <c r="A366" s="12"/>
      <c r="D366" s="95"/>
      <c r="F366" s="96"/>
    </row>
    <row r="367">
      <c r="A367" s="12"/>
      <c r="D367" s="95"/>
      <c r="F367" s="96"/>
    </row>
    <row r="368">
      <c r="A368" s="12"/>
      <c r="D368" s="95"/>
      <c r="F368" s="96"/>
    </row>
    <row r="369">
      <c r="A369" s="12"/>
      <c r="D369" s="95"/>
      <c r="F369" s="96"/>
    </row>
    <row r="370">
      <c r="A370" s="12"/>
      <c r="D370" s="95"/>
      <c r="F370" s="96"/>
    </row>
    <row r="371">
      <c r="A371" s="12"/>
      <c r="D371" s="95"/>
      <c r="F371" s="96"/>
    </row>
    <row r="372">
      <c r="A372" s="12"/>
      <c r="D372" s="95"/>
      <c r="F372" s="96"/>
    </row>
    <row r="373">
      <c r="A373" s="12"/>
      <c r="D373" s="95"/>
      <c r="F373" s="96"/>
    </row>
    <row r="374">
      <c r="A374" s="12"/>
      <c r="D374" s="95"/>
      <c r="F374" s="96"/>
    </row>
    <row r="375">
      <c r="A375" s="12"/>
      <c r="D375" s="95"/>
      <c r="F375" s="96"/>
    </row>
    <row r="376">
      <c r="A376" s="12"/>
      <c r="D376" s="95"/>
      <c r="F376" s="96"/>
    </row>
    <row r="377">
      <c r="A377" s="12"/>
      <c r="D377" s="95"/>
      <c r="F377" s="96"/>
    </row>
    <row r="378">
      <c r="A378" s="12"/>
      <c r="D378" s="95"/>
      <c r="F378" s="96"/>
    </row>
    <row r="379">
      <c r="A379" s="12"/>
      <c r="D379" s="95"/>
      <c r="F379" s="96"/>
    </row>
    <row r="380">
      <c r="A380" s="12"/>
      <c r="D380" s="95"/>
      <c r="F380" s="96"/>
    </row>
    <row r="381">
      <c r="A381" s="12"/>
      <c r="D381" s="95"/>
      <c r="F381" s="96"/>
    </row>
    <row r="382">
      <c r="A382" s="12"/>
      <c r="D382" s="95"/>
      <c r="F382" s="96"/>
    </row>
    <row r="383">
      <c r="A383" s="12"/>
      <c r="D383" s="95"/>
      <c r="F383" s="96"/>
    </row>
    <row r="384">
      <c r="A384" s="12"/>
      <c r="D384" s="95"/>
      <c r="F384" s="96"/>
    </row>
    <row r="385">
      <c r="A385" s="12"/>
      <c r="D385" s="95"/>
      <c r="F385" s="96"/>
    </row>
    <row r="386">
      <c r="A386" s="12"/>
      <c r="D386" s="95"/>
      <c r="F386" s="96"/>
    </row>
    <row r="387">
      <c r="A387" s="12"/>
      <c r="D387" s="95"/>
      <c r="F387" s="96"/>
    </row>
    <row r="388">
      <c r="A388" s="12"/>
      <c r="D388" s="95"/>
      <c r="F388" s="96"/>
    </row>
    <row r="389">
      <c r="A389" s="12"/>
      <c r="D389" s="95"/>
      <c r="F389" s="96"/>
    </row>
    <row r="390">
      <c r="A390" s="12"/>
      <c r="D390" s="95"/>
      <c r="F390" s="96"/>
    </row>
    <row r="391">
      <c r="A391" s="12"/>
      <c r="D391" s="95"/>
      <c r="F391" s="96"/>
    </row>
    <row r="392">
      <c r="A392" s="12"/>
      <c r="D392" s="95"/>
      <c r="F392" s="96"/>
    </row>
    <row r="393">
      <c r="A393" s="12"/>
      <c r="D393" s="95"/>
      <c r="F393" s="96"/>
    </row>
    <row r="394">
      <c r="A394" s="12"/>
      <c r="D394" s="95"/>
      <c r="F394" s="96"/>
    </row>
    <row r="395">
      <c r="A395" s="12"/>
      <c r="D395" s="95"/>
      <c r="F395" s="96"/>
    </row>
    <row r="396">
      <c r="A396" s="12"/>
      <c r="D396" s="95"/>
      <c r="F396" s="96"/>
    </row>
    <row r="397">
      <c r="A397" s="12"/>
      <c r="D397" s="95"/>
      <c r="F397" s="96"/>
    </row>
    <row r="398">
      <c r="A398" s="12"/>
      <c r="D398" s="95"/>
      <c r="F398" s="96"/>
    </row>
    <row r="399">
      <c r="A399" s="12"/>
      <c r="D399" s="95"/>
      <c r="F399" s="96"/>
    </row>
    <row r="400">
      <c r="A400" s="12"/>
      <c r="D400" s="95"/>
      <c r="F400" s="96"/>
    </row>
    <row r="401">
      <c r="A401" s="12"/>
      <c r="D401" s="95"/>
      <c r="F401" s="96"/>
    </row>
    <row r="402">
      <c r="A402" s="12"/>
      <c r="D402" s="95"/>
      <c r="F402" s="96"/>
    </row>
    <row r="403">
      <c r="A403" s="12"/>
      <c r="D403" s="95"/>
      <c r="F403" s="96"/>
    </row>
    <row r="404">
      <c r="A404" s="12"/>
      <c r="D404" s="95"/>
      <c r="F404" s="96"/>
    </row>
    <row r="405">
      <c r="A405" s="12"/>
      <c r="D405" s="95"/>
      <c r="F405" s="96"/>
    </row>
    <row r="406">
      <c r="A406" s="12"/>
      <c r="D406" s="95"/>
      <c r="F406" s="96"/>
    </row>
    <row r="407">
      <c r="A407" s="12"/>
      <c r="D407" s="95"/>
      <c r="F407" s="96"/>
    </row>
    <row r="408">
      <c r="A408" s="12"/>
      <c r="D408" s="95"/>
      <c r="F408" s="96"/>
    </row>
    <row r="409">
      <c r="A409" s="12"/>
      <c r="D409" s="95"/>
      <c r="F409" s="96"/>
    </row>
    <row r="410">
      <c r="A410" s="12"/>
      <c r="D410" s="95"/>
      <c r="F410" s="96"/>
    </row>
    <row r="411">
      <c r="A411" s="12"/>
      <c r="D411" s="95"/>
      <c r="F411" s="96"/>
    </row>
    <row r="412">
      <c r="A412" s="12"/>
      <c r="D412" s="95"/>
      <c r="F412" s="96"/>
    </row>
    <row r="413">
      <c r="A413" s="12"/>
      <c r="D413" s="95"/>
      <c r="F413" s="96"/>
    </row>
    <row r="414">
      <c r="A414" s="12"/>
      <c r="D414" s="95"/>
      <c r="F414" s="96"/>
    </row>
    <row r="415">
      <c r="A415" s="12"/>
      <c r="D415" s="95"/>
      <c r="F415" s="96"/>
    </row>
    <row r="416">
      <c r="A416" s="12"/>
      <c r="D416" s="95"/>
      <c r="F416" s="96"/>
    </row>
    <row r="417">
      <c r="A417" s="12"/>
      <c r="D417" s="95"/>
      <c r="F417" s="96"/>
    </row>
    <row r="418">
      <c r="A418" s="12"/>
      <c r="D418" s="95"/>
      <c r="F418" s="96"/>
    </row>
    <row r="419">
      <c r="A419" s="12"/>
      <c r="D419" s="95"/>
      <c r="F419" s="96"/>
    </row>
    <row r="420">
      <c r="A420" s="12"/>
      <c r="D420" s="95"/>
      <c r="F420" s="96"/>
    </row>
    <row r="421">
      <c r="A421" s="12"/>
      <c r="D421" s="95"/>
      <c r="F421" s="96"/>
    </row>
    <row r="422">
      <c r="A422" s="12"/>
      <c r="D422" s="95"/>
      <c r="F422" s="96"/>
    </row>
    <row r="423">
      <c r="A423" s="12"/>
      <c r="D423" s="95"/>
      <c r="F423" s="96"/>
    </row>
    <row r="424">
      <c r="A424" s="12"/>
      <c r="D424" s="95"/>
      <c r="F424" s="96"/>
    </row>
    <row r="425">
      <c r="A425" s="12"/>
      <c r="D425" s="95"/>
      <c r="F425" s="96"/>
    </row>
    <row r="426">
      <c r="A426" s="12"/>
      <c r="D426" s="95"/>
      <c r="F426" s="96"/>
    </row>
    <row r="427">
      <c r="A427" s="12"/>
      <c r="D427" s="95"/>
      <c r="F427" s="96"/>
    </row>
    <row r="428">
      <c r="A428" s="12"/>
      <c r="D428" s="95"/>
      <c r="F428" s="96"/>
    </row>
    <row r="429">
      <c r="A429" s="12"/>
      <c r="D429" s="95"/>
      <c r="F429" s="96"/>
    </row>
    <row r="430">
      <c r="A430" s="12"/>
      <c r="D430" s="95"/>
      <c r="F430" s="96"/>
    </row>
    <row r="431">
      <c r="A431" s="12"/>
      <c r="D431" s="95"/>
      <c r="F431" s="96"/>
    </row>
    <row r="432">
      <c r="A432" s="12"/>
      <c r="D432" s="95"/>
      <c r="F432" s="96"/>
    </row>
    <row r="433">
      <c r="A433" s="12"/>
      <c r="D433" s="95"/>
      <c r="F433" s="96"/>
    </row>
    <row r="434">
      <c r="A434" s="12"/>
      <c r="D434" s="95"/>
      <c r="F434" s="96"/>
    </row>
    <row r="435">
      <c r="A435" s="12"/>
      <c r="D435" s="95"/>
      <c r="F435" s="96"/>
    </row>
    <row r="436">
      <c r="A436" s="12"/>
      <c r="D436" s="95"/>
      <c r="F436" s="96"/>
    </row>
    <row r="437">
      <c r="A437" s="12"/>
      <c r="D437" s="95"/>
      <c r="F437" s="96"/>
    </row>
    <row r="438">
      <c r="A438" s="12"/>
      <c r="D438" s="95"/>
      <c r="F438" s="96"/>
    </row>
    <row r="439">
      <c r="A439" s="12"/>
      <c r="D439" s="95"/>
      <c r="F439" s="96"/>
    </row>
    <row r="440">
      <c r="A440" s="12"/>
      <c r="D440" s="95"/>
      <c r="F440" s="96"/>
    </row>
    <row r="441">
      <c r="A441" s="12"/>
      <c r="D441" s="95"/>
      <c r="F441" s="96"/>
    </row>
    <row r="442">
      <c r="A442" s="12"/>
      <c r="D442" s="95"/>
      <c r="F442" s="96"/>
    </row>
    <row r="443">
      <c r="A443" s="12"/>
      <c r="D443" s="95"/>
      <c r="F443" s="96"/>
    </row>
    <row r="444">
      <c r="A444" s="12"/>
      <c r="D444" s="95"/>
      <c r="F444" s="96"/>
    </row>
    <row r="445">
      <c r="A445" s="12"/>
      <c r="D445" s="95"/>
      <c r="F445" s="96"/>
    </row>
    <row r="446">
      <c r="A446" s="12"/>
      <c r="D446" s="95"/>
      <c r="F446" s="96"/>
    </row>
    <row r="447">
      <c r="A447" s="12"/>
      <c r="D447" s="95"/>
      <c r="F447" s="96"/>
    </row>
    <row r="448">
      <c r="A448" s="12"/>
      <c r="D448" s="95"/>
      <c r="F448" s="96"/>
    </row>
    <row r="449">
      <c r="A449" s="12"/>
      <c r="D449" s="95"/>
      <c r="F449" s="96"/>
    </row>
    <row r="450">
      <c r="A450" s="12"/>
      <c r="D450" s="95"/>
      <c r="F450" s="96"/>
    </row>
    <row r="451">
      <c r="A451" s="12"/>
      <c r="D451" s="95"/>
      <c r="F451" s="96"/>
    </row>
    <row r="452">
      <c r="A452" s="12"/>
      <c r="D452" s="95"/>
      <c r="F452" s="96"/>
    </row>
    <row r="453">
      <c r="A453" s="12"/>
      <c r="D453" s="95"/>
      <c r="F453" s="96"/>
    </row>
    <row r="454">
      <c r="A454" s="12"/>
      <c r="D454" s="95"/>
      <c r="F454" s="96"/>
    </row>
    <row r="455">
      <c r="A455" s="12"/>
      <c r="D455" s="95"/>
      <c r="F455" s="96"/>
    </row>
    <row r="456">
      <c r="A456" s="12"/>
      <c r="D456" s="95"/>
      <c r="F456" s="96"/>
    </row>
    <row r="457">
      <c r="A457" s="12"/>
      <c r="D457" s="95"/>
      <c r="F457" s="96"/>
    </row>
    <row r="458">
      <c r="A458" s="12"/>
      <c r="D458" s="95"/>
      <c r="F458" s="96"/>
    </row>
    <row r="459">
      <c r="A459" s="12"/>
      <c r="D459" s="95"/>
      <c r="F459" s="96"/>
    </row>
    <row r="460">
      <c r="A460" s="12"/>
      <c r="D460" s="95"/>
      <c r="F460" s="96"/>
    </row>
    <row r="461">
      <c r="A461" s="12"/>
      <c r="D461" s="95"/>
      <c r="F461" s="96"/>
    </row>
    <row r="462">
      <c r="A462" s="12"/>
      <c r="D462" s="95"/>
      <c r="F462" s="96"/>
    </row>
    <row r="463">
      <c r="A463" s="12"/>
      <c r="D463" s="95"/>
      <c r="F463" s="96"/>
    </row>
    <row r="464">
      <c r="A464" s="12"/>
      <c r="D464" s="95"/>
      <c r="F464" s="96"/>
    </row>
    <row r="465">
      <c r="A465" s="12"/>
      <c r="D465" s="95"/>
      <c r="F465" s="96"/>
    </row>
    <row r="466">
      <c r="A466" s="12"/>
      <c r="D466" s="95"/>
      <c r="F466" s="96"/>
    </row>
    <row r="467">
      <c r="A467" s="12"/>
      <c r="D467" s="95"/>
      <c r="F467" s="96"/>
    </row>
    <row r="468">
      <c r="A468" s="12"/>
      <c r="D468" s="95"/>
      <c r="F468" s="96"/>
    </row>
    <row r="469">
      <c r="A469" s="12"/>
      <c r="D469" s="95"/>
      <c r="F469" s="96"/>
    </row>
    <row r="470">
      <c r="A470" s="12"/>
      <c r="D470" s="95"/>
      <c r="F470" s="96"/>
    </row>
    <row r="471">
      <c r="A471" s="12"/>
      <c r="D471" s="95"/>
      <c r="F471" s="96"/>
    </row>
    <row r="472">
      <c r="A472" s="12"/>
      <c r="D472" s="95"/>
      <c r="F472" s="96"/>
    </row>
    <row r="473">
      <c r="A473" s="12"/>
      <c r="D473" s="95"/>
      <c r="F473" s="96"/>
    </row>
    <row r="474">
      <c r="A474" s="12"/>
      <c r="D474" s="95"/>
      <c r="F474" s="96"/>
    </row>
    <row r="475">
      <c r="A475" s="12"/>
      <c r="D475" s="95"/>
      <c r="F475" s="96"/>
    </row>
    <row r="476">
      <c r="A476" s="12"/>
      <c r="D476" s="95"/>
      <c r="F476" s="96"/>
    </row>
    <row r="477">
      <c r="A477" s="12"/>
      <c r="D477" s="95"/>
      <c r="F477" s="96"/>
    </row>
    <row r="478">
      <c r="A478" s="12"/>
      <c r="D478" s="95"/>
      <c r="F478" s="96"/>
    </row>
    <row r="479">
      <c r="A479" s="12"/>
      <c r="D479" s="95"/>
      <c r="F479" s="96"/>
    </row>
    <row r="480">
      <c r="A480" s="12"/>
      <c r="D480" s="95"/>
      <c r="F480" s="96"/>
    </row>
    <row r="481">
      <c r="A481" s="12"/>
      <c r="D481" s="95"/>
      <c r="F481" s="96"/>
    </row>
    <row r="482">
      <c r="A482" s="12"/>
      <c r="D482" s="95"/>
      <c r="F482" s="96"/>
    </row>
    <row r="483">
      <c r="A483" s="12"/>
      <c r="D483" s="95"/>
      <c r="F483" s="96"/>
    </row>
    <row r="484">
      <c r="A484" s="12"/>
      <c r="D484" s="95"/>
      <c r="F484" s="96"/>
    </row>
    <row r="485">
      <c r="A485" s="12"/>
      <c r="D485" s="95"/>
      <c r="F485" s="96"/>
    </row>
    <row r="486">
      <c r="A486" s="12"/>
      <c r="D486" s="95"/>
      <c r="F486" s="96"/>
    </row>
    <row r="487">
      <c r="A487" s="12"/>
      <c r="D487" s="95"/>
      <c r="F487" s="96"/>
    </row>
    <row r="488">
      <c r="A488" s="12"/>
      <c r="D488" s="95"/>
      <c r="F488" s="96"/>
    </row>
    <row r="489">
      <c r="A489" s="12"/>
      <c r="D489" s="95"/>
      <c r="F489" s="96"/>
    </row>
    <row r="490">
      <c r="A490" s="12"/>
      <c r="D490" s="95"/>
      <c r="F490" s="96"/>
    </row>
    <row r="491">
      <c r="A491" s="12"/>
      <c r="D491" s="95"/>
      <c r="F491" s="96"/>
    </row>
    <row r="492">
      <c r="A492" s="12"/>
      <c r="D492" s="95"/>
      <c r="F492" s="96"/>
    </row>
    <row r="493">
      <c r="A493" s="12"/>
      <c r="D493" s="95"/>
      <c r="F493" s="96"/>
    </row>
    <row r="494">
      <c r="A494" s="12"/>
      <c r="D494" s="95"/>
      <c r="F494" s="96"/>
    </row>
    <row r="495">
      <c r="A495" s="12"/>
      <c r="D495" s="95"/>
      <c r="F495" s="96"/>
    </row>
    <row r="496">
      <c r="A496" s="12"/>
      <c r="D496" s="95"/>
      <c r="F496" s="96"/>
    </row>
    <row r="497">
      <c r="A497" s="12"/>
      <c r="D497" s="95"/>
      <c r="F497" s="96"/>
    </row>
    <row r="498">
      <c r="A498" s="12"/>
      <c r="D498" s="95"/>
      <c r="F498" s="96"/>
    </row>
    <row r="499">
      <c r="A499" s="12"/>
      <c r="D499" s="95"/>
      <c r="F499" s="96"/>
    </row>
    <row r="500">
      <c r="A500" s="12"/>
      <c r="D500" s="95"/>
      <c r="F500" s="96"/>
    </row>
    <row r="501">
      <c r="A501" s="12"/>
      <c r="D501" s="95"/>
      <c r="F501" s="96"/>
    </row>
    <row r="502">
      <c r="A502" s="12"/>
      <c r="D502" s="95"/>
      <c r="F502" s="96"/>
    </row>
    <row r="503">
      <c r="A503" s="12"/>
      <c r="D503" s="95"/>
      <c r="F503" s="96"/>
    </row>
    <row r="504">
      <c r="A504" s="12"/>
      <c r="D504" s="95"/>
      <c r="F504" s="96"/>
    </row>
    <row r="505">
      <c r="A505" s="12"/>
      <c r="D505" s="95"/>
      <c r="F505" s="96"/>
    </row>
    <row r="506">
      <c r="A506" s="12"/>
      <c r="D506" s="95"/>
      <c r="F506" s="96"/>
    </row>
    <row r="507">
      <c r="A507" s="12"/>
      <c r="D507" s="95"/>
      <c r="F507" s="96"/>
    </row>
    <row r="508">
      <c r="A508" s="12"/>
      <c r="D508" s="95"/>
      <c r="F508" s="96"/>
    </row>
    <row r="509">
      <c r="A509" s="12"/>
      <c r="D509" s="95"/>
      <c r="F509" s="96"/>
    </row>
    <row r="510">
      <c r="A510" s="12"/>
      <c r="D510" s="95"/>
      <c r="F510" s="96"/>
    </row>
    <row r="511">
      <c r="A511" s="12"/>
      <c r="D511" s="95"/>
      <c r="F511" s="96"/>
    </row>
    <row r="512">
      <c r="A512" s="12"/>
      <c r="D512" s="95"/>
      <c r="F512" s="96"/>
    </row>
    <row r="513">
      <c r="A513" s="12"/>
      <c r="D513" s="95"/>
      <c r="F513" s="96"/>
    </row>
    <row r="514">
      <c r="A514" s="12"/>
      <c r="D514" s="95"/>
      <c r="F514" s="96"/>
    </row>
    <row r="515">
      <c r="A515" s="12"/>
      <c r="D515" s="95"/>
      <c r="F515" s="96"/>
    </row>
    <row r="516">
      <c r="A516" s="12"/>
      <c r="D516" s="95"/>
      <c r="F516" s="96"/>
    </row>
    <row r="517">
      <c r="A517" s="12"/>
      <c r="D517" s="95"/>
      <c r="F517" s="96"/>
    </row>
    <row r="518">
      <c r="A518" s="12"/>
      <c r="D518" s="95"/>
      <c r="F518" s="96"/>
    </row>
    <row r="519">
      <c r="A519" s="12"/>
      <c r="D519" s="95"/>
      <c r="F519" s="96"/>
    </row>
    <row r="520">
      <c r="A520" s="12"/>
      <c r="D520" s="95"/>
      <c r="F520" s="96"/>
    </row>
    <row r="521">
      <c r="A521" s="12"/>
      <c r="D521" s="95"/>
      <c r="F521" s="96"/>
    </row>
    <row r="522">
      <c r="A522" s="12"/>
      <c r="D522" s="95"/>
      <c r="F522" s="96"/>
    </row>
    <row r="523">
      <c r="A523" s="12"/>
      <c r="D523" s="95"/>
      <c r="F523" s="96"/>
    </row>
    <row r="524">
      <c r="A524" s="12"/>
      <c r="D524" s="95"/>
      <c r="F524" s="96"/>
    </row>
    <row r="525">
      <c r="A525" s="12"/>
      <c r="D525" s="95"/>
      <c r="F525" s="96"/>
    </row>
    <row r="526">
      <c r="A526" s="12"/>
      <c r="D526" s="95"/>
      <c r="F526" s="96"/>
    </row>
    <row r="527">
      <c r="A527" s="12"/>
      <c r="D527" s="95"/>
      <c r="F527" s="96"/>
    </row>
    <row r="528">
      <c r="A528" s="12"/>
      <c r="D528" s="95"/>
      <c r="F528" s="96"/>
    </row>
    <row r="529">
      <c r="A529" s="12"/>
      <c r="D529" s="95"/>
      <c r="F529" s="96"/>
    </row>
    <row r="530">
      <c r="A530" s="12"/>
      <c r="D530" s="95"/>
      <c r="F530" s="96"/>
    </row>
    <row r="531">
      <c r="A531" s="12"/>
      <c r="D531" s="95"/>
      <c r="F531" s="96"/>
    </row>
    <row r="532">
      <c r="A532" s="12"/>
      <c r="D532" s="95"/>
      <c r="F532" s="96"/>
    </row>
    <row r="533">
      <c r="A533" s="12"/>
      <c r="D533" s="95"/>
      <c r="F533" s="96"/>
    </row>
    <row r="534">
      <c r="A534" s="12"/>
      <c r="D534" s="95"/>
      <c r="F534" s="96"/>
    </row>
    <row r="535">
      <c r="A535" s="12"/>
      <c r="D535" s="95"/>
      <c r="F535" s="96"/>
    </row>
    <row r="536">
      <c r="A536" s="12"/>
      <c r="D536" s="95"/>
      <c r="F536" s="96"/>
    </row>
    <row r="537">
      <c r="A537" s="12"/>
      <c r="D537" s="95"/>
      <c r="F537" s="96"/>
    </row>
    <row r="538">
      <c r="A538" s="12"/>
      <c r="D538" s="95"/>
      <c r="F538" s="96"/>
    </row>
    <row r="539">
      <c r="A539" s="12"/>
      <c r="D539" s="95"/>
      <c r="F539" s="96"/>
    </row>
    <row r="540">
      <c r="A540" s="12"/>
      <c r="D540" s="95"/>
      <c r="F540" s="96"/>
    </row>
    <row r="541">
      <c r="A541" s="12"/>
      <c r="D541" s="95"/>
      <c r="F541" s="96"/>
    </row>
    <row r="542">
      <c r="A542" s="12"/>
      <c r="D542" s="95"/>
      <c r="F542" s="96"/>
    </row>
    <row r="543">
      <c r="A543" s="12"/>
      <c r="D543" s="95"/>
      <c r="F543" s="96"/>
    </row>
    <row r="544">
      <c r="A544" s="12"/>
      <c r="D544" s="95"/>
      <c r="F544" s="96"/>
    </row>
    <row r="545">
      <c r="A545" s="12"/>
      <c r="D545" s="95"/>
      <c r="F545" s="96"/>
    </row>
    <row r="546">
      <c r="A546" s="12"/>
      <c r="D546" s="95"/>
      <c r="F546" s="96"/>
    </row>
    <row r="547">
      <c r="A547" s="12"/>
      <c r="D547" s="95"/>
      <c r="F547" s="96"/>
    </row>
    <row r="548">
      <c r="A548" s="12"/>
      <c r="D548" s="95"/>
      <c r="F548" s="96"/>
    </row>
    <row r="549">
      <c r="A549" s="12"/>
      <c r="D549" s="95"/>
      <c r="F549" s="96"/>
    </row>
    <row r="550">
      <c r="A550" s="12"/>
      <c r="D550" s="95"/>
      <c r="F550" s="96"/>
    </row>
    <row r="551">
      <c r="A551" s="12"/>
      <c r="D551" s="95"/>
      <c r="F551" s="96"/>
    </row>
    <row r="552">
      <c r="A552" s="12"/>
      <c r="D552" s="95"/>
      <c r="F552" s="96"/>
    </row>
    <row r="553">
      <c r="A553" s="12"/>
      <c r="D553" s="95"/>
      <c r="F553" s="96"/>
    </row>
    <row r="554">
      <c r="A554" s="12"/>
      <c r="D554" s="95"/>
      <c r="F554" s="96"/>
    </row>
    <row r="555">
      <c r="A555" s="12"/>
      <c r="D555" s="95"/>
      <c r="F555" s="96"/>
    </row>
    <row r="556">
      <c r="A556" s="12"/>
      <c r="D556" s="95"/>
      <c r="F556" s="96"/>
    </row>
    <row r="557">
      <c r="A557" s="12"/>
      <c r="D557" s="95"/>
      <c r="F557" s="96"/>
    </row>
    <row r="558">
      <c r="A558" s="12"/>
      <c r="D558" s="95"/>
      <c r="F558" s="96"/>
    </row>
    <row r="559">
      <c r="A559" s="12"/>
      <c r="D559" s="95"/>
      <c r="F559" s="96"/>
    </row>
    <row r="560">
      <c r="A560" s="12"/>
      <c r="D560" s="95"/>
      <c r="F560" s="96"/>
    </row>
    <row r="561">
      <c r="A561" s="12"/>
      <c r="D561" s="95"/>
      <c r="F561" s="96"/>
    </row>
    <row r="562">
      <c r="A562" s="12"/>
      <c r="D562" s="95"/>
      <c r="F562" s="96"/>
    </row>
    <row r="563">
      <c r="A563" s="12"/>
      <c r="D563" s="95"/>
      <c r="F563" s="96"/>
    </row>
    <row r="564">
      <c r="A564" s="12"/>
      <c r="D564" s="95"/>
      <c r="F564" s="96"/>
    </row>
    <row r="565">
      <c r="A565" s="12"/>
      <c r="D565" s="95"/>
      <c r="F565" s="96"/>
    </row>
    <row r="566">
      <c r="A566" s="12"/>
      <c r="D566" s="95"/>
      <c r="F566" s="96"/>
    </row>
    <row r="567">
      <c r="A567" s="12"/>
      <c r="D567" s="95"/>
      <c r="F567" s="96"/>
    </row>
    <row r="568">
      <c r="A568" s="12"/>
      <c r="D568" s="95"/>
      <c r="F568" s="96"/>
    </row>
    <row r="569">
      <c r="A569" s="12"/>
      <c r="D569" s="95"/>
      <c r="F569" s="96"/>
    </row>
    <row r="570">
      <c r="A570" s="12"/>
      <c r="D570" s="95"/>
      <c r="F570" s="96"/>
    </row>
    <row r="571">
      <c r="A571" s="12"/>
      <c r="D571" s="95"/>
      <c r="F571" s="96"/>
    </row>
    <row r="572">
      <c r="A572" s="12"/>
      <c r="D572" s="95"/>
      <c r="F572" s="96"/>
    </row>
    <row r="573">
      <c r="A573" s="12"/>
      <c r="D573" s="95"/>
      <c r="F573" s="96"/>
    </row>
    <row r="574">
      <c r="A574" s="12"/>
      <c r="D574" s="95"/>
      <c r="F574" s="96"/>
    </row>
    <row r="575">
      <c r="A575" s="12"/>
      <c r="D575" s="95"/>
      <c r="F575" s="96"/>
    </row>
    <row r="576">
      <c r="A576" s="12"/>
      <c r="D576" s="95"/>
      <c r="F576" s="96"/>
    </row>
    <row r="577">
      <c r="A577" s="12"/>
      <c r="D577" s="95"/>
      <c r="F577" s="96"/>
    </row>
    <row r="578">
      <c r="A578" s="12"/>
      <c r="D578" s="95"/>
      <c r="F578" s="96"/>
    </row>
    <row r="579">
      <c r="A579" s="12"/>
      <c r="D579" s="95"/>
      <c r="F579" s="96"/>
    </row>
    <row r="580">
      <c r="A580" s="12"/>
      <c r="D580" s="95"/>
      <c r="F580" s="96"/>
    </row>
    <row r="581">
      <c r="A581" s="12"/>
      <c r="D581" s="95"/>
      <c r="F581" s="96"/>
    </row>
    <row r="582">
      <c r="A582" s="12"/>
      <c r="D582" s="95"/>
      <c r="F582" s="96"/>
    </row>
    <row r="583">
      <c r="A583" s="12"/>
      <c r="D583" s="95"/>
      <c r="F583" s="96"/>
    </row>
    <row r="584">
      <c r="A584" s="12"/>
      <c r="D584" s="95"/>
      <c r="F584" s="96"/>
    </row>
    <row r="585">
      <c r="A585" s="12"/>
      <c r="D585" s="95"/>
      <c r="F585" s="96"/>
    </row>
    <row r="586">
      <c r="A586" s="12"/>
      <c r="D586" s="95"/>
      <c r="F586" s="96"/>
    </row>
    <row r="587">
      <c r="A587" s="12"/>
      <c r="D587" s="95"/>
      <c r="F587" s="96"/>
    </row>
    <row r="588">
      <c r="A588" s="12"/>
      <c r="D588" s="95"/>
      <c r="F588" s="96"/>
    </row>
    <row r="589">
      <c r="A589" s="12"/>
      <c r="D589" s="95"/>
      <c r="F589" s="96"/>
    </row>
    <row r="590">
      <c r="A590" s="12"/>
      <c r="D590" s="95"/>
      <c r="F590" s="96"/>
    </row>
    <row r="591">
      <c r="A591" s="12"/>
      <c r="D591" s="95"/>
      <c r="F591" s="96"/>
    </row>
    <row r="592">
      <c r="A592" s="12"/>
      <c r="D592" s="95"/>
      <c r="F592" s="96"/>
    </row>
    <row r="593">
      <c r="A593" s="12"/>
      <c r="D593" s="95"/>
      <c r="F593" s="96"/>
    </row>
    <row r="594">
      <c r="A594" s="12"/>
      <c r="D594" s="95"/>
      <c r="F594" s="96"/>
    </row>
    <row r="595">
      <c r="A595" s="12"/>
      <c r="D595" s="95"/>
      <c r="F595" s="96"/>
    </row>
    <row r="596">
      <c r="A596" s="12"/>
      <c r="D596" s="95"/>
      <c r="F596" s="96"/>
    </row>
    <row r="597">
      <c r="A597" s="12"/>
      <c r="D597" s="95"/>
      <c r="F597" s="96"/>
    </row>
    <row r="598">
      <c r="A598" s="12"/>
      <c r="D598" s="95"/>
      <c r="F598" s="96"/>
    </row>
    <row r="599">
      <c r="A599" s="12"/>
      <c r="D599" s="95"/>
      <c r="F599" s="96"/>
    </row>
    <row r="600">
      <c r="A600" s="12"/>
      <c r="D600" s="95"/>
      <c r="F600" s="96"/>
    </row>
    <row r="601">
      <c r="A601" s="12"/>
      <c r="D601" s="95"/>
      <c r="F601" s="96"/>
    </row>
    <row r="602">
      <c r="A602" s="12"/>
      <c r="D602" s="95"/>
      <c r="F602" s="96"/>
    </row>
    <row r="603">
      <c r="A603" s="12"/>
      <c r="D603" s="95"/>
      <c r="F603" s="96"/>
    </row>
    <row r="604">
      <c r="A604" s="12"/>
      <c r="D604" s="95"/>
      <c r="F604" s="96"/>
    </row>
    <row r="605">
      <c r="A605" s="12"/>
      <c r="D605" s="95"/>
      <c r="F605" s="96"/>
    </row>
    <row r="606">
      <c r="A606" s="12"/>
      <c r="D606" s="95"/>
      <c r="F606" s="96"/>
    </row>
    <row r="607">
      <c r="A607" s="12"/>
      <c r="D607" s="95"/>
      <c r="F607" s="96"/>
    </row>
    <row r="608">
      <c r="A608" s="12"/>
      <c r="D608" s="95"/>
      <c r="F608" s="96"/>
    </row>
    <row r="609">
      <c r="A609" s="12"/>
      <c r="D609" s="95"/>
      <c r="F609" s="96"/>
    </row>
    <row r="610">
      <c r="A610" s="12"/>
      <c r="D610" s="95"/>
      <c r="F610" s="96"/>
    </row>
    <row r="611">
      <c r="A611" s="12"/>
      <c r="D611" s="95"/>
      <c r="F611" s="96"/>
    </row>
    <row r="612">
      <c r="A612" s="12"/>
      <c r="D612" s="95"/>
      <c r="F612" s="96"/>
    </row>
    <row r="613">
      <c r="A613" s="12"/>
      <c r="D613" s="95"/>
      <c r="F613" s="96"/>
    </row>
    <row r="614">
      <c r="A614" s="12"/>
      <c r="D614" s="95"/>
      <c r="F614" s="96"/>
    </row>
    <row r="615">
      <c r="A615" s="12"/>
      <c r="D615" s="95"/>
      <c r="F615" s="96"/>
    </row>
    <row r="616">
      <c r="A616" s="12"/>
      <c r="D616" s="95"/>
      <c r="F616" s="96"/>
    </row>
    <row r="617">
      <c r="A617" s="12"/>
      <c r="D617" s="95"/>
      <c r="F617" s="96"/>
    </row>
    <row r="618">
      <c r="A618" s="12"/>
      <c r="D618" s="95"/>
      <c r="F618" s="96"/>
    </row>
    <row r="619">
      <c r="A619" s="12"/>
      <c r="D619" s="95"/>
      <c r="F619" s="96"/>
    </row>
    <row r="620">
      <c r="A620" s="12"/>
      <c r="D620" s="95"/>
      <c r="F620" s="96"/>
    </row>
    <row r="621">
      <c r="A621" s="12"/>
      <c r="D621" s="95"/>
      <c r="F621" s="96"/>
    </row>
    <row r="622">
      <c r="A622" s="12"/>
      <c r="D622" s="95"/>
      <c r="F622" s="96"/>
    </row>
    <row r="623">
      <c r="A623" s="12"/>
      <c r="D623" s="95"/>
      <c r="F623" s="96"/>
    </row>
    <row r="624">
      <c r="A624" s="12"/>
      <c r="D624" s="95"/>
      <c r="F624" s="96"/>
    </row>
    <row r="625">
      <c r="A625" s="12"/>
      <c r="D625" s="95"/>
      <c r="F625" s="96"/>
    </row>
    <row r="626">
      <c r="A626" s="12"/>
      <c r="D626" s="95"/>
      <c r="F626" s="96"/>
    </row>
    <row r="627">
      <c r="A627" s="12"/>
      <c r="D627" s="95"/>
      <c r="F627" s="96"/>
    </row>
    <row r="628">
      <c r="A628" s="12"/>
      <c r="D628" s="95"/>
      <c r="F628" s="96"/>
    </row>
    <row r="629">
      <c r="A629" s="12"/>
      <c r="D629" s="95"/>
      <c r="F629" s="96"/>
    </row>
    <row r="630">
      <c r="A630" s="12"/>
      <c r="D630" s="95"/>
      <c r="F630" s="96"/>
    </row>
    <row r="631">
      <c r="A631" s="12"/>
      <c r="D631" s="95"/>
      <c r="F631" s="96"/>
    </row>
    <row r="632">
      <c r="A632" s="12"/>
      <c r="D632" s="95"/>
      <c r="F632" s="96"/>
    </row>
    <row r="633">
      <c r="A633" s="12"/>
      <c r="D633" s="95"/>
      <c r="F633" s="96"/>
    </row>
    <row r="634">
      <c r="A634" s="12"/>
      <c r="D634" s="95"/>
      <c r="F634" s="96"/>
    </row>
    <row r="635">
      <c r="A635" s="12"/>
      <c r="D635" s="95"/>
      <c r="F635" s="96"/>
    </row>
    <row r="636">
      <c r="A636" s="12"/>
      <c r="D636" s="95"/>
      <c r="F636" s="96"/>
    </row>
    <row r="637">
      <c r="A637" s="12"/>
      <c r="D637" s="95"/>
      <c r="F637" s="96"/>
    </row>
    <row r="638">
      <c r="A638" s="12"/>
      <c r="D638" s="95"/>
      <c r="F638" s="96"/>
    </row>
    <row r="639">
      <c r="A639" s="12"/>
      <c r="D639" s="95"/>
      <c r="F639" s="96"/>
    </row>
    <row r="640">
      <c r="A640" s="12"/>
      <c r="D640" s="95"/>
      <c r="F640" s="96"/>
    </row>
    <row r="641">
      <c r="A641" s="12"/>
      <c r="D641" s="95"/>
      <c r="F641" s="96"/>
    </row>
    <row r="642">
      <c r="A642" s="12"/>
      <c r="D642" s="95"/>
      <c r="F642" s="96"/>
    </row>
    <row r="643">
      <c r="A643" s="12"/>
      <c r="D643" s="95"/>
      <c r="F643" s="96"/>
    </row>
    <row r="644">
      <c r="A644" s="12"/>
      <c r="D644" s="95"/>
      <c r="F644" s="96"/>
    </row>
    <row r="645">
      <c r="A645" s="12"/>
      <c r="D645" s="95"/>
      <c r="F645" s="96"/>
    </row>
    <row r="646">
      <c r="A646" s="12"/>
      <c r="D646" s="95"/>
      <c r="F646" s="96"/>
    </row>
    <row r="647">
      <c r="A647" s="12"/>
      <c r="D647" s="95"/>
      <c r="F647" s="96"/>
    </row>
    <row r="648">
      <c r="A648" s="12"/>
      <c r="D648" s="95"/>
      <c r="F648" s="96"/>
    </row>
    <row r="649">
      <c r="A649" s="12"/>
      <c r="D649" s="95"/>
      <c r="F649" s="96"/>
    </row>
    <row r="650">
      <c r="A650" s="12"/>
      <c r="D650" s="95"/>
      <c r="F650" s="96"/>
    </row>
    <row r="651">
      <c r="A651" s="12"/>
      <c r="D651" s="95"/>
      <c r="F651" s="96"/>
    </row>
    <row r="652">
      <c r="A652" s="12"/>
      <c r="D652" s="95"/>
      <c r="F652" s="96"/>
    </row>
    <row r="653">
      <c r="A653" s="12"/>
      <c r="D653" s="95"/>
      <c r="F653" s="96"/>
    </row>
    <row r="654">
      <c r="A654" s="12"/>
      <c r="D654" s="95"/>
      <c r="F654" s="96"/>
    </row>
    <row r="655">
      <c r="A655" s="12"/>
      <c r="D655" s="95"/>
      <c r="F655" s="96"/>
    </row>
    <row r="656">
      <c r="A656" s="12"/>
      <c r="D656" s="95"/>
      <c r="F656" s="96"/>
    </row>
    <row r="657">
      <c r="A657" s="12"/>
      <c r="D657" s="95"/>
      <c r="F657" s="96"/>
    </row>
    <row r="658">
      <c r="A658" s="12"/>
      <c r="D658" s="95"/>
      <c r="F658" s="96"/>
    </row>
    <row r="659">
      <c r="A659" s="12"/>
      <c r="D659" s="95"/>
      <c r="F659" s="96"/>
    </row>
    <row r="660">
      <c r="A660" s="12"/>
      <c r="D660" s="95"/>
      <c r="F660" s="96"/>
    </row>
    <row r="661">
      <c r="A661" s="12"/>
      <c r="D661" s="95"/>
      <c r="F661" s="96"/>
    </row>
    <row r="662">
      <c r="A662" s="12"/>
      <c r="D662" s="95"/>
      <c r="F662" s="96"/>
    </row>
    <row r="663">
      <c r="A663" s="12"/>
      <c r="D663" s="95"/>
      <c r="F663" s="96"/>
    </row>
    <row r="664">
      <c r="A664" s="12"/>
      <c r="D664" s="95"/>
      <c r="F664" s="96"/>
    </row>
    <row r="665">
      <c r="A665" s="12"/>
      <c r="D665" s="95"/>
      <c r="F665" s="96"/>
    </row>
    <row r="666">
      <c r="A666" s="12"/>
      <c r="D666" s="95"/>
      <c r="F666" s="96"/>
    </row>
    <row r="667">
      <c r="A667" s="12"/>
      <c r="D667" s="95"/>
      <c r="F667" s="96"/>
    </row>
    <row r="668">
      <c r="A668" s="12"/>
      <c r="D668" s="95"/>
      <c r="F668" s="96"/>
    </row>
    <row r="669">
      <c r="A669" s="12"/>
      <c r="D669" s="95"/>
      <c r="F669" s="96"/>
    </row>
    <row r="670">
      <c r="A670" s="12"/>
      <c r="D670" s="95"/>
      <c r="F670" s="96"/>
    </row>
    <row r="671">
      <c r="A671" s="12"/>
      <c r="D671" s="95"/>
      <c r="F671" s="96"/>
    </row>
    <row r="672">
      <c r="A672" s="12"/>
      <c r="D672" s="95"/>
      <c r="F672" s="96"/>
    </row>
    <row r="673">
      <c r="A673" s="12"/>
      <c r="D673" s="95"/>
      <c r="F673" s="96"/>
    </row>
    <row r="674">
      <c r="A674" s="12"/>
      <c r="D674" s="95"/>
      <c r="F674" s="96"/>
    </row>
    <row r="675">
      <c r="A675" s="12"/>
      <c r="D675" s="95"/>
      <c r="F675" s="96"/>
    </row>
    <row r="676">
      <c r="A676" s="12"/>
      <c r="D676" s="95"/>
      <c r="F676" s="96"/>
    </row>
    <row r="677">
      <c r="A677" s="12"/>
      <c r="D677" s="95"/>
      <c r="F677" s="96"/>
    </row>
    <row r="678">
      <c r="A678" s="12"/>
      <c r="D678" s="95"/>
      <c r="F678" s="96"/>
    </row>
    <row r="679">
      <c r="A679" s="12"/>
      <c r="D679" s="95"/>
      <c r="F679" s="96"/>
    </row>
    <row r="680">
      <c r="A680" s="12"/>
      <c r="D680" s="95"/>
      <c r="F680" s="96"/>
    </row>
    <row r="681">
      <c r="A681" s="12"/>
      <c r="D681" s="95"/>
      <c r="F681" s="96"/>
    </row>
    <row r="682">
      <c r="A682" s="12"/>
      <c r="D682" s="95"/>
      <c r="F682" s="96"/>
    </row>
    <row r="683">
      <c r="A683" s="12"/>
      <c r="D683" s="95"/>
      <c r="F683" s="96"/>
    </row>
    <row r="684">
      <c r="A684" s="12"/>
      <c r="D684" s="95"/>
      <c r="F684" s="96"/>
    </row>
    <row r="685">
      <c r="A685" s="12"/>
      <c r="D685" s="95"/>
      <c r="F685" s="96"/>
    </row>
    <row r="686">
      <c r="A686" s="12"/>
      <c r="D686" s="95"/>
      <c r="F686" s="96"/>
    </row>
    <row r="687">
      <c r="A687" s="12"/>
      <c r="D687" s="95"/>
      <c r="F687" s="96"/>
    </row>
    <row r="688">
      <c r="A688" s="12"/>
      <c r="D688" s="95"/>
      <c r="F688" s="96"/>
    </row>
    <row r="689">
      <c r="A689" s="12"/>
      <c r="D689" s="95"/>
      <c r="F689" s="96"/>
    </row>
    <row r="690">
      <c r="A690" s="12"/>
      <c r="D690" s="95"/>
      <c r="F690" s="96"/>
    </row>
    <row r="691">
      <c r="A691" s="12"/>
      <c r="D691" s="95"/>
      <c r="F691" s="96"/>
    </row>
    <row r="692">
      <c r="A692" s="12"/>
      <c r="D692" s="95"/>
      <c r="F692" s="96"/>
    </row>
    <row r="693">
      <c r="A693" s="12"/>
      <c r="D693" s="95"/>
      <c r="F693" s="96"/>
    </row>
    <row r="694">
      <c r="A694" s="12"/>
      <c r="D694" s="95"/>
      <c r="F694" s="96"/>
    </row>
    <row r="695">
      <c r="A695" s="12"/>
      <c r="D695" s="95"/>
      <c r="F695" s="96"/>
    </row>
    <row r="696">
      <c r="A696" s="12"/>
      <c r="D696" s="95"/>
      <c r="F696" s="96"/>
    </row>
    <row r="697">
      <c r="A697" s="12"/>
      <c r="D697" s="95"/>
      <c r="F697" s="96"/>
    </row>
    <row r="698">
      <c r="A698" s="12"/>
      <c r="D698" s="95"/>
      <c r="F698" s="96"/>
    </row>
    <row r="699">
      <c r="A699" s="12"/>
      <c r="D699" s="95"/>
      <c r="F699" s="96"/>
    </row>
    <row r="700">
      <c r="A700" s="12"/>
      <c r="D700" s="95"/>
      <c r="F700" s="96"/>
    </row>
    <row r="701">
      <c r="A701" s="12"/>
      <c r="D701" s="95"/>
      <c r="F701" s="96"/>
    </row>
    <row r="702">
      <c r="A702" s="12"/>
      <c r="D702" s="95"/>
      <c r="F702" s="96"/>
    </row>
    <row r="703">
      <c r="A703" s="12"/>
      <c r="D703" s="95"/>
      <c r="F703" s="96"/>
    </row>
    <row r="704">
      <c r="A704" s="12"/>
      <c r="D704" s="95"/>
      <c r="F704" s="96"/>
    </row>
    <row r="705">
      <c r="A705" s="12"/>
      <c r="D705" s="95"/>
      <c r="F705" s="96"/>
    </row>
    <row r="706">
      <c r="A706" s="12"/>
      <c r="D706" s="95"/>
      <c r="F706" s="96"/>
    </row>
    <row r="707">
      <c r="A707" s="12"/>
      <c r="D707" s="95"/>
      <c r="F707" s="96"/>
    </row>
    <row r="708">
      <c r="A708" s="12"/>
      <c r="D708" s="95"/>
      <c r="F708" s="96"/>
    </row>
    <row r="709">
      <c r="A709" s="12"/>
      <c r="D709" s="95"/>
      <c r="F709" s="96"/>
    </row>
    <row r="710">
      <c r="A710" s="12"/>
      <c r="D710" s="95"/>
      <c r="F710" s="96"/>
    </row>
    <row r="711">
      <c r="A711" s="12"/>
      <c r="D711" s="95"/>
      <c r="F711" s="96"/>
    </row>
    <row r="712">
      <c r="A712" s="12"/>
      <c r="D712" s="95"/>
      <c r="F712" s="96"/>
    </row>
    <row r="713">
      <c r="A713" s="12"/>
      <c r="D713" s="95"/>
      <c r="F713" s="96"/>
    </row>
    <row r="714">
      <c r="A714" s="12"/>
      <c r="D714" s="95"/>
      <c r="F714" s="96"/>
    </row>
    <row r="715">
      <c r="A715" s="12"/>
      <c r="D715" s="95"/>
      <c r="F715" s="96"/>
    </row>
    <row r="716">
      <c r="A716" s="12"/>
      <c r="D716" s="95"/>
      <c r="F716" s="96"/>
    </row>
    <row r="717">
      <c r="A717" s="12"/>
      <c r="D717" s="95"/>
      <c r="F717" s="96"/>
    </row>
    <row r="718">
      <c r="A718" s="12"/>
      <c r="D718" s="95"/>
      <c r="F718" s="96"/>
    </row>
    <row r="719">
      <c r="A719" s="12"/>
      <c r="D719" s="95"/>
      <c r="F719" s="96"/>
    </row>
    <row r="720">
      <c r="A720" s="12"/>
      <c r="D720" s="95"/>
      <c r="F720" s="96"/>
    </row>
    <row r="721">
      <c r="A721" s="12"/>
      <c r="D721" s="95"/>
      <c r="F721" s="96"/>
    </row>
    <row r="722">
      <c r="A722" s="12"/>
      <c r="D722" s="95"/>
      <c r="F722" s="96"/>
    </row>
    <row r="723">
      <c r="A723" s="12"/>
      <c r="D723" s="95"/>
      <c r="F723" s="96"/>
    </row>
    <row r="724">
      <c r="A724" s="12"/>
      <c r="D724" s="95"/>
      <c r="F724" s="96"/>
    </row>
    <row r="725">
      <c r="A725" s="12"/>
      <c r="D725" s="95"/>
      <c r="F725" s="96"/>
    </row>
    <row r="726">
      <c r="A726" s="12"/>
      <c r="D726" s="95"/>
      <c r="F726" s="96"/>
    </row>
    <row r="727">
      <c r="A727" s="12"/>
      <c r="D727" s="95"/>
      <c r="F727" s="96"/>
    </row>
    <row r="728">
      <c r="A728" s="12"/>
      <c r="D728" s="95"/>
      <c r="F728" s="96"/>
    </row>
    <row r="729">
      <c r="A729" s="12"/>
      <c r="D729" s="95"/>
      <c r="F729" s="96"/>
    </row>
    <row r="730">
      <c r="A730" s="12"/>
      <c r="D730" s="95"/>
      <c r="F730" s="96"/>
    </row>
    <row r="731">
      <c r="A731" s="12"/>
      <c r="D731" s="95"/>
      <c r="F731" s="96"/>
    </row>
    <row r="732">
      <c r="A732" s="12"/>
      <c r="D732" s="95"/>
      <c r="F732" s="96"/>
    </row>
    <row r="733">
      <c r="A733" s="12"/>
      <c r="D733" s="95"/>
      <c r="F733" s="96"/>
    </row>
    <row r="734">
      <c r="A734" s="12"/>
      <c r="D734" s="95"/>
      <c r="F734" s="96"/>
    </row>
    <row r="735">
      <c r="A735" s="12"/>
      <c r="D735" s="95"/>
      <c r="F735" s="96"/>
    </row>
    <row r="736">
      <c r="A736" s="12"/>
      <c r="D736" s="95"/>
      <c r="F736" s="96"/>
    </row>
    <row r="737">
      <c r="A737" s="12"/>
      <c r="D737" s="95"/>
      <c r="F737" s="96"/>
    </row>
    <row r="738">
      <c r="A738" s="12"/>
      <c r="D738" s="95"/>
      <c r="F738" s="96"/>
    </row>
    <row r="739">
      <c r="A739" s="12"/>
      <c r="D739" s="95"/>
      <c r="F739" s="96"/>
    </row>
    <row r="740">
      <c r="A740" s="12"/>
      <c r="D740" s="95"/>
      <c r="F740" s="96"/>
    </row>
    <row r="741">
      <c r="A741" s="12"/>
      <c r="D741" s="95"/>
      <c r="F741" s="96"/>
    </row>
    <row r="742">
      <c r="A742" s="12"/>
      <c r="D742" s="95"/>
      <c r="F742" s="96"/>
    </row>
    <row r="743">
      <c r="A743" s="12"/>
      <c r="D743" s="95"/>
      <c r="F743" s="96"/>
    </row>
    <row r="744">
      <c r="A744" s="12"/>
      <c r="D744" s="95"/>
      <c r="F744" s="96"/>
    </row>
    <row r="745">
      <c r="A745" s="12"/>
      <c r="D745" s="95"/>
      <c r="F745" s="96"/>
    </row>
    <row r="746">
      <c r="A746" s="12"/>
      <c r="D746" s="95"/>
      <c r="F746" s="96"/>
    </row>
    <row r="747">
      <c r="A747" s="12"/>
      <c r="D747" s="95"/>
      <c r="F747" s="96"/>
    </row>
    <row r="748">
      <c r="A748" s="12"/>
      <c r="D748" s="95"/>
      <c r="F748" s="96"/>
    </row>
    <row r="749">
      <c r="A749" s="12"/>
      <c r="D749" s="95"/>
      <c r="F749" s="96"/>
    </row>
    <row r="750">
      <c r="A750" s="12"/>
      <c r="D750" s="95"/>
      <c r="F750" s="96"/>
    </row>
    <row r="751">
      <c r="A751" s="12"/>
      <c r="D751" s="95"/>
      <c r="F751" s="96"/>
    </row>
    <row r="752">
      <c r="A752" s="12"/>
      <c r="D752" s="95"/>
      <c r="F752" s="96"/>
    </row>
    <row r="753">
      <c r="A753" s="12"/>
      <c r="D753" s="95"/>
      <c r="F753" s="96"/>
    </row>
    <row r="754">
      <c r="A754" s="12"/>
      <c r="D754" s="95"/>
      <c r="F754" s="96"/>
    </row>
    <row r="755">
      <c r="A755" s="12"/>
      <c r="D755" s="95"/>
      <c r="F755" s="96"/>
    </row>
    <row r="756">
      <c r="A756" s="12"/>
      <c r="D756" s="95"/>
      <c r="F756" s="96"/>
    </row>
    <row r="757">
      <c r="A757" s="12"/>
      <c r="D757" s="95"/>
      <c r="F757" s="96"/>
    </row>
    <row r="758">
      <c r="A758" s="12"/>
      <c r="D758" s="95"/>
      <c r="F758" s="96"/>
    </row>
    <row r="759">
      <c r="A759" s="12"/>
      <c r="D759" s="95"/>
      <c r="F759" s="96"/>
    </row>
    <row r="760">
      <c r="A760" s="12"/>
      <c r="D760" s="95"/>
      <c r="F760" s="96"/>
    </row>
    <row r="761">
      <c r="A761" s="12"/>
      <c r="D761" s="95"/>
      <c r="F761" s="96"/>
    </row>
    <row r="762">
      <c r="A762" s="12"/>
      <c r="D762" s="95"/>
      <c r="F762" s="96"/>
    </row>
    <row r="763">
      <c r="A763" s="12"/>
      <c r="D763" s="95"/>
      <c r="F763" s="96"/>
    </row>
    <row r="764">
      <c r="A764" s="12"/>
      <c r="D764" s="95"/>
      <c r="F764" s="96"/>
    </row>
    <row r="765">
      <c r="A765" s="12"/>
      <c r="D765" s="95"/>
      <c r="F765" s="96"/>
    </row>
    <row r="766">
      <c r="A766" s="12"/>
      <c r="D766" s="95"/>
      <c r="F766" s="96"/>
    </row>
    <row r="767">
      <c r="A767" s="12"/>
      <c r="D767" s="95"/>
      <c r="F767" s="96"/>
    </row>
    <row r="768">
      <c r="A768" s="12"/>
      <c r="D768" s="95"/>
      <c r="F768" s="96"/>
    </row>
    <row r="769">
      <c r="A769" s="12"/>
      <c r="D769" s="95"/>
      <c r="F769" s="96"/>
    </row>
    <row r="770">
      <c r="A770" s="12"/>
      <c r="D770" s="95"/>
      <c r="F770" s="96"/>
    </row>
    <row r="771">
      <c r="A771" s="12"/>
      <c r="D771" s="95"/>
      <c r="F771" s="96"/>
    </row>
    <row r="772">
      <c r="A772" s="12"/>
      <c r="D772" s="95"/>
      <c r="F772" s="96"/>
    </row>
    <row r="773">
      <c r="A773" s="12"/>
      <c r="D773" s="95"/>
      <c r="F773" s="96"/>
    </row>
    <row r="774">
      <c r="A774" s="12"/>
      <c r="D774" s="95"/>
      <c r="F774" s="96"/>
    </row>
    <row r="775">
      <c r="A775" s="12"/>
      <c r="D775" s="95"/>
      <c r="F775" s="96"/>
    </row>
    <row r="776">
      <c r="A776" s="12"/>
      <c r="D776" s="95"/>
      <c r="F776" s="96"/>
    </row>
    <row r="777">
      <c r="A777" s="12"/>
      <c r="D777" s="95"/>
      <c r="F777" s="96"/>
    </row>
    <row r="778">
      <c r="A778" s="12"/>
      <c r="D778" s="95"/>
      <c r="F778" s="96"/>
    </row>
    <row r="779">
      <c r="A779" s="12"/>
      <c r="D779" s="95"/>
      <c r="F779" s="96"/>
    </row>
    <row r="780">
      <c r="A780" s="12"/>
      <c r="D780" s="95"/>
      <c r="F780" s="96"/>
    </row>
    <row r="781">
      <c r="A781" s="12"/>
      <c r="D781" s="95"/>
      <c r="F781" s="96"/>
    </row>
    <row r="782">
      <c r="A782" s="12"/>
      <c r="D782" s="95"/>
      <c r="F782" s="96"/>
    </row>
    <row r="783">
      <c r="A783" s="12"/>
      <c r="D783" s="95"/>
      <c r="F783" s="96"/>
    </row>
    <row r="784">
      <c r="A784" s="12"/>
      <c r="D784" s="95"/>
      <c r="F784" s="96"/>
    </row>
    <row r="785">
      <c r="A785" s="12"/>
      <c r="D785" s="95"/>
      <c r="F785" s="96"/>
    </row>
    <row r="786">
      <c r="A786" s="12"/>
      <c r="D786" s="95"/>
      <c r="F786" s="96"/>
    </row>
    <row r="787">
      <c r="A787" s="12"/>
      <c r="D787" s="95"/>
      <c r="F787" s="96"/>
    </row>
    <row r="788">
      <c r="A788" s="12"/>
      <c r="D788" s="95"/>
      <c r="F788" s="96"/>
    </row>
    <row r="789">
      <c r="A789" s="12"/>
      <c r="D789" s="95"/>
      <c r="F789" s="96"/>
    </row>
    <row r="790">
      <c r="A790" s="12"/>
      <c r="D790" s="95"/>
      <c r="F790" s="96"/>
    </row>
    <row r="791">
      <c r="A791" s="12"/>
      <c r="D791" s="95"/>
      <c r="F791" s="96"/>
    </row>
    <row r="792">
      <c r="A792" s="12"/>
      <c r="D792" s="95"/>
      <c r="F792" s="96"/>
    </row>
    <row r="793">
      <c r="A793" s="12"/>
      <c r="D793" s="95"/>
      <c r="F793" s="96"/>
    </row>
    <row r="794">
      <c r="A794" s="12"/>
      <c r="D794" s="95"/>
      <c r="F794" s="96"/>
    </row>
    <row r="795">
      <c r="A795" s="12"/>
      <c r="D795" s="95"/>
      <c r="F795" s="96"/>
    </row>
    <row r="796">
      <c r="A796" s="12"/>
      <c r="D796" s="95"/>
      <c r="F796" s="96"/>
    </row>
    <row r="797">
      <c r="A797" s="12"/>
      <c r="D797" s="95"/>
      <c r="F797" s="96"/>
    </row>
    <row r="798">
      <c r="A798" s="12"/>
      <c r="D798" s="95"/>
      <c r="F798" s="96"/>
    </row>
    <row r="799">
      <c r="A799" s="12"/>
      <c r="D799" s="95"/>
      <c r="F799" s="96"/>
    </row>
    <row r="800">
      <c r="A800" s="12"/>
      <c r="D800" s="95"/>
      <c r="F800" s="96"/>
    </row>
    <row r="801">
      <c r="A801" s="12"/>
      <c r="D801" s="95"/>
      <c r="F801" s="96"/>
    </row>
    <row r="802">
      <c r="A802" s="12"/>
      <c r="D802" s="95"/>
      <c r="F802" s="96"/>
    </row>
    <row r="803">
      <c r="A803" s="12"/>
      <c r="D803" s="95"/>
      <c r="F803" s="96"/>
    </row>
    <row r="804">
      <c r="A804" s="12"/>
      <c r="D804" s="95"/>
      <c r="F804" s="96"/>
    </row>
    <row r="805">
      <c r="A805" s="12"/>
      <c r="D805" s="95"/>
      <c r="F805" s="96"/>
    </row>
    <row r="806">
      <c r="A806" s="12"/>
      <c r="D806" s="95"/>
      <c r="F806" s="96"/>
    </row>
    <row r="807">
      <c r="A807" s="12"/>
      <c r="D807" s="95"/>
      <c r="F807" s="96"/>
    </row>
    <row r="808">
      <c r="A808" s="12"/>
      <c r="D808" s="95"/>
      <c r="F808" s="96"/>
    </row>
    <row r="809">
      <c r="A809" s="12"/>
      <c r="D809" s="95"/>
      <c r="F809" s="96"/>
    </row>
    <row r="810">
      <c r="A810" s="12"/>
      <c r="D810" s="95"/>
      <c r="F810" s="96"/>
    </row>
    <row r="811">
      <c r="A811" s="12"/>
      <c r="D811" s="95"/>
      <c r="F811" s="96"/>
    </row>
    <row r="812">
      <c r="A812" s="12"/>
      <c r="D812" s="95"/>
      <c r="F812" s="96"/>
    </row>
    <row r="813">
      <c r="A813" s="12"/>
      <c r="D813" s="95"/>
      <c r="F813" s="96"/>
    </row>
    <row r="814">
      <c r="A814" s="12"/>
      <c r="D814" s="95"/>
      <c r="F814" s="96"/>
    </row>
    <row r="815">
      <c r="A815" s="12"/>
      <c r="D815" s="95"/>
      <c r="F815" s="96"/>
    </row>
    <row r="816">
      <c r="A816" s="12"/>
      <c r="D816" s="95"/>
      <c r="F816" s="96"/>
    </row>
    <row r="817">
      <c r="A817" s="12"/>
      <c r="D817" s="95"/>
      <c r="F817" s="96"/>
    </row>
    <row r="818">
      <c r="A818" s="12"/>
      <c r="D818" s="95"/>
      <c r="F818" s="96"/>
    </row>
    <row r="819">
      <c r="A819" s="12"/>
      <c r="D819" s="95"/>
      <c r="F819" s="96"/>
    </row>
    <row r="820">
      <c r="A820" s="12"/>
      <c r="D820" s="95"/>
      <c r="F820" s="96"/>
    </row>
    <row r="821">
      <c r="A821" s="12"/>
      <c r="D821" s="95"/>
      <c r="F821" s="96"/>
    </row>
    <row r="822">
      <c r="A822" s="12"/>
      <c r="D822" s="95"/>
      <c r="F822" s="96"/>
    </row>
    <row r="823">
      <c r="A823" s="12"/>
      <c r="D823" s="95"/>
      <c r="F823" s="96"/>
    </row>
    <row r="824">
      <c r="A824" s="12"/>
      <c r="D824" s="95"/>
      <c r="F824" s="96"/>
    </row>
    <row r="825">
      <c r="A825" s="12"/>
      <c r="D825" s="95"/>
      <c r="F825" s="96"/>
    </row>
    <row r="826">
      <c r="A826" s="12"/>
      <c r="D826" s="95"/>
      <c r="F826" s="96"/>
    </row>
    <row r="827">
      <c r="A827" s="12"/>
      <c r="D827" s="95"/>
      <c r="F827" s="96"/>
    </row>
    <row r="828">
      <c r="A828" s="12"/>
      <c r="D828" s="95"/>
      <c r="F828" s="96"/>
    </row>
    <row r="829">
      <c r="A829" s="12"/>
      <c r="D829" s="95"/>
      <c r="F829" s="96"/>
    </row>
    <row r="830">
      <c r="A830" s="12"/>
      <c r="D830" s="95"/>
      <c r="F830" s="96"/>
    </row>
    <row r="831">
      <c r="A831" s="12"/>
      <c r="D831" s="95"/>
      <c r="F831" s="96"/>
    </row>
    <row r="832">
      <c r="A832" s="12"/>
      <c r="D832" s="95"/>
      <c r="F832" s="96"/>
    </row>
    <row r="833">
      <c r="A833" s="12"/>
      <c r="D833" s="95"/>
      <c r="F833" s="96"/>
    </row>
    <row r="834">
      <c r="A834" s="12"/>
      <c r="D834" s="95"/>
      <c r="F834" s="96"/>
    </row>
    <row r="835">
      <c r="A835" s="12"/>
      <c r="D835" s="95"/>
      <c r="F835" s="96"/>
    </row>
    <row r="836">
      <c r="A836" s="12"/>
      <c r="D836" s="95"/>
      <c r="F836" s="96"/>
    </row>
    <row r="837">
      <c r="A837" s="12"/>
      <c r="D837" s="95"/>
      <c r="F837" s="96"/>
    </row>
    <row r="838">
      <c r="A838" s="12"/>
      <c r="D838" s="95"/>
      <c r="F838" s="96"/>
    </row>
    <row r="839">
      <c r="A839" s="12"/>
      <c r="D839" s="95"/>
      <c r="F839" s="96"/>
    </row>
    <row r="840">
      <c r="A840" s="12"/>
      <c r="D840" s="95"/>
      <c r="F840" s="96"/>
    </row>
    <row r="841">
      <c r="A841" s="12"/>
      <c r="D841" s="95"/>
      <c r="F841" s="96"/>
    </row>
    <row r="842">
      <c r="A842" s="12"/>
      <c r="D842" s="95"/>
      <c r="F842" s="96"/>
    </row>
    <row r="843">
      <c r="A843" s="12"/>
      <c r="D843" s="95"/>
      <c r="F843" s="96"/>
    </row>
    <row r="844">
      <c r="A844" s="12"/>
      <c r="D844" s="95"/>
      <c r="F844" s="96"/>
    </row>
    <row r="845">
      <c r="A845" s="12"/>
      <c r="D845" s="95"/>
      <c r="F845" s="96"/>
    </row>
    <row r="846">
      <c r="A846" s="12"/>
      <c r="D846" s="95"/>
      <c r="F846" s="96"/>
    </row>
    <row r="847">
      <c r="A847" s="12"/>
      <c r="D847" s="95"/>
      <c r="F847" s="96"/>
    </row>
    <row r="848">
      <c r="A848" s="12"/>
      <c r="D848" s="95"/>
      <c r="F848" s="96"/>
    </row>
    <row r="849">
      <c r="A849" s="12"/>
      <c r="D849" s="95"/>
      <c r="F849" s="96"/>
    </row>
    <row r="850">
      <c r="A850" s="12"/>
      <c r="D850" s="95"/>
      <c r="F850" s="96"/>
    </row>
    <row r="851">
      <c r="A851" s="12"/>
      <c r="D851" s="95"/>
      <c r="F851" s="96"/>
    </row>
    <row r="852">
      <c r="A852" s="12"/>
      <c r="D852" s="95"/>
      <c r="F852" s="96"/>
    </row>
    <row r="853">
      <c r="A853" s="12"/>
      <c r="D853" s="95"/>
      <c r="F853" s="96"/>
    </row>
    <row r="854">
      <c r="A854" s="12"/>
      <c r="D854" s="95"/>
      <c r="F854" s="96"/>
    </row>
    <row r="855">
      <c r="A855" s="12"/>
      <c r="D855" s="95"/>
      <c r="F855" s="96"/>
    </row>
    <row r="856">
      <c r="A856" s="12"/>
      <c r="D856" s="95"/>
      <c r="F856" s="96"/>
    </row>
    <row r="857">
      <c r="A857" s="12"/>
      <c r="D857" s="95"/>
      <c r="F857" s="96"/>
    </row>
    <row r="858">
      <c r="A858" s="12"/>
      <c r="D858" s="95"/>
      <c r="F858" s="96"/>
    </row>
    <row r="859">
      <c r="A859" s="12"/>
      <c r="D859" s="95"/>
      <c r="F859" s="96"/>
    </row>
    <row r="860">
      <c r="A860" s="12"/>
      <c r="D860" s="95"/>
      <c r="F860" s="96"/>
    </row>
    <row r="861">
      <c r="A861" s="12"/>
      <c r="D861" s="95"/>
      <c r="F861" s="96"/>
    </row>
    <row r="862">
      <c r="A862" s="12"/>
      <c r="D862" s="95"/>
      <c r="F862" s="96"/>
    </row>
    <row r="863">
      <c r="A863" s="12"/>
      <c r="D863" s="95"/>
      <c r="F863" s="96"/>
    </row>
    <row r="864">
      <c r="A864" s="12"/>
      <c r="D864" s="95"/>
      <c r="F864" s="96"/>
    </row>
    <row r="865">
      <c r="A865" s="12"/>
      <c r="D865" s="95"/>
      <c r="F865" s="96"/>
    </row>
    <row r="866">
      <c r="A866" s="12"/>
      <c r="D866" s="95"/>
      <c r="F866" s="96"/>
    </row>
    <row r="867">
      <c r="A867" s="12"/>
      <c r="D867" s="95"/>
      <c r="F867" s="96"/>
    </row>
    <row r="868">
      <c r="A868" s="12"/>
      <c r="D868" s="95"/>
      <c r="F868" s="96"/>
    </row>
    <row r="869">
      <c r="A869" s="12"/>
      <c r="D869" s="95"/>
      <c r="F869" s="96"/>
    </row>
    <row r="870">
      <c r="A870" s="12"/>
      <c r="D870" s="95"/>
      <c r="F870" s="96"/>
    </row>
    <row r="871">
      <c r="A871" s="12"/>
      <c r="D871" s="95"/>
      <c r="F871" s="96"/>
    </row>
    <row r="872">
      <c r="A872" s="12"/>
      <c r="D872" s="95"/>
      <c r="F872" s="96"/>
    </row>
    <row r="873">
      <c r="A873" s="12"/>
      <c r="D873" s="95"/>
      <c r="F873" s="96"/>
    </row>
    <row r="874">
      <c r="A874" s="12"/>
      <c r="D874" s="95"/>
      <c r="F874" s="96"/>
    </row>
    <row r="875">
      <c r="A875" s="12"/>
      <c r="D875" s="95"/>
      <c r="F875" s="96"/>
    </row>
    <row r="876">
      <c r="A876" s="12"/>
      <c r="D876" s="95"/>
      <c r="F876" s="96"/>
    </row>
    <row r="877">
      <c r="A877" s="12"/>
      <c r="D877" s="95"/>
      <c r="F877" s="96"/>
    </row>
    <row r="878">
      <c r="A878" s="12"/>
      <c r="D878" s="95"/>
      <c r="F878" s="96"/>
    </row>
    <row r="879">
      <c r="A879" s="12"/>
      <c r="D879" s="95"/>
      <c r="F879" s="96"/>
    </row>
    <row r="880">
      <c r="A880" s="12"/>
      <c r="D880" s="95"/>
      <c r="F880" s="96"/>
    </row>
    <row r="881">
      <c r="A881" s="12"/>
      <c r="D881" s="95"/>
      <c r="F881" s="96"/>
    </row>
    <row r="882">
      <c r="A882" s="12"/>
      <c r="D882" s="95"/>
      <c r="F882" s="96"/>
    </row>
    <row r="883">
      <c r="A883" s="12"/>
      <c r="D883" s="95"/>
      <c r="F883" s="96"/>
    </row>
    <row r="884">
      <c r="A884" s="12"/>
      <c r="D884" s="95"/>
      <c r="F884" s="96"/>
    </row>
    <row r="885">
      <c r="A885" s="12"/>
      <c r="D885" s="95"/>
      <c r="F885" s="96"/>
    </row>
    <row r="886">
      <c r="A886" s="12"/>
      <c r="D886" s="95"/>
      <c r="F886" s="96"/>
    </row>
    <row r="887">
      <c r="A887" s="12"/>
      <c r="D887" s="95"/>
      <c r="F887" s="96"/>
    </row>
    <row r="888">
      <c r="A888" s="12"/>
      <c r="D888" s="95"/>
      <c r="F888" s="96"/>
    </row>
    <row r="889">
      <c r="A889" s="12"/>
      <c r="D889" s="95"/>
      <c r="F889" s="96"/>
    </row>
    <row r="890">
      <c r="A890" s="12"/>
      <c r="D890" s="95"/>
      <c r="F890" s="96"/>
    </row>
    <row r="891">
      <c r="A891" s="12"/>
      <c r="D891" s="95"/>
      <c r="F891" s="96"/>
    </row>
    <row r="892">
      <c r="A892" s="12"/>
      <c r="D892" s="95"/>
      <c r="F892" s="96"/>
    </row>
    <row r="893">
      <c r="A893" s="12"/>
      <c r="D893" s="95"/>
      <c r="F893" s="96"/>
    </row>
    <row r="894">
      <c r="A894" s="12"/>
      <c r="D894" s="95"/>
      <c r="F894" s="96"/>
    </row>
    <row r="895">
      <c r="A895" s="12"/>
      <c r="D895" s="95"/>
      <c r="F895" s="96"/>
    </row>
    <row r="896">
      <c r="A896" s="12"/>
      <c r="D896" s="95"/>
      <c r="F896" s="96"/>
    </row>
    <row r="897">
      <c r="A897" s="12"/>
      <c r="D897" s="95"/>
      <c r="F897" s="96"/>
    </row>
    <row r="898">
      <c r="A898" s="12"/>
      <c r="D898" s="95"/>
      <c r="F898" s="96"/>
    </row>
    <row r="899">
      <c r="A899" s="12"/>
      <c r="D899" s="95"/>
      <c r="F899" s="96"/>
    </row>
    <row r="900">
      <c r="A900" s="12"/>
      <c r="D900" s="95"/>
      <c r="F900" s="96"/>
    </row>
    <row r="901">
      <c r="A901" s="12"/>
      <c r="D901" s="95"/>
      <c r="F901" s="96"/>
    </row>
    <row r="902">
      <c r="A902" s="12"/>
      <c r="D902" s="95"/>
      <c r="F902" s="96"/>
    </row>
    <row r="903">
      <c r="A903" s="12"/>
      <c r="D903" s="95"/>
      <c r="F903" s="96"/>
    </row>
    <row r="904">
      <c r="A904" s="12"/>
      <c r="D904" s="95"/>
      <c r="F904" s="96"/>
    </row>
    <row r="905">
      <c r="A905" s="12"/>
      <c r="D905" s="95"/>
      <c r="F905" s="96"/>
    </row>
    <row r="906">
      <c r="A906" s="12"/>
      <c r="D906" s="95"/>
      <c r="F906" s="96"/>
    </row>
    <row r="907">
      <c r="A907" s="12"/>
      <c r="D907" s="95"/>
      <c r="F907" s="96"/>
    </row>
    <row r="908">
      <c r="A908" s="12"/>
      <c r="D908" s="95"/>
      <c r="F908" s="96"/>
    </row>
    <row r="909">
      <c r="A909" s="12"/>
      <c r="D909" s="95"/>
      <c r="F909" s="96"/>
    </row>
    <row r="910">
      <c r="A910" s="12"/>
      <c r="D910" s="95"/>
      <c r="F910" s="96"/>
    </row>
    <row r="911">
      <c r="A911" s="12"/>
      <c r="D911" s="95"/>
      <c r="F911" s="96"/>
    </row>
    <row r="912">
      <c r="A912" s="12"/>
      <c r="D912" s="95"/>
      <c r="F912" s="96"/>
    </row>
    <row r="913">
      <c r="A913" s="12"/>
      <c r="D913" s="95"/>
      <c r="F913" s="96"/>
    </row>
    <row r="914">
      <c r="A914" s="12"/>
      <c r="D914" s="95"/>
      <c r="F914" s="96"/>
    </row>
    <row r="915">
      <c r="A915" s="12"/>
      <c r="D915" s="95"/>
      <c r="F915" s="96"/>
    </row>
    <row r="916">
      <c r="A916" s="12"/>
      <c r="D916" s="95"/>
      <c r="F916" s="96"/>
    </row>
    <row r="917">
      <c r="A917" s="12"/>
      <c r="D917" s="95"/>
      <c r="F917" s="96"/>
    </row>
    <row r="918">
      <c r="A918" s="12"/>
      <c r="D918" s="95"/>
      <c r="F918" s="96"/>
    </row>
    <row r="919">
      <c r="A919" s="12"/>
      <c r="D919" s="95"/>
      <c r="F919" s="96"/>
    </row>
    <row r="920">
      <c r="A920" s="12"/>
      <c r="D920" s="95"/>
      <c r="F920" s="96"/>
    </row>
    <row r="921">
      <c r="A921" s="12"/>
      <c r="D921" s="95"/>
      <c r="F921" s="96"/>
    </row>
    <row r="922">
      <c r="A922" s="12"/>
      <c r="D922" s="95"/>
      <c r="F922" s="96"/>
    </row>
    <row r="923">
      <c r="A923" s="12"/>
      <c r="D923" s="95"/>
      <c r="F923" s="96"/>
    </row>
    <row r="924">
      <c r="A924" s="12"/>
      <c r="D924" s="95"/>
      <c r="F924" s="96"/>
    </row>
    <row r="925">
      <c r="A925" s="12"/>
      <c r="D925" s="95"/>
      <c r="F925" s="96"/>
    </row>
    <row r="926">
      <c r="A926" s="12"/>
      <c r="D926" s="95"/>
      <c r="F926" s="96"/>
    </row>
    <row r="927">
      <c r="A927" s="12"/>
      <c r="D927" s="95"/>
      <c r="F927" s="96"/>
    </row>
    <row r="928">
      <c r="A928" s="12"/>
      <c r="D928" s="95"/>
      <c r="F928" s="96"/>
    </row>
    <row r="929">
      <c r="A929" s="12"/>
      <c r="D929" s="95"/>
      <c r="F929" s="96"/>
    </row>
    <row r="930">
      <c r="A930" s="12"/>
      <c r="D930" s="95"/>
      <c r="F930" s="96"/>
    </row>
    <row r="931">
      <c r="A931" s="12"/>
      <c r="D931" s="95"/>
      <c r="F931" s="96"/>
    </row>
    <row r="932">
      <c r="A932" s="12"/>
      <c r="D932" s="95"/>
      <c r="F932" s="96"/>
    </row>
    <row r="933">
      <c r="A933" s="12"/>
      <c r="D933" s="95"/>
      <c r="F933" s="96"/>
    </row>
    <row r="934">
      <c r="A934" s="12"/>
      <c r="D934" s="95"/>
      <c r="F934" s="96"/>
    </row>
    <row r="935">
      <c r="A935" s="12"/>
      <c r="D935" s="95"/>
      <c r="F935" s="96"/>
    </row>
    <row r="936">
      <c r="A936" s="12"/>
      <c r="D936" s="95"/>
      <c r="F936" s="96"/>
    </row>
    <row r="937">
      <c r="A937" s="12"/>
      <c r="D937" s="95"/>
      <c r="F937" s="96"/>
    </row>
    <row r="938">
      <c r="A938" s="12"/>
      <c r="D938" s="95"/>
      <c r="F938" s="96"/>
    </row>
    <row r="939">
      <c r="A939" s="12"/>
      <c r="D939" s="95"/>
      <c r="F939" s="96"/>
    </row>
    <row r="940">
      <c r="A940" s="12"/>
      <c r="D940" s="95"/>
      <c r="F940" s="96"/>
    </row>
    <row r="941">
      <c r="A941" s="12"/>
      <c r="D941" s="95"/>
      <c r="F941" s="96"/>
    </row>
    <row r="942">
      <c r="A942" s="12"/>
      <c r="D942" s="95"/>
      <c r="F942" s="96"/>
    </row>
    <row r="943">
      <c r="A943" s="12"/>
      <c r="D943" s="95"/>
      <c r="F943" s="96"/>
    </row>
    <row r="944">
      <c r="A944" s="12"/>
      <c r="D944" s="95"/>
      <c r="F944" s="96"/>
    </row>
    <row r="945">
      <c r="A945" s="12"/>
      <c r="D945" s="95"/>
      <c r="F945" s="96"/>
    </row>
    <row r="946">
      <c r="A946" s="12"/>
      <c r="D946" s="95"/>
      <c r="F946" s="96"/>
    </row>
    <row r="947">
      <c r="A947" s="12"/>
      <c r="D947" s="95"/>
      <c r="F947" s="96"/>
    </row>
    <row r="948">
      <c r="A948" s="12"/>
      <c r="D948" s="95"/>
      <c r="F948" s="96"/>
    </row>
    <row r="949">
      <c r="A949" s="12"/>
      <c r="D949" s="95"/>
      <c r="F949" s="96"/>
    </row>
    <row r="950">
      <c r="A950" s="12"/>
      <c r="D950" s="95"/>
      <c r="F950" s="96"/>
    </row>
    <row r="951">
      <c r="A951" s="12"/>
      <c r="D951" s="95"/>
      <c r="F951" s="96"/>
    </row>
    <row r="952">
      <c r="A952" s="12"/>
      <c r="D952" s="95"/>
      <c r="F952" s="96"/>
    </row>
    <row r="953">
      <c r="A953" s="12"/>
      <c r="D953" s="95"/>
      <c r="F953" s="96"/>
    </row>
    <row r="954">
      <c r="A954" s="12"/>
      <c r="D954" s="95"/>
      <c r="F954" s="96"/>
    </row>
    <row r="955">
      <c r="A955" s="12"/>
      <c r="D955" s="95"/>
      <c r="F955" s="96"/>
    </row>
    <row r="956">
      <c r="A956" s="12"/>
      <c r="D956" s="95"/>
      <c r="F956" s="96"/>
    </row>
    <row r="957">
      <c r="A957" s="12"/>
      <c r="D957" s="95"/>
      <c r="F957" s="96"/>
    </row>
    <row r="958">
      <c r="A958" s="12"/>
      <c r="D958" s="95"/>
      <c r="F958" s="96"/>
    </row>
    <row r="959">
      <c r="A959" s="12"/>
      <c r="D959" s="95"/>
      <c r="F959" s="96"/>
    </row>
    <row r="960">
      <c r="A960" s="12"/>
      <c r="D960" s="95"/>
      <c r="F960" s="96"/>
    </row>
    <row r="961">
      <c r="A961" s="12"/>
      <c r="D961" s="95"/>
      <c r="F961" s="96"/>
    </row>
    <row r="962">
      <c r="A962" s="12"/>
      <c r="D962" s="95"/>
      <c r="F962" s="96"/>
    </row>
    <row r="963">
      <c r="A963" s="12"/>
      <c r="D963" s="95"/>
      <c r="F963" s="96"/>
    </row>
    <row r="964">
      <c r="A964" s="12"/>
      <c r="D964" s="95"/>
      <c r="F964" s="96"/>
    </row>
    <row r="965">
      <c r="A965" s="12"/>
      <c r="D965" s="95"/>
      <c r="F965" s="96"/>
    </row>
    <row r="966">
      <c r="A966" s="12"/>
      <c r="D966" s="95"/>
      <c r="F966" s="96"/>
    </row>
    <row r="967">
      <c r="A967" s="12"/>
      <c r="D967" s="95"/>
      <c r="F967" s="96"/>
    </row>
    <row r="968">
      <c r="A968" s="12"/>
      <c r="D968" s="95"/>
      <c r="F968" s="96"/>
    </row>
    <row r="969">
      <c r="A969" s="12"/>
      <c r="D969" s="95"/>
      <c r="F969" s="96"/>
    </row>
    <row r="970">
      <c r="A970" s="12"/>
      <c r="D970" s="95"/>
      <c r="F970" s="96"/>
    </row>
    <row r="971">
      <c r="A971" s="12"/>
      <c r="D971" s="95"/>
      <c r="F971" s="96"/>
    </row>
    <row r="972">
      <c r="A972" s="12"/>
      <c r="D972" s="95"/>
      <c r="F972" s="96"/>
    </row>
    <row r="973">
      <c r="A973" s="12"/>
      <c r="D973" s="95"/>
      <c r="F973" s="96"/>
    </row>
    <row r="974">
      <c r="A974" s="12"/>
      <c r="D974" s="95"/>
      <c r="F974" s="96"/>
    </row>
    <row r="975">
      <c r="A975" s="12"/>
      <c r="D975" s="95"/>
      <c r="F975" s="96"/>
    </row>
    <row r="976">
      <c r="A976" s="12"/>
      <c r="D976" s="95"/>
      <c r="F976" s="96"/>
    </row>
    <row r="977">
      <c r="A977" s="12"/>
      <c r="D977" s="95"/>
      <c r="F977" s="96"/>
    </row>
    <row r="978">
      <c r="A978" s="12"/>
      <c r="D978" s="95"/>
      <c r="F978" s="96"/>
    </row>
    <row r="979">
      <c r="A979" s="12"/>
      <c r="D979" s="95"/>
      <c r="F979" s="96"/>
    </row>
    <row r="980">
      <c r="A980" s="12"/>
      <c r="D980" s="95"/>
      <c r="F980" s="96"/>
    </row>
    <row r="981">
      <c r="A981" s="12"/>
      <c r="D981" s="95"/>
      <c r="F981" s="96"/>
    </row>
    <row r="982">
      <c r="A982" s="12"/>
      <c r="D982" s="95"/>
      <c r="F982" s="96"/>
    </row>
    <row r="983">
      <c r="A983" s="12"/>
      <c r="D983" s="95"/>
      <c r="F983" s="96"/>
    </row>
    <row r="984">
      <c r="A984" s="12"/>
      <c r="D984" s="95"/>
      <c r="F984" s="96"/>
    </row>
    <row r="985">
      <c r="A985" s="12"/>
      <c r="D985" s="95"/>
      <c r="F985" s="96"/>
    </row>
    <row r="986">
      <c r="A986" s="12"/>
      <c r="D986" s="95"/>
      <c r="F986" s="96"/>
    </row>
    <row r="987">
      <c r="A987" s="12"/>
      <c r="D987" s="95"/>
      <c r="F987" s="96"/>
    </row>
    <row r="988">
      <c r="A988" s="12"/>
      <c r="D988" s="95"/>
      <c r="F988" s="96"/>
    </row>
    <row r="989">
      <c r="A989" s="12"/>
      <c r="D989" s="95"/>
      <c r="F989" s="96"/>
    </row>
    <row r="990">
      <c r="A990" s="12"/>
      <c r="D990" s="95"/>
      <c r="F990" s="96"/>
    </row>
    <row r="991">
      <c r="A991" s="12"/>
      <c r="D991" s="95"/>
      <c r="F991" s="96"/>
    </row>
    <row r="992">
      <c r="A992" s="12"/>
      <c r="D992" s="95"/>
      <c r="F992" s="96"/>
    </row>
    <row r="993">
      <c r="A993" s="12"/>
      <c r="D993" s="95"/>
      <c r="F993" s="96"/>
    </row>
    <row r="994">
      <c r="A994" s="12"/>
      <c r="D994" s="95"/>
      <c r="F994" s="96"/>
    </row>
    <row r="995">
      <c r="A995" s="12"/>
      <c r="D995" s="95"/>
      <c r="F995" s="96"/>
    </row>
    <row r="996">
      <c r="A996" s="12"/>
      <c r="D996" s="95"/>
      <c r="F996" s="96"/>
    </row>
    <row r="997">
      <c r="A997" s="12"/>
      <c r="D997" s="95"/>
      <c r="F997" s="96"/>
    </row>
    <row r="998">
      <c r="A998" s="12"/>
      <c r="D998" s="95"/>
      <c r="F998" s="96"/>
    </row>
    <row r="999">
      <c r="A999" s="12"/>
      <c r="D999" s="95"/>
      <c r="F999" s="96"/>
    </row>
    <row r="1000">
      <c r="A1000" s="12"/>
      <c r="D1000" s="95"/>
      <c r="F1000" s="96"/>
    </row>
    <row r="1001">
      <c r="A1001" s="12"/>
      <c r="D1001" s="95"/>
      <c r="F1001" s="96"/>
    </row>
    <row r="1002">
      <c r="A1002" s="12"/>
      <c r="D1002" s="95"/>
      <c r="F1002" s="96"/>
    </row>
    <row r="1003">
      <c r="A1003" s="12"/>
      <c r="D1003" s="95"/>
      <c r="F1003" s="96"/>
    </row>
    <row r="1004">
      <c r="A1004" s="12"/>
      <c r="D1004" s="95"/>
      <c r="F1004" s="96"/>
    </row>
    <row r="1005">
      <c r="A1005" s="12"/>
      <c r="D1005" s="95"/>
      <c r="F1005" s="96"/>
    </row>
    <row r="1006">
      <c r="A1006" s="12"/>
      <c r="D1006" s="95"/>
      <c r="F1006" s="96"/>
    </row>
    <row r="1007">
      <c r="A1007" s="12"/>
      <c r="D1007" s="95"/>
      <c r="F1007" s="96"/>
    </row>
  </sheetData>
  <conditionalFormatting sqref="H2:P34">
    <cfRule type="cellIs" dxfId="11" priority="1" operator="equal">
      <formula>0</formula>
    </cfRule>
  </conditionalFormatting>
  <conditionalFormatting sqref="H2:H34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4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4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4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4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4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4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34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0:C47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0:F47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(Camp Nou)"</formula1>
    </dataValidation>
    <dataValidation type="custom" allowBlank="1" showDropDown="1" sqref="F37">
      <formula1>OR(NOT(ISERROR(DATEVALUE(F37))), AND(ISNUMBER(F37), LEFT(CELL("format", F37))="D"))</formula1>
    </dataValidation>
    <dataValidation type="list" allowBlank="1" showDropDown="1" sqref="C2:C34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5"/>
    <col customWidth="1" min="3" max="3" width="15.88"/>
    <col customWidth="1" min="4" max="4" width="19.5"/>
    <col customWidth="1" min="5" max="5" width="9.88"/>
    <col customWidth="1" min="6" max="6" width="25.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6" width="13.13"/>
    <col customWidth="1" min="17" max="17" width="17.75"/>
  </cols>
  <sheetData>
    <row r="1" ht="22.5" customHeight="1">
      <c r="A1" s="231" t="s">
        <v>48</v>
      </c>
      <c r="B1" s="232" t="s">
        <v>49</v>
      </c>
      <c r="C1" s="232" t="s">
        <v>50</v>
      </c>
      <c r="D1" s="233" t="s">
        <v>56</v>
      </c>
      <c r="E1" s="231" t="s">
        <v>57</v>
      </c>
      <c r="F1" s="234" t="s">
        <v>52</v>
      </c>
      <c r="G1" s="235" t="s">
        <v>53</v>
      </c>
      <c r="H1" s="231" t="s">
        <v>4</v>
      </c>
      <c r="I1" s="231" t="s">
        <v>58</v>
      </c>
      <c r="J1" s="231" t="s">
        <v>59</v>
      </c>
      <c r="K1" s="231" t="s">
        <v>60</v>
      </c>
      <c r="L1" s="231" t="s">
        <v>61</v>
      </c>
      <c r="M1" s="231" t="s">
        <v>62</v>
      </c>
      <c r="N1" s="231" t="s">
        <v>63</v>
      </c>
      <c r="O1" s="236" t="s">
        <v>387</v>
      </c>
      <c r="P1" s="236" t="s">
        <v>64</v>
      </c>
      <c r="Q1" s="231" t="s">
        <v>65</v>
      </c>
    </row>
    <row r="2" ht="22.5" customHeight="1">
      <c r="A2" s="237">
        <v>1.0</v>
      </c>
      <c r="B2" s="238" t="s">
        <v>388</v>
      </c>
      <c r="C2" s="239" t="s">
        <v>67</v>
      </c>
      <c r="D2" s="240" t="s">
        <v>389</v>
      </c>
      <c r="E2" s="241" t="str">
        <f>IMAGE("https://flagcdn.com/w320/ar.png")</f>
        <v/>
      </c>
      <c r="F2" s="242">
        <v>34460.0</v>
      </c>
      <c r="G2" s="243">
        <f t="shared" ref="G2:G39" si="1">DATEDIF(F2,TODAY(),"Y")</f>
        <v>31</v>
      </c>
      <c r="H2" s="244">
        <f>1</f>
        <v>1</v>
      </c>
      <c r="I2" s="244">
        <f>90</f>
        <v>90</v>
      </c>
      <c r="J2" s="245"/>
      <c r="K2" s="245"/>
      <c r="L2" s="245"/>
      <c r="M2" s="245"/>
      <c r="N2" s="245"/>
      <c r="O2" s="245"/>
      <c r="P2" s="245">
        <f t="shared" ref="P2:P39" si="2">J2+K2</f>
        <v>0</v>
      </c>
      <c r="Q2" s="245"/>
    </row>
    <row r="3" ht="22.5" customHeight="1">
      <c r="A3" s="237">
        <v>2.0</v>
      </c>
      <c r="B3" s="238" t="s">
        <v>390</v>
      </c>
      <c r="C3" s="239" t="s">
        <v>70</v>
      </c>
      <c r="D3" s="240" t="s">
        <v>391</v>
      </c>
      <c r="E3" s="241" t="str">
        <f>IMAGE("https://flagcdn.com/w320/uy.png")</f>
        <v/>
      </c>
      <c r="F3" s="242">
        <v>34719.0</v>
      </c>
      <c r="G3" s="243">
        <f t="shared" si="1"/>
        <v>31</v>
      </c>
      <c r="H3" s="245">
        <f>1+1+1</f>
        <v>3</v>
      </c>
      <c r="I3" s="245">
        <f>62+65+90</f>
        <v>217</v>
      </c>
      <c r="J3" s="245">
        <f>1</f>
        <v>1</v>
      </c>
      <c r="K3" s="245"/>
      <c r="L3" s="245">
        <f>1</f>
        <v>1</v>
      </c>
      <c r="M3" s="245"/>
      <c r="N3" s="245"/>
      <c r="O3" s="245"/>
      <c r="P3" s="245">
        <f t="shared" si="2"/>
        <v>1</v>
      </c>
      <c r="Q3" s="245"/>
    </row>
    <row r="4" ht="22.5" customHeight="1">
      <c r="A4" s="237">
        <v>3.0</v>
      </c>
      <c r="B4" s="238" t="s">
        <v>392</v>
      </c>
      <c r="C4" s="239" t="s">
        <v>70</v>
      </c>
      <c r="D4" s="240" t="s">
        <v>206</v>
      </c>
      <c r="E4" s="241" t="str">
        <f>IMAGE("https://flagcdn.com/w320/it.png")</f>
        <v/>
      </c>
      <c r="F4" s="242">
        <v>37448.0</v>
      </c>
      <c r="G4" s="243">
        <f t="shared" si="1"/>
        <v>23</v>
      </c>
      <c r="H4" s="244">
        <f t="shared" ref="H4:H5" si="4">1+1+1+1+1+1</f>
        <v>6</v>
      </c>
      <c r="I4" s="244">
        <f>90+28+90+67+90+90</f>
        <v>455</v>
      </c>
      <c r="J4" s="245"/>
      <c r="K4" s="245">
        <f t="shared" ref="K4:L4" si="3">1</f>
        <v>1</v>
      </c>
      <c r="L4" s="245">
        <f t="shared" si="3"/>
        <v>1</v>
      </c>
      <c r="M4" s="245"/>
      <c r="N4" s="245"/>
      <c r="O4" s="245"/>
      <c r="P4" s="245">
        <f t="shared" si="2"/>
        <v>1</v>
      </c>
      <c r="Q4" s="2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>
      <c r="A5" s="237">
        <v>4.0</v>
      </c>
      <c r="B5" s="238" t="s">
        <v>393</v>
      </c>
      <c r="C5" s="239" t="s">
        <v>79</v>
      </c>
      <c r="D5" s="240" t="s">
        <v>94</v>
      </c>
      <c r="E5" s="241" t="str">
        <f>IMAGE("https://flagcdn.com/w320/gb-eng.png")</f>
        <v/>
      </c>
      <c r="F5" s="242">
        <v>36562.0</v>
      </c>
      <c r="G5" s="243">
        <f t="shared" si="1"/>
        <v>25</v>
      </c>
      <c r="H5" s="245">
        <f t="shared" si="4"/>
        <v>6</v>
      </c>
      <c r="I5" s="245">
        <f>60+90+28+29+58+22</f>
        <v>287</v>
      </c>
      <c r="J5" s="245">
        <f>1</f>
        <v>1</v>
      </c>
      <c r="K5" s="245"/>
      <c r="L5" s="245"/>
      <c r="M5" s="245"/>
      <c r="N5" s="245"/>
      <c r="O5" s="245"/>
      <c r="P5" s="245">
        <f t="shared" si="2"/>
        <v>1</v>
      </c>
      <c r="Q5" s="245"/>
    </row>
    <row r="6" ht="22.5" customHeight="1">
      <c r="A6" s="237">
        <v>5.0</v>
      </c>
      <c r="B6" s="238" t="s">
        <v>394</v>
      </c>
      <c r="C6" s="239" t="s">
        <v>79</v>
      </c>
      <c r="D6" s="240" t="s">
        <v>395</v>
      </c>
      <c r="E6" s="241" t="str">
        <f>IMAGE("https://flagcdn.com/w320/us.png")</f>
        <v/>
      </c>
      <c r="F6" s="242">
        <v>37154.0</v>
      </c>
      <c r="G6" s="243">
        <f t="shared" si="1"/>
        <v>24</v>
      </c>
      <c r="H6" s="245">
        <f>1+1</f>
        <v>2</v>
      </c>
      <c r="I6" s="245">
        <f>58+35</f>
        <v>93</v>
      </c>
      <c r="J6" s="245"/>
      <c r="K6" s="245"/>
      <c r="L6" s="245"/>
      <c r="M6" s="245"/>
      <c r="N6" s="245"/>
      <c r="O6" s="245"/>
      <c r="P6" s="245">
        <f t="shared" si="2"/>
        <v>0</v>
      </c>
      <c r="Q6" s="2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ht="22.5" customHeight="1">
      <c r="A7" s="237">
        <v>6.0</v>
      </c>
      <c r="B7" s="246" t="s">
        <v>396</v>
      </c>
      <c r="C7" s="239" t="s">
        <v>79</v>
      </c>
      <c r="D7" s="240" t="s">
        <v>83</v>
      </c>
      <c r="E7" s="241" t="str">
        <f>IMAGE("https://flagcdn.com/w320/es.png")</f>
        <v/>
      </c>
      <c r="F7" s="242">
        <v>33611.0</v>
      </c>
      <c r="G7" s="243">
        <f t="shared" si="1"/>
        <v>34</v>
      </c>
      <c r="H7" s="245">
        <f t="shared" ref="H7:H9" si="5">1+1+1+1+1+1+1</f>
        <v>7</v>
      </c>
      <c r="I7" s="245">
        <f>39+36+62+61+32+75+55</f>
        <v>360</v>
      </c>
      <c r="J7" s="245"/>
      <c r="K7" s="245"/>
      <c r="L7" s="245"/>
      <c r="M7" s="245"/>
      <c r="N7" s="245"/>
      <c r="O7" s="245"/>
      <c r="P7" s="245">
        <f t="shared" si="2"/>
        <v>0</v>
      </c>
      <c r="Q7" s="2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22.5" customHeight="1">
      <c r="A8" s="237">
        <v>7.0</v>
      </c>
      <c r="B8" s="238" t="s">
        <v>397</v>
      </c>
      <c r="C8" s="239" t="s">
        <v>82</v>
      </c>
      <c r="D8" s="240" t="s">
        <v>398</v>
      </c>
      <c r="E8" s="241" t="str">
        <f>IMAGE("https://flagcdn.com/w320/fr.png")</f>
        <v/>
      </c>
      <c r="F8" s="242">
        <v>33318.0</v>
      </c>
      <c r="G8" s="243">
        <f t="shared" si="1"/>
        <v>34</v>
      </c>
      <c r="H8" s="245">
        <f t="shared" si="5"/>
        <v>7</v>
      </c>
      <c r="I8" s="245">
        <f>60+89+19+61+23+15+30</f>
        <v>297</v>
      </c>
      <c r="J8" s="245">
        <f>1</f>
        <v>1</v>
      </c>
      <c r="K8" s="245">
        <f>1+1</f>
        <v>2</v>
      </c>
      <c r="L8" s="245"/>
      <c r="M8" s="245"/>
      <c r="N8" s="245"/>
      <c r="O8" s="245"/>
      <c r="P8" s="245">
        <f t="shared" si="2"/>
        <v>3</v>
      </c>
      <c r="Q8" s="2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ht="22.5" customHeight="1">
      <c r="A9" s="237">
        <v>8.0</v>
      </c>
      <c r="B9" s="238" t="s">
        <v>399</v>
      </c>
      <c r="C9" s="239" t="s">
        <v>79</v>
      </c>
      <c r="D9" s="240" t="s">
        <v>83</v>
      </c>
      <c r="E9" s="241" t="str">
        <f>IMAGE("https://flagcdn.com/w320/es.png")</f>
        <v/>
      </c>
      <c r="F9" s="242">
        <v>37787.0</v>
      </c>
      <c r="G9" s="243">
        <f t="shared" si="1"/>
        <v>22</v>
      </c>
      <c r="H9" s="245">
        <f t="shared" si="5"/>
        <v>7</v>
      </c>
      <c r="I9" s="245">
        <f>90+74+90+90+90+90+55</f>
        <v>579</v>
      </c>
      <c r="J9" s="245"/>
      <c r="K9" s="245">
        <f t="shared" ref="K9:L9" si="6">1</f>
        <v>1</v>
      </c>
      <c r="L9" s="245">
        <f t="shared" si="6"/>
        <v>1</v>
      </c>
      <c r="M9" s="245"/>
      <c r="N9" s="245"/>
      <c r="O9" s="245"/>
      <c r="P9" s="245">
        <f t="shared" si="2"/>
        <v>1</v>
      </c>
      <c r="Q9" s="2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ht="22.5" customHeight="1">
      <c r="A10" s="237">
        <v>9.0</v>
      </c>
      <c r="B10" s="238" t="s">
        <v>400</v>
      </c>
      <c r="C10" s="239" t="s">
        <v>82</v>
      </c>
      <c r="D10" s="240" t="s">
        <v>96</v>
      </c>
      <c r="E10" s="241" t="str">
        <f>IMAGE("https://flagcdn.com/w320/no.png")</f>
        <v/>
      </c>
      <c r="F10" s="242">
        <v>35038.0</v>
      </c>
      <c r="G10" s="243">
        <f t="shared" si="1"/>
        <v>30</v>
      </c>
      <c r="H10" s="245">
        <f>1+1+1+1+1+1</f>
        <v>6</v>
      </c>
      <c r="I10" s="245">
        <f>30+72+29+23+75+60</f>
        <v>289</v>
      </c>
      <c r="J10" s="245">
        <f t="shared" ref="J10:K10" si="7">1</f>
        <v>1</v>
      </c>
      <c r="K10" s="245">
        <f t="shared" si="7"/>
        <v>1</v>
      </c>
      <c r="L10" s="245"/>
      <c r="M10" s="245"/>
      <c r="N10" s="245"/>
      <c r="O10" s="245"/>
      <c r="P10" s="245">
        <f t="shared" si="2"/>
        <v>2</v>
      </c>
      <c r="Q10" s="245"/>
    </row>
    <row r="11" ht="22.5" customHeight="1">
      <c r="A11" s="237">
        <v>10.0</v>
      </c>
      <c r="B11" s="238" t="s">
        <v>401</v>
      </c>
      <c r="C11" s="239" t="s">
        <v>82</v>
      </c>
      <c r="D11" s="240" t="s">
        <v>83</v>
      </c>
      <c r="E11" s="241" t="str">
        <f>IMAGE("https://flagcdn.com/w320/es.png")</f>
        <v/>
      </c>
      <c r="F11" s="242">
        <v>37092.0</v>
      </c>
      <c r="G11" s="243">
        <f t="shared" si="1"/>
        <v>24</v>
      </c>
      <c r="H11" s="245">
        <f>1+1+1+1+1</f>
        <v>5</v>
      </c>
      <c r="I11" s="245">
        <f>1+28+61+67+45</f>
        <v>202</v>
      </c>
      <c r="J11" s="245"/>
      <c r="K11" s="245"/>
      <c r="L11" s="245"/>
      <c r="M11" s="245"/>
      <c r="N11" s="245"/>
      <c r="O11" s="245"/>
      <c r="P11" s="245">
        <f t="shared" si="2"/>
        <v>0</v>
      </c>
      <c r="Q11" s="245"/>
    </row>
    <row r="12" ht="22.5" customHeight="1">
      <c r="A12" s="237">
        <v>11.0</v>
      </c>
      <c r="B12" s="238" t="s">
        <v>402</v>
      </c>
      <c r="C12" s="239" t="s">
        <v>79</v>
      </c>
      <c r="D12" s="240" t="s">
        <v>403</v>
      </c>
      <c r="E12" s="241" t="str">
        <f>IMAGE("https://flagcdn.com/w320/ar.png")</f>
        <v/>
      </c>
      <c r="F12" s="242">
        <v>37007.0</v>
      </c>
      <c r="G12" s="243">
        <f t="shared" si="1"/>
        <v>24</v>
      </c>
      <c r="H12" s="245">
        <f>1+1+1+1</f>
        <v>4</v>
      </c>
      <c r="I12" s="245">
        <f>18+29+15+45</f>
        <v>107</v>
      </c>
      <c r="J12" s="245"/>
      <c r="K12" s="245">
        <f t="shared" ref="K12:L12" si="8">1</f>
        <v>1</v>
      </c>
      <c r="L12" s="245">
        <f t="shared" si="8"/>
        <v>1</v>
      </c>
      <c r="M12" s="245"/>
      <c r="N12" s="245"/>
      <c r="O12" s="245"/>
      <c r="P12" s="245">
        <f t="shared" si="2"/>
        <v>1</v>
      </c>
      <c r="Q12" s="245"/>
    </row>
    <row r="13" ht="22.5" customHeight="1">
      <c r="A13" s="237">
        <v>12.0</v>
      </c>
      <c r="B13" s="238" t="s">
        <v>404</v>
      </c>
      <c r="C13" s="239" t="s">
        <v>82</v>
      </c>
      <c r="D13" s="240" t="s">
        <v>83</v>
      </c>
      <c r="E13" s="241" t="str">
        <f>IMAGE("https://flagcdn.com/w320/es.png")</f>
        <v/>
      </c>
      <c r="F13" s="242">
        <v>37368.0</v>
      </c>
      <c r="G13" s="243">
        <f t="shared" si="1"/>
        <v>23</v>
      </c>
      <c r="H13" s="244">
        <f t="shared" ref="H13:I13" si="9">1</f>
        <v>1</v>
      </c>
      <c r="I13" s="244">
        <f t="shared" si="9"/>
        <v>1</v>
      </c>
      <c r="J13" s="245"/>
      <c r="K13" s="245"/>
      <c r="L13" s="245"/>
      <c r="M13" s="245"/>
      <c r="N13" s="245"/>
      <c r="O13" s="245"/>
      <c r="P13" s="245">
        <f t="shared" si="2"/>
        <v>0</v>
      </c>
      <c r="Q13" s="245"/>
    </row>
    <row r="14" ht="22.5" customHeight="1">
      <c r="A14" s="237">
        <v>13.0</v>
      </c>
      <c r="B14" s="238" t="s">
        <v>405</v>
      </c>
      <c r="C14" s="239" t="s">
        <v>67</v>
      </c>
      <c r="D14" s="240" t="s">
        <v>406</v>
      </c>
      <c r="E14" s="241" t="str">
        <f>IMAGE("https://flagcdn.com/w320/si.png")</f>
        <v/>
      </c>
      <c r="F14" s="242">
        <v>33976.0</v>
      </c>
      <c r="G14" s="243">
        <f t="shared" si="1"/>
        <v>33</v>
      </c>
      <c r="H14" s="245">
        <f>1+1+1+1+1+1</f>
        <v>6</v>
      </c>
      <c r="I14" s="245">
        <f>90+90+90+90+90+90</f>
        <v>540</v>
      </c>
      <c r="J14" s="245"/>
      <c r="K14" s="245"/>
      <c r="L14" s="245"/>
      <c r="M14" s="245"/>
      <c r="N14" s="245"/>
      <c r="O14" s="245"/>
      <c r="P14" s="245">
        <f t="shared" si="2"/>
        <v>0</v>
      </c>
      <c r="Q14" s="2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ht="22.5" customHeight="1">
      <c r="A15" s="237">
        <v>14.0</v>
      </c>
      <c r="B15" s="238" t="s">
        <v>407</v>
      </c>
      <c r="C15" s="239" t="s">
        <v>70</v>
      </c>
      <c r="D15" s="240" t="s">
        <v>83</v>
      </c>
      <c r="E15" s="241" t="str">
        <f>IMAGE("https://flagcdn.com/w320/es.png")</f>
        <v/>
      </c>
      <c r="F15" s="242">
        <v>34729.0</v>
      </c>
      <c r="G15" s="243">
        <f t="shared" si="1"/>
        <v>30</v>
      </c>
      <c r="H15" s="245">
        <f>1+1+1+1+1</f>
        <v>5</v>
      </c>
      <c r="I15" s="245">
        <f>90+90+90+3+90</f>
        <v>363</v>
      </c>
      <c r="J15" s="245">
        <f>2+1</f>
        <v>3</v>
      </c>
      <c r="K15" s="245"/>
      <c r="L15" s="245"/>
      <c r="M15" s="245"/>
      <c r="N15" s="245"/>
      <c r="O15" s="245">
        <f>1</f>
        <v>1</v>
      </c>
      <c r="P15" s="245">
        <f t="shared" si="2"/>
        <v>3</v>
      </c>
      <c r="Q15" s="2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ht="22.5" customHeight="1">
      <c r="A16" s="237">
        <v>15.0</v>
      </c>
      <c r="B16" s="238" t="s">
        <v>408</v>
      </c>
      <c r="C16" s="239" t="s">
        <v>70</v>
      </c>
      <c r="D16" s="240" t="s">
        <v>398</v>
      </c>
      <c r="E16" s="241" t="str">
        <f>IMAGE("https://flagcdn.com/w320/fr.png")</f>
        <v/>
      </c>
      <c r="F16" s="242">
        <v>34867.0</v>
      </c>
      <c r="G16" s="243">
        <f t="shared" si="1"/>
        <v>30</v>
      </c>
      <c r="H16" s="245">
        <f>1+1</f>
        <v>2</v>
      </c>
      <c r="I16" s="245">
        <f>90+90</f>
        <v>180</v>
      </c>
      <c r="J16" s="245"/>
      <c r="K16" s="245"/>
      <c r="L16" s="245">
        <f>1+1</f>
        <v>2</v>
      </c>
      <c r="M16" s="245"/>
      <c r="N16" s="245"/>
      <c r="O16" s="245"/>
      <c r="P16" s="245">
        <f t="shared" si="2"/>
        <v>0</v>
      </c>
      <c r="Q16" s="245"/>
    </row>
    <row r="17" ht="22.5" customHeight="1">
      <c r="A17" s="237">
        <v>16.0</v>
      </c>
      <c r="B17" s="238" t="s">
        <v>409</v>
      </c>
      <c r="C17" s="239" t="s">
        <v>70</v>
      </c>
      <c r="D17" s="240" t="s">
        <v>403</v>
      </c>
      <c r="E17" s="241" t="str">
        <f>IMAGE("https://flagcdn.com/w320/ar.png")</f>
        <v/>
      </c>
      <c r="F17" s="242">
        <v>35891.0</v>
      </c>
      <c r="G17" s="243">
        <f t="shared" si="1"/>
        <v>27</v>
      </c>
      <c r="H17" s="245">
        <f t="shared" ref="H17:H18" si="10">1+1+1+1+1</f>
        <v>5</v>
      </c>
      <c r="I17" s="245">
        <f>30+16+90+58+90</f>
        <v>284</v>
      </c>
      <c r="J17" s="245"/>
      <c r="K17" s="245">
        <f>1</f>
        <v>1</v>
      </c>
      <c r="L17" s="245"/>
      <c r="M17" s="245"/>
      <c r="N17" s="245"/>
      <c r="O17" s="245"/>
      <c r="P17" s="245">
        <f t="shared" si="2"/>
        <v>1</v>
      </c>
      <c r="Q17" s="245"/>
    </row>
    <row r="18" ht="22.5" customHeight="1">
      <c r="A18" s="237">
        <v>17.0</v>
      </c>
      <c r="B18" s="238" t="s">
        <v>410</v>
      </c>
      <c r="C18" s="239" t="s">
        <v>70</v>
      </c>
      <c r="D18" s="240" t="s">
        <v>411</v>
      </c>
      <c r="E18" s="241" t="str">
        <f>IMAGE("https://flagcdn.com/w320/sk.png")</f>
        <v/>
      </c>
      <c r="F18" s="242">
        <v>35777.0</v>
      </c>
      <c r="G18" s="243">
        <f t="shared" si="1"/>
        <v>28</v>
      </c>
      <c r="H18" s="244">
        <f t="shared" si="10"/>
        <v>5</v>
      </c>
      <c r="I18" s="244">
        <f>90+90+90+90+90</f>
        <v>450</v>
      </c>
      <c r="J18" s="245">
        <f>1</f>
        <v>1</v>
      </c>
      <c r="K18" s="245"/>
      <c r="L18" s="245"/>
      <c r="M18" s="245"/>
      <c r="N18" s="245"/>
      <c r="O18" s="245"/>
      <c r="P18" s="245">
        <f t="shared" si="2"/>
        <v>1</v>
      </c>
      <c r="Q18" s="245"/>
    </row>
    <row r="19" ht="22.5" customHeight="1">
      <c r="A19" s="237">
        <v>18.0</v>
      </c>
      <c r="B19" s="238" t="s">
        <v>412</v>
      </c>
      <c r="C19" s="239" t="s">
        <v>70</v>
      </c>
      <c r="D19" s="240" t="s">
        <v>83</v>
      </c>
      <c r="E19" s="241" t="str">
        <f>IMAGE("https://flagcdn.com/w320/es.png")</f>
        <v/>
      </c>
      <c r="F19" s="242">
        <v>37792.0</v>
      </c>
      <c r="G19" s="243">
        <f t="shared" si="1"/>
        <v>22</v>
      </c>
      <c r="H19" s="245">
        <f>1+1+1+1</f>
        <v>4</v>
      </c>
      <c r="I19" s="245">
        <f>14+32+90+90</f>
        <v>226</v>
      </c>
      <c r="J19" s="245"/>
      <c r="K19" s="245"/>
      <c r="L19" s="245">
        <f>1</f>
        <v>1</v>
      </c>
      <c r="M19" s="245"/>
      <c r="N19" s="245"/>
      <c r="O19" s="245"/>
      <c r="P19" s="245">
        <f t="shared" si="2"/>
        <v>0</v>
      </c>
      <c r="Q19" s="245"/>
    </row>
    <row r="20" ht="22.5" customHeight="1">
      <c r="A20" s="237">
        <v>19.0</v>
      </c>
      <c r="B20" s="238" t="s">
        <v>413</v>
      </c>
      <c r="C20" s="239" t="s">
        <v>82</v>
      </c>
      <c r="D20" s="240" t="s">
        <v>414</v>
      </c>
      <c r="E20" s="241" t="str">
        <f t="shared" ref="E20:E21" si="11">IMAGE("https://flagcdn.com/w320/ar.png")</f>
        <v/>
      </c>
      <c r="F20" s="242">
        <v>36556.0</v>
      </c>
      <c r="G20" s="243">
        <f t="shared" si="1"/>
        <v>25</v>
      </c>
      <c r="H20" s="245">
        <f>1+1+1+1+1+1</f>
        <v>6</v>
      </c>
      <c r="I20" s="245">
        <f>89+90+90+90+90+72</f>
        <v>521</v>
      </c>
      <c r="J20" s="245">
        <f>1+1+1+1</f>
        <v>4</v>
      </c>
      <c r="K20" s="245">
        <f>2</f>
        <v>2</v>
      </c>
      <c r="L20" s="245"/>
      <c r="M20" s="245"/>
      <c r="N20" s="245"/>
      <c r="O20" s="245"/>
      <c r="P20" s="245">
        <f t="shared" si="2"/>
        <v>6</v>
      </c>
      <c r="Q20" s="245"/>
    </row>
    <row r="21" ht="22.5" customHeight="1">
      <c r="A21" s="237">
        <v>20.0</v>
      </c>
      <c r="B21" s="238" t="s">
        <v>415</v>
      </c>
      <c r="C21" s="239" t="s">
        <v>82</v>
      </c>
      <c r="D21" s="240" t="s">
        <v>416</v>
      </c>
      <c r="E21" s="241" t="str">
        <f t="shared" si="11"/>
        <v/>
      </c>
      <c r="F21" s="242">
        <v>37608.0</v>
      </c>
      <c r="G21" s="243">
        <f t="shared" si="1"/>
        <v>23</v>
      </c>
      <c r="H21" s="245">
        <f>1+1+1+1+1+1+1</f>
        <v>7</v>
      </c>
      <c r="I21" s="245">
        <f>90+74+71+87+90+88+90</f>
        <v>590</v>
      </c>
      <c r="J21" s="245">
        <f>1+1</f>
        <v>2</v>
      </c>
      <c r="K21" s="245">
        <f>1</f>
        <v>1</v>
      </c>
      <c r="L21" s="245">
        <f>1+1</f>
        <v>2</v>
      </c>
      <c r="M21" s="245"/>
      <c r="N21" s="245"/>
      <c r="O21" s="245"/>
      <c r="P21" s="245">
        <f t="shared" si="2"/>
        <v>3</v>
      </c>
      <c r="Q21" s="245"/>
    </row>
    <row r="22" ht="22.5" customHeight="1">
      <c r="A22" s="237">
        <v>21.0</v>
      </c>
      <c r="B22" s="238" t="s">
        <v>417</v>
      </c>
      <c r="C22" s="239" t="s">
        <v>70</v>
      </c>
      <c r="D22" s="240" t="s">
        <v>83</v>
      </c>
      <c r="E22" s="241" t="str">
        <f>IMAGE("https://flagcdn.com/w320/es.png")</f>
        <v/>
      </c>
      <c r="F22" s="242">
        <v>34657.0</v>
      </c>
      <c r="G22" s="243">
        <f t="shared" si="1"/>
        <v>31</v>
      </c>
      <c r="H22" s="245">
        <f>1</f>
        <v>1</v>
      </c>
      <c r="I22" s="245">
        <f>90</f>
        <v>90</v>
      </c>
      <c r="J22" s="245"/>
      <c r="K22" s="245"/>
      <c r="L22" s="245"/>
      <c r="M22" s="245"/>
      <c r="N22" s="245"/>
      <c r="O22" s="245"/>
      <c r="P22" s="245">
        <f t="shared" si="2"/>
        <v>0</v>
      </c>
      <c r="Q22" s="245"/>
    </row>
    <row r="23" ht="22.5" customHeight="1">
      <c r="A23" s="237">
        <v>22.0</v>
      </c>
      <c r="B23" s="238" t="s">
        <v>418</v>
      </c>
      <c r="C23" s="239" t="s">
        <v>82</v>
      </c>
      <c r="D23" s="240" t="s">
        <v>206</v>
      </c>
      <c r="E23" s="241" t="str">
        <f>IMAGE("https://flagcdn.com/w320/it.png")</f>
        <v/>
      </c>
      <c r="F23" s="242">
        <v>36574.0</v>
      </c>
      <c r="G23" s="243">
        <f t="shared" si="1"/>
        <v>25</v>
      </c>
      <c r="H23" s="245">
        <f>1+1</f>
        <v>2</v>
      </c>
      <c r="I23" s="245">
        <f>51+54</f>
        <v>105</v>
      </c>
      <c r="J23" s="245">
        <f t="shared" ref="J23:K23" si="12">1</f>
        <v>1</v>
      </c>
      <c r="K23" s="245">
        <f t="shared" si="12"/>
        <v>1</v>
      </c>
      <c r="L23" s="245"/>
      <c r="M23" s="245"/>
      <c r="N23" s="245"/>
      <c r="O23" s="245"/>
      <c r="P23" s="245">
        <f t="shared" si="2"/>
        <v>2</v>
      </c>
      <c r="Q23" s="245"/>
    </row>
    <row r="24" ht="22.5" customHeight="1">
      <c r="A24" s="237">
        <v>23.0</v>
      </c>
      <c r="B24" s="238" t="s">
        <v>419</v>
      </c>
      <c r="C24" s="239" t="s">
        <v>82</v>
      </c>
      <c r="D24" s="240" t="s">
        <v>420</v>
      </c>
      <c r="E24" s="241" t="str">
        <f>IMAGE("https://flagcdn.com/w320/ar.png")</f>
        <v/>
      </c>
      <c r="F24" s="242">
        <v>35891.0</v>
      </c>
      <c r="G24" s="243">
        <f t="shared" si="1"/>
        <v>27</v>
      </c>
      <c r="H24" s="245">
        <f t="shared" ref="H24:H25" si="13">1+1+1+1+1+1</f>
        <v>6</v>
      </c>
      <c r="I24" s="245">
        <f>76+16+62+32+68+18</f>
        <v>272</v>
      </c>
      <c r="J24" s="245"/>
      <c r="K24" s="245"/>
      <c r="L24" s="245"/>
      <c r="M24" s="245"/>
      <c r="N24" s="245"/>
      <c r="O24" s="245"/>
      <c r="P24" s="245">
        <f t="shared" si="2"/>
        <v>0</v>
      </c>
      <c r="Q24" s="245"/>
    </row>
    <row r="25" ht="22.5" customHeight="1">
      <c r="A25" s="237">
        <v>24.0</v>
      </c>
      <c r="B25" s="238" t="s">
        <v>421</v>
      </c>
      <c r="C25" s="239" t="s">
        <v>70</v>
      </c>
      <c r="D25" s="240" t="s">
        <v>422</v>
      </c>
      <c r="E25" s="241" t="str">
        <f t="shared" ref="E25:E39" si="14">IMAGE("https://flagcdn.com/w320/es.png")</f>
        <v/>
      </c>
      <c r="F25" s="242">
        <v>35380.0</v>
      </c>
      <c r="G25" s="243">
        <f t="shared" si="1"/>
        <v>29</v>
      </c>
      <c r="H25" s="245">
        <f t="shared" si="13"/>
        <v>6</v>
      </c>
      <c r="I25" s="245">
        <f>90+90+90+25+2+35</f>
        <v>332</v>
      </c>
      <c r="J25" s="245">
        <f>1</f>
        <v>1</v>
      </c>
      <c r="K25" s="245"/>
      <c r="L25" s="245">
        <f>1+1</f>
        <v>2</v>
      </c>
      <c r="M25" s="245"/>
      <c r="N25" s="245"/>
      <c r="O25" s="245"/>
      <c r="P25" s="245">
        <f t="shared" si="2"/>
        <v>1</v>
      </c>
      <c r="Q25" s="245"/>
    </row>
    <row r="26" ht="22.5" customHeight="1">
      <c r="A26" s="247">
        <v>28.0</v>
      </c>
      <c r="B26" s="248" t="s">
        <v>423</v>
      </c>
      <c r="C26" s="249" t="s">
        <v>79</v>
      </c>
      <c r="D26" s="250" t="s">
        <v>424</v>
      </c>
      <c r="E26" s="251" t="str">
        <f t="shared" si="14"/>
        <v/>
      </c>
      <c r="F26" s="252">
        <v>39467.0</v>
      </c>
      <c r="G26" s="253">
        <f t="shared" si="1"/>
        <v>18</v>
      </c>
      <c r="H26" s="254">
        <v>0.0</v>
      </c>
      <c r="I26" s="254">
        <v>0.0</v>
      </c>
      <c r="J26" s="255"/>
      <c r="K26" s="255"/>
      <c r="L26" s="255"/>
      <c r="M26" s="255"/>
      <c r="N26" s="255"/>
      <c r="O26" s="255"/>
      <c r="P26" s="255">
        <f t="shared" si="2"/>
        <v>0</v>
      </c>
      <c r="Q26" s="255"/>
    </row>
    <row r="27" ht="22.5" customHeight="1">
      <c r="A27" s="247">
        <v>29.0</v>
      </c>
      <c r="B27" s="256" t="s">
        <v>425</v>
      </c>
      <c r="C27" s="249" t="s">
        <v>79</v>
      </c>
      <c r="D27" s="250" t="s">
        <v>426</v>
      </c>
      <c r="E27" s="251" t="str">
        <f t="shared" si="14"/>
        <v/>
      </c>
      <c r="F27" s="252">
        <v>38394.0</v>
      </c>
      <c r="G27" s="253">
        <f t="shared" si="1"/>
        <v>20</v>
      </c>
      <c r="H27" s="254">
        <v>0.0</v>
      </c>
      <c r="I27" s="254">
        <v>0.0</v>
      </c>
      <c r="J27" s="255"/>
      <c r="K27" s="255"/>
      <c r="L27" s="255"/>
      <c r="M27" s="255"/>
      <c r="N27" s="255"/>
      <c r="O27" s="255"/>
      <c r="P27" s="255">
        <f t="shared" si="2"/>
        <v>0</v>
      </c>
      <c r="Q27" s="255"/>
    </row>
    <row r="28" ht="22.5" customHeight="1">
      <c r="A28" s="247">
        <v>30.0</v>
      </c>
      <c r="B28" s="256" t="s">
        <v>427</v>
      </c>
      <c r="C28" s="249" t="s">
        <v>70</v>
      </c>
      <c r="D28" s="250" t="s">
        <v>83</v>
      </c>
      <c r="E28" s="251" t="str">
        <f t="shared" si="14"/>
        <v/>
      </c>
      <c r="F28" s="252">
        <v>38112.0</v>
      </c>
      <c r="G28" s="253">
        <f t="shared" si="1"/>
        <v>21</v>
      </c>
      <c r="H28" s="254">
        <v>0.0</v>
      </c>
      <c r="I28" s="254">
        <v>0.0</v>
      </c>
      <c r="J28" s="255"/>
      <c r="K28" s="255"/>
      <c r="L28" s="255"/>
      <c r="M28" s="255"/>
      <c r="N28" s="255"/>
      <c r="O28" s="255"/>
      <c r="P28" s="255">
        <f t="shared" si="2"/>
        <v>0</v>
      </c>
      <c r="Q28" s="255"/>
    </row>
    <row r="29" ht="22.5" customHeight="1">
      <c r="A29" s="247">
        <v>31.0</v>
      </c>
      <c r="B29" s="256" t="s">
        <v>428</v>
      </c>
      <c r="C29" s="249" t="s">
        <v>67</v>
      </c>
      <c r="D29" s="250" t="s">
        <v>83</v>
      </c>
      <c r="E29" s="251" t="str">
        <f t="shared" si="14"/>
        <v/>
      </c>
      <c r="F29" s="252">
        <v>38625.0</v>
      </c>
      <c r="G29" s="253">
        <f t="shared" si="1"/>
        <v>20</v>
      </c>
      <c r="H29" s="254">
        <v>0.0</v>
      </c>
      <c r="I29" s="254">
        <v>0.0</v>
      </c>
      <c r="J29" s="255"/>
      <c r="K29" s="255"/>
      <c r="L29" s="255"/>
      <c r="M29" s="255"/>
      <c r="N29" s="255"/>
      <c r="O29" s="255"/>
      <c r="P29" s="255">
        <f t="shared" si="2"/>
        <v>0</v>
      </c>
      <c r="Q29" s="255"/>
    </row>
    <row r="30" ht="22.5" customHeight="1">
      <c r="A30" s="247">
        <v>32.0</v>
      </c>
      <c r="B30" s="256" t="s">
        <v>429</v>
      </c>
      <c r="C30" s="249" t="s">
        <v>70</v>
      </c>
      <c r="D30" s="250" t="s">
        <v>83</v>
      </c>
      <c r="E30" s="251" t="str">
        <f t="shared" si="14"/>
        <v/>
      </c>
      <c r="F30" s="252">
        <v>38475.0</v>
      </c>
      <c r="G30" s="253">
        <f t="shared" si="1"/>
        <v>20</v>
      </c>
      <c r="H30" s="254">
        <v>0.0</v>
      </c>
      <c r="I30" s="254">
        <v>0.0</v>
      </c>
      <c r="J30" s="255"/>
      <c r="K30" s="255"/>
      <c r="L30" s="255"/>
      <c r="M30" s="255"/>
      <c r="N30" s="255"/>
      <c r="O30" s="255"/>
      <c r="P30" s="255">
        <f t="shared" si="2"/>
        <v>0</v>
      </c>
      <c r="Q30" s="255"/>
    </row>
    <row r="31" ht="22.5" hidden="1" customHeight="1">
      <c r="A31" s="237">
        <v>33.0</v>
      </c>
      <c r="B31" s="238" t="s">
        <v>430</v>
      </c>
      <c r="C31" s="239" t="s">
        <v>67</v>
      </c>
      <c r="D31" s="240" t="s">
        <v>83</v>
      </c>
      <c r="E31" s="241" t="str">
        <f t="shared" si="14"/>
        <v/>
      </c>
      <c r="F31" s="242">
        <v>37382.0</v>
      </c>
      <c r="G31" s="243">
        <f t="shared" si="1"/>
        <v>23</v>
      </c>
      <c r="H31" s="245"/>
      <c r="I31" s="245"/>
      <c r="J31" s="245"/>
      <c r="K31" s="245"/>
      <c r="L31" s="245"/>
      <c r="M31" s="245"/>
      <c r="N31" s="245"/>
      <c r="O31" s="245"/>
      <c r="P31" s="245">
        <f t="shared" si="2"/>
        <v>0</v>
      </c>
      <c r="Q31" s="245"/>
    </row>
    <row r="32" ht="22.5" customHeight="1">
      <c r="A32" s="247">
        <v>34.0</v>
      </c>
      <c r="B32" s="256" t="s">
        <v>431</v>
      </c>
      <c r="C32" s="249" t="s">
        <v>70</v>
      </c>
      <c r="D32" s="250" t="s">
        <v>83</v>
      </c>
      <c r="E32" s="251" t="str">
        <f t="shared" si="14"/>
        <v/>
      </c>
      <c r="F32" s="252">
        <v>38362.0</v>
      </c>
      <c r="G32" s="253">
        <f t="shared" si="1"/>
        <v>21</v>
      </c>
      <c r="H32" s="254">
        <v>0.0</v>
      </c>
      <c r="I32" s="254">
        <v>0.0</v>
      </c>
      <c r="J32" s="255"/>
      <c r="K32" s="255"/>
      <c r="L32" s="255"/>
      <c r="M32" s="255"/>
      <c r="N32" s="255"/>
      <c r="O32" s="255"/>
      <c r="P32" s="255">
        <f t="shared" si="2"/>
        <v>0</v>
      </c>
      <c r="Q32" s="25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ht="22.5" customHeight="1">
      <c r="A33" s="247">
        <v>37.0</v>
      </c>
      <c r="B33" s="256" t="s">
        <v>432</v>
      </c>
      <c r="C33" s="249" t="s">
        <v>82</v>
      </c>
      <c r="D33" s="250" t="s">
        <v>83</v>
      </c>
      <c r="E33" s="251" t="str">
        <f t="shared" si="14"/>
        <v/>
      </c>
      <c r="F33" s="252">
        <v>38508.0</v>
      </c>
      <c r="G33" s="253">
        <f t="shared" si="1"/>
        <v>20</v>
      </c>
      <c r="H33" s="254">
        <v>0.0</v>
      </c>
      <c r="I33" s="254">
        <v>0.0</v>
      </c>
      <c r="J33" s="255"/>
      <c r="K33" s="255"/>
      <c r="L33" s="255"/>
      <c r="M33" s="255"/>
      <c r="N33" s="255"/>
      <c r="O33" s="255"/>
      <c r="P33" s="255">
        <f t="shared" si="2"/>
        <v>0</v>
      </c>
      <c r="Q33" s="25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ht="22.5" hidden="1" customHeight="1">
      <c r="A34" s="247">
        <v>38.0</v>
      </c>
      <c r="B34" s="256" t="s">
        <v>433</v>
      </c>
      <c r="C34" s="249" t="s">
        <v>82</v>
      </c>
      <c r="D34" s="250" t="s">
        <v>434</v>
      </c>
      <c r="E34" s="251" t="str">
        <f t="shared" si="14"/>
        <v/>
      </c>
      <c r="F34" s="252">
        <v>38952.0</v>
      </c>
      <c r="G34" s="253">
        <f t="shared" si="1"/>
        <v>19</v>
      </c>
      <c r="H34" s="255"/>
      <c r="I34" s="255"/>
      <c r="J34" s="255"/>
      <c r="K34" s="255"/>
      <c r="L34" s="255"/>
      <c r="M34" s="255"/>
      <c r="N34" s="255"/>
      <c r="O34" s="255"/>
      <c r="P34" s="255">
        <f t="shared" si="2"/>
        <v>0</v>
      </c>
      <c r="Q34" s="255"/>
    </row>
    <row r="35" ht="22.5" hidden="1" customHeight="1">
      <c r="A35" s="247">
        <v>39.0</v>
      </c>
      <c r="B35" s="256" t="s">
        <v>435</v>
      </c>
      <c r="C35" s="249" t="s">
        <v>82</v>
      </c>
      <c r="D35" s="250" t="s">
        <v>83</v>
      </c>
      <c r="E35" s="251" t="str">
        <f t="shared" si="14"/>
        <v/>
      </c>
      <c r="F35" s="252">
        <v>38853.0</v>
      </c>
      <c r="G35" s="253">
        <f t="shared" si="1"/>
        <v>19</v>
      </c>
      <c r="H35" s="255"/>
      <c r="I35" s="255"/>
      <c r="J35" s="255"/>
      <c r="K35" s="255"/>
      <c r="L35" s="255"/>
      <c r="M35" s="255"/>
      <c r="N35" s="255"/>
      <c r="O35" s="255"/>
      <c r="P35" s="255">
        <f t="shared" si="2"/>
        <v>0</v>
      </c>
      <c r="Q35" s="255"/>
    </row>
    <row r="36" ht="22.5" hidden="1" customHeight="1">
      <c r="A36" s="247">
        <v>51.0</v>
      </c>
      <c r="B36" s="256" t="s">
        <v>436</v>
      </c>
      <c r="C36" s="249" t="s">
        <v>67</v>
      </c>
      <c r="D36" s="250" t="s">
        <v>83</v>
      </c>
      <c r="E36" s="251" t="str">
        <f t="shared" si="14"/>
        <v/>
      </c>
      <c r="F36" s="252">
        <v>38873.0</v>
      </c>
      <c r="G36" s="253">
        <f t="shared" si="1"/>
        <v>19</v>
      </c>
      <c r="H36" s="255"/>
      <c r="I36" s="255"/>
      <c r="J36" s="255"/>
      <c r="K36" s="255"/>
      <c r="L36" s="255"/>
      <c r="M36" s="255"/>
      <c r="N36" s="255"/>
      <c r="O36" s="255"/>
      <c r="P36" s="255">
        <f t="shared" si="2"/>
        <v>0</v>
      </c>
      <c r="Q36" s="255"/>
    </row>
    <row r="37" ht="22.5" hidden="1" customHeight="1">
      <c r="A37" s="247">
        <v>53.0</v>
      </c>
      <c r="B37" s="256" t="s">
        <v>437</v>
      </c>
      <c r="C37" s="249" t="s">
        <v>67</v>
      </c>
      <c r="D37" s="250" t="s">
        <v>83</v>
      </c>
      <c r="E37" s="251" t="str">
        <f t="shared" si="14"/>
        <v/>
      </c>
      <c r="F37" s="252">
        <v>39133.0</v>
      </c>
      <c r="G37" s="253">
        <f t="shared" si="1"/>
        <v>18</v>
      </c>
      <c r="H37" s="255"/>
      <c r="I37" s="255"/>
      <c r="J37" s="255"/>
      <c r="K37" s="255"/>
      <c r="L37" s="255"/>
      <c r="M37" s="255"/>
      <c r="N37" s="255"/>
      <c r="O37" s="255"/>
      <c r="P37" s="255">
        <f t="shared" si="2"/>
        <v>0</v>
      </c>
      <c r="Q37" s="255"/>
    </row>
    <row r="38" ht="22.5" hidden="1" customHeight="1">
      <c r="A38" s="247">
        <v>55.0</v>
      </c>
      <c r="B38" s="256" t="s">
        <v>438</v>
      </c>
      <c r="C38" s="249" t="s">
        <v>67</v>
      </c>
      <c r="D38" s="250" t="s">
        <v>83</v>
      </c>
      <c r="E38" s="251" t="str">
        <f t="shared" si="14"/>
        <v/>
      </c>
      <c r="F38" s="252">
        <v>39398.0</v>
      </c>
      <c r="G38" s="253">
        <f t="shared" si="1"/>
        <v>18</v>
      </c>
      <c r="H38" s="255"/>
      <c r="I38" s="255"/>
      <c r="J38" s="255"/>
      <c r="K38" s="255"/>
      <c r="L38" s="255"/>
      <c r="M38" s="255"/>
      <c r="N38" s="255"/>
      <c r="O38" s="255"/>
      <c r="P38" s="255">
        <f t="shared" si="2"/>
        <v>0</v>
      </c>
      <c r="Q38" s="255"/>
    </row>
    <row r="39" ht="22.5" hidden="1" customHeight="1">
      <c r="A39" s="247">
        <v>63.0</v>
      </c>
      <c r="B39" s="256" t="s">
        <v>439</v>
      </c>
      <c r="C39" s="249" t="s">
        <v>67</v>
      </c>
      <c r="D39" s="250" t="s">
        <v>83</v>
      </c>
      <c r="E39" s="251" t="str">
        <f t="shared" si="14"/>
        <v/>
      </c>
      <c r="F39" s="252">
        <v>39456.0</v>
      </c>
      <c r="G39" s="253">
        <f t="shared" si="1"/>
        <v>18</v>
      </c>
      <c r="H39" s="255"/>
      <c r="I39" s="255"/>
      <c r="J39" s="255"/>
      <c r="K39" s="255"/>
      <c r="L39" s="255"/>
      <c r="M39" s="255"/>
      <c r="N39" s="255"/>
      <c r="O39" s="255"/>
      <c r="P39" s="255">
        <f t="shared" si="2"/>
        <v>0</v>
      </c>
      <c r="Q39" s="255"/>
    </row>
    <row r="40">
      <c r="A40" s="11"/>
      <c r="B40" s="18"/>
      <c r="C40" s="18"/>
      <c r="D40" s="64"/>
      <c r="E40" s="65"/>
      <c r="F40" s="189"/>
      <c r="G40" s="18"/>
      <c r="H40" s="11">
        <f t="shared" ref="H40:Q40" si="15">SUM(H2:H39)</f>
        <v>110</v>
      </c>
      <c r="I40" s="11">
        <f t="shared" si="15"/>
        <v>6930</v>
      </c>
      <c r="J40" s="11">
        <f t="shared" si="15"/>
        <v>16</v>
      </c>
      <c r="K40" s="11">
        <f t="shared" si="15"/>
        <v>11</v>
      </c>
      <c r="L40" s="11">
        <f t="shared" si="15"/>
        <v>11</v>
      </c>
      <c r="M40" s="11">
        <f t="shared" si="15"/>
        <v>0</v>
      </c>
      <c r="N40" s="11">
        <f t="shared" si="15"/>
        <v>0</v>
      </c>
      <c r="O40" s="11">
        <f t="shared" si="15"/>
        <v>1</v>
      </c>
      <c r="P40" s="11">
        <f t="shared" si="15"/>
        <v>27</v>
      </c>
      <c r="Q40" s="11">
        <f t="shared" si="15"/>
        <v>0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ht="22.5" customHeight="1">
      <c r="A41" s="231" t="s">
        <v>150</v>
      </c>
      <c r="B41" s="232" t="s">
        <v>49</v>
      </c>
      <c r="C41" s="232" t="s">
        <v>265</v>
      </c>
      <c r="D41" s="257" t="s">
        <v>56</v>
      </c>
      <c r="E41" s="232" t="s">
        <v>57</v>
      </c>
      <c r="F41" s="232" t="s">
        <v>52</v>
      </c>
      <c r="G41" s="232" t="s">
        <v>53</v>
      </c>
      <c r="H41" s="258" t="s">
        <v>4</v>
      </c>
      <c r="I41" s="258" t="s">
        <v>5</v>
      </c>
      <c r="J41" s="258" t="s">
        <v>6</v>
      </c>
      <c r="K41" s="258" t="s">
        <v>7</v>
      </c>
      <c r="L41" s="258" t="s">
        <v>8</v>
      </c>
      <c r="M41" s="258" t="s">
        <v>9</v>
      </c>
      <c r="N41" s="258" t="s">
        <v>10</v>
      </c>
      <c r="O41" s="12"/>
      <c r="P41" s="12"/>
      <c r="Q41" s="12"/>
    </row>
    <row r="42" ht="22.5" customHeight="1">
      <c r="A42" s="259"/>
      <c r="B42" s="238" t="s">
        <v>440</v>
      </c>
      <c r="C42" s="238" t="s">
        <v>153</v>
      </c>
      <c r="D42" s="240" t="s">
        <v>441</v>
      </c>
      <c r="E42" s="241" t="str">
        <f t="shared" ref="E42:E43" si="16">IMAGE("https://flagcdn.com/w320/ar.png")</f>
        <v/>
      </c>
      <c r="F42" s="242">
        <v>25686.0</v>
      </c>
      <c r="G42" s="243">
        <f t="shared" ref="G42:G43" si="17">DATEDIF(F42,TODAY(),"Y")</f>
        <v>55</v>
      </c>
      <c r="H42" s="260">
        <f t="shared" ref="H42:H43" si="18">L42+M42+N42</f>
        <v>6</v>
      </c>
      <c r="I42" s="260">
        <f t="shared" ref="I42:I43" si="19">(3*L42)+M42</f>
        <v>10</v>
      </c>
      <c r="J42" s="260">
        <f>2+3+2+3+1</f>
        <v>11</v>
      </c>
      <c r="K42" s="260">
        <f>2+4+1+1+2+1</f>
        <v>11</v>
      </c>
      <c r="L42" s="261">
        <f>1+1+1</f>
        <v>3</v>
      </c>
      <c r="M42" s="262">
        <f>1</f>
        <v>1</v>
      </c>
      <c r="N42" s="263">
        <f>1+1</f>
        <v>2</v>
      </c>
      <c r="O42" s="12"/>
      <c r="P42" s="12"/>
      <c r="Q42" s="12"/>
    </row>
    <row r="43" ht="22.5" customHeight="1">
      <c r="A43" s="259"/>
      <c r="B43" s="238" t="s">
        <v>442</v>
      </c>
      <c r="C43" s="238" t="s">
        <v>155</v>
      </c>
      <c r="D43" s="240" t="s">
        <v>403</v>
      </c>
      <c r="E43" s="241" t="str">
        <f t="shared" si="16"/>
        <v/>
      </c>
      <c r="F43" s="242">
        <v>25494.0</v>
      </c>
      <c r="G43" s="243">
        <f t="shared" si="17"/>
        <v>56</v>
      </c>
      <c r="H43" s="260">
        <f t="shared" si="18"/>
        <v>1</v>
      </c>
      <c r="I43" s="260">
        <f t="shared" si="19"/>
        <v>3</v>
      </c>
      <c r="J43" s="260">
        <f>5</f>
        <v>5</v>
      </c>
      <c r="K43" s="260">
        <f t="shared" ref="K43:L43" si="20">1</f>
        <v>1</v>
      </c>
      <c r="L43" s="261">
        <f t="shared" si="20"/>
        <v>1</v>
      </c>
      <c r="M43" s="262">
        <f t="shared" ref="M43:N43" si="21">0</f>
        <v>0</v>
      </c>
      <c r="N43" s="263">
        <f t="shared" si="21"/>
        <v>0</v>
      </c>
      <c r="O43" s="12"/>
      <c r="P43" s="12"/>
      <c r="Q43" s="12"/>
    </row>
    <row r="44">
      <c r="A44" s="11"/>
      <c r="B44" s="18"/>
      <c r="C44" s="18"/>
      <c r="D44" s="64"/>
      <c r="E44" s="65"/>
      <c r="F44" s="189"/>
      <c r="G44" s="18"/>
      <c r="H44" s="11">
        <f t="shared" ref="H44:N44" si="22">SUM(H42:H43)</f>
        <v>7</v>
      </c>
      <c r="I44" s="11">
        <f t="shared" si="22"/>
        <v>13</v>
      </c>
      <c r="J44" s="11">
        <f t="shared" si="22"/>
        <v>16</v>
      </c>
      <c r="K44" s="11">
        <f t="shared" si="22"/>
        <v>12</v>
      </c>
      <c r="L44" s="11">
        <f t="shared" si="22"/>
        <v>4</v>
      </c>
      <c r="M44" s="11">
        <f t="shared" si="22"/>
        <v>1</v>
      </c>
      <c r="N44" s="11">
        <f t="shared" si="22"/>
        <v>2</v>
      </c>
      <c r="O44" s="11"/>
      <c r="P44" s="11"/>
      <c r="Q44" s="11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ht="22.5" customHeight="1">
      <c r="A45" s="231" t="s">
        <v>156</v>
      </c>
      <c r="B45" s="231" t="s">
        <v>157</v>
      </c>
      <c r="C45" s="231" t="s">
        <v>158</v>
      </c>
      <c r="D45" s="235" t="s">
        <v>443</v>
      </c>
      <c r="E45" s="231" t="s">
        <v>160</v>
      </c>
      <c r="F45" s="231" t="s">
        <v>161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22.5" customHeight="1">
      <c r="A46" s="77">
        <v>1.0</v>
      </c>
      <c r="B46" s="78" t="s">
        <v>18</v>
      </c>
      <c r="C46" s="78" t="s">
        <v>273</v>
      </c>
      <c r="D46" s="83" t="s">
        <v>444</v>
      </c>
      <c r="E46" s="84">
        <v>45718.0</v>
      </c>
      <c r="F46" s="78" t="s">
        <v>445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22.5" customHeight="1">
      <c r="A47" s="86">
        <v>2.0</v>
      </c>
      <c r="B47" s="87" t="s">
        <v>273</v>
      </c>
      <c r="C47" s="87" t="s">
        <v>41</v>
      </c>
      <c r="D47" s="88" t="s">
        <v>446</v>
      </c>
      <c r="E47" s="89">
        <v>45778.0</v>
      </c>
      <c r="F47" s="87" t="s">
        <v>447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ht="22.5" customHeight="1">
      <c r="A48" s="77">
        <v>3.0</v>
      </c>
      <c r="B48" s="78" t="s">
        <v>12</v>
      </c>
      <c r="C48" s="78" t="s">
        <v>273</v>
      </c>
      <c r="D48" s="79"/>
      <c r="E48" s="80" t="s">
        <v>164</v>
      </c>
      <c r="F48" s="78" t="s">
        <v>272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ht="22.5" customHeight="1">
      <c r="A49" s="86">
        <v>4.0</v>
      </c>
      <c r="B49" s="87" t="s">
        <v>273</v>
      </c>
      <c r="C49" s="87" t="s">
        <v>37</v>
      </c>
      <c r="D49" s="88" t="s">
        <v>448</v>
      </c>
      <c r="E49" s="89">
        <v>45717.0</v>
      </c>
      <c r="F49" s="87" t="s">
        <v>447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ht="22.5" customHeight="1">
      <c r="A50" s="86">
        <v>5.0</v>
      </c>
      <c r="B50" s="87" t="s">
        <v>273</v>
      </c>
      <c r="C50" s="87" t="s">
        <v>16</v>
      </c>
      <c r="D50" s="88" t="s">
        <v>449</v>
      </c>
      <c r="E50" s="89">
        <v>45689.0</v>
      </c>
      <c r="F50" s="87" t="s">
        <v>447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ht="22.5" customHeight="1">
      <c r="A51" s="86">
        <v>6.0</v>
      </c>
      <c r="B51" s="87" t="s">
        <v>30</v>
      </c>
      <c r="C51" s="87" t="s">
        <v>273</v>
      </c>
      <c r="D51" s="88" t="s">
        <v>450</v>
      </c>
      <c r="E51" s="89">
        <v>45691.0</v>
      </c>
      <c r="F51" s="87" t="s">
        <v>451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ht="22.5" customHeight="1">
      <c r="A52" s="197">
        <v>7.0</v>
      </c>
      <c r="B52" s="198" t="s">
        <v>27</v>
      </c>
      <c r="C52" s="198" t="s">
        <v>273</v>
      </c>
      <c r="D52" s="264" t="s">
        <v>452</v>
      </c>
      <c r="E52" s="265">
        <v>46023.0</v>
      </c>
      <c r="F52" s="198" t="s">
        <v>453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ht="22.5" customHeight="1">
      <c r="A53" s="90">
        <v>8.0</v>
      </c>
      <c r="B53" s="91" t="s">
        <v>273</v>
      </c>
      <c r="C53" s="91" t="s">
        <v>44</v>
      </c>
      <c r="D53" s="92"/>
      <c r="E53" s="93"/>
      <c r="F53" s="94" t="s">
        <v>447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A54" s="12"/>
      <c r="D54" s="95"/>
      <c r="E54" s="14"/>
      <c r="F54" s="266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A55" s="12"/>
      <c r="D55" s="95"/>
      <c r="E55" s="14"/>
      <c r="F55" s="266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A56" s="12"/>
      <c r="D56" s="95"/>
      <c r="E56" s="14"/>
      <c r="F56" s="266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A57" s="12"/>
      <c r="D57" s="95"/>
      <c r="E57" s="14"/>
      <c r="F57" s="266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A58" s="12"/>
      <c r="D58" s="95"/>
      <c r="E58" s="14"/>
      <c r="F58" s="266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A59" s="12"/>
      <c r="D59" s="95"/>
      <c r="E59" s="14"/>
      <c r="F59" s="266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A60" s="12"/>
      <c r="D60" s="95"/>
      <c r="E60" s="14"/>
      <c r="F60" s="266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A61" s="12"/>
      <c r="D61" s="95"/>
      <c r="E61" s="14"/>
      <c r="F61" s="266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A62" s="12"/>
      <c r="D62" s="95"/>
      <c r="E62" s="14"/>
      <c r="F62" s="266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A63" s="12"/>
      <c r="D63" s="95"/>
      <c r="E63" s="14"/>
      <c r="F63" s="266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A64" s="12"/>
      <c r="D64" s="95"/>
      <c r="E64" s="14"/>
      <c r="F64" s="266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A65" s="12"/>
      <c r="D65" s="95"/>
      <c r="E65" s="14"/>
      <c r="F65" s="266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A66" s="12"/>
      <c r="D66" s="95"/>
      <c r="E66" s="14"/>
      <c r="F66" s="266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A67" s="12"/>
      <c r="D67" s="95"/>
      <c r="E67" s="14"/>
      <c r="F67" s="266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A68" s="12"/>
      <c r="D68" s="95"/>
      <c r="E68" s="14"/>
      <c r="F68" s="266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A69" s="12"/>
      <c r="D69" s="95"/>
      <c r="E69" s="14"/>
      <c r="F69" s="266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A70" s="12"/>
      <c r="D70" s="95"/>
      <c r="E70" s="14"/>
      <c r="F70" s="266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A71" s="12"/>
      <c r="D71" s="95"/>
      <c r="E71" s="14"/>
      <c r="F71" s="266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A72" s="12"/>
      <c r="D72" s="95"/>
      <c r="E72" s="14"/>
      <c r="F72" s="266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A73" s="12"/>
      <c r="D73" s="95"/>
      <c r="E73" s="14"/>
      <c r="F73" s="266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A74" s="12"/>
      <c r="D74" s="95"/>
      <c r="E74" s="14"/>
      <c r="F74" s="266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A75" s="12"/>
      <c r="D75" s="95"/>
      <c r="E75" s="14"/>
      <c r="F75" s="266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A76" s="12"/>
      <c r="D76" s="95"/>
      <c r="E76" s="14"/>
      <c r="F76" s="266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A77" s="12"/>
      <c r="D77" s="95"/>
      <c r="E77" s="14"/>
      <c r="F77" s="266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A78" s="12"/>
      <c r="D78" s="95"/>
      <c r="E78" s="14"/>
      <c r="F78" s="266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A79" s="12"/>
      <c r="D79" s="95"/>
      <c r="E79" s="14"/>
      <c r="F79" s="266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A80" s="12"/>
      <c r="D80" s="95"/>
      <c r="E80" s="14"/>
      <c r="F80" s="266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A81" s="12"/>
      <c r="D81" s="95"/>
      <c r="E81" s="14"/>
      <c r="F81" s="266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A82" s="12"/>
      <c r="D82" s="95"/>
      <c r="E82" s="14"/>
      <c r="F82" s="266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A83" s="12"/>
      <c r="D83" s="95"/>
      <c r="E83" s="14"/>
      <c r="F83" s="266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A84" s="12"/>
      <c r="D84" s="95"/>
      <c r="E84" s="14"/>
      <c r="F84" s="266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A85" s="12"/>
      <c r="D85" s="95"/>
      <c r="E85" s="14"/>
      <c r="F85" s="266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A86" s="12"/>
      <c r="D86" s="95"/>
      <c r="E86" s="14"/>
      <c r="F86" s="266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A87" s="12"/>
      <c r="D87" s="95"/>
      <c r="E87" s="14"/>
      <c r="F87" s="266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A88" s="12"/>
      <c r="D88" s="95"/>
      <c r="E88" s="14"/>
      <c r="F88" s="266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A89" s="12"/>
      <c r="D89" s="95"/>
      <c r="E89" s="14"/>
      <c r="F89" s="266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A90" s="12"/>
      <c r="D90" s="95"/>
      <c r="E90" s="14"/>
      <c r="F90" s="266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A91" s="12"/>
      <c r="D91" s="95"/>
      <c r="E91" s="14"/>
      <c r="F91" s="266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A92" s="12"/>
      <c r="D92" s="95"/>
      <c r="E92" s="14"/>
      <c r="F92" s="266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A93" s="12"/>
      <c r="D93" s="95"/>
      <c r="E93" s="14"/>
      <c r="F93" s="266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A94" s="12"/>
      <c r="D94" s="95"/>
      <c r="E94" s="14"/>
      <c r="F94" s="266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A95" s="12"/>
      <c r="D95" s="95"/>
      <c r="E95" s="14"/>
      <c r="F95" s="266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A96" s="12"/>
      <c r="D96" s="95"/>
      <c r="E96" s="14"/>
      <c r="F96" s="266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A97" s="12"/>
      <c r="D97" s="95"/>
      <c r="E97" s="14"/>
      <c r="F97" s="266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A98" s="12"/>
      <c r="D98" s="95"/>
      <c r="E98" s="14"/>
      <c r="F98" s="266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A99" s="12"/>
      <c r="D99" s="95"/>
      <c r="E99" s="14"/>
      <c r="F99" s="266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A100" s="12"/>
      <c r="D100" s="95"/>
      <c r="E100" s="14"/>
      <c r="F100" s="266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A101" s="12"/>
      <c r="D101" s="95"/>
      <c r="E101" s="14"/>
      <c r="F101" s="266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A102" s="12"/>
      <c r="D102" s="95"/>
      <c r="E102" s="14"/>
      <c r="F102" s="266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A103" s="12"/>
      <c r="D103" s="95"/>
      <c r="E103" s="14"/>
      <c r="F103" s="266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12"/>
      <c r="D104" s="95"/>
      <c r="E104" s="14"/>
      <c r="F104" s="266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12"/>
      <c r="D105" s="95"/>
      <c r="E105" s="14"/>
      <c r="F105" s="266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12"/>
      <c r="D106" s="95"/>
      <c r="E106" s="14"/>
      <c r="F106" s="266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12"/>
      <c r="D107" s="95"/>
      <c r="E107" s="14"/>
      <c r="F107" s="266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A108" s="12"/>
      <c r="D108" s="95"/>
      <c r="E108" s="14"/>
      <c r="F108" s="266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A109" s="12"/>
      <c r="D109" s="95"/>
      <c r="E109" s="14"/>
      <c r="F109" s="266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A110" s="12"/>
      <c r="D110" s="95"/>
      <c r="E110" s="14"/>
      <c r="F110" s="266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A111" s="12"/>
      <c r="D111" s="95"/>
      <c r="E111" s="14"/>
      <c r="F111" s="266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A112" s="12"/>
      <c r="D112" s="95"/>
      <c r="E112" s="14"/>
      <c r="F112" s="266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A113" s="12"/>
      <c r="D113" s="95"/>
      <c r="E113" s="14"/>
      <c r="F113" s="266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A114" s="12"/>
      <c r="D114" s="95"/>
      <c r="E114" s="14"/>
      <c r="F114" s="266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A115" s="12"/>
      <c r="D115" s="95"/>
      <c r="E115" s="14"/>
      <c r="F115" s="266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A116" s="12"/>
      <c r="D116" s="95"/>
      <c r="E116" s="14"/>
      <c r="F116" s="266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A117" s="12"/>
      <c r="D117" s="95"/>
      <c r="E117" s="14"/>
      <c r="F117" s="266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A118" s="12"/>
      <c r="D118" s="95"/>
      <c r="E118" s="14"/>
      <c r="F118" s="266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A119" s="12"/>
      <c r="D119" s="95"/>
      <c r="E119" s="14"/>
      <c r="F119" s="266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A120" s="12"/>
      <c r="D120" s="95"/>
      <c r="E120" s="14"/>
      <c r="F120" s="266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A121" s="12"/>
      <c r="D121" s="95"/>
      <c r="E121" s="14"/>
      <c r="F121" s="266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A122" s="12"/>
      <c r="D122" s="95"/>
      <c r="E122" s="14"/>
      <c r="F122" s="266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A123" s="12"/>
      <c r="D123" s="95"/>
      <c r="E123" s="14"/>
      <c r="F123" s="266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A124" s="12"/>
      <c r="D124" s="95"/>
      <c r="E124" s="14"/>
      <c r="F124" s="266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A125" s="12"/>
      <c r="D125" s="95"/>
      <c r="E125" s="14"/>
      <c r="F125" s="266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A126" s="12"/>
      <c r="D126" s="95"/>
      <c r="E126" s="14"/>
      <c r="F126" s="266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A127" s="12"/>
      <c r="D127" s="95"/>
      <c r="E127" s="14"/>
      <c r="F127" s="266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A128" s="12"/>
      <c r="D128" s="95"/>
      <c r="E128" s="14"/>
      <c r="F128" s="266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A129" s="12"/>
      <c r="D129" s="95"/>
      <c r="E129" s="14"/>
      <c r="F129" s="266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A130" s="12"/>
      <c r="D130" s="95"/>
      <c r="E130" s="14"/>
      <c r="F130" s="266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A131" s="12"/>
      <c r="D131" s="95"/>
      <c r="E131" s="14"/>
      <c r="F131" s="266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A132" s="12"/>
      <c r="D132" s="95"/>
      <c r="E132" s="14"/>
      <c r="F132" s="266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A133" s="12"/>
      <c r="D133" s="95"/>
      <c r="E133" s="14"/>
      <c r="F133" s="266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A134" s="12"/>
      <c r="D134" s="95"/>
      <c r="E134" s="14"/>
      <c r="F134" s="266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A135" s="12"/>
      <c r="D135" s="95"/>
      <c r="E135" s="14"/>
      <c r="F135" s="266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A136" s="12"/>
      <c r="D136" s="95"/>
      <c r="E136" s="14"/>
      <c r="F136" s="266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A137" s="12"/>
      <c r="D137" s="95"/>
      <c r="E137" s="14"/>
      <c r="F137" s="266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A138" s="12"/>
      <c r="D138" s="95"/>
      <c r="E138" s="14"/>
      <c r="F138" s="266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A139" s="12"/>
      <c r="D139" s="95"/>
      <c r="E139" s="14"/>
      <c r="F139" s="266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A140" s="12"/>
      <c r="D140" s="95"/>
      <c r="E140" s="14"/>
      <c r="F140" s="266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A141" s="12"/>
      <c r="D141" s="95"/>
      <c r="E141" s="14"/>
      <c r="F141" s="266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A142" s="12"/>
      <c r="D142" s="95"/>
      <c r="E142" s="14"/>
      <c r="F142" s="266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A143" s="12"/>
      <c r="D143" s="95"/>
      <c r="E143" s="14"/>
      <c r="F143" s="266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A144" s="12"/>
      <c r="D144" s="95"/>
      <c r="E144" s="14"/>
      <c r="F144" s="266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A145" s="12"/>
      <c r="D145" s="95"/>
      <c r="E145" s="14"/>
      <c r="F145" s="266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A146" s="12"/>
      <c r="D146" s="95"/>
      <c r="E146" s="14"/>
      <c r="F146" s="266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A147" s="12"/>
      <c r="D147" s="95"/>
      <c r="E147" s="14"/>
      <c r="F147" s="266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A148" s="12"/>
      <c r="D148" s="95"/>
      <c r="E148" s="14"/>
      <c r="F148" s="266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A149" s="12"/>
      <c r="D149" s="95"/>
      <c r="E149" s="14"/>
      <c r="F149" s="266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A150" s="12"/>
      <c r="D150" s="95"/>
      <c r="E150" s="14"/>
      <c r="F150" s="266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A151" s="12"/>
      <c r="D151" s="95"/>
      <c r="E151" s="14"/>
      <c r="F151" s="266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A152" s="12"/>
      <c r="D152" s="95"/>
      <c r="E152" s="14"/>
      <c r="F152" s="266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A153" s="12"/>
      <c r="D153" s="95"/>
      <c r="E153" s="14"/>
      <c r="F153" s="266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A154" s="12"/>
      <c r="D154" s="95"/>
      <c r="E154" s="14"/>
      <c r="F154" s="266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A155" s="12"/>
      <c r="D155" s="95"/>
      <c r="E155" s="14"/>
      <c r="F155" s="266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A156" s="12"/>
      <c r="D156" s="95"/>
      <c r="E156" s="14"/>
      <c r="F156" s="266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A157" s="12"/>
      <c r="D157" s="95"/>
      <c r="E157" s="14"/>
      <c r="F157" s="266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A158" s="12"/>
      <c r="D158" s="95"/>
      <c r="E158" s="14"/>
      <c r="F158" s="266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A159" s="12"/>
      <c r="D159" s="95"/>
      <c r="E159" s="14"/>
      <c r="F159" s="266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A160" s="12"/>
      <c r="D160" s="95"/>
      <c r="E160" s="14"/>
      <c r="F160" s="266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A161" s="12"/>
      <c r="D161" s="95"/>
      <c r="E161" s="14"/>
      <c r="F161" s="266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A162" s="12"/>
      <c r="D162" s="95"/>
      <c r="E162" s="14"/>
      <c r="F162" s="266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A163" s="12"/>
      <c r="D163" s="95"/>
      <c r="E163" s="14"/>
      <c r="F163" s="266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A164" s="12"/>
      <c r="D164" s="95"/>
      <c r="E164" s="14"/>
      <c r="F164" s="266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A165" s="12"/>
      <c r="D165" s="95"/>
      <c r="E165" s="14"/>
      <c r="F165" s="266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A166" s="12"/>
      <c r="D166" s="95"/>
      <c r="E166" s="14"/>
      <c r="F166" s="266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A167" s="12"/>
      <c r="D167" s="95"/>
      <c r="E167" s="14"/>
      <c r="F167" s="266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A168" s="12"/>
      <c r="D168" s="95"/>
      <c r="E168" s="14"/>
      <c r="F168" s="266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A169" s="12"/>
      <c r="D169" s="95"/>
      <c r="E169" s="14"/>
      <c r="F169" s="266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A170" s="12"/>
      <c r="D170" s="95"/>
      <c r="E170" s="14"/>
      <c r="F170" s="266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A171" s="12"/>
      <c r="D171" s="95"/>
      <c r="E171" s="14"/>
      <c r="F171" s="266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A172" s="12"/>
      <c r="D172" s="95"/>
      <c r="E172" s="14"/>
      <c r="F172" s="266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2"/>
      <c r="D173" s="95"/>
      <c r="E173" s="14"/>
      <c r="F173" s="266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A174" s="12"/>
      <c r="D174" s="95"/>
      <c r="E174" s="14"/>
      <c r="F174" s="266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A175" s="12"/>
      <c r="D175" s="95"/>
      <c r="E175" s="14"/>
      <c r="F175" s="266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A176" s="12"/>
      <c r="D176" s="95"/>
      <c r="E176" s="14"/>
      <c r="F176" s="266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A177" s="12"/>
      <c r="D177" s="95"/>
      <c r="E177" s="14"/>
      <c r="F177" s="266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A178" s="12"/>
      <c r="D178" s="95"/>
      <c r="E178" s="14"/>
      <c r="F178" s="266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A179" s="12"/>
      <c r="D179" s="95"/>
      <c r="E179" s="14"/>
      <c r="F179" s="266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A180" s="12"/>
      <c r="D180" s="95"/>
      <c r="E180" s="14"/>
      <c r="F180" s="266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A181" s="12"/>
      <c r="D181" s="95"/>
      <c r="E181" s="14"/>
      <c r="F181" s="266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A182" s="12"/>
      <c r="D182" s="95"/>
      <c r="E182" s="14"/>
      <c r="F182" s="266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A183" s="12"/>
      <c r="D183" s="95"/>
      <c r="E183" s="14"/>
      <c r="F183" s="266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A184" s="12"/>
      <c r="D184" s="95"/>
      <c r="E184" s="14"/>
      <c r="F184" s="266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A185" s="12"/>
      <c r="D185" s="95"/>
      <c r="E185" s="14"/>
      <c r="F185" s="266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A186" s="12"/>
      <c r="D186" s="95"/>
      <c r="E186" s="14"/>
      <c r="F186" s="266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A187" s="12"/>
      <c r="D187" s="95"/>
      <c r="E187" s="14"/>
      <c r="F187" s="266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A188" s="12"/>
      <c r="D188" s="95"/>
      <c r="E188" s="14"/>
      <c r="F188" s="266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A189" s="12"/>
      <c r="D189" s="95"/>
      <c r="E189" s="14"/>
      <c r="F189" s="266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A190" s="12"/>
      <c r="D190" s="95"/>
      <c r="E190" s="14"/>
      <c r="F190" s="266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A191" s="12"/>
      <c r="D191" s="95"/>
      <c r="E191" s="14"/>
      <c r="F191" s="266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A192" s="12"/>
      <c r="D192" s="95"/>
      <c r="E192" s="14"/>
      <c r="F192" s="266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A193" s="12"/>
      <c r="D193" s="95"/>
      <c r="E193" s="14"/>
      <c r="F193" s="266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A194" s="12"/>
      <c r="D194" s="95"/>
      <c r="E194" s="14"/>
      <c r="F194" s="266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A195" s="12"/>
      <c r="D195" s="95"/>
      <c r="E195" s="14"/>
      <c r="F195" s="266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A196" s="12"/>
      <c r="D196" s="95"/>
      <c r="E196" s="14"/>
      <c r="F196" s="266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A197" s="12"/>
      <c r="D197" s="95"/>
      <c r="E197" s="14"/>
      <c r="F197" s="266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A198" s="12"/>
      <c r="D198" s="95"/>
      <c r="E198" s="14"/>
      <c r="F198" s="266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A199" s="12"/>
      <c r="D199" s="95"/>
      <c r="E199" s="14"/>
      <c r="F199" s="266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A200" s="12"/>
      <c r="D200" s="95"/>
      <c r="E200" s="14"/>
      <c r="F200" s="266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A201" s="12"/>
      <c r="D201" s="95"/>
      <c r="E201" s="14"/>
      <c r="F201" s="266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A202" s="12"/>
      <c r="D202" s="95"/>
      <c r="E202" s="14"/>
      <c r="F202" s="266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A203" s="12"/>
      <c r="D203" s="95"/>
      <c r="E203" s="14"/>
      <c r="F203" s="266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A204" s="12"/>
      <c r="D204" s="95"/>
      <c r="E204" s="14"/>
      <c r="F204" s="266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A205" s="12"/>
      <c r="D205" s="95"/>
      <c r="E205" s="14"/>
      <c r="F205" s="266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A206" s="12"/>
      <c r="D206" s="95"/>
      <c r="E206" s="14"/>
      <c r="F206" s="266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A207" s="12"/>
      <c r="D207" s="95"/>
      <c r="E207" s="14"/>
      <c r="F207" s="266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A208" s="12"/>
      <c r="D208" s="95"/>
      <c r="E208" s="14"/>
      <c r="F208" s="266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A209" s="12"/>
      <c r="D209" s="95"/>
      <c r="E209" s="14"/>
      <c r="F209" s="266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A210" s="12"/>
      <c r="D210" s="95"/>
      <c r="E210" s="14"/>
      <c r="F210" s="266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A211" s="12"/>
      <c r="D211" s="95"/>
      <c r="E211" s="14"/>
      <c r="F211" s="266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A212" s="12"/>
      <c r="D212" s="95"/>
      <c r="E212" s="14"/>
      <c r="F212" s="266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A213" s="12"/>
      <c r="D213" s="95"/>
      <c r="E213" s="14"/>
      <c r="F213" s="266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A214" s="12"/>
      <c r="D214" s="95"/>
      <c r="E214" s="14"/>
      <c r="F214" s="266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A215" s="12"/>
      <c r="D215" s="95"/>
      <c r="E215" s="14"/>
      <c r="F215" s="266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A216" s="12"/>
      <c r="D216" s="95"/>
      <c r="E216" s="14"/>
      <c r="F216" s="266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A217" s="12"/>
      <c r="D217" s="95"/>
      <c r="E217" s="14"/>
      <c r="F217" s="266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A218" s="12"/>
      <c r="D218" s="95"/>
      <c r="E218" s="14"/>
      <c r="F218" s="266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A219" s="12"/>
      <c r="D219" s="95"/>
      <c r="E219" s="14"/>
      <c r="F219" s="266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A220" s="12"/>
      <c r="D220" s="95"/>
      <c r="E220" s="14"/>
      <c r="F220" s="266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A221" s="12"/>
      <c r="D221" s="95"/>
      <c r="E221" s="14"/>
      <c r="F221" s="266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A222" s="12"/>
      <c r="D222" s="95"/>
      <c r="E222" s="14"/>
      <c r="F222" s="266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A223" s="12"/>
      <c r="D223" s="95"/>
      <c r="E223" s="14"/>
      <c r="F223" s="266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A224" s="12"/>
      <c r="D224" s="95"/>
      <c r="E224" s="14"/>
      <c r="F224" s="266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A225" s="12"/>
      <c r="D225" s="95"/>
      <c r="E225" s="14"/>
      <c r="F225" s="266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A226" s="12"/>
      <c r="D226" s="95"/>
      <c r="E226" s="14"/>
      <c r="F226" s="266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A227" s="12"/>
      <c r="D227" s="95"/>
      <c r="E227" s="14"/>
      <c r="F227" s="266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A228" s="12"/>
      <c r="D228" s="95"/>
      <c r="E228" s="14"/>
      <c r="F228" s="266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A229" s="12"/>
      <c r="D229" s="95"/>
      <c r="E229" s="14"/>
      <c r="F229" s="266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A230" s="12"/>
      <c r="D230" s="95"/>
      <c r="E230" s="14"/>
      <c r="F230" s="266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A231" s="12"/>
      <c r="D231" s="95"/>
      <c r="E231" s="14"/>
      <c r="F231" s="266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A232" s="12"/>
      <c r="D232" s="95"/>
      <c r="E232" s="14"/>
      <c r="F232" s="266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A233" s="12"/>
      <c r="D233" s="95"/>
      <c r="E233" s="14"/>
      <c r="F233" s="266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A234" s="12"/>
      <c r="D234" s="95"/>
      <c r="E234" s="14"/>
      <c r="F234" s="266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A235" s="12"/>
      <c r="D235" s="95"/>
      <c r="E235" s="14"/>
      <c r="F235" s="266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A236" s="12"/>
      <c r="D236" s="95"/>
      <c r="E236" s="14"/>
      <c r="F236" s="266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A237" s="12"/>
      <c r="D237" s="95"/>
      <c r="E237" s="14"/>
      <c r="F237" s="266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A238" s="12"/>
      <c r="D238" s="95"/>
      <c r="E238" s="14"/>
      <c r="F238" s="266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A239" s="12"/>
      <c r="D239" s="95"/>
      <c r="E239" s="14"/>
      <c r="F239" s="266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A240" s="12"/>
      <c r="D240" s="95"/>
      <c r="E240" s="14"/>
      <c r="F240" s="266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A241" s="12"/>
      <c r="D241" s="95"/>
      <c r="E241" s="14"/>
      <c r="F241" s="266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A242" s="12"/>
      <c r="D242" s="95"/>
      <c r="E242" s="14"/>
      <c r="F242" s="266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A243" s="12"/>
      <c r="D243" s="95"/>
      <c r="E243" s="14"/>
      <c r="F243" s="266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A244" s="12"/>
      <c r="D244" s="95"/>
      <c r="E244" s="14"/>
      <c r="F244" s="266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A245" s="12"/>
      <c r="D245" s="95"/>
      <c r="E245" s="14"/>
      <c r="F245" s="266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A246" s="12"/>
      <c r="D246" s="95"/>
      <c r="E246" s="14"/>
      <c r="F246" s="266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A247" s="12"/>
      <c r="D247" s="95"/>
      <c r="E247" s="14"/>
      <c r="F247" s="266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A248" s="12"/>
      <c r="D248" s="95"/>
      <c r="E248" s="14"/>
      <c r="F248" s="266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A249" s="12"/>
      <c r="D249" s="95"/>
      <c r="E249" s="14"/>
      <c r="F249" s="266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A250" s="12"/>
      <c r="D250" s="95"/>
      <c r="E250" s="14"/>
      <c r="F250" s="266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A251" s="12"/>
      <c r="D251" s="95"/>
      <c r="E251" s="14"/>
      <c r="F251" s="266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A252" s="12"/>
      <c r="D252" s="95"/>
      <c r="E252" s="14"/>
      <c r="F252" s="266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A253" s="12"/>
      <c r="D253" s="95"/>
      <c r="E253" s="14"/>
      <c r="F253" s="266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A254" s="12"/>
      <c r="D254" s="95"/>
      <c r="E254" s="14"/>
      <c r="F254" s="266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A255" s="12"/>
      <c r="D255" s="95"/>
      <c r="E255" s="14"/>
      <c r="F255" s="266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A256" s="12"/>
      <c r="D256" s="95"/>
      <c r="E256" s="14"/>
      <c r="F256" s="266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A257" s="12"/>
      <c r="D257" s="95"/>
      <c r="E257" s="14"/>
      <c r="F257" s="266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A258" s="12"/>
      <c r="D258" s="95"/>
      <c r="E258" s="14"/>
      <c r="F258" s="266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A259" s="12"/>
      <c r="D259" s="95"/>
      <c r="E259" s="14"/>
      <c r="F259" s="266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A260" s="12"/>
      <c r="D260" s="95"/>
      <c r="E260" s="14"/>
      <c r="F260" s="266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A261" s="12"/>
      <c r="D261" s="95"/>
      <c r="E261" s="14"/>
      <c r="F261" s="266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A262" s="12"/>
      <c r="D262" s="95"/>
      <c r="E262" s="14"/>
      <c r="F262" s="266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A263" s="12"/>
      <c r="D263" s="95"/>
      <c r="E263" s="14"/>
      <c r="F263" s="266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A264" s="12"/>
      <c r="D264" s="95"/>
      <c r="E264" s="14"/>
      <c r="F264" s="266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A265" s="12"/>
      <c r="D265" s="95"/>
      <c r="E265" s="14"/>
      <c r="F265" s="266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A266" s="12"/>
      <c r="D266" s="95"/>
      <c r="E266" s="14"/>
      <c r="F266" s="266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A267" s="12"/>
      <c r="D267" s="95"/>
      <c r="E267" s="14"/>
      <c r="F267" s="266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A268" s="12"/>
      <c r="D268" s="95"/>
      <c r="E268" s="14"/>
      <c r="F268" s="266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A269" s="12"/>
      <c r="D269" s="95"/>
      <c r="E269" s="14"/>
      <c r="F269" s="266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A270" s="12"/>
      <c r="D270" s="95"/>
      <c r="E270" s="14"/>
      <c r="F270" s="266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A271" s="12"/>
      <c r="D271" s="95"/>
      <c r="E271" s="14"/>
      <c r="F271" s="266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A272" s="12"/>
      <c r="D272" s="95"/>
      <c r="E272" s="14"/>
      <c r="F272" s="266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A273" s="12"/>
      <c r="D273" s="95"/>
      <c r="E273" s="14"/>
      <c r="F273" s="266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A274" s="12"/>
      <c r="D274" s="95"/>
      <c r="E274" s="14"/>
      <c r="F274" s="266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A275" s="12"/>
      <c r="D275" s="95"/>
      <c r="E275" s="14"/>
      <c r="F275" s="266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A276" s="12"/>
      <c r="D276" s="95"/>
      <c r="E276" s="14"/>
      <c r="F276" s="266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A277" s="12"/>
      <c r="D277" s="95"/>
      <c r="E277" s="14"/>
      <c r="F277" s="266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A278" s="12"/>
      <c r="D278" s="95"/>
      <c r="E278" s="14"/>
      <c r="F278" s="266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A279" s="12"/>
      <c r="D279" s="95"/>
      <c r="E279" s="14"/>
      <c r="F279" s="266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A280" s="12"/>
      <c r="D280" s="95"/>
      <c r="E280" s="14"/>
      <c r="F280" s="266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A281" s="12"/>
      <c r="D281" s="95"/>
      <c r="E281" s="14"/>
      <c r="F281" s="266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A282" s="12"/>
      <c r="D282" s="95"/>
      <c r="E282" s="14"/>
      <c r="F282" s="266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A283" s="12"/>
      <c r="D283" s="95"/>
      <c r="E283" s="14"/>
      <c r="F283" s="266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A284" s="12"/>
      <c r="D284" s="95"/>
      <c r="E284" s="14"/>
      <c r="F284" s="266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A285" s="12"/>
      <c r="D285" s="95"/>
      <c r="E285" s="14"/>
      <c r="F285" s="266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A286" s="12"/>
      <c r="D286" s="95"/>
      <c r="E286" s="14"/>
      <c r="F286" s="266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A287" s="12"/>
      <c r="D287" s="95"/>
      <c r="E287" s="14"/>
      <c r="F287" s="266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A288" s="12"/>
      <c r="D288" s="95"/>
      <c r="E288" s="14"/>
      <c r="F288" s="266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A289" s="12"/>
      <c r="D289" s="95"/>
      <c r="E289" s="14"/>
      <c r="F289" s="266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A290" s="12"/>
      <c r="D290" s="95"/>
      <c r="E290" s="14"/>
      <c r="F290" s="266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A291" s="12"/>
      <c r="D291" s="95"/>
      <c r="E291" s="14"/>
      <c r="F291" s="266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A292" s="12"/>
      <c r="D292" s="95"/>
      <c r="E292" s="14"/>
      <c r="F292" s="266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A293" s="12"/>
      <c r="D293" s="95"/>
      <c r="E293" s="14"/>
      <c r="F293" s="266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A294" s="12"/>
      <c r="D294" s="95"/>
      <c r="E294" s="14"/>
      <c r="F294" s="266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A295" s="12"/>
      <c r="D295" s="95"/>
      <c r="E295" s="14"/>
      <c r="F295" s="266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A296" s="12"/>
      <c r="D296" s="95"/>
      <c r="E296" s="14"/>
      <c r="F296" s="266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A297" s="12"/>
      <c r="D297" s="95"/>
      <c r="E297" s="14"/>
      <c r="F297" s="266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A298" s="12"/>
      <c r="D298" s="95"/>
      <c r="E298" s="14"/>
      <c r="F298" s="266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A299" s="12"/>
      <c r="D299" s="95"/>
      <c r="E299" s="14"/>
      <c r="F299" s="266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A300" s="12"/>
      <c r="D300" s="95"/>
      <c r="E300" s="14"/>
      <c r="F300" s="266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A301" s="12"/>
      <c r="D301" s="95"/>
      <c r="E301" s="14"/>
      <c r="F301" s="266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A302" s="12"/>
      <c r="D302" s="95"/>
      <c r="E302" s="14"/>
      <c r="F302" s="266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A303" s="12"/>
      <c r="D303" s="95"/>
      <c r="E303" s="14"/>
      <c r="F303" s="266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A304" s="12"/>
      <c r="D304" s="95"/>
      <c r="E304" s="14"/>
      <c r="F304" s="266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A305" s="12"/>
      <c r="D305" s="95"/>
      <c r="E305" s="14"/>
      <c r="F305" s="266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A306" s="12"/>
      <c r="D306" s="95"/>
      <c r="E306" s="14"/>
      <c r="F306" s="266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A307" s="12"/>
      <c r="D307" s="95"/>
      <c r="E307" s="14"/>
      <c r="F307" s="266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A308" s="12"/>
      <c r="D308" s="95"/>
      <c r="E308" s="14"/>
      <c r="F308" s="266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A309" s="12"/>
      <c r="D309" s="95"/>
      <c r="E309" s="14"/>
      <c r="F309" s="266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A310" s="12"/>
      <c r="D310" s="95"/>
      <c r="E310" s="14"/>
      <c r="F310" s="266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A311" s="12"/>
      <c r="D311" s="95"/>
      <c r="E311" s="14"/>
      <c r="F311" s="266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A312" s="12"/>
      <c r="D312" s="95"/>
      <c r="E312" s="14"/>
      <c r="F312" s="266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A313" s="12"/>
      <c r="D313" s="95"/>
      <c r="E313" s="14"/>
      <c r="F313" s="266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A314" s="12"/>
      <c r="D314" s="95"/>
      <c r="E314" s="14"/>
      <c r="F314" s="266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A315" s="12"/>
      <c r="D315" s="95"/>
      <c r="E315" s="14"/>
      <c r="F315" s="266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A316" s="12"/>
      <c r="D316" s="95"/>
      <c r="E316" s="14"/>
      <c r="F316" s="266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A317" s="12"/>
      <c r="D317" s="95"/>
      <c r="E317" s="14"/>
      <c r="F317" s="266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A318" s="12"/>
      <c r="D318" s="95"/>
      <c r="E318" s="14"/>
      <c r="F318" s="266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A319" s="12"/>
      <c r="D319" s="95"/>
      <c r="E319" s="14"/>
      <c r="F319" s="266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A320" s="12"/>
      <c r="D320" s="95"/>
      <c r="E320" s="14"/>
      <c r="F320" s="266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A321" s="12"/>
      <c r="D321" s="95"/>
      <c r="E321" s="14"/>
      <c r="F321" s="266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A322" s="12"/>
      <c r="D322" s="95"/>
      <c r="E322" s="14"/>
      <c r="F322" s="266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A323" s="12"/>
      <c r="D323" s="95"/>
      <c r="E323" s="14"/>
      <c r="F323" s="266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A324" s="12"/>
      <c r="D324" s="95"/>
      <c r="E324" s="14"/>
      <c r="F324" s="266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A325" s="12"/>
      <c r="D325" s="95"/>
      <c r="E325" s="14"/>
      <c r="F325" s="266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A326" s="12"/>
      <c r="D326" s="95"/>
      <c r="E326" s="14"/>
      <c r="F326" s="266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A327" s="12"/>
      <c r="D327" s="95"/>
      <c r="E327" s="14"/>
      <c r="F327" s="266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A328" s="12"/>
      <c r="D328" s="95"/>
      <c r="E328" s="14"/>
      <c r="F328" s="266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A329" s="12"/>
      <c r="D329" s="95"/>
      <c r="E329" s="14"/>
      <c r="F329" s="266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A330" s="12"/>
      <c r="D330" s="95"/>
      <c r="E330" s="14"/>
      <c r="F330" s="266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A331" s="12"/>
      <c r="D331" s="95"/>
      <c r="E331" s="14"/>
      <c r="F331" s="266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A332" s="12"/>
      <c r="D332" s="95"/>
      <c r="E332" s="14"/>
      <c r="F332" s="266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A333" s="12"/>
      <c r="D333" s="95"/>
      <c r="E333" s="14"/>
      <c r="F333" s="266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A334" s="12"/>
      <c r="D334" s="95"/>
      <c r="E334" s="14"/>
      <c r="F334" s="266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A335" s="12"/>
      <c r="D335" s="95"/>
      <c r="E335" s="14"/>
      <c r="F335" s="266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A336" s="12"/>
      <c r="D336" s="95"/>
      <c r="E336" s="14"/>
      <c r="F336" s="266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A337" s="12"/>
      <c r="D337" s="95"/>
      <c r="E337" s="14"/>
      <c r="F337" s="266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A338" s="12"/>
      <c r="D338" s="95"/>
      <c r="E338" s="14"/>
      <c r="F338" s="266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A339" s="12"/>
      <c r="D339" s="95"/>
      <c r="E339" s="14"/>
      <c r="F339" s="266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A340" s="12"/>
      <c r="D340" s="95"/>
      <c r="E340" s="14"/>
      <c r="F340" s="266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A341" s="12"/>
      <c r="D341" s="95"/>
      <c r="E341" s="14"/>
      <c r="F341" s="266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A342" s="12"/>
      <c r="D342" s="95"/>
      <c r="E342" s="14"/>
      <c r="F342" s="266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A343" s="12"/>
      <c r="D343" s="95"/>
      <c r="E343" s="14"/>
      <c r="F343" s="266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A344" s="12"/>
      <c r="D344" s="95"/>
      <c r="E344" s="14"/>
      <c r="F344" s="266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A345" s="12"/>
      <c r="D345" s="95"/>
      <c r="E345" s="14"/>
      <c r="F345" s="266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A346" s="12"/>
      <c r="D346" s="95"/>
      <c r="E346" s="14"/>
      <c r="F346" s="266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A347" s="12"/>
      <c r="D347" s="95"/>
      <c r="E347" s="14"/>
      <c r="F347" s="266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A348" s="12"/>
      <c r="D348" s="95"/>
      <c r="E348" s="14"/>
      <c r="F348" s="266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A349" s="12"/>
      <c r="D349" s="95"/>
      <c r="E349" s="14"/>
      <c r="F349" s="266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A350" s="12"/>
      <c r="D350" s="95"/>
      <c r="E350" s="14"/>
      <c r="F350" s="266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A351" s="12"/>
      <c r="D351" s="95"/>
      <c r="E351" s="14"/>
      <c r="F351" s="266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A352" s="12"/>
      <c r="D352" s="95"/>
      <c r="E352" s="14"/>
      <c r="F352" s="266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A353" s="12"/>
      <c r="D353" s="95"/>
      <c r="E353" s="14"/>
      <c r="F353" s="266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A354" s="12"/>
      <c r="D354" s="95"/>
      <c r="E354" s="14"/>
      <c r="F354" s="266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A355" s="12"/>
      <c r="D355" s="95"/>
      <c r="E355" s="14"/>
      <c r="F355" s="266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A356" s="12"/>
      <c r="D356" s="95"/>
      <c r="E356" s="14"/>
      <c r="F356" s="266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A357" s="12"/>
      <c r="D357" s="95"/>
      <c r="E357" s="14"/>
      <c r="F357" s="266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A358" s="12"/>
      <c r="D358" s="95"/>
      <c r="E358" s="14"/>
      <c r="F358" s="266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A359" s="12"/>
      <c r="D359" s="95"/>
      <c r="E359" s="14"/>
      <c r="F359" s="266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A360" s="12"/>
      <c r="D360" s="95"/>
      <c r="E360" s="14"/>
      <c r="F360" s="266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A361" s="12"/>
      <c r="D361" s="95"/>
      <c r="E361" s="14"/>
      <c r="F361" s="266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A362" s="12"/>
      <c r="D362" s="95"/>
      <c r="E362" s="14"/>
      <c r="F362" s="266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A363" s="12"/>
      <c r="D363" s="95"/>
      <c r="E363" s="14"/>
      <c r="F363" s="266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A364" s="12"/>
      <c r="D364" s="95"/>
      <c r="E364" s="14"/>
      <c r="F364" s="266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A365" s="12"/>
      <c r="D365" s="95"/>
      <c r="E365" s="14"/>
      <c r="F365" s="266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A366" s="12"/>
      <c r="D366" s="95"/>
      <c r="E366" s="14"/>
      <c r="F366" s="266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A367" s="12"/>
      <c r="D367" s="95"/>
      <c r="E367" s="14"/>
      <c r="F367" s="266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A368" s="12"/>
      <c r="D368" s="95"/>
      <c r="E368" s="14"/>
      <c r="F368" s="266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A369" s="12"/>
      <c r="D369" s="95"/>
      <c r="E369" s="14"/>
      <c r="F369" s="266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A370" s="12"/>
      <c r="D370" s="95"/>
      <c r="E370" s="14"/>
      <c r="F370" s="266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A371" s="12"/>
      <c r="D371" s="95"/>
      <c r="E371" s="14"/>
      <c r="F371" s="266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A372" s="12"/>
      <c r="D372" s="95"/>
      <c r="E372" s="14"/>
      <c r="F372" s="266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A373" s="12"/>
      <c r="D373" s="95"/>
      <c r="E373" s="14"/>
      <c r="F373" s="266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A374" s="12"/>
      <c r="D374" s="95"/>
      <c r="E374" s="14"/>
      <c r="F374" s="266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A375" s="12"/>
      <c r="D375" s="95"/>
      <c r="E375" s="14"/>
      <c r="F375" s="266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A376" s="12"/>
      <c r="D376" s="95"/>
      <c r="E376" s="14"/>
      <c r="F376" s="266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A377" s="12"/>
      <c r="D377" s="95"/>
      <c r="E377" s="14"/>
      <c r="F377" s="266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A378" s="12"/>
      <c r="D378" s="95"/>
      <c r="E378" s="14"/>
      <c r="F378" s="266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A379" s="12"/>
      <c r="D379" s="95"/>
      <c r="E379" s="14"/>
      <c r="F379" s="266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A380" s="12"/>
      <c r="D380" s="95"/>
      <c r="E380" s="14"/>
      <c r="F380" s="266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A381" s="12"/>
      <c r="D381" s="95"/>
      <c r="E381" s="14"/>
      <c r="F381" s="266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A382" s="12"/>
      <c r="D382" s="95"/>
      <c r="E382" s="14"/>
      <c r="F382" s="266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A383" s="12"/>
      <c r="D383" s="95"/>
      <c r="E383" s="14"/>
      <c r="F383" s="266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A384" s="12"/>
      <c r="D384" s="95"/>
      <c r="E384" s="14"/>
      <c r="F384" s="266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A385" s="12"/>
      <c r="D385" s="95"/>
      <c r="E385" s="14"/>
      <c r="F385" s="266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A386" s="12"/>
      <c r="D386" s="95"/>
      <c r="E386" s="14"/>
      <c r="F386" s="266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A387" s="12"/>
      <c r="D387" s="95"/>
      <c r="E387" s="14"/>
      <c r="F387" s="266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A388" s="12"/>
      <c r="D388" s="95"/>
      <c r="E388" s="14"/>
      <c r="F388" s="266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A389" s="12"/>
      <c r="D389" s="95"/>
      <c r="E389" s="14"/>
      <c r="F389" s="266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A390" s="12"/>
      <c r="D390" s="95"/>
      <c r="E390" s="14"/>
      <c r="F390" s="266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A391" s="12"/>
      <c r="D391" s="95"/>
      <c r="E391" s="14"/>
      <c r="F391" s="266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A392" s="12"/>
      <c r="D392" s="95"/>
      <c r="E392" s="14"/>
      <c r="F392" s="266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A393" s="12"/>
      <c r="D393" s="95"/>
      <c r="E393" s="14"/>
      <c r="F393" s="266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A394" s="12"/>
      <c r="D394" s="95"/>
      <c r="E394" s="14"/>
      <c r="F394" s="266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A395" s="12"/>
      <c r="D395" s="95"/>
      <c r="E395" s="14"/>
      <c r="F395" s="266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A396" s="12"/>
      <c r="D396" s="95"/>
      <c r="E396" s="14"/>
      <c r="F396" s="266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A397" s="12"/>
      <c r="D397" s="95"/>
      <c r="E397" s="14"/>
      <c r="F397" s="266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A398" s="12"/>
      <c r="D398" s="95"/>
      <c r="E398" s="14"/>
      <c r="F398" s="266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A399" s="12"/>
      <c r="D399" s="95"/>
      <c r="E399" s="14"/>
      <c r="F399" s="266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A400" s="12"/>
      <c r="D400" s="95"/>
      <c r="E400" s="14"/>
      <c r="F400" s="266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A401" s="12"/>
      <c r="D401" s="95"/>
      <c r="E401" s="14"/>
      <c r="F401" s="266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A402" s="12"/>
      <c r="D402" s="95"/>
      <c r="E402" s="14"/>
      <c r="F402" s="266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A403" s="12"/>
      <c r="D403" s="95"/>
      <c r="E403" s="14"/>
      <c r="F403" s="266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A404" s="12"/>
      <c r="D404" s="95"/>
      <c r="E404" s="14"/>
      <c r="F404" s="266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A405" s="12"/>
      <c r="D405" s="95"/>
      <c r="E405" s="14"/>
      <c r="F405" s="266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A406" s="12"/>
      <c r="D406" s="95"/>
      <c r="E406" s="14"/>
      <c r="F406" s="266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A407" s="12"/>
      <c r="D407" s="95"/>
      <c r="E407" s="14"/>
      <c r="F407" s="266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A408" s="12"/>
      <c r="D408" s="95"/>
      <c r="E408" s="14"/>
      <c r="F408" s="266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A409" s="12"/>
      <c r="D409" s="95"/>
      <c r="E409" s="14"/>
      <c r="F409" s="266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A410" s="12"/>
      <c r="D410" s="95"/>
      <c r="E410" s="14"/>
      <c r="F410" s="266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A411" s="12"/>
      <c r="D411" s="95"/>
      <c r="E411" s="14"/>
      <c r="F411" s="266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A412" s="12"/>
      <c r="D412" s="95"/>
      <c r="E412" s="14"/>
      <c r="F412" s="266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A413" s="12"/>
      <c r="D413" s="95"/>
      <c r="E413" s="14"/>
      <c r="F413" s="266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A414" s="12"/>
      <c r="D414" s="95"/>
      <c r="E414" s="14"/>
      <c r="F414" s="266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A415" s="12"/>
      <c r="D415" s="95"/>
      <c r="E415" s="14"/>
      <c r="F415" s="266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A416" s="12"/>
      <c r="D416" s="95"/>
      <c r="E416" s="14"/>
      <c r="F416" s="266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A417" s="12"/>
      <c r="D417" s="95"/>
      <c r="E417" s="14"/>
      <c r="F417" s="266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A418" s="12"/>
      <c r="D418" s="95"/>
      <c r="E418" s="14"/>
      <c r="F418" s="266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A419" s="12"/>
      <c r="D419" s="95"/>
      <c r="E419" s="14"/>
      <c r="F419" s="266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A420" s="12"/>
      <c r="D420" s="95"/>
      <c r="E420" s="14"/>
      <c r="F420" s="266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A421" s="12"/>
      <c r="D421" s="95"/>
      <c r="E421" s="14"/>
      <c r="F421" s="266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A422" s="12"/>
      <c r="D422" s="95"/>
      <c r="E422" s="14"/>
      <c r="F422" s="266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A423" s="12"/>
      <c r="D423" s="95"/>
      <c r="E423" s="14"/>
      <c r="F423" s="266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A424" s="12"/>
      <c r="D424" s="95"/>
      <c r="E424" s="14"/>
      <c r="F424" s="266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A425" s="12"/>
      <c r="D425" s="95"/>
      <c r="E425" s="14"/>
      <c r="F425" s="266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A426" s="12"/>
      <c r="D426" s="95"/>
      <c r="E426" s="14"/>
      <c r="F426" s="266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A427" s="12"/>
      <c r="D427" s="95"/>
      <c r="E427" s="14"/>
      <c r="F427" s="266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A428" s="12"/>
      <c r="D428" s="95"/>
      <c r="E428" s="14"/>
      <c r="F428" s="266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A429" s="12"/>
      <c r="D429" s="95"/>
      <c r="E429" s="14"/>
      <c r="F429" s="266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A430" s="12"/>
      <c r="D430" s="95"/>
      <c r="E430" s="14"/>
      <c r="F430" s="266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A431" s="12"/>
      <c r="D431" s="95"/>
      <c r="E431" s="14"/>
      <c r="F431" s="266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A432" s="12"/>
      <c r="D432" s="95"/>
      <c r="E432" s="14"/>
      <c r="F432" s="266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A433" s="12"/>
      <c r="D433" s="95"/>
      <c r="E433" s="14"/>
      <c r="F433" s="266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A434" s="12"/>
      <c r="D434" s="95"/>
      <c r="E434" s="14"/>
      <c r="F434" s="266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A435" s="12"/>
      <c r="D435" s="95"/>
      <c r="E435" s="14"/>
      <c r="F435" s="266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A436" s="12"/>
      <c r="D436" s="95"/>
      <c r="E436" s="14"/>
      <c r="F436" s="266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A437" s="12"/>
      <c r="D437" s="95"/>
      <c r="E437" s="14"/>
      <c r="F437" s="266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A438" s="12"/>
      <c r="D438" s="95"/>
      <c r="E438" s="14"/>
      <c r="F438" s="266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A439" s="12"/>
      <c r="D439" s="95"/>
      <c r="E439" s="14"/>
      <c r="F439" s="266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A440" s="12"/>
      <c r="D440" s="95"/>
      <c r="E440" s="14"/>
      <c r="F440" s="266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A441" s="12"/>
      <c r="D441" s="95"/>
      <c r="E441" s="14"/>
      <c r="F441" s="266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A442" s="12"/>
      <c r="D442" s="95"/>
      <c r="E442" s="14"/>
      <c r="F442" s="266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A443" s="12"/>
      <c r="D443" s="95"/>
      <c r="E443" s="14"/>
      <c r="F443" s="266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A444" s="12"/>
      <c r="D444" s="95"/>
      <c r="E444" s="14"/>
      <c r="F444" s="266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A445" s="12"/>
      <c r="D445" s="95"/>
      <c r="E445" s="14"/>
      <c r="F445" s="266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A446" s="12"/>
      <c r="D446" s="95"/>
      <c r="E446" s="14"/>
      <c r="F446" s="266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A447" s="12"/>
      <c r="D447" s="95"/>
      <c r="E447" s="14"/>
      <c r="F447" s="266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A448" s="12"/>
      <c r="D448" s="95"/>
      <c r="E448" s="14"/>
      <c r="F448" s="266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A449" s="12"/>
      <c r="D449" s="95"/>
      <c r="E449" s="14"/>
      <c r="F449" s="266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A450" s="12"/>
      <c r="D450" s="95"/>
      <c r="E450" s="14"/>
      <c r="F450" s="266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A451" s="12"/>
      <c r="D451" s="95"/>
      <c r="E451" s="14"/>
      <c r="F451" s="266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A452" s="12"/>
      <c r="D452" s="95"/>
      <c r="E452" s="14"/>
      <c r="F452" s="266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A453" s="12"/>
      <c r="D453" s="95"/>
      <c r="E453" s="14"/>
      <c r="F453" s="266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A454" s="12"/>
      <c r="D454" s="95"/>
      <c r="E454" s="14"/>
      <c r="F454" s="266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A455" s="12"/>
      <c r="D455" s="95"/>
      <c r="E455" s="14"/>
      <c r="F455" s="266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A456" s="12"/>
      <c r="D456" s="95"/>
      <c r="E456" s="14"/>
      <c r="F456" s="266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A457" s="12"/>
      <c r="D457" s="95"/>
      <c r="E457" s="14"/>
      <c r="F457" s="266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A458" s="12"/>
      <c r="D458" s="95"/>
      <c r="E458" s="14"/>
      <c r="F458" s="266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A459" s="12"/>
      <c r="D459" s="95"/>
      <c r="E459" s="14"/>
      <c r="F459" s="266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A460" s="12"/>
      <c r="D460" s="95"/>
      <c r="E460" s="14"/>
      <c r="F460" s="266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A461" s="12"/>
      <c r="D461" s="95"/>
      <c r="E461" s="14"/>
      <c r="F461" s="266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A462" s="12"/>
      <c r="D462" s="95"/>
      <c r="E462" s="14"/>
      <c r="F462" s="266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A463" s="12"/>
      <c r="D463" s="95"/>
      <c r="E463" s="14"/>
      <c r="F463" s="266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A464" s="12"/>
      <c r="D464" s="95"/>
      <c r="E464" s="14"/>
      <c r="F464" s="266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A465" s="12"/>
      <c r="D465" s="95"/>
      <c r="E465" s="14"/>
      <c r="F465" s="266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A466" s="12"/>
      <c r="D466" s="95"/>
      <c r="E466" s="14"/>
      <c r="F466" s="266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A467" s="12"/>
      <c r="D467" s="95"/>
      <c r="E467" s="14"/>
      <c r="F467" s="266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A468" s="12"/>
      <c r="D468" s="95"/>
      <c r="E468" s="14"/>
      <c r="F468" s="266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A469" s="12"/>
      <c r="D469" s="95"/>
      <c r="E469" s="14"/>
      <c r="F469" s="266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A470" s="12"/>
      <c r="D470" s="95"/>
      <c r="E470" s="14"/>
      <c r="F470" s="266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A471" s="12"/>
      <c r="D471" s="95"/>
      <c r="E471" s="14"/>
      <c r="F471" s="266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A472" s="12"/>
      <c r="D472" s="95"/>
      <c r="E472" s="14"/>
      <c r="F472" s="266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A473" s="12"/>
      <c r="D473" s="95"/>
      <c r="E473" s="14"/>
      <c r="F473" s="266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A474" s="12"/>
      <c r="D474" s="95"/>
      <c r="E474" s="14"/>
      <c r="F474" s="266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A475" s="12"/>
      <c r="D475" s="95"/>
      <c r="E475" s="14"/>
      <c r="F475" s="266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A476" s="12"/>
      <c r="D476" s="95"/>
      <c r="E476" s="14"/>
      <c r="F476" s="266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A477" s="12"/>
      <c r="D477" s="95"/>
      <c r="E477" s="14"/>
      <c r="F477" s="266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A478" s="12"/>
      <c r="D478" s="95"/>
      <c r="E478" s="14"/>
      <c r="F478" s="266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A479" s="12"/>
      <c r="D479" s="95"/>
      <c r="E479" s="14"/>
      <c r="F479" s="266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A480" s="12"/>
      <c r="D480" s="95"/>
      <c r="E480" s="14"/>
      <c r="F480" s="266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A481" s="12"/>
      <c r="D481" s="95"/>
      <c r="E481" s="14"/>
      <c r="F481" s="266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A482" s="12"/>
      <c r="D482" s="95"/>
      <c r="E482" s="14"/>
      <c r="F482" s="266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A483" s="12"/>
      <c r="D483" s="95"/>
      <c r="E483" s="14"/>
      <c r="F483" s="266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A484" s="12"/>
      <c r="D484" s="95"/>
      <c r="E484" s="14"/>
      <c r="F484" s="266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A485" s="12"/>
      <c r="D485" s="95"/>
      <c r="E485" s="14"/>
      <c r="F485" s="266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A486" s="12"/>
      <c r="D486" s="95"/>
      <c r="E486" s="14"/>
      <c r="F486" s="266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A487" s="12"/>
      <c r="D487" s="95"/>
      <c r="E487" s="14"/>
      <c r="F487" s="266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A488" s="12"/>
      <c r="D488" s="95"/>
      <c r="E488" s="14"/>
      <c r="F488" s="266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A489" s="12"/>
      <c r="D489" s="95"/>
      <c r="E489" s="14"/>
      <c r="F489" s="266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A490" s="12"/>
      <c r="D490" s="95"/>
      <c r="E490" s="14"/>
      <c r="F490" s="266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A491" s="12"/>
      <c r="D491" s="95"/>
      <c r="E491" s="14"/>
      <c r="F491" s="266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A492" s="12"/>
      <c r="D492" s="95"/>
      <c r="E492" s="14"/>
      <c r="F492" s="266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A493" s="12"/>
      <c r="D493" s="95"/>
      <c r="E493" s="14"/>
      <c r="F493" s="266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A494" s="12"/>
      <c r="D494" s="95"/>
      <c r="E494" s="14"/>
      <c r="F494" s="266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A495" s="12"/>
      <c r="D495" s="95"/>
      <c r="E495" s="14"/>
      <c r="F495" s="266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A496" s="12"/>
      <c r="D496" s="95"/>
      <c r="E496" s="14"/>
      <c r="F496" s="266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A497" s="12"/>
      <c r="D497" s="95"/>
      <c r="E497" s="14"/>
      <c r="F497" s="266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A498" s="12"/>
      <c r="D498" s="95"/>
      <c r="E498" s="14"/>
      <c r="F498" s="266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A499" s="12"/>
      <c r="D499" s="95"/>
      <c r="E499" s="14"/>
      <c r="F499" s="266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A500" s="12"/>
      <c r="D500" s="95"/>
      <c r="E500" s="14"/>
      <c r="F500" s="266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A501" s="12"/>
      <c r="D501" s="95"/>
      <c r="E501" s="14"/>
      <c r="F501" s="266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A502" s="12"/>
      <c r="D502" s="95"/>
      <c r="E502" s="14"/>
      <c r="F502" s="266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A503" s="12"/>
      <c r="D503" s="95"/>
      <c r="E503" s="14"/>
      <c r="F503" s="266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A504" s="12"/>
      <c r="D504" s="95"/>
      <c r="E504" s="14"/>
      <c r="F504" s="266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A505" s="12"/>
      <c r="D505" s="95"/>
      <c r="E505" s="14"/>
      <c r="F505" s="266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A506" s="12"/>
      <c r="D506" s="95"/>
      <c r="E506" s="14"/>
      <c r="F506" s="266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A507" s="12"/>
      <c r="D507" s="95"/>
      <c r="E507" s="14"/>
      <c r="F507" s="266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A508" s="12"/>
      <c r="D508" s="95"/>
      <c r="E508" s="14"/>
      <c r="F508" s="266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A509" s="12"/>
      <c r="D509" s="95"/>
      <c r="E509" s="14"/>
      <c r="F509" s="266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A510" s="12"/>
      <c r="D510" s="95"/>
      <c r="E510" s="14"/>
      <c r="F510" s="266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A511" s="12"/>
      <c r="D511" s="95"/>
      <c r="E511" s="14"/>
      <c r="F511" s="266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A512" s="12"/>
      <c r="D512" s="95"/>
      <c r="E512" s="14"/>
      <c r="F512" s="266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A513" s="12"/>
      <c r="D513" s="95"/>
      <c r="E513" s="14"/>
      <c r="F513" s="266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A514" s="12"/>
      <c r="D514" s="95"/>
      <c r="E514" s="14"/>
      <c r="F514" s="266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A515" s="12"/>
      <c r="D515" s="95"/>
      <c r="E515" s="14"/>
      <c r="F515" s="266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A516" s="12"/>
      <c r="D516" s="95"/>
      <c r="E516" s="14"/>
      <c r="F516" s="266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A517" s="12"/>
      <c r="D517" s="95"/>
      <c r="E517" s="14"/>
      <c r="F517" s="266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A518" s="12"/>
      <c r="D518" s="95"/>
      <c r="E518" s="14"/>
      <c r="F518" s="266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A519" s="12"/>
      <c r="D519" s="95"/>
      <c r="E519" s="14"/>
      <c r="F519" s="266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A520" s="12"/>
      <c r="D520" s="95"/>
      <c r="E520" s="14"/>
      <c r="F520" s="266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A521" s="12"/>
      <c r="D521" s="95"/>
      <c r="E521" s="14"/>
      <c r="F521" s="266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A522" s="12"/>
      <c r="D522" s="95"/>
      <c r="E522" s="14"/>
      <c r="F522" s="266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A523" s="12"/>
      <c r="D523" s="95"/>
      <c r="E523" s="14"/>
      <c r="F523" s="266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A524" s="12"/>
      <c r="D524" s="95"/>
      <c r="E524" s="14"/>
      <c r="F524" s="266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A525" s="12"/>
      <c r="D525" s="95"/>
      <c r="E525" s="14"/>
      <c r="F525" s="266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A526" s="12"/>
      <c r="D526" s="95"/>
      <c r="E526" s="14"/>
      <c r="F526" s="266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A527" s="12"/>
      <c r="D527" s="95"/>
      <c r="E527" s="14"/>
      <c r="F527" s="266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A528" s="12"/>
      <c r="D528" s="95"/>
      <c r="E528" s="14"/>
      <c r="F528" s="266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A529" s="12"/>
      <c r="D529" s="95"/>
      <c r="E529" s="14"/>
      <c r="F529" s="266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A530" s="12"/>
      <c r="D530" s="95"/>
      <c r="E530" s="14"/>
      <c r="F530" s="266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A531" s="12"/>
      <c r="D531" s="95"/>
      <c r="E531" s="14"/>
      <c r="F531" s="266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A532" s="12"/>
      <c r="D532" s="95"/>
      <c r="E532" s="14"/>
      <c r="F532" s="266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A533" s="12"/>
      <c r="D533" s="95"/>
      <c r="E533" s="14"/>
      <c r="F533" s="266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A534" s="12"/>
      <c r="D534" s="95"/>
      <c r="E534" s="14"/>
      <c r="F534" s="266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A535" s="12"/>
      <c r="D535" s="95"/>
      <c r="E535" s="14"/>
      <c r="F535" s="266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A536" s="12"/>
      <c r="D536" s="95"/>
      <c r="E536" s="14"/>
      <c r="F536" s="266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A537" s="12"/>
      <c r="D537" s="95"/>
      <c r="E537" s="14"/>
      <c r="F537" s="266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A538" s="12"/>
      <c r="D538" s="95"/>
      <c r="E538" s="14"/>
      <c r="F538" s="266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A539" s="12"/>
      <c r="D539" s="95"/>
      <c r="E539" s="14"/>
      <c r="F539" s="266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A540" s="12"/>
      <c r="D540" s="95"/>
      <c r="E540" s="14"/>
      <c r="F540" s="266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A541" s="12"/>
      <c r="D541" s="95"/>
      <c r="E541" s="14"/>
      <c r="F541" s="266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A542" s="12"/>
      <c r="D542" s="95"/>
      <c r="E542" s="14"/>
      <c r="F542" s="266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A543" s="12"/>
      <c r="D543" s="95"/>
      <c r="E543" s="14"/>
      <c r="F543" s="266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A544" s="12"/>
      <c r="D544" s="95"/>
      <c r="E544" s="14"/>
      <c r="F544" s="266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A545" s="12"/>
      <c r="D545" s="95"/>
      <c r="E545" s="14"/>
      <c r="F545" s="266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A546" s="12"/>
      <c r="D546" s="95"/>
      <c r="E546" s="14"/>
      <c r="F546" s="266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A547" s="12"/>
      <c r="D547" s="95"/>
      <c r="E547" s="14"/>
      <c r="F547" s="266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A548" s="12"/>
      <c r="D548" s="95"/>
      <c r="E548" s="14"/>
      <c r="F548" s="266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A549" s="12"/>
      <c r="D549" s="95"/>
      <c r="E549" s="14"/>
      <c r="F549" s="266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A550" s="12"/>
      <c r="D550" s="95"/>
      <c r="E550" s="14"/>
      <c r="F550" s="266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A551" s="12"/>
      <c r="D551" s="95"/>
      <c r="E551" s="14"/>
      <c r="F551" s="266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A552" s="12"/>
      <c r="D552" s="95"/>
      <c r="E552" s="14"/>
      <c r="F552" s="266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A553" s="12"/>
      <c r="D553" s="95"/>
      <c r="E553" s="14"/>
      <c r="F553" s="266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A554" s="12"/>
      <c r="D554" s="95"/>
      <c r="E554" s="14"/>
      <c r="F554" s="266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A555" s="12"/>
      <c r="D555" s="95"/>
      <c r="E555" s="14"/>
      <c r="F555" s="266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A556" s="12"/>
      <c r="D556" s="95"/>
      <c r="E556" s="14"/>
      <c r="F556" s="266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A557" s="12"/>
      <c r="D557" s="95"/>
      <c r="E557" s="14"/>
      <c r="F557" s="266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A558" s="12"/>
      <c r="D558" s="95"/>
      <c r="E558" s="14"/>
      <c r="F558" s="266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A559" s="12"/>
      <c r="D559" s="95"/>
      <c r="E559" s="14"/>
      <c r="F559" s="266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A560" s="12"/>
      <c r="D560" s="95"/>
      <c r="E560" s="14"/>
      <c r="F560" s="266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A561" s="12"/>
      <c r="D561" s="95"/>
      <c r="E561" s="14"/>
      <c r="F561" s="266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A562" s="12"/>
      <c r="D562" s="95"/>
      <c r="E562" s="14"/>
      <c r="F562" s="266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A563" s="12"/>
      <c r="D563" s="95"/>
      <c r="E563" s="14"/>
      <c r="F563" s="266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A564" s="12"/>
      <c r="D564" s="95"/>
      <c r="E564" s="14"/>
      <c r="F564" s="266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A565" s="12"/>
      <c r="D565" s="95"/>
      <c r="E565" s="14"/>
      <c r="F565" s="266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A566" s="12"/>
      <c r="D566" s="95"/>
      <c r="E566" s="14"/>
      <c r="F566" s="266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A567" s="12"/>
      <c r="D567" s="95"/>
      <c r="E567" s="14"/>
      <c r="F567" s="266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A568" s="12"/>
      <c r="D568" s="95"/>
      <c r="E568" s="14"/>
      <c r="F568" s="266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A569" s="12"/>
      <c r="D569" s="95"/>
      <c r="E569" s="14"/>
      <c r="F569" s="266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A570" s="12"/>
      <c r="D570" s="95"/>
      <c r="E570" s="14"/>
      <c r="F570" s="266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A571" s="12"/>
      <c r="D571" s="95"/>
      <c r="E571" s="14"/>
      <c r="F571" s="266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A572" s="12"/>
      <c r="D572" s="95"/>
      <c r="E572" s="14"/>
      <c r="F572" s="266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A573" s="12"/>
      <c r="D573" s="95"/>
      <c r="E573" s="14"/>
      <c r="F573" s="266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A574" s="12"/>
      <c r="D574" s="95"/>
      <c r="E574" s="14"/>
      <c r="F574" s="266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A575" s="12"/>
      <c r="D575" s="95"/>
      <c r="E575" s="14"/>
      <c r="F575" s="266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A576" s="12"/>
      <c r="D576" s="95"/>
      <c r="E576" s="14"/>
      <c r="F576" s="266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A577" s="12"/>
      <c r="D577" s="95"/>
      <c r="E577" s="14"/>
      <c r="F577" s="266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A578" s="12"/>
      <c r="D578" s="95"/>
      <c r="E578" s="14"/>
      <c r="F578" s="266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A579" s="12"/>
      <c r="D579" s="95"/>
      <c r="E579" s="14"/>
      <c r="F579" s="266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A580" s="12"/>
      <c r="D580" s="95"/>
      <c r="E580" s="14"/>
      <c r="F580" s="266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A581" s="12"/>
      <c r="D581" s="95"/>
      <c r="E581" s="14"/>
      <c r="F581" s="266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A582" s="12"/>
      <c r="D582" s="95"/>
      <c r="E582" s="14"/>
      <c r="F582" s="266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A583" s="12"/>
      <c r="D583" s="95"/>
      <c r="E583" s="14"/>
      <c r="F583" s="266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A584" s="12"/>
      <c r="D584" s="95"/>
      <c r="E584" s="14"/>
      <c r="F584" s="266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A585" s="12"/>
      <c r="D585" s="95"/>
      <c r="E585" s="14"/>
      <c r="F585" s="266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A586" s="12"/>
      <c r="D586" s="95"/>
      <c r="E586" s="14"/>
      <c r="F586" s="266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A587" s="12"/>
      <c r="D587" s="95"/>
      <c r="E587" s="14"/>
      <c r="F587" s="266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A588" s="12"/>
      <c r="D588" s="95"/>
      <c r="E588" s="14"/>
      <c r="F588" s="266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A589" s="12"/>
      <c r="D589" s="95"/>
      <c r="E589" s="14"/>
      <c r="F589" s="266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A590" s="12"/>
      <c r="D590" s="95"/>
      <c r="E590" s="14"/>
      <c r="F590" s="266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A591" s="12"/>
      <c r="D591" s="95"/>
      <c r="E591" s="14"/>
      <c r="F591" s="266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A592" s="12"/>
      <c r="D592" s="95"/>
      <c r="E592" s="14"/>
      <c r="F592" s="266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A593" s="12"/>
      <c r="D593" s="95"/>
      <c r="E593" s="14"/>
      <c r="F593" s="266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A594" s="12"/>
      <c r="D594" s="95"/>
      <c r="E594" s="14"/>
      <c r="F594" s="266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A595" s="12"/>
      <c r="D595" s="95"/>
      <c r="E595" s="14"/>
      <c r="F595" s="266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A596" s="12"/>
      <c r="D596" s="95"/>
      <c r="E596" s="14"/>
      <c r="F596" s="266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A597" s="12"/>
      <c r="D597" s="95"/>
      <c r="E597" s="14"/>
      <c r="F597" s="266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A598" s="12"/>
      <c r="D598" s="95"/>
      <c r="E598" s="14"/>
      <c r="F598" s="266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A599" s="12"/>
      <c r="D599" s="95"/>
      <c r="E599" s="14"/>
      <c r="F599" s="266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A600" s="12"/>
      <c r="D600" s="95"/>
      <c r="E600" s="14"/>
      <c r="F600" s="266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A601" s="12"/>
      <c r="D601" s="95"/>
      <c r="E601" s="14"/>
      <c r="F601" s="266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A602" s="12"/>
      <c r="D602" s="95"/>
      <c r="E602" s="14"/>
      <c r="F602" s="266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A603" s="12"/>
      <c r="D603" s="95"/>
      <c r="E603" s="14"/>
      <c r="F603" s="266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A604" s="12"/>
      <c r="D604" s="95"/>
      <c r="E604" s="14"/>
      <c r="F604" s="266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A605" s="12"/>
      <c r="D605" s="95"/>
      <c r="E605" s="14"/>
      <c r="F605" s="266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A606" s="12"/>
      <c r="D606" s="95"/>
      <c r="E606" s="14"/>
      <c r="F606" s="266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A607" s="12"/>
      <c r="D607" s="95"/>
      <c r="E607" s="14"/>
      <c r="F607" s="266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A608" s="12"/>
      <c r="D608" s="95"/>
      <c r="E608" s="14"/>
      <c r="F608" s="266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A609" s="12"/>
      <c r="D609" s="95"/>
      <c r="E609" s="14"/>
      <c r="F609" s="266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A610" s="12"/>
      <c r="D610" s="95"/>
      <c r="E610" s="14"/>
      <c r="F610" s="266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A611" s="12"/>
      <c r="D611" s="95"/>
      <c r="E611" s="14"/>
      <c r="F611" s="266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A612" s="12"/>
      <c r="D612" s="95"/>
      <c r="E612" s="14"/>
      <c r="F612" s="266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A613" s="12"/>
      <c r="D613" s="95"/>
      <c r="E613" s="14"/>
      <c r="F613" s="266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A614" s="12"/>
      <c r="D614" s="95"/>
      <c r="E614" s="14"/>
      <c r="F614" s="266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A615" s="12"/>
      <c r="D615" s="95"/>
      <c r="E615" s="14"/>
      <c r="F615" s="266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A616" s="12"/>
      <c r="D616" s="95"/>
      <c r="E616" s="14"/>
      <c r="F616" s="266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A617" s="12"/>
      <c r="D617" s="95"/>
      <c r="E617" s="14"/>
      <c r="F617" s="266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A618" s="12"/>
      <c r="D618" s="95"/>
      <c r="E618" s="14"/>
      <c r="F618" s="266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A619" s="12"/>
      <c r="D619" s="95"/>
      <c r="E619" s="14"/>
      <c r="F619" s="266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A620" s="12"/>
      <c r="D620" s="95"/>
      <c r="E620" s="14"/>
      <c r="F620" s="266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A621" s="12"/>
      <c r="D621" s="95"/>
      <c r="E621" s="14"/>
      <c r="F621" s="266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A622" s="12"/>
      <c r="D622" s="95"/>
      <c r="E622" s="14"/>
      <c r="F622" s="266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A623" s="12"/>
      <c r="D623" s="95"/>
      <c r="E623" s="14"/>
      <c r="F623" s="266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A624" s="12"/>
      <c r="D624" s="95"/>
      <c r="E624" s="14"/>
      <c r="F624" s="266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A625" s="12"/>
      <c r="D625" s="95"/>
      <c r="E625" s="14"/>
      <c r="F625" s="266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A626" s="12"/>
      <c r="D626" s="95"/>
      <c r="E626" s="14"/>
      <c r="F626" s="266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A627" s="12"/>
      <c r="D627" s="95"/>
      <c r="E627" s="14"/>
      <c r="F627" s="266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A628" s="12"/>
      <c r="D628" s="95"/>
      <c r="E628" s="14"/>
      <c r="F628" s="266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A629" s="12"/>
      <c r="D629" s="95"/>
      <c r="E629" s="14"/>
      <c r="F629" s="266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A630" s="12"/>
      <c r="D630" s="95"/>
      <c r="E630" s="14"/>
      <c r="F630" s="266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A631" s="12"/>
      <c r="D631" s="95"/>
      <c r="E631" s="14"/>
      <c r="F631" s="266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A632" s="12"/>
      <c r="D632" s="95"/>
      <c r="E632" s="14"/>
      <c r="F632" s="266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A633" s="12"/>
      <c r="D633" s="95"/>
      <c r="E633" s="14"/>
      <c r="F633" s="266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A634" s="12"/>
      <c r="D634" s="95"/>
      <c r="E634" s="14"/>
      <c r="F634" s="266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A635" s="12"/>
      <c r="D635" s="95"/>
      <c r="E635" s="14"/>
      <c r="F635" s="266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A636" s="12"/>
      <c r="D636" s="95"/>
      <c r="E636" s="14"/>
      <c r="F636" s="266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A637" s="12"/>
      <c r="D637" s="95"/>
      <c r="E637" s="14"/>
      <c r="F637" s="266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A638" s="12"/>
      <c r="D638" s="95"/>
      <c r="E638" s="14"/>
      <c r="F638" s="266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A639" s="12"/>
      <c r="D639" s="95"/>
      <c r="E639" s="14"/>
      <c r="F639" s="266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A640" s="12"/>
      <c r="D640" s="95"/>
      <c r="E640" s="14"/>
      <c r="F640" s="266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A641" s="12"/>
      <c r="D641" s="95"/>
      <c r="E641" s="14"/>
      <c r="F641" s="266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A642" s="12"/>
      <c r="D642" s="95"/>
      <c r="E642" s="14"/>
      <c r="F642" s="266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A643" s="12"/>
      <c r="D643" s="95"/>
      <c r="E643" s="14"/>
      <c r="F643" s="266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A644" s="12"/>
      <c r="D644" s="95"/>
      <c r="E644" s="14"/>
      <c r="F644" s="266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A645" s="12"/>
      <c r="D645" s="95"/>
      <c r="E645" s="14"/>
      <c r="F645" s="266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A646" s="12"/>
      <c r="D646" s="95"/>
      <c r="E646" s="14"/>
      <c r="F646" s="266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A647" s="12"/>
      <c r="D647" s="95"/>
      <c r="E647" s="14"/>
      <c r="F647" s="266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A648" s="12"/>
      <c r="D648" s="95"/>
      <c r="E648" s="14"/>
      <c r="F648" s="266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A649" s="12"/>
      <c r="D649" s="95"/>
      <c r="E649" s="14"/>
      <c r="F649" s="266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A650" s="12"/>
      <c r="D650" s="95"/>
      <c r="E650" s="14"/>
      <c r="F650" s="266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A651" s="12"/>
      <c r="D651" s="95"/>
      <c r="E651" s="14"/>
      <c r="F651" s="266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A652" s="12"/>
      <c r="D652" s="95"/>
      <c r="E652" s="14"/>
      <c r="F652" s="266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A653" s="12"/>
      <c r="D653" s="95"/>
      <c r="E653" s="14"/>
      <c r="F653" s="266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A654" s="12"/>
      <c r="D654" s="95"/>
      <c r="E654" s="14"/>
      <c r="F654" s="266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A655" s="12"/>
      <c r="D655" s="95"/>
      <c r="E655" s="14"/>
      <c r="F655" s="266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A656" s="12"/>
      <c r="D656" s="95"/>
      <c r="E656" s="14"/>
      <c r="F656" s="266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A657" s="12"/>
      <c r="D657" s="95"/>
      <c r="E657" s="14"/>
      <c r="F657" s="266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A658" s="12"/>
      <c r="D658" s="95"/>
      <c r="E658" s="14"/>
      <c r="F658" s="266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A659" s="12"/>
      <c r="D659" s="95"/>
      <c r="E659" s="14"/>
      <c r="F659" s="266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A660" s="12"/>
      <c r="D660" s="95"/>
      <c r="E660" s="14"/>
      <c r="F660" s="266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A661" s="12"/>
      <c r="D661" s="95"/>
      <c r="E661" s="14"/>
      <c r="F661" s="266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A662" s="12"/>
      <c r="D662" s="95"/>
      <c r="E662" s="14"/>
      <c r="F662" s="266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A663" s="12"/>
      <c r="D663" s="95"/>
      <c r="E663" s="14"/>
      <c r="F663" s="266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A664" s="12"/>
      <c r="D664" s="95"/>
      <c r="E664" s="14"/>
      <c r="F664" s="266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A665" s="12"/>
      <c r="D665" s="95"/>
      <c r="E665" s="14"/>
      <c r="F665" s="266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A666" s="12"/>
      <c r="D666" s="95"/>
      <c r="E666" s="14"/>
      <c r="F666" s="266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A667" s="12"/>
      <c r="D667" s="95"/>
      <c r="E667" s="14"/>
      <c r="F667" s="266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A668" s="12"/>
      <c r="D668" s="95"/>
      <c r="E668" s="14"/>
      <c r="F668" s="266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A669" s="12"/>
      <c r="D669" s="95"/>
      <c r="E669" s="14"/>
      <c r="F669" s="266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A670" s="12"/>
      <c r="D670" s="95"/>
      <c r="E670" s="14"/>
      <c r="F670" s="266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A671" s="12"/>
      <c r="D671" s="95"/>
      <c r="E671" s="14"/>
      <c r="F671" s="266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A672" s="12"/>
      <c r="D672" s="95"/>
      <c r="E672" s="14"/>
      <c r="F672" s="266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A673" s="12"/>
      <c r="D673" s="95"/>
      <c r="E673" s="14"/>
      <c r="F673" s="266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A674" s="12"/>
      <c r="D674" s="95"/>
      <c r="E674" s="14"/>
      <c r="F674" s="266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A675" s="12"/>
      <c r="D675" s="95"/>
      <c r="E675" s="14"/>
      <c r="F675" s="266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A676" s="12"/>
      <c r="D676" s="95"/>
      <c r="E676" s="14"/>
      <c r="F676" s="266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A677" s="12"/>
      <c r="D677" s="95"/>
      <c r="E677" s="14"/>
      <c r="F677" s="266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A678" s="12"/>
      <c r="D678" s="95"/>
      <c r="E678" s="14"/>
      <c r="F678" s="266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A679" s="12"/>
      <c r="D679" s="95"/>
      <c r="E679" s="14"/>
      <c r="F679" s="266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A680" s="12"/>
      <c r="D680" s="95"/>
      <c r="E680" s="14"/>
      <c r="F680" s="266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A681" s="12"/>
      <c r="D681" s="95"/>
      <c r="E681" s="14"/>
      <c r="F681" s="266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A682" s="12"/>
      <c r="D682" s="95"/>
      <c r="E682" s="14"/>
      <c r="F682" s="266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A683" s="12"/>
      <c r="D683" s="95"/>
      <c r="E683" s="14"/>
      <c r="F683" s="266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A684" s="12"/>
      <c r="D684" s="95"/>
      <c r="E684" s="14"/>
      <c r="F684" s="266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A685" s="12"/>
      <c r="D685" s="95"/>
      <c r="E685" s="14"/>
      <c r="F685" s="266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A686" s="12"/>
      <c r="D686" s="95"/>
      <c r="E686" s="14"/>
      <c r="F686" s="266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A687" s="12"/>
      <c r="D687" s="95"/>
      <c r="E687" s="14"/>
      <c r="F687" s="266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A688" s="12"/>
      <c r="D688" s="95"/>
      <c r="E688" s="14"/>
      <c r="F688" s="266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A689" s="12"/>
      <c r="D689" s="95"/>
      <c r="E689" s="14"/>
      <c r="F689" s="266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A690" s="12"/>
      <c r="D690" s="95"/>
      <c r="E690" s="14"/>
      <c r="F690" s="266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A691" s="12"/>
      <c r="D691" s="95"/>
      <c r="E691" s="14"/>
      <c r="F691" s="266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A692" s="12"/>
      <c r="D692" s="95"/>
      <c r="E692" s="14"/>
      <c r="F692" s="266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A693" s="12"/>
      <c r="D693" s="95"/>
      <c r="E693" s="14"/>
      <c r="F693" s="266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A694" s="12"/>
      <c r="D694" s="95"/>
      <c r="E694" s="14"/>
      <c r="F694" s="266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A695" s="12"/>
      <c r="D695" s="95"/>
      <c r="E695" s="14"/>
      <c r="F695" s="266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A696" s="12"/>
      <c r="D696" s="95"/>
      <c r="E696" s="14"/>
      <c r="F696" s="266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A697" s="12"/>
      <c r="D697" s="95"/>
      <c r="E697" s="14"/>
      <c r="F697" s="266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A698" s="12"/>
      <c r="D698" s="95"/>
      <c r="E698" s="14"/>
      <c r="F698" s="266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A699" s="12"/>
      <c r="D699" s="95"/>
      <c r="E699" s="14"/>
      <c r="F699" s="266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A700" s="12"/>
      <c r="D700" s="95"/>
      <c r="E700" s="14"/>
      <c r="F700" s="266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A701" s="12"/>
      <c r="D701" s="95"/>
      <c r="E701" s="14"/>
      <c r="F701" s="266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A702" s="12"/>
      <c r="D702" s="95"/>
      <c r="E702" s="14"/>
      <c r="F702" s="266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A703" s="12"/>
      <c r="D703" s="95"/>
      <c r="E703" s="14"/>
      <c r="F703" s="266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A704" s="12"/>
      <c r="D704" s="95"/>
      <c r="E704" s="14"/>
      <c r="F704" s="266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A705" s="12"/>
      <c r="D705" s="95"/>
      <c r="E705" s="14"/>
      <c r="F705" s="266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A706" s="12"/>
      <c r="D706" s="95"/>
      <c r="E706" s="14"/>
      <c r="F706" s="266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A707" s="12"/>
      <c r="D707" s="95"/>
      <c r="E707" s="14"/>
      <c r="F707" s="266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A708" s="12"/>
      <c r="D708" s="95"/>
      <c r="E708" s="14"/>
      <c r="F708" s="266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A709" s="12"/>
      <c r="D709" s="95"/>
      <c r="E709" s="14"/>
      <c r="F709" s="266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A710" s="12"/>
      <c r="D710" s="95"/>
      <c r="E710" s="14"/>
      <c r="F710" s="266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A711" s="12"/>
      <c r="D711" s="95"/>
      <c r="E711" s="14"/>
      <c r="F711" s="266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A712" s="12"/>
      <c r="D712" s="95"/>
      <c r="E712" s="14"/>
      <c r="F712" s="266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A713" s="12"/>
      <c r="D713" s="95"/>
      <c r="E713" s="14"/>
      <c r="F713" s="266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A714" s="12"/>
      <c r="D714" s="95"/>
      <c r="E714" s="14"/>
      <c r="F714" s="266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A715" s="12"/>
      <c r="D715" s="95"/>
      <c r="E715" s="14"/>
      <c r="F715" s="266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A716" s="12"/>
      <c r="D716" s="95"/>
      <c r="E716" s="14"/>
      <c r="F716" s="266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A717" s="12"/>
      <c r="D717" s="95"/>
      <c r="E717" s="14"/>
      <c r="F717" s="266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A718" s="12"/>
      <c r="D718" s="95"/>
      <c r="E718" s="14"/>
      <c r="F718" s="266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A719" s="12"/>
      <c r="D719" s="95"/>
      <c r="E719" s="14"/>
      <c r="F719" s="266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A720" s="12"/>
      <c r="D720" s="95"/>
      <c r="E720" s="14"/>
      <c r="F720" s="266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A721" s="12"/>
      <c r="D721" s="95"/>
      <c r="E721" s="14"/>
      <c r="F721" s="266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A722" s="12"/>
      <c r="D722" s="95"/>
      <c r="E722" s="14"/>
      <c r="F722" s="266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A723" s="12"/>
      <c r="D723" s="95"/>
      <c r="E723" s="14"/>
      <c r="F723" s="266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A724" s="12"/>
      <c r="D724" s="95"/>
      <c r="E724" s="14"/>
      <c r="F724" s="266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A725" s="12"/>
      <c r="D725" s="95"/>
      <c r="E725" s="14"/>
      <c r="F725" s="266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A726" s="12"/>
      <c r="D726" s="95"/>
      <c r="E726" s="14"/>
      <c r="F726" s="266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A727" s="12"/>
      <c r="D727" s="95"/>
      <c r="E727" s="14"/>
      <c r="F727" s="266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A728" s="12"/>
      <c r="D728" s="95"/>
      <c r="E728" s="14"/>
      <c r="F728" s="266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A729" s="12"/>
      <c r="D729" s="95"/>
      <c r="E729" s="14"/>
      <c r="F729" s="266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A730" s="12"/>
      <c r="D730" s="95"/>
      <c r="E730" s="14"/>
      <c r="F730" s="266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A731" s="12"/>
      <c r="D731" s="95"/>
      <c r="E731" s="14"/>
      <c r="F731" s="266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A732" s="12"/>
      <c r="D732" s="95"/>
      <c r="E732" s="14"/>
      <c r="F732" s="266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A733" s="12"/>
      <c r="D733" s="95"/>
      <c r="E733" s="14"/>
      <c r="F733" s="266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A734" s="12"/>
      <c r="D734" s="95"/>
      <c r="E734" s="14"/>
      <c r="F734" s="266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A735" s="12"/>
      <c r="D735" s="95"/>
      <c r="E735" s="14"/>
      <c r="F735" s="266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A736" s="12"/>
      <c r="D736" s="95"/>
      <c r="E736" s="14"/>
      <c r="F736" s="266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A737" s="12"/>
      <c r="D737" s="95"/>
      <c r="E737" s="14"/>
      <c r="F737" s="266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A738" s="12"/>
      <c r="D738" s="95"/>
      <c r="E738" s="14"/>
      <c r="F738" s="266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A739" s="12"/>
      <c r="D739" s="95"/>
      <c r="E739" s="14"/>
      <c r="F739" s="266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A740" s="12"/>
      <c r="D740" s="95"/>
      <c r="E740" s="14"/>
      <c r="F740" s="266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A741" s="12"/>
      <c r="D741" s="95"/>
      <c r="E741" s="14"/>
      <c r="F741" s="266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A742" s="12"/>
      <c r="D742" s="95"/>
      <c r="E742" s="14"/>
      <c r="F742" s="266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A743" s="12"/>
      <c r="D743" s="95"/>
      <c r="E743" s="14"/>
      <c r="F743" s="266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A744" s="12"/>
      <c r="D744" s="95"/>
      <c r="E744" s="14"/>
      <c r="F744" s="266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A745" s="12"/>
      <c r="D745" s="95"/>
      <c r="E745" s="14"/>
      <c r="F745" s="266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A746" s="12"/>
      <c r="D746" s="95"/>
      <c r="E746" s="14"/>
      <c r="F746" s="266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A747" s="12"/>
      <c r="D747" s="95"/>
      <c r="E747" s="14"/>
      <c r="F747" s="266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A748" s="12"/>
      <c r="D748" s="95"/>
      <c r="E748" s="14"/>
      <c r="F748" s="266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A749" s="12"/>
      <c r="D749" s="95"/>
      <c r="E749" s="14"/>
      <c r="F749" s="266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A750" s="12"/>
      <c r="D750" s="95"/>
      <c r="E750" s="14"/>
      <c r="F750" s="266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A751" s="12"/>
      <c r="D751" s="95"/>
      <c r="E751" s="14"/>
      <c r="F751" s="266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A752" s="12"/>
      <c r="D752" s="95"/>
      <c r="E752" s="14"/>
      <c r="F752" s="266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A753" s="12"/>
      <c r="D753" s="95"/>
      <c r="E753" s="14"/>
      <c r="F753" s="266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A754" s="12"/>
      <c r="D754" s="95"/>
      <c r="E754" s="14"/>
      <c r="F754" s="266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A755" s="12"/>
      <c r="D755" s="95"/>
      <c r="E755" s="14"/>
      <c r="F755" s="266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A756" s="12"/>
      <c r="D756" s="95"/>
      <c r="E756" s="14"/>
      <c r="F756" s="266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A757" s="12"/>
      <c r="D757" s="95"/>
      <c r="E757" s="14"/>
      <c r="F757" s="266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A758" s="12"/>
      <c r="D758" s="95"/>
      <c r="E758" s="14"/>
      <c r="F758" s="266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A759" s="12"/>
      <c r="D759" s="95"/>
      <c r="E759" s="14"/>
      <c r="F759" s="266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A760" s="12"/>
      <c r="D760" s="95"/>
      <c r="E760" s="14"/>
      <c r="F760" s="266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A761" s="12"/>
      <c r="D761" s="95"/>
      <c r="E761" s="14"/>
      <c r="F761" s="266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A762" s="12"/>
      <c r="D762" s="95"/>
      <c r="E762" s="14"/>
      <c r="F762" s="266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A763" s="12"/>
      <c r="D763" s="95"/>
      <c r="E763" s="14"/>
      <c r="F763" s="266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A764" s="12"/>
      <c r="D764" s="95"/>
      <c r="E764" s="14"/>
      <c r="F764" s="266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A765" s="12"/>
      <c r="D765" s="95"/>
      <c r="E765" s="14"/>
      <c r="F765" s="266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A766" s="12"/>
      <c r="D766" s="95"/>
      <c r="E766" s="14"/>
      <c r="F766" s="266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A767" s="12"/>
      <c r="D767" s="95"/>
      <c r="E767" s="14"/>
      <c r="F767" s="266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A768" s="12"/>
      <c r="D768" s="95"/>
      <c r="E768" s="14"/>
      <c r="F768" s="266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A769" s="12"/>
      <c r="D769" s="95"/>
      <c r="E769" s="14"/>
      <c r="F769" s="266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A770" s="12"/>
      <c r="D770" s="95"/>
      <c r="E770" s="14"/>
      <c r="F770" s="266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A771" s="12"/>
      <c r="D771" s="95"/>
      <c r="E771" s="14"/>
      <c r="F771" s="266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A772" s="12"/>
      <c r="D772" s="95"/>
      <c r="E772" s="14"/>
      <c r="F772" s="266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A773" s="12"/>
      <c r="D773" s="95"/>
      <c r="E773" s="14"/>
      <c r="F773" s="266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A774" s="12"/>
      <c r="D774" s="95"/>
      <c r="E774" s="14"/>
      <c r="F774" s="266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A775" s="12"/>
      <c r="D775" s="95"/>
      <c r="E775" s="14"/>
      <c r="F775" s="266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A776" s="12"/>
      <c r="D776" s="95"/>
      <c r="E776" s="14"/>
      <c r="F776" s="266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A777" s="12"/>
      <c r="D777" s="95"/>
      <c r="E777" s="14"/>
      <c r="F777" s="266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A778" s="12"/>
      <c r="D778" s="95"/>
      <c r="E778" s="14"/>
      <c r="F778" s="266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A779" s="12"/>
      <c r="D779" s="95"/>
      <c r="E779" s="14"/>
      <c r="F779" s="266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A780" s="12"/>
      <c r="D780" s="95"/>
      <c r="E780" s="14"/>
      <c r="F780" s="266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A781" s="12"/>
      <c r="D781" s="95"/>
      <c r="E781" s="14"/>
      <c r="F781" s="266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A782" s="12"/>
      <c r="D782" s="95"/>
      <c r="E782" s="14"/>
      <c r="F782" s="266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A783" s="12"/>
      <c r="D783" s="95"/>
      <c r="E783" s="14"/>
      <c r="F783" s="266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A784" s="12"/>
      <c r="D784" s="95"/>
      <c r="E784" s="14"/>
      <c r="F784" s="266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A785" s="12"/>
      <c r="D785" s="95"/>
      <c r="E785" s="14"/>
      <c r="F785" s="266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A786" s="12"/>
      <c r="D786" s="95"/>
      <c r="E786" s="14"/>
      <c r="F786" s="266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A787" s="12"/>
      <c r="D787" s="95"/>
      <c r="E787" s="14"/>
      <c r="F787" s="266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A788" s="12"/>
      <c r="D788" s="95"/>
      <c r="E788" s="14"/>
      <c r="F788" s="266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A789" s="12"/>
      <c r="D789" s="95"/>
      <c r="E789" s="14"/>
      <c r="F789" s="266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A790" s="12"/>
      <c r="D790" s="95"/>
      <c r="E790" s="14"/>
      <c r="F790" s="266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A791" s="12"/>
      <c r="D791" s="95"/>
      <c r="E791" s="14"/>
      <c r="F791" s="266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A792" s="12"/>
      <c r="D792" s="95"/>
      <c r="E792" s="14"/>
      <c r="F792" s="266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A793" s="12"/>
      <c r="D793" s="95"/>
      <c r="E793" s="14"/>
      <c r="F793" s="266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A794" s="12"/>
      <c r="D794" s="95"/>
      <c r="E794" s="14"/>
      <c r="F794" s="266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A795" s="12"/>
      <c r="D795" s="95"/>
      <c r="E795" s="14"/>
      <c r="F795" s="266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A796" s="12"/>
      <c r="D796" s="95"/>
      <c r="E796" s="14"/>
      <c r="F796" s="266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A797" s="12"/>
      <c r="D797" s="95"/>
      <c r="E797" s="14"/>
      <c r="F797" s="266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A798" s="12"/>
      <c r="D798" s="95"/>
      <c r="E798" s="14"/>
      <c r="F798" s="266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A799" s="12"/>
      <c r="D799" s="95"/>
      <c r="E799" s="14"/>
      <c r="F799" s="266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A800" s="12"/>
      <c r="D800" s="95"/>
      <c r="E800" s="14"/>
      <c r="F800" s="266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A801" s="12"/>
      <c r="D801" s="95"/>
      <c r="E801" s="14"/>
      <c r="F801" s="266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A802" s="12"/>
      <c r="D802" s="95"/>
      <c r="E802" s="14"/>
      <c r="F802" s="266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A803" s="12"/>
      <c r="D803" s="95"/>
      <c r="E803" s="14"/>
      <c r="F803" s="266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A804" s="12"/>
      <c r="D804" s="95"/>
      <c r="E804" s="14"/>
      <c r="F804" s="266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A805" s="12"/>
      <c r="D805" s="95"/>
      <c r="E805" s="14"/>
      <c r="F805" s="266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A806" s="12"/>
      <c r="D806" s="95"/>
      <c r="E806" s="14"/>
      <c r="F806" s="266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A807" s="12"/>
      <c r="D807" s="95"/>
      <c r="E807" s="14"/>
      <c r="F807" s="266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A808" s="12"/>
      <c r="D808" s="95"/>
      <c r="E808" s="14"/>
      <c r="F808" s="266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A809" s="12"/>
      <c r="D809" s="95"/>
      <c r="E809" s="14"/>
      <c r="F809" s="266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A810" s="12"/>
      <c r="D810" s="95"/>
      <c r="E810" s="14"/>
      <c r="F810" s="266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A811" s="12"/>
      <c r="D811" s="95"/>
      <c r="E811" s="14"/>
      <c r="F811" s="266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A812" s="12"/>
      <c r="D812" s="95"/>
      <c r="E812" s="14"/>
      <c r="F812" s="266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A813" s="12"/>
      <c r="D813" s="95"/>
      <c r="E813" s="14"/>
      <c r="F813" s="266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A814" s="12"/>
      <c r="D814" s="95"/>
      <c r="E814" s="14"/>
      <c r="F814" s="266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A815" s="12"/>
      <c r="D815" s="95"/>
      <c r="E815" s="14"/>
      <c r="F815" s="266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A816" s="12"/>
      <c r="D816" s="95"/>
      <c r="E816" s="14"/>
      <c r="F816" s="266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A817" s="12"/>
      <c r="D817" s="95"/>
      <c r="E817" s="14"/>
      <c r="F817" s="266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A818" s="12"/>
      <c r="D818" s="95"/>
      <c r="E818" s="14"/>
      <c r="F818" s="266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A819" s="12"/>
      <c r="D819" s="95"/>
      <c r="E819" s="14"/>
      <c r="F819" s="266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A820" s="12"/>
      <c r="D820" s="95"/>
      <c r="E820" s="14"/>
      <c r="F820" s="266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A821" s="12"/>
      <c r="D821" s="95"/>
      <c r="E821" s="14"/>
      <c r="F821" s="266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A822" s="12"/>
      <c r="D822" s="95"/>
      <c r="E822" s="14"/>
      <c r="F822" s="266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A823" s="12"/>
      <c r="D823" s="95"/>
      <c r="E823" s="14"/>
      <c r="F823" s="266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A824" s="12"/>
      <c r="D824" s="95"/>
      <c r="E824" s="14"/>
      <c r="F824" s="266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A825" s="12"/>
      <c r="D825" s="95"/>
      <c r="E825" s="14"/>
      <c r="F825" s="266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A826" s="12"/>
      <c r="D826" s="95"/>
      <c r="E826" s="14"/>
      <c r="F826" s="266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A827" s="12"/>
      <c r="D827" s="95"/>
      <c r="E827" s="14"/>
      <c r="F827" s="266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A828" s="12"/>
      <c r="D828" s="95"/>
      <c r="E828" s="14"/>
      <c r="F828" s="266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A829" s="12"/>
      <c r="D829" s="95"/>
      <c r="E829" s="14"/>
      <c r="F829" s="266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A830" s="12"/>
      <c r="D830" s="95"/>
      <c r="E830" s="14"/>
      <c r="F830" s="266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A831" s="12"/>
      <c r="D831" s="95"/>
      <c r="E831" s="14"/>
      <c r="F831" s="266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A832" s="12"/>
      <c r="D832" s="95"/>
      <c r="E832" s="14"/>
      <c r="F832" s="266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A833" s="12"/>
      <c r="D833" s="95"/>
      <c r="E833" s="14"/>
      <c r="F833" s="266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A834" s="12"/>
      <c r="D834" s="95"/>
      <c r="E834" s="14"/>
      <c r="F834" s="266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A835" s="12"/>
      <c r="D835" s="95"/>
      <c r="E835" s="14"/>
      <c r="F835" s="266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A836" s="12"/>
      <c r="D836" s="95"/>
      <c r="E836" s="14"/>
      <c r="F836" s="266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A837" s="12"/>
      <c r="D837" s="95"/>
      <c r="E837" s="14"/>
      <c r="F837" s="266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A838" s="12"/>
      <c r="D838" s="95"/>
      <c r="E838" s="14"/>
      <c r="F838" s="266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A839" s="12"/>
      <c r="D839" s="95"/>
      <c r="E839" s="14"/>
      <c r="F839" s="266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A840" s="12"/>
      <c r="D840" s="95"/>
      <c r="E840" s="14"/>
      <c r="F840" s="266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A841" s="12"/>
      <c r="D841" s="95"/>
      <c r="E841" s="14"/>
      <c r="F841" s="266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A842" s="12"/>
      <c r="D842" s="95"/>
      <c r="E842" s="14"/>
      <c r="F842" s="266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A843" s="12"/>
      <c r="D843" s="95"/>
      <c r="E843" s="14"/>
      <c r="F843" s="266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A844" s="12"/>
      <c r="D844" s="95"/>
      <c r="E844" s="14"/>
      <c r="F844" s="266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A845" s="12"/>
      <c r="D845" s="95"/>
      <c r="E845" s="14"/>
      <c r="F845" s="266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A846" s="12"/>
      <c r="D846" s="95"/>
      <c r="E846" s="14"/>
      <c r="F846" s="266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A847" s="12"/>
      <c r="D847" s="95"/>
      <c r="E847" s="14"/>
      <c r="F847" s="266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A848" s="12"/>
      <c r="D848" s="95"/>
      <c r="E848" s="14"/>
      <c r="F848" s="266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A849" s="12"/>
      <c r="D849" s="95"/>
      <c r="E849" s="14"/>
      <c r="F849" s="266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A850" s="12"/>
      <c r="D850" s="95"/>
      <c r="E850" s="14"/>
      <c r="F850" s="266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A851" s="12"/>
      <c r="D851" s="95"/>
      <c r="E851" s="14"/>
      <c r="F851" s="266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A852" s="12"/>
      <c r="D852" s="95"/>
      <c r="E852" s="14"/>
      <c r="F852" s="266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A853" s="12"/>
      <c r="D853" s="95"/>
      <c r="E853" s="14"/>
      <c r="F853" s="266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A854" s="12"/>
      <c r="D854" s="95"/>
      <c r="E854" s="14"/>
      <c r="F854" s="266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A855" s="12"/>
      <c r="D855" s="95"/>
      <c r="E855" s="14"/>
      <c r="F855" s="266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A856" s="12"/>
      <c r="D856" s="95"/>
      <c r="E856" s="14"/>
      <c r="F856" s="266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A857" s="12"/>
      <c r="D857" s="95"/>
      <c r="E857" s="14"/>
      <c r="F857" s="266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A858" s="12"/>
      <c r="D858" s="95"/>
      <c r="E858" s="14"/>
      <c r="F858" s="266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A859" s="12"/>
      <c r="D859" s="95"/>
      <c r="E859" s="14"/>
      <c r="F859" s="266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A860" s="12"/>
      <c r="D860" s="95"/>
      <c r="E860" s="14"/>
      <c r="F860" s="266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A861" s="12"/>
      <c r="D861" s="95"/>
      <c r="E861" s="14"/>
      <c r="F861" s="266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A862" s="12"/>
      <c r="D862" s="95"/>
      <c r="E862" s="14"/>
      <c r="F862" s="266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A863" s="12"/>
      <c r="D863" s="95"/>
      <c r="E863" s="14"/>
      <c r="F863" s="266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A864" s="12"/>
      <c r="D864" s="95"/>
      <c r="E864" s="14"/>
      <c r="F864" s="266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A865" s="12"/>
      <c r="D865" s="95"/>
      <c r="E865" s="14"/>
      <c r="F865" s="266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A866" s="12"/>
      <c r="D866" s="95"/>
      <c r="E866" s="14"/>
      <c r="F866" s="266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A867" s="12"/>
      <c r="D867" s="95"/>
      <c r="E867" s="14"/>
      <c r="F867" s="266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A868" s="12"/>
      <c r="D868" s="95"/>
      <c r="E868" s="14"/>
      <c r="F868" s="266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A869" s="12"/>
      <c r="D869" s="95"/>
      <c r="E869" s="14"/>
      <c r="F869" s="266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A870" s="12"/>
      <c r="D870" s="95"/>
      <c r="E870" s="14"/>
      <c r="F870" s="266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A871" s="12"/>
      <c r="D871" s="95"/>
      <c r="E871" s="14"/>
      <c r="F871" s="266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A872" s="12"/>
      <c r="D872" s="95"/>
      <c r="E872" s="14"/>
      <c r="F872" s="266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A873" s="12"/>
      <c r="D873" s="95"/>
      <c r="E873" s="14"/>
      <c r="F873" s="266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A874" s="12"/>
      <c r="D874" s="95"/>
      <c r="E874" s="14"/>
      <c r="F874" s="266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A875" s="12"/>
      <c r="D875" s="95"/>
      <c r="E875" s="14"/>
      <c r="F875" s="266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A876" s="12"/>
      <c r="D876" s="95"/>
      <c r="E876" s="14"/>
      <c r="F876" s="266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A877" s="12"/>
      <c r="D877" s="95"/>
      <c r="E877" s="14"/>
      <c r="F877" s="266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A878" s="12"/>
      <c r="D878" s="95"/>
      <c r="E878" s="14"/>
      <c r="F878" s="266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A879" s="12"/>
      <c r="D879" s="95"/>
      <c r="E879" s="14"/>
      <c r="F879" s="266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A880" s="12"/>
      <c r="D880" s="95"/>
      <c r="E880" s="14"/>
      <c r="F880" s="266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A881" s="12"/>
      <c r="D881" s="95"/>
      <c r="E881" s="14"/>
      <c r="F881" s="266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A882" s="12"/>
      <c r="D882" s="95"/>
      <c r="E882" s="14"/>
      <c r="F882" s="266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A883" s="12"/>
      <c r="D883" s="95"/>
      <c r="E883" s="14"/>
      <c r="F883" s="266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A884" s="12"/>
      <c r="D884" s="95"/>
      <c r="E884" s="14"/>
      <c r="F884" s="266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A885" s="12"/>
      <c r="D885" s="95"/>
      <c r="E885" s="14"/>
      <c r="F885" s="266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A886" s="12"/>
      <c r="D886" s="95"/>
      <c r="E886" s="14"/>
      <c r="F886" s="266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A887" s="12"/>
      <c r="D887" s="95"/>
      <c r="E887" s="14"/>
      <c r="F887" s="266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A888" s="12"/>
      <c r="D888" s="95"/>
      <c r="E888" s="14"/>
      <c r="F888" s="266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A889" s="12"/>
      <c r="D889" s="95"/>
      <c r="E889" s="14"/>
      <c r="F889" s="266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A890" s="12"/>
      <c r="D890" s="95"/>
      <c r="E890" s="14"/>
      <c r="F890" s="266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A891" s="12"/>
      <c r="D891" s="95"/>
      <c r="E891" s="14"/>
      <c r="F891" s="266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A892" s="12"/>
      <c r="D892" s="95"/>
      <c r="E892" s="14"/>
      <c r="F892" s="266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A893" s="12"/>
      <c r="D893" s="95"/>
      <c r="E893" s="14"/>
      <c r="F893" s="266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A894" s="12"/>
      <c r="D894" s="95"/>
      <c r="E894" s="14"/>
      <c r="F894" s="266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A895" s="12"/>
      <c r="D895" s="95"/>
      <c r="E895" s="14"/>
      <c r="F895" s="266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A896" s="12"/>
      <c r="D896" s="95"/>
      <c r="E896" s="14"/>
      <c r="F896" s="266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A897" s="12"/>
      <c r="D897" s="95"/>
      <c r="E897" s="14"/>
      <c r="F897" s="266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A898" s="12"/>
      <c r="D898" s="95"/>
      <c r="E898" s="14"/>
      <c r="F898" s="266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A899" s="12"/>
      <c r="D899" s="95"/>
      <c r="E899" s="14"/>
      <c r="F899" s="266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A900" s="12"/>
      <c r="D900" s="95"/>
      <c r="E900" s="14"/>
      <c r="F900" s="266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A901" s="12"/>
      <c r="D901" s="95"/>
      <c r="E901" s="14"/>
      <c r="F901" s="266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A902" s="12"/>
      <c r="D902" s="95"/>
      <c r="E902" s="14"/>
      <c r="F902" s="266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A903" s="12"/>
      <c r="D903" s="95"/>
      <c r="E903" s="14"/>
      <c r="F903" s="266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A904" s="12"/>
      <c r="D904" s="95"/>
      <c r="E904" s="14"/>
      <c r="F904" s="266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A905" s="12"/>
      <c r="D905" s="95"/>
      <c r="E905" s="14"/>
      <c r="F905" s="266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A906" s="12"/>
      <c r="D906" s="95"/>
      <c r="E906" s="14"/>
      <c r="F906" s="266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A907" s="12"/>
      <c r="D907" s="95"/>
      <c r="E907" s="14"/>
      <c r="F907" s="266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A908" s="12"/>
      <c r="D908" s="95"/>
      <c r="E908" s="14"/>
      <c r="F908" s="266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A909" s="12"/>
      <c r="D909" s="95"/>
      <c r="E909" s="14"/>
      <c r="F909" s="266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A910" s="12"/>
      <c r="D910" s="95"/>
      <c r="E910" s="14"/>
      <c r="F910" s="266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A911" s="12"/>
      <c r="D911" s="95"/>
      <c r="E911" s="14"/>
      <c r="F911" s="266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A912" s="12"/>
      <c r="D912" s="95"/>
      <c r="E912" s="14"/>
      <c r="F912" s="266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A913" s="12"/>
      <c r="D913" s="95"/>
      <c r="E913" s="14"/>
      <c r="F913" s="266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A914" s="12"/>
      <c r="D914" s="95"/>
      <c r="E914" s="14"/>
      <c r="F914" s="266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A915" s="12"/>
      <c r="D915" s="95"/>
      <c r="E915" s="14"/>
      <c r="F915" s="266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A916" s="12"/>
      <c r="D916" s="95"/>
      <c r="E916" s="14"/>
      <c r="F916" s="266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A917" s="12"/>
      <c r="D917" s="95"/>
      <c r="E917" s="14"/>
      <c r="F917" s="266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A918" s="12"/>
      <c r="D918" s="95"/>
      <c r="E918" s="14"/>
      <c r="F918" s="266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A919" s="12"/>
      <c r="D919" s="95"/>
      <c r="E919" s="14"/>
      <c r="F919" s="266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A920" s="12"/>
      <c r="D920" s="95"/>
      <c r="E920" s="14"/>
      <c r="F920" s="266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A921" s="12"/>
      <c r="D921" s="95"/>
      <c r="E921" s="14"/>
      <c r="F921" s="266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A922" s="12"/>
      <c r="D922" s="95"/>
      <c r="E922" s="14"/>
      <c r="F922" s="266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A923" s="12"/>
      <c r="D923" s="95"/>
      <c r="E923" s="14"/>
      <c r="F923" s="266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A924" s="12"/>
      <c r="D924" s="95"/>
      <c r="E924" s="14"/>
      <c r="F924" s="266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A925" s="12"/>
      <c r="D925" s="95"/>
      <c r="E925" s="14"/>
      <c r="F925" s="266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A926" s="12"/>
      <c r="D926" s="95"/>
      <c r="E926" s="14"/>
      <c r="F926" s="266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A927" s="12"/>
      <c r="D927" s="95"/>
      <c r="E927" s="14"/>
      <c r="F927" s="266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A928" s="12"/>
      <c r="D928" s="95"/>
      <c r="E928" s="14"/>
      <c r="F928" s="266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A929" s="12"/>
      <c r="D929" s="95"/>
      <c r="E929" s="14"/>
      <c r="F929" s="266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A930" s="12"/>
      <c r="D930" s="95"/>
      <c r="E930" s="14"/>
      <c r="F930" s="266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A931" s="12"/>
      <c r="D931" s="95"/>
      <c r="E931" s="14"/>
      <c r="F931" s="266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A932" s="12"/>
      <c r="D932" s="95"/>
      <c r="E932" s="14"/>
      <c r="F932" s="266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A933" s="12"/>
      <c r="D933" s="95"/>
      <c r="E933" s="14"/>
      <c r="F933" s="266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A934" s="12"/>
      <c r="D934" s="95"/>
      <c r="E934" s="14"/>
      <c r="F934" s="266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A935" s="12"/>
      <c r="D935" s="95"/>
      <c r="E935" s="14"/>
      <c r="F935" s="266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A936" s="12"/>
      <c r="D936" s="95"/>
      <c r="E936" s="14"/>
      <c r="F936" s="266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A937" s="12"/>
      <c r="D937" s="95"/>
      <c r="E937" s="14"/>
      <c r="F937" s="266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A938" s="12"/>
      <c r="D938" s="95"/>
      <c r="E938" s="14"/>
      <c r="F938" s="266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A939" s="12"/>
      <c r="D939" s="95"/>
      <c r="E939" s="14"/>
      <c r="F939" s="266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A940" s="12"/>
      <c r="D940" s="95"/>
      <c r="E940" s="14"/>
      <c r="F940" s="266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A941" s="12"/>
      <c r="D941" s="95"/>
      <c r="E941" s="14"/>
      <c r="F941" s="266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A942" s="12"/>
      <c r="D942" s="95"/>
      <c r="E942" s="14"/>
      <c r="F942" s="266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A943" s="12"/>
      <c r="D943" s="95"/>
      <c r="E943" s="14"/>
      <c r="F943" s="266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A944" s="12"/>
      <c r="D944" s="95"/>
      <c r="E944" s="14"/>
      <c r="F944" s="266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A945" s="12"/>
      <c r="D945" s="95"/>
      <c r="E945" s="14"/>
      <c r="F945" s="266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A946" s="12"/>
      <c r="D946" s="95"/>
      <c r="E946" s="14"/>
      <c r="F946" s="266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A947" s="12"/>
      <c r="D947" s="95"/>
      <c r="E947" s="14"/>
      <c r="F947" s="266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A948" s="12"/>
      <c r="D948" s="95"/>
      <c r="E948" s="14"/>
      <c r="F948" s="266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A949" s="12"/>
      <c r="D949" s="95"/>
      <c r="E949" s="14"/>
      <c r="F949" s="266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A950" s="12"/>
      <c r="D950" s="95"/>
      <c r="E950" s="14"/>
      <c r="F950" s="266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A951" s="12"/>
      <c r="D951" s="95"/>
      <c r="E951" s="14"/>
      <c r="F951" s="266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A952" s="12"/>
      <c r="D952" s="95"/>
      <c r="E952" s="14"/>
      <c r="F952" s="266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A953" s="12"/>
      <c r="D953" s="95"/>
      <c r="E953" s="14"/>
      <c r="F953" s="266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A954" s="12"/>
      <c r="D954" s="95"/>
      <c r="E954" s="14"/>
      <c r="F954" s="266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A955" s="12"/>
      <c r="D955" s="95"/>
      <c r="E955" s="14"/>
      <c r="F955" s="266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A956" s="12"/>
      <c r="D956" s="95"/>
      <c r="E956" s="14"/>
      <c r="F956" s="266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A957" s="12"/>
      <c r="D957" s="95"/>
      <c r="E957" s="14"/>
      <c r="F957" s="266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A958" s="12"/>
      <c r="D958" s="95"/>
      <c r="E958" s="14"/>
      <c r="F958" s="266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A959" s="12"/>
      <c r="D959" s="95"/>
      <c r="E959" s="14"/>
      <c r="F959" s="266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A960" s="12"/>
      <c r="D960" s="95"/>
      <c r="E960" s="14"/>
      <c r="F960" s="266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A961" s="12"/>
      <c r="D961" s="95"/>
      <c r="E961" s="14"/>
      <c r="F961" s="266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A962" s="12"/>
      <c r="D962" s="95"/>
      <c r="E962" s="14"/>
      <c r="F962" s="266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A963" s="12"/>
      <c r="D963" s="95"/>
      <c r="E963" s="14"/>
      <c r="F963" s="266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A964" s="12"/>
      <c r="D964" s="95"/>
      <c r="E964" s="14"/>
      <c r="F964" s="266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A965" s="12"/>
      <c r="D965" s="95"/>
      <c r="E965" s="14"/>
      <c r="F965" s="266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A966" s="12"/>
      <c r="D966" s="95"/>
      <c r="E966" s="14"/>
      <c r="F966" s="266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A967" s="12"/>
      <c r="D967" s="95"/>
      <c r="E967" s="14"/>
      <c r="F967" s="266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A968" s="12"/>
      <c r="D968" s="95"/>
      <c r="E968" s="14"/>
      <c r="F968" s="266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A969" s="12"/>
      <c r="D969" s="95"/>
      <c r="E969" s="14"/>
      <c r="F969" s="266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A970" s="12"/>
      <c r="D970" s="95"/>
      <c r="E970" s="14"/>
      <c r="F970" s="266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A971" s="12"/>
      <c r="D971" s="95"/>
      <c r="E971" s="14"/>
      <c r="F971" s="266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A972" s="12"/>
      <c r="D972" s="95"/>
      <c r="E972" s="14"/>
      <c r="F972" s="266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A973" s="12"/>
      <c r="D973" s="95"/>
      <c r="E973" s="14"/>
      <c r="F973" s="266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A974" s="12"/>
      <c r="D974" s="95"/>
      <c r="E974" s="14"/>
      <c r="F974" s="266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A975" s="12"/>
      <c r="D975" s="95"/>
      <c r="E975" s="14"/>
      <c r="F975" s="266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A976" s="12"/>
      <c r="D976" s="95"/>
      <c r="E976" s="14"/>
      <c r="F976" s="266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A977" s="12"/>
      <c r="D977" s="95"/>
      <c r="E977" s="14"/>
      <c r="F977" s="266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A978" s="12"/>
      <c r="D978" s="95"/>
      <c r="E978" s="14"/>
      <c r="F978" s="266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A979" s="12"/>
      <c r="D979" s="95"/>
      <c r="E979" s="14"/>
      <c r="F979" s="266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A980" s="12"/>
      <c r="D980" s="95"/>
      <c r="E980" s="14"/>
      <c r="F980" s="266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A981" s="12"/>
      <c r="D981" s="95"/>
      <c r="E981" s="14"/>
      <c r="F981" s="266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A982" s="12"/>
      <c r="D982" s="95"/>
      <c r="E982" s="14"/>
      <c r="F982" s="266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A983" s="12"/>
      <c r="D983" s="95"/>
      <c r="E983" s="14"/>
      <c r="F983" s="266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A984" s="12"/>
      <c r="D984" s="95"/>
      <c r="E984" s="14"/>
      <c r="F984" s="266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A985" s="12"/>
      <c r="D985" s="95"/>
      <c r="E985" s="14"/>
      <c r="F985" s="266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A986" s="12"/>
      <c r="D986" s="95"/>
      <c r="E986" s="14"/>
      <c r="F986" s="266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A987" s="12"/>
      <c r="D987" s="95"/>
      <c r="E987" s="14"/>
      <c r="F987" s="266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A988" s="12"/>
      <c r="D988" s="95"/>
      <c r="E988" s="14"/>
      <c r="F988" s="266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A989" s="12"/>
      <c r="D989" s="95"/>
      <c r="E989" s="14"/>
      <c r="F989" s="266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A990" s="12"/>
      <c r="D990" s="95"/>
      <c r="E990" s="14"/>
      <c r="F990" s="266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A991" s="12"/>
      <c r="D991" s="95"/>
      <c r="E991" s="14"/>
      <c r="F991" s="266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A992" s="12"/>
      <c r="D992" s="95"/>
      <c r="E992" s="14"/>
      <c r="F992" s="266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A993" s="12"/>
      <c r="D993" s="95"/>
      <c r="E993" s="14"/>
      <c r="F993" s="266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A994" s="12"/>
      <c r="D994" s="95"/>
      <c r="E994" s="14"/>
      <c r="F994" s="266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A995" s="12"/>
      <c r="D995" s="95"/>
      <c r="E995" s="14"/>
      <c r="F995" s="266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A996" s="12"/>
      <c r="D996" s="95"/>
      <c r="E996" s="14"/>
      <c r="F996" s="266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A997" s="12"/>
      <c r="D997" s="95"/>
      <c r="E997" s="14"/>
      <c r="F997" s="266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A998" s="12"/>
      <c r="D998" s="95"/>
      <c r="E998" s="14"/>
      <c r="F998" s="266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A999" s="12"/>
      <c r="D999" s="95"/>
      <c r="E999" s="14"/>
      <c r="F999" s="266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A1000" s="12"/>
      <c r="D1000" s="95"/>
      <c r="E1000" s="14"/>
      <c r="F1000" s="26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>
      <c r="A1001" s="12"/>
      <c r="D1001" s="95"/>
      <c r="E1001" s="14"/>
      <c r="F1001" s="266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>
      <c r="A1002" s="12"/>
      <c r="D1002" s="95"/>
      <c r="E1002" s="14"/>
      <c r="F1002" s="266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  <row r="1003">
      <c r="A1003" s="12"/>
      <c r="D1003" s="95"/>
      <c r="E1003" s="14"/>
      <c r="F1003" s="266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</row>
    <row r="1004">
      <c r="A1004" s="12"/>
      <c r="D1004" s="95"/>
      <c r="E1004" s="14"/>
      <c r="F1004" s="266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</row>
    <row r="1005">
      <c r="A1005" s="12"/>
      <c r="D1005" s="95"/>
      <c r="E1005" s="14"/>
      <c r="F1005" s="266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</row>
    <row r="1006">
      <c r="A1006" s="12"/>
      <c r="D1006" s="95"/>
      <c r="E1006" s="14"/>
      <c r="F1006" s="266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</row>
    <row r="1007">
      <c r="A1007" s="12"/>
      <c r="D1007" s="95"/>
      <c r="E1007" s="14"/>
      <c r="F1007" s="266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</row>
    <row r="1008">
      <c r="A1008" s="12"/>
      <c r="D1008" s="95"/>
      <c r="E1008" s="14"/>
      <c r="F1008" s="266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</row>
    <row r="1009">
      <c r="A1009" s="12"/>
      <c r="D1009" s="95"/>
      <c r="E1009" s="14"/>
      <c r="F1009" s="266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</row>
    <row r="1010">
      <c r="A1010" s="12"/>
      <c r="D1010" s="95"/>
      <c r="E1010" s="14"/>
      <c r="F1010" s="266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</row>
    <row r="1011">
      <c r="A1011" s="12"/>
      <c r="D1011" s="95"/>
      <c r="E1011" s="14"/>
      <c r="F1011" s="266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</row>
    <row r="1012">
      <c r="A1012" s="12"/>
      <c r="D1012" s="95"/>
      <c r="E1012" s="14"/>
      <c r="F1012" s="266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</row>
    <row r="1013">
      <c r="A1013" s="12"/>
      <c r="D1013" s="95"/>
      <c r="E1013" s="14"/>
      <c r="F1013" s="266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</row>
    <row r="1014">
      <c r="A1014" s="12"/>
      <c r="D1014" s="95"/>
      <c r="E1014" s="14"/>
      <c r="F1014" s="266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</row>
    <row r="1015">
      <c r="A1015" s="12"/>
      <c r="D1015" s="95"/>
      <c r="E1015" s="14"/>
      <c r="F1015" s="266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</row>
    <row r="1016">
      <c r="A1016" s="12"/>
      <c r="D1016" s="95"/>
      <c r="E1016" s="14"/>
      <c r="F1016" s="266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</row>
  </sheetData>
  <conditionalFormatting sqref="H2:Q39">
    <cfRule type="cellIs" dxfId="12" priority="1" operator="equal">
      <formula>0</formula>
    </cfRule>
  </conditionalFormatting>
  <conditionalFormatting sqref="H2:H39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9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9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9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9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9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9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Q3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Q2:Q39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P39">
    <cfRule type="colorScale" priority="11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9">
    <cfRule type="colorScale" priority="12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46:C5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6:F5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(Camp Nou)"</formula1>
    </dataValidation>
    <dataValidation type="custom" allowBlank="1" showDropDown="1" sqref="F42:F43">
      <formula1>OR(NOT(ISERROR(DATEVALUE(F42))), AND(ISNUMBER(F42), LEFT(CELL("format", F42))="D"))</formula1>
    </dataValidation>
    <dataValidation type="list" allowBlank="1" showDropDown="1" sqref="C2:C39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8.88"/>
    <col customWidth="1" min="3" max="3" width="15.5"/>
    <col customWidth="1" min="4" max="4" width="30.38"/>
    <col customWidth="1" min="5" max="5" width="9.25"/>
    <col customWidth="1" min="6" max="6" width="29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63"/>
    <col customWidth="1" min="17" max="17" width="17.75"/>
  </cols>
  <sheetData>
    <row r="1" ht="22.5" customHeight="1">
      <c r="A1" s="267" t="s">
        <v>48</v>
      </c>
      <c r="B1" s="268" t="s">
        <v>49</v>
      </c>
      <c r="C1" s="268" t="s">
        <v>50</v>
      </c>
      <c r="D1" s="269" t="s">
        <v>56</v>
      </c>
      <c r="E1" s="267" t="s">
        <v>57</v>
      </c>
      <c r="F1" s="270" t="s">
        <v>52</v>
      </c>
      <c r="G1" s="271" t="s">
        <v>53</v>
      </c>
      <c r="H1" s="267" t="s">
        <v>4</v>
      </c>
      <c r="I1" s="267" t="s">
        <v>58</v>
      </c>
      <c r="J1" s="267" t="s">
        <v>59</v>
      </c>
      <c r="K1" s="267" t="s">
        <v>60</v>
      </c>
      <c r="L1" s="267" t="s">
        <v>61</v>
      </c>
      <c r="M1" s="267" t="s">
        <v>62</v>
      </c>
      <c r="N1" s="267" t="s">
        <v>63</v>
      </c>
      <c r="O1" s="272" t="s">
        <v>387</v>
      </c>
      <c r="P1" s="272" t="s">
        <v>64</v>
      </c>
      <c r="Q1" s="267" t="s">
        <v>65</v>
      </c>
    </row>
    <row r="2" ht="22.5" customHeight="1">
      <c r="A2" s="273">
        <v>1.0</v>
      </c>
      <c r="B2" s="274" t="s">
        <v>454</v>
      </c>
      <c r="C2" s="275" t="s">
        <v>67</v>
      </c>
      <c r="D2" s="276" t="s">
        <v>455</v>
      </c>
      <c r="E2" s="277" t="str">
        <f>IMAGE("https://flagcdn.com/w320/ch.png")</f>
        <v/>
      </c>
      <c r="F2" s="278">
        <v>35770.0</v>
      </c>
      <c r="G2" s="279">
        <f t="shared" ref="G2:G28" si="1">DATEDIF(F2,TODAY(),"Y")</f>
        <v>28</v>
      </c>
      <c r="H2" s="280">
        <f>1+1+1+1+1+1+1</f>
        <v>7</v>
      </c>
      <c r="I2" s="280">
        <f>90+90+90+90+90+90+90</f>
        <v>630</v>
      </c>
      <c r="J2" s="280"/>
      <c r="K2" s="280"/>
      <c r="L2" s="280"/>
      <c r="M2" s="280"/>
      <c r="N2" s="280">
        <f>1</f>
        <v>1</v>
      </c>
      <c r="O2" s="280"/>
      <c r="P2" s="280">
        <f t="shared" ref="P2:P28" si="2">J2+K2</f>
        <v>0</v>
      </c>
      <c r="Q2" s="280"/>
    </row>
    <row r="3" ht="22.5" customHeight="1">
      <c r="A3" s="273">
        <v>2.0</v>
      </c>
      <c r="B3" s="281" t="s">
        <v>456</v>
      </c>
      <c r="C3" s="275" t="s">
        <v>70</v>
      </c>
      <c r="D3" s="276" t="s">
        <v>457</v>
      </c>
      <c r="E3" s="277" t="str">
        <f>IMAGE("https://flagcdn.com/w320/br.png")</f>
        <v/>
      </c>
      <c r="F3" s="278">
        <v>37410.0</v>
      </c>
      <c r="G3" s="279">
        <f t="shared" si="1"/>
        <v>23</v>
      </c>
      <c r="H3" s="280">
        <f>1+1+1+1+1</f>
        <v>5</v>
      </c>
      <c r="I3" s="280">
        <f>90+61+90+75+75</f>
        <v>391</v>
      </c>
      <c r="J3" s="280">
        <f t="shared" ref="J3:J4" si="3">1</f>
        <v>1</v>
      </c>
      <c r="K3" s="280"/>
      <c r="L3" s="280"/>
      <c r="M3" s="280"/>
      <c r="N3" s="280"/>
      <c r="O3" s="280"/>
      <c r="P3" s="280">
        <f t="shared" si="2"/>
        <v>1</v>
      </c>
      <c r="Q3" s="280"/>
    </row>
    <row r="4" ht="22.5" customHeight="1">
      <c r="A4" s="273">
        <v>3.0</v>
      </c>
      <c r="B4" s="274" t="s">
        <v>458</v>
      </c>
      <c r="C4" s="275" t="s">
        <v>70</v>
      </c>
      <c r="D4" s="276" t="s">
        <v>204</v>
      </c>
      <c r="E4" s="277" t="str">
        <f t="shared" ref="E4:E5" si="4">IMAGE("https://flagcdn.com/w320/de.png")</f>
        <v/>
      </c>
      <c r="F4" s="278">
        <v>35266.0</v>
      </c>
      <c r="G4" s="279">
        <f t="shared" si="1"/>
        <v>29</v>
      </c>
      <c r="H4" s="280">
        <f>1+1+1+1+1+1+1</f>
        <v>7</v>
      </c>
      <c r="I4" s="280">
        <f>90+90+90+90+83+32+90</f>
        <v>565</v>
      </c>
      <c r="J4" s="280">
        <f t="shared" si="3"/>
        <v>1</v>
      </c>
      <c r="K4" s="280"/>
      <c r="L4" s="280">
        <f>1</f>
        <v>1</v>
      </c>
      <c r="M4" s="280"/>
      <c r="N4" s="280"/>
      <c r="O4" s="280"/>
      <c r="P4" s="280">
        <f t="shared" si="2"/>
        <v>1</v>
      </c>
      <c r="Q4" s="280"/>
    </row>
    <row r="5" ht="22.5" customHeight="1">
      <c r="A5" s="273">
        <v>4.0</v>
      </c>
      <c r="B5" s="274" t="s">
        <v>459</v>
      </c>
      <c r="C5" s="275" t="s">
        <v>70</v>
      </c>
      <c r="D5" s="276" t="s">
        <v>204</v>
      </c>
      <c r="E5" s="277" t="str">
        <f t="shared" si="4"/>
        <v/>
      </c>
      <c r="F5" s="278">
        <v>36495.0</v>
      </c>
      <c r="G5" s="279">
        <f t="shared" si="1"/>
        <v>26</v>
      </c>
      <c r="H5" s="280">
        <f t="shared" ref="H5:H6" si="5">1+1+1+1+1+1</f>
        <v>6</v>
      </c>
      <c r="I5" s="280">
        <f>22+90+90+90+90+90</f>
        <v>472</v>
      </c>
      <c r="J5" s="280"/>
      <c r="K5" s="280"/>
      <c r="L5" s="280"/>
      <c r="M5" s="280"/>
      <c r="N5" s="280"/>
      <c r="O5" s="280">
        <f>1</f>
        <v>1</v>
      </c>
      <c r="P5" s="280">
        <f t="shared" si="2"/>
        <v>0</v>
      </c>
      <c r="Q5" s="280"/>
    </row>
    <row r="6" ht="22.5" customHeight="1">
      <c r="A6" s="273">
        <v>5.0</v>
      </c>
      <c r="B6" s="274" t="s">
        <v>460</v>
      </c>
      <c r="C6" s="275" t="s">
        <v>70</v>
      </c>
      <c r="D6" s="276" t="s">
        <v>461</v>
      </c>
      <c r="E6" s="277" t="str">
        <f>IMAGE("https://flagcdn.com/w320/dz.png")</f>
        <v/>
      </c>
      <c r="F6" s="278">
        <v>34805.0</v>
      </c>
      <c r="G6" s="279">
        <f t="shared" si="1"/>
        <v>30</v>
      </c>
      <c r="H6" s="280">
        <f t="shared" si="5"/>
        <v>6</v>
      </c>
      <c r="I6" s="280">
        <f>90+90+84+65+90+90</f>
        <v>509</v>
      </c>
      <c r="J6" s="280">
        <f>1+1</f>
        <v>2</v>
      </c>
      <c r="K6" s="280"/>
      <c r="L6" s="280">
        <f>1</f>
        <v>1</v>
      </c>
      <c r="M6" s="280"/>
      <c r="N6" s="280"/>
      <c r="O6" s="280"/>
      <c r="P6" s="280">
        <f t="shared" si="2"/>
        <v>2</v>
      </c>
      <c r="Q6" s="280"/>
    </row>
    <row r="7" ht="22.5" customHeight="1">
      <c r="A7" s="273">
        <v>7.0</v>
      </c>
      <c r="B7" s="274" t="s">
        <v>462</v>
      </c>
      <c r="C7" s="275" t="s">
        <v>79</v>
      </c>
      <c r="D7" s="276" t="s">
        <v>463</v>
      </c>
      <c r="E7" s="277" t="str">
        <f>IMAGE("https://flagcdn.com/w320/gb-eng.png")</f>
        <v/>
      </c>
      <c r="F7" s="278">
        <v>38618.0</v>
      </c>
      <c r="G7" s="279">
        <f t="shared" si="1"/>
        <v>20</v>
      </c>
      <c r="H7" s="280">
        <f t="shared" ref="H7:H9" si="6">1+1+1+1+1+1+1</f>
        <v>7</v>
      </c>
      <c r="I7" s="280">
        <f>20+68+90+25+14+90+90</f>
        <v>397</v>
      </c>
      <c r="J7" s="280"/>
      <c r="K7" s="280">
        <f>1</f>
        <v>1</v>
      </c>
      <c r="L7" s="280"/>
      <c r="M7" s="280"/>
      <c r="N7" s="280"/>
      <c r="O7" s="280"/>
      <c r="P7" s="280">
        <f t="shared" si="2"/>
        <v>1</v>
      </c>
      <c r="Q7" s="280"/>
    </row>
    <row r="8" ht="22.5" customHeight="1">
      <c r="A8" s="273">
        <v>8.0</v>
      </c>
      <c r="B8" s="274" t="s">
        <v>464</v>
      </c>
      <c r="C8" s="275" t="s">
        <v>79</v>
      </c>
      <c r="D8" s="276" t="s">
        <v>465</v>
      </c>
      <c r="E8" s="277" t="str">
        <f>IMAGE("https://flagcdn.com/w320/de.png")</f>
        <v/>
      </c>
      <c r="F8" s="278">
        <v>36809.0</v>
      </c>
      <c r="G8" s="279">
        <f t="shared" si="1"/>
        <v>25</v>
      </c>
      <c r="H8" s="280">
        <f t="shared" si="6"/>
        <v>7</v>
      </c>
      <c r="I8" s="280">
        <f>70+22+76+90+76+90+63</f>
        <v>487</v>
      </c>
      <c r="J8" s="280">
        <f t="shared" ref="J8:J10" si="7">1+2</f>
        <v>3</v>
      </c>
      <c r="K8" s="280"/>
      <c r="L8" s="280"/>
      <c r="M8" s="280"/>
      <c r="N8" s="280"/>
      <c r="O8" s="280"/>
      <c r="P8" s="280">
        <f t="shared" si="2"/>
        <v>3</v>
      </c>
      <c r="Q8" s="280"/>
    </row>
    <row r="9" ht="22.5" customHeight="1">
      <c r="A9" s="273">
        <v>9.0</v>
      </c>
      <c r="B9" s="274" t="s">
        <v>466</v>
      </c>
      <c r="C9" s="275" t="s">
        <v>82</v>
      </c>
      <c r="D9" s="276" t="s">
        <v>467</v>
      </c>
      <c r="E9" s="277" t="str">
        <f>IMAGE("https://flagcdn.com/w320/gn.png")</f>
        <v/>
      </c>
      <c r="F9" s="278">
        <v>35136.0</v>
      </c>
      <c r="G9" s="279">
        <f t="shared" si="1"/>
        <v>29</v>
      </c>
      <c r="H9" s="280">
        <f t="shared" si="6"/>
        <v>7</v>
      </c>
      <c r="I9" s="280">
        <f>89+86+90+65+67+24+45</f>
        <v>466</v>
      </c>
      <c r="J9" s="280">
        <f t="shared" si="7"/>
        <v>3</v>
      </c>
      <c r="K9" s="280">
        <f>1+1</f>
        <v>2</v>
      </c>
      <c r="L9" s="280"/>
      <c r="M9" s="280"/>
      <c r="N9" s="280"/>
      <c r="O9" s="280"/>
      <c r="P9" s="280">
        <f t="shared" si="2"/>
        <v>5</v>
      </c>
      <c r="Q9" s="280"/>
    </row>
    <row r="10" ht="22.5" customHeight="1">
      <c r="A10" s="273">
        <v>10.0</v>
      </c>
      <c r="B10" s="274" t="s">
        <v>468</v>
      </c>
      <c r="C10" s="275" t="s">
        <v>79</v>
      </c>
      <c r="D10" s="276" t="s">
        <v>204</v>
      </c>
      <c r="E10" s="277" t="str">
        <f t="shared" ref="E10:E12" si="8">IMAGE("https://flagcdn.com/w320/de.png")</f>
        <v/>
      </c>
      <c r="F10" s="278">
        <v>35187.0</v>
      </c>
      <c r="G10" s="279">
        <f t="shared" si="1"/>
        <v>29</v>
      </c>
      <c r="H10" s="280">
        <f>1+1+1+1+1+1</f>
        <v>6</v>
      </c>
      <c r="I10" s="280">
        <f>20+28+61+67+90+45</f>
        <v>311</v>
      </c>
      <c r="J10" s="280">
        <f t="shared" si="7"/>
        <v>3</v>
      </c>
      <c r="K10" s="280"/>
      <c r="L10" s="280"/>
      <c r="M10" s="280"/>
      <c r="N10" s="280"/>
      <c r="O10" s="280"/>
      <c r="P10" s="280">
        <f t="shared" si="2"/>
        <v>3</v>
      </c>
      <c r="Q10" s="280"/>
    </row>
    <row r="11" ht="22.5" customHeight="1">
      <c r="A11" s="273">
        <v>13.0</v>
      </c>
      <c r="B11" s="274" t="s">
        <v>469</v>
      </c>
      <c r="C11" s="275" t="s">
        <v>79</v>
      </c>
      <c r="D11" s="276" t="s">
        <v>204</v>
      </c>
      <c r="E11" s="277" t="str">
        <f t="shared" si="8"/>
        <v/>
      </c>
      <c r="F11" s="278">
        <v>33404.0</v>
      </c>
      <c r="G11" s="279">
        <f t="shared" si="1"/>
        <v>34</v>
      </c>
      <c r="H11" s="280">
        <f>1+1+1</f>
        <v>3</v>
      </c>
      <c r="I11" s="280">
        <f>1+25+14</f>
        <v>40</v>
      </c>
      <c r="J11" s="280"/>
      <c r="K11" s="280">
        <f>1</f>
        <v>1</v>
      </c>
      <c r="L11" s="280"/>
      <c r="M11" s="280"/>
      <c r="N11" s="280"/>
      <c r="O11" s="280"/>
      <c r="P11" s="280">
        <f t="shared" si="2"/>
        <v>1</v>
      </c>
      <c r="Q11" s="280"/>
    </row>
    <row r="12" ht="22.5" customHeight="1">
      <c r="A12" s="273">
        <v>14.0</v>
      </c>
      <c r="B12" s="274" t="s">
        <v>470</v>
      </c>
      <c r="C12" s="275" t="s">
        <v>82</v>
      </c>
      <c r="D12" s="276" t="s">
        <v>204</v>
      </c>
      <c r="E12" s="277" t="str">
        <f t="shared" si="8"/>
        <v/>
      </c>
      <c r="F12" s="278">
        <v>37546.0</v>
      </c>
      <c r="G12" s="279">
        <f t="shared" si="1"/>
        <v>23</v>
      </c>
      <c r="H12" s="280">
        <f>1+1+1+1+1+1</f>
        <v>6</v>
      </c>
      <c r="I12" s="280">
        <f>70+28+61+65+66+15</f>
        <v>305</v>
      </c>
      <c r="J12" s="280"/>
      <c r="K12" s="280">
        <f>1+1</f>
        <v>2</v>
      </c>
      <c r="L12" s="280">
        <f>1</f>
        <v>1</v>
      </c>
      <c r="M12" s="280"/>
      <c r="N12" s="280"/>
      <c r="O12" s="280"/>
      <c r="P12" s="280">
        <f t="shared" si="2"/>
        <v>2</v>
      </c>
      <c r="Q12" s="280"/>
    </row>
    <row r="13" ht="22.5" customHeight="1">
      <c r="A13" s="282">
        <v>16.0</v>
      </c>
      <c r="B13" s="283" t="s">
        <v>471</v>
      </c>
      <c r="C13" s="284" t="s">
        <v>79</v>
      </c>
      <c r="D13" s="285" t="s">
        <v>89</v>
      </c>
      <c r="E13" s="286" t="str">
        <f>IMAGE("https://flagcdn.com/w320/be.png")</f>
        <v/>
      </c>
      <c r="F13" s="287">
        <v>38842.0</v>
      </c>
      <c r="G13" s="288">
        <f t="shared" si="1"/>
        <v>19</v>
      </c>
      <c r="H13" s="289">
        <v>0.0</v>
      </c>
      <c r="I13" s="289">
        <v>0.0</v>
      </c>
      <c r="J13" s="290"/>
      <c r="K13" s="290"/>
      <c r="L13" s="290"/>
      <c r="M13" s="290"/>
      <c r="N13" s="290"/>
      <c r="O13" s="290"/>
      <c r="P13" s="280">
        <f t="shared" si="2"/>
        <v>0</v>
      </c>
      <c r="Q13" s="290"/>
    </row>
    <row r="14" ht="22.5" customHeight="1">
      <c r="A14" s="273">
        <v>17.0</v>
      </c>
      <c r="B14" s="274" t="s">
        <v>472</v>
      </c>
      <c r="C14" s="275" t="s">
        <v>79</v>
      </c>
      <c r="D14" s="276" t="s">
        <v>473</v>
      </c>
      <c r="E14" s="277" t="str">
        <f>IMAGE("https://flagcdn.com/w320/gb-eng.png")</f>
        <v/>
      </c>
      <c r="F14" s="278">
        <v>37914.0</v>
      </c>
      <c r="G14" s="279">
        <f t="shared" si="1"/>
        <v>22</v>
      </c>
      <c r="H14" s="291">
        <f t="shared" ref="H14:H15" si="10">1+1+1+1+1</f>
        <v>5</v>
      </c>
      <c r="I14" s="291">
        <f>62+29+25+23+27</f>
        <v>166</v>
      </c>
      <c r="J14" s="280">
        <f t="shared" ref="J14:K14" si="9">1</f>
        <v>1</v>
      </c>
      <c r="K14" s="280">
        <f t="shared" si="9"/>
        <v>1</v>
      </c>
      <c r="L14" s="280"/>
      <c r="M14" s="280"/>
      <c r="N14" s="280"/>
      <c r="O14" s="280"/>
      <c r="P14" s="280">
        <f t="shared" si="2"/>
        <v>2</v>
      </c>
      <c r="Q14" s="280"/>
    </row>
    <row r="15" ht="22.5" customHeight="1">
      <c r="A15" s="273">
        <v>20.0</v>
      </c>
      <c r="B15" s="274" t="s">
        <v>474</v>
      </c>
      <c r="C15" s="275" t="s">
        <v>79</v>
      </c>
      <c r="D15" s="276" t="s">
        <v>475</v>
      </c>
      <c r="E15" s="277" t="str">
        <f>IMAGE("https://flagcdn.com/w320/at.png")</f>
        <v/>
      </c>
      <c r="F15" s="278">
        <v>34410.0</v>
      </c>
      <c r="G15" s="279">
        <f t="shared" si="1"/>
        <v>31</v>
      </c>
      <c r="H15" s="280">
        <f t="shared" si="10"/>
        <v>5</v>
      </c>
      <c r="I15" s="280">
        <f>90+90+14+65+76</f>
        <v>335</v>
      </c>
      <c r="J15" s="280"/>
      <c r="K15" s="280">
        <f>1</f>
        <v>1</v>
      </c>
      <c r="L15" s="280"/>
      <c r="M15" s="280"/>
      <c r="N15" s="280"/>
      <c r="O15" s="280"/>
      <c r="P15" s="280">
        <f t="shared" si="2"/>
        <v>1</v>
      </c>
      <c r="Q15" s="280"/>
    </row>
    <row r="16" ht="22.5" customHeight="1">
      <c r="A16" s="273">
        <v>21.0</v>
      </c>
      <c r="B16" s="281" t="s">
        <v>476</v>
      </c>
      <c r="C16" s="275" t="s">
        <v>82</v>
      </c>
      <c r="D16" s="276" t="s">
        <v>477</v>
      </c>
      <c r="E16" s="277" t="str">
        <f>IMAGE("https://flagcdn.com/w320/pt.png")</f>
        <v/>
      </c>
      <c r="F16" s="278">
        <v>37456.0</v>
      </c>
      <c r="G16" s="279">
        <f t="shared" si="1"/>
        <v>23</v>
      </c>
      <c r="H16" s="280">
        <f>1+1+1+1+1+1</f>
        <v>6</v>
      </c>
      <c r="I16" s="280">
        <f>4+29+10+23+66+27</f>
        <v>159</v>
      </c>
      <c r="J16" s="280">
        <f t="shared" ref="J16:K16" si="11">1</f>
        <v>1</v>
      </c>
      <c r="K16" s="280">
        <f t="shared" si="11"/>
        <v>1</v>
      </c>
      <c r="L16" s="280"/>
      <c r="M16" s="280"/>
      <c r="N16" s="280"/>
      <c r="O16" s="280"/>
      <c r="P16" s="280">
        <f t="shared" si="2"/>
        <v>2</v>
      </c>
      <c r="Q16" s="280"/>
    </row>
    <row r="17" ht="22.5" customHeight="1">
      <c r="A17" s="273">
        <v>23.0</v>
      </c>
      <c r="B17" s="274" t="s">
        <v>478</v>
      </c>
      <c r="C17" s="275" t="s">
        <v>79</v>
      </c>
      <c r="D17" s="276" t="s">
        <v>479</v>
      </c>
      <c r="E17" s="277" t="str">
        <f>IMAGE("https://flagcdn.com/w320/de.png")</f>
        <v/>
      </c>
      <c r="F17" s="278">
        <v>34346.0</v>
      </c>
      <c r="G17" s="279">
        <f t="shared" si="1"/>
        <v>32</v>
      </c>
      <c r="H17" s="280">
        <f>1+1+1+1</f>
        <v>4</v>
      </c>
      <c r="I17" s="280">
        <f>25+7+15+45</f>
        <v>92</v>
      </c>
      <c r="J17" s="280"/>
      <c r="K17" s="280"/>
      <c r="L17" s="280"/>
      <c r="M17" s="280"/>
      <c r="N17" s="280"/>
      <c r="O17" s="280"/>
      <c r="P17" s="280">
        <f t="shared" si="2"/>
        <v>0</v>
      </c>
      <c r="Q17" s="280"/>
    </row>
    <row r="18" ht="22.5" customHeight="1">
      <c r="A18" s="273">
        <v>24.0</v>
      </c>
      <c r="B18" s="274" t="s">
        <v>480</v>
      </c>
      <c r="C18" s="275" t="s">
        <v>70</v>
      </c>
      <c r="D18" s="276" t="s">
        <v>481</v>
      </c>
      <c r="E18" s="277" t="str">
        <f>IMAGE("https://flagcdn.com/w320/se.png")</f>
        <v/>
      </c>
      <c r="F18" s="278">
        <v>37299.0</v>
      </c>
      <c r="G18" s="279">
        <f t="shared" si="1"/>
        <v>23</v>
      </c>
      <c r="H18" s="280">
        <f>1+1+1+1+1+1+1</f>
        <v>7</v>
      </c>
      <c r="I18" s="280">
        <f>90+90+90+90+90+58+23</f>
        <v>531</v>
      </c>
      <c r="J18" s="280">
        <f>1+1</f>
        <v>2</v>
      </c>
      <c r="K18" s="280"/>
      <c r="L18" s="280">
        <f t="shared" ref="L18:M18" si="12">1</f>
        <v>1</v>
      </c>
      <c r="M18" s="280">
        <f t="shared" si="12"/>
        <v>1</v>
      </c>
      <c r="N18" s="280"/>
      <c r="O18" s="280"/>
      <c r="P18" s="280">
        <f t="shared" si="2"/>
        <v>2</v>
      </c>
      <c r="Q18" s="280"/>
    </row>
    <row r="19" ht="22.5" customHeight="1">
      <c r="A19" s="273">
        <v>25.0</v>
      </c>
      <c r="B19" s="274" t="s">
        <v>482</v>
      </c>
      <c r="C19" s="275" t="s">
        <v>70</v>
      </c>
      <c r="D19" s="276" t="s">
        <v>204</v>
      </c>
      <c r="E19" s="277" t="str">
        <f>IMAGE("https://flagcdn.com/w320/de.png")</f>
        <v/>
      </c>
      <c r="F19" s="278">
        <v>34945.0</v>
      </c>
      <c r="G19" s="279">
        <f t="shared" si="1"/>
        <v>30</v>
      </c>
      <c r="H19" s="280">
        <f>1</f>
        <v>1</v>
      </c>
      <c r="I19" s="280">
        <f>68</f>
        <v>68</v>
      </c>
      <c r="J19" s="280"/>
      <c r="K19" s="280"/>
      <c r="L19" s="280"/>
      <c r="M19" s="280"/>
      <c r="N19" s="280"/>
      <c r="O19" s="280"/>
      <c r="P19" s="280">
        <f t="shared" si="2"/>
        <v>0</v>
      </c>
      <c r="Q19" s="280"/>
    </row>
    <row r="20" ht="22.5" customHeight="1">
      <c r="A20" s="273">
        <v>26.0</v>
      </c>
      <c r="B20" s="274" t="s">
        <v>483</v>
      </c>
      <c r="C20" s="275" t="s">
        <v>70</v>
      </c>
      <c r="D20" s="276" t="s">
        <v>484</v>
      </c>
      <c r="E20" s="277" t="str">
        <f>IMAGE("https://flagcdn.com/w320/no.png")</f>
        <v/>
      </c>
      <c r="F20" s="278">
        <v>35751.0</v>
      </c>
      <c r="G20" s="279">
        <f t="shared" si="1"/>
        <v>28</v>
      </c>
      <c r="H20" s="280">
        <f t="shared" ref="H20:H21" si="14">1+1+1+1+1+1</f>
        <v>6</v>
      </c>
      <c r="I20" s="280">
        <f>90+90+29+90+15+45</f>
        <v>359</v>
      </c>
      <c r="J20" s="280"/>
      <c r="K20" s="280">
        <f t="shared" ref="K20:L20" si="13">1</f>
        <v>1</v>
      </c>
      <c r="L20" s="280">
        <f t="shared" si="13"/>
        <v>1</v>
      </c>
      <c r="M20" s="280"/>
      <c r="N20" s="280"/>
      <c r="O20" s="280"/>
      <c r="P20" s="280">
        <f t="shared" si="2"/>
        <v>1</v>
      </c>
      <c r="Q20" s="280"/>
    </row>
    <row r="21" ht="22.5" customHeight="1">
      <c r="A21" s="273">
        <v>27.0</v>
      </c>
      <c r="B21" s="274" t="s">
        <v>485</v>
      </c>
      <c r="C21" s="275" t="s">
        <v>82</v>
      </c>
      <c r="D21" s="276" t="s">
        <v>486</v>
      </c>
      <c r="E21" s="277" t="str">
        <f>IMAGE("https://flagcdn.com/w320/de.png")</f>
        <v/>
      </c>
      <c r="F21" s="278">
        <v>37274.0</v>
      </c>
      <c r="G21" s="279">
        <f t="shared" si="1"/>
        <v>24</v>
      </c>
      <c r="H21" s="280">
        <f t="shared" si="14"/>
        <v>6</v>
      </c>
      <c r="I21" s="280">
        <f>90+62+80+90+24+63</f>
        <v>409</v>
      </c>
      <c r="J21" s="280">
        <f t="shared" ref="J21:L21" si="15">1+1</f>
        <v>2</v>
      </c>
      <c r="K21" s="280">
        <f t="shared" si="15"/>
        <v>2</v>
      </c>
      <c r="L21" s="280">
        <f t="shared" si="15"/>
        <v>2</v>
      </c>
      <c r="M21" s="280"/>
      <c r="N21" s="280"/>
      <c r="O21" s="280"/>
      <c r="P21" s="280">
        <f t="shared" si="2"/>
        <v>4</v>
      </c>
      <c r="Q21" s="280"/>
    </row>
    <row r="22" ht="22.5" customHeight="1">
      <c r="A22" s="273">
        <v>28.0</v>
      </c>
      <c r="B22" s="274" t="s">
        <v>487</v>
      </c>
      <c r="C22" s="275" t="s">
        <v>70</v>
      </c>
      <c r="D22" s="276" t="s">
        <v>403</v>
      </c>
      <c r="E22" s="277" t="str">
        <f>IMAGE("https://flagcdn.com/w320/ar.png")</f>
        <v/>
      </c>
      <c r="F22" s="278">
        <v>38471.0</v>
      </c>
      <c r="G22" s="279">
        <f t="shared" si="1"/>
        <v>20</v>
      </c>
      <c r="H22" s="280">
        <f>1+1+1</f>
        <v>3</v>
      </c>
      <c r="I22" s="280">
        <f>6+90+75</f>
        <v>171</v>
      </c>
      <c r="J22" s="280"/>
      <c r="K22" s="280">
        <f>1</f>
        <v>1</v>
      </c>
      <c r="L22" s="280"/>
      <c r="M22" s="280"/>
      <c r="N22" s="280"/>
      <c r="O22" s="280"/>
      <c r="P22" s="280">
        <f t="shared" si="2"/>
        <v>1</v>
      </c>
      <c r="Q22" s="280"/>
    </row>
    <row r="23" ht="22.5" customHeight="1">
      <c r="A23" s="273">
        <v>31.0</v>
      </c>
      <c r="B23" s="274" t="s">
        <v>488</v>
      </c>
      <c r="C23" s="275" t="s">
        <v>67</v>
      </c>
      <c r="D23" s="276" t="s">
        <v>489</v>
      </c>
      <c r="E23" s="277" t="str">
        <f t="shared" ref="E23:E24" si="16">IMAGE("https://flagcdn.com/w320/de.png")</f>
        <v/>
      </c>
      <c r="F23" s="278">
        <v>37944.0</v>
      </c>
      <c r="G23" s="279">
        <f t="shared" si="1"/>
        <v>22</v>
      </c>
      <c r="H23" s="291">
        <v>0.0</v>
      </c>
      <c r="I23" s="291">
        <v>0.0</v>
      </c>
      <c r="J23" s="280"/>
      <c r="K23" s="280"/>
      <c r="L23" s="280"/>
      <c r="M23" s="280"/>
      <c r="N23" s="280"/>
      <c r="O23" s="280"/>
      <c r="P23" s="280">
        <f t="shared" si="2"/>
        <v>0</v>
      </c>
      <c r="Q23" s="280"/>
    </row>
    <row r="24" ht="22.5" customHeight="1">
      <c r="A24" s="273">
        <v>33.0</v>
      </c>
      <c r="B24" s="274" t="s">
        <v>490</v>
      </c>
      <c r="C24" s="275" t="s">
        <v>67</v>
      </c>
      <c r="D24" s="276" t="s">
        <v>204</v>
      </c>
      <c r="E24" s="277" t="str">
        <f t="shared" si="16"/>
        <v/>
      </c>
      <c r="F24" s="278">
        <v>33341.0</v>
      </c>
      <c r="G24" s="279">
        <f t="shared" si="1"/>
        <v>34</v>
      </c>
      <c r="H24" s="291">
        <v>0.0</v>
      </c>
      <c r="I24" s="291">
        <v>0.0</v>
      </c>
      <c r="J24" s="280"/>
      <c r="K24" s="280"/>
      <c r="L24" s="280"/>
      <c r="M24" s="280"/>
      <c r="N24" s="280"/>
      <c r="O24" s="280"/>
      <c r="P24" s="280">
        <f t="shared" si="2"/>
        <v>0</v>
      </c>
      <c r="Q24" s="280"/>
    </row>
    <row r="25" ht="22.5" customHeight="1">
      <c r="A25" s="273">
        <v>37.0</v>
      </c>
      <c r="B25" s="274" t="s">
        <v>491</v>
      </c>
      <c r="C25" s="275" t="s">
        <v>82</v>
      </c>
      <c r="D25" s="276" t="s">
        <v>492</v>
      </c>
      <c r="E25" s="277" t="str">
        <f>IMAGE("https://flagcdn.com/w320/us.png")</f>
        <v/>
      </c>
      <c r="F25" s="278">
        <v>38768.0</v>
      </c>
      <c r="G25" s="279">
        <f t="shared" si="1"/>
        <v>19</v>
      </c>
      <c r="H25" s="291">
        <v>0.0</v>
      </c>
      <c r="I25" s="291">
        <v>0.0</v>
      </c>
      <c r="J25" s="280"/>
      <c r="K25" s="280"/>
      <c r="L25" s="280"/>
      <c r="M25" s="280"/>
      <c r="N25" s="280"/>
      <c r="O25" s="280"/>
      <c r="P25" s="280">
        <f t="shared" si="2"/>
        <v>0</v>
      </c>
      <c r="Q25" s="280"/>
    </row>
    <row r="26" ht="22.5" customHeight="1">
      <c r="A26" s="273">
        <v>39.0</v>
      </c>
      <c r="B26" s="274" t="s">
        <v>493</v>
      </c>
      <c r="C26" s="275" t="s">
        <v>70</v>
      </c>
      <c r="D26" s="276" t="s">
        <v>494</v>
      </c>
      <c r="E26" s="277" t="str">
        <f>IMAGE("https://flagcdn.com/w320/it.png")</f>
        <v/>
      </c>
      <c r="F26" s="278">
        <v>38419.0</v>
      </c>
      <c r="G26" s="279">
        <f t="shared" si="1"/>
        <v>20</v>
      </c>
      <c r="H26" s="291">
        <v>0.0</v>
      </c>
      <c r="I26" s="291">
        <v>0.0</v>
      </c>
      <c r="J26" s="280"/>
      <c r="K26" s="280"/>
      <c r="L26" s="280"/>
      <c r="M26" s="280"/>
      <c r="N26" s="280"/>
      <c r="O26" s="280"/>
      <c r="P26" s="280">
        <f t="shared" si="2"/>
        <v>0</v>
      </c>
      <c r="Q26" s="280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ht="22.5" customHeight="1">
      <c r="A27" s="273">
        <v>42.0</v>
      </c>
      <c r="B27" s="274" t="s">
        <v>495</v>
      </c>
      <c r="C27" s="275" t="s">
        <v>70</v>
      </c>
      <c r="D27" s="276" t="s">
        <v>496</v>
      </c>
      <c r="E27" s="277" t="str">
        <f t="shared" ref="E27:E28" si="17">IMAGE("https://flagcdn.com/w320/de.png")</f>
        <v/>
      </c>
      <c r="F27" s="278">
        <v>38874.0</v>
      </c>
      <c r="G27" s="279">
        <f t="shared" si="1"/>
        <v>19</v>
      </c>
      <c r="H27" s="291">
        <v>0.0</v>
      </c>
      <c r="I27" s="291">
        <v>0.0</v>
      </c>
      <c r="J27" s="280"/>
      <c r="K27" s="280"/>
      <c r="L27" s="280"/>
      <c r="M27" s="280"/>
      <c r="N27" s="280"/>
      <c r="O27" s="280"/>
      <c r="P27" s="280">
        <f t="shared" si="2"/>
        <v>0</v>
      </c>
      <c r="Q27" s="280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ht="22.5" customHeight="1">
      <c r="A28" s="282">
        <v>47.0</v>
      </c>
      <c r="B28" s="283" t="s">
        <v>497</v>
      </c>
      <c r="C28" s="284" t="s">
        <v>70</v>
      </c>
      <c r="D28" s="285" t="s">
        <v>498</v>
      </c>
      <c r="E28" s="286" t="str">
        <f t="shared" si="17"/>
        <v/>
      </c>
      <c r="F28" s="287">
        <v>39201.0</v>
      </c>
      <c r="G28" s="288">
        <f t="shared" si="1"/>
        <v>18</v>
      </c>
      <c r="H28" s="290"/>
      <c r="I28" s="290"/>
      <c r="J28" s="290"/>
      <c r="K28" s="290"/>
      <c r="L28" s="290"/>
      <c r="M28" s="290"/>
      <c r="N28" s="290"/>
      <c r="O28" s="290"/>
      <c r="P28" s="280">
        <f t="shared" si="2"/>
        <v>0</v>
      </c>
      <c r="Q28" s="290"/>
    </row>
    <row r="29">
      <c r="A29" s="11"/>
      <c r="B29" s="18"/>
      <c r="C29" s="18"/>
      <c r="D29" s="64"/>
      <c r="E29" s="65"/>
      <c r="F29" s="66"/>
      <c r="G29" s="18"/>
      <c r="H29" s="73">
        <f>SUM(H2:H28)</f>
        <v>110</v>
      </c>
      <c r="I29" s="73">
        <f>SUM(I2:I28)+67</f>
        <v>6930</v>
      </c>
      <c r="J29" s="73">
        <f t="shared" ref="J29:Q29" si="18">SUM(J2:J28)</f>
        <v>19</v>
      </c>
      <c r="K29" s="73">
        <f t="shared" si="18"/>
        <v>13</v>
      </c>
      <c r="L29" s="73">
        <f t="shared" si="18"/>
        <v>7</v>
      </c>
      <c r="M29" s="73">
        <f t="shared" si="18"/>
        <v>1</v>
      </c>
      <c r="N29" s="73">
        <f t="shared" si="18"/>
        <v>1</v>
      </c>
      <c r="O29" s="73">
        <f t="shared" si="18"/>
        <v>1</v>
      </c>
      <c r="P29" s="73">
        <f t="shared" si="18"/>
        <v>32</v>
      </c>
      <c r="Q29" s="73">
        <f t="shared" si="18"/>
        <v>0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ht="22.5" customHeight="1">
      <c r="A30" s="267" t="s">
        <v>150</v>
      </c>
      <c r="B30" s="268" t="s">
        <v>49</v>
      </c>
      <c r="C30" s="268" t="s">
        <v>265</v>
      </c>
      <c r="D30" s="292" t="s">
        <v>56</v>
      </c>
      <c r="E30" s="268" t="s">
        <v>57</v>
      </c>
      <c r="F30" s="268" t="s">
        <v>52</v>
      </c>
      <c r="G30" s="268" t="s">
        <v>53</v>
      </c>
      <c r="H30" s="268" t="s">
        <v>4</v>
      </c>
      <c r="I30" s="268" t="s">
        <v>5</v>
      </c>
      <c r="J30" s="268" t="s">
        <v>6</v>
      </c>
      <c r="K30" s="268" t="s">
        <v>7</v>
      </c>
      <c r="L30" s="268" t="s">
        <v>8</v>
      </c>
      <c r="M30" s="268" t="s">
        <v>9</v>
      </c>
      <c r="N30" s="268" t="s">
        <v>10</v>
      </c>
    </row>
    <row r="31" ht="22.5" customHeight="1">
      <c r="A31" s="293"/>
      <c r="B31" s="274" t="s">
        <v>499</v>
      </c>
      <c r="C31" s="274" t="s">
        <v>153</v>
      </c>
      <c r="D31" s="276" t="s">
        <v>111</v>
      </c>
      <c r="E31" s="277" t="str">
        <f>IMAGE("https://flagcdn.com/w320/hr.png")</f>
        <v/>
      </c>
      <c r="F31" s="278">
        <v>26221.0</v>
      </c>
      <c r="G31" s="279">
        <f>DATEDIF(F31,TODAY(),"Y")</f>
        <v>54</v>
      </c>
      <c r="H31" s="294">
        <f>L31+M31+N31</f>
        <v>7</v>
      </c>
      <c r="I31" s="294">
        <f>(3*L31)+M31</f>
        <v>11</v>
      </c>
      <c r="J31" s="294">
        <f>4+4+4+1+4+2</f>
        <v>19</v>
      </c>
      <c r="K31" s="294">
        <f>4+1+2+4+2+2</f>
        <v>15</v>
      </c>
      <c r="L31" s="295">
        <f>1+1+1</f>
        <v>3</v>
      </c>
      <c r="M31" s="296">
        <f t="shared" ref="M31:N31" si="19">1+1</f>
        <v>2</v>
      </c>
      <c r="N31" s="297">
        <f t="shared" si="19"/>
        <v>2</v>
      </c>
    </row>
    <row r="32">
      <c r="A32" s="11"/>
      <c r="B32" s="18"/>
      <c r="C32" s="18"/>
      <c r="D32" s="64"/>
      <c r="E32" s="65"/>
      <c r="F32" s="66"/>
      <c r="G32" s="18"/>
      <c r="H32" s="73">
        <f>SUM(trenerBorussia[mecze])</f>
        <v>7</v>
      </c>
      <c r="I32" s="73">
        <f>SUM(trenerBorussia[punkty])</f>
        <v>11</v>
      </c>
      <c r="J32" s="73">
        <f>SUM(trenerBorussia[strzelone])</f>
        <v>19</v>
      </c>
      <c r="K32" s="73">
        <f>SUM(trenerBorussia[stracone])</f>
        <v>15</v>
      </c>
      <c r="L32" s="73">
        <f>SUM(trenerBorussia[wygrane])</f>
        <v>3</v>
      </c>
      <c r="M32" s="73">
        <f>SUM(trenerBorussia[remisy])</f>
        <v>2</v>
      </c>
      <c r="N32" s="73">
        <f>SUM(trenerBorussia[porażki])</f>
        <v>2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ht="22.5" customHeight="1">
      <c r="A33" s="267" t="s">
        <v>156</v>
      </c>
      <c r="B33" s="267" t="s">
        <v>157</v>
      </c>
      <c r="C33" s="267" t="s">
        <v>158</v>
      </c>
      <c r="D33" s="271" t="s">
        <v>500</v>
      </c>
      <c r="E33" s="267" t="s">
        <v>160</v>
      </c>
      <c r="F33" s="267" t="s">
        <v>161</v>
      </c>
    </row>
    <row r="34" ht="22.5" customHeight="1">
      <c r="A34" s="197">
        <v>1.0</v>
      </c>
      <c r="B34" s="198" t="s">
        <v>35</v>
      </c>
      <c r="C34" s="198" t="s">
        <v>21</v>
      </c>
      <c r="D34" s="264" t="s">
        <v>501</v>
      </c>
      <c r="E34" s="265">
        <v>45751.0</v>
      </c>
      <c r="F34" s="198" t="s">
        <v>502</v>
      </c>
    </row>
    <row r="35" ht="22.5" customHeight="1">
      <c r="A35" s="86">
        <v>2.0</v>
      </c>
      <c r="B35" s="87" t="s">
        <v>21</v>
      </c>
      <c r="C35" s="87" t="s">
        <v>40</v>
      </c>
      <c r="D35" s="88" t="s">
        <v>503</v>
      </c>
      <c r="E35" s="89">
        <v>45748.0</v>
      </c>
      <c r="F35" s="87" t="s">
        <v>383</v>
      </c>
    </row>
    <row r="36" ht="22.5" customHeight="1">
      <c r="A36" s="86">
        <v>3.0</v>
      </c>
      <c r="B36" s="87" t="s">
        <v>34</v>
      </c>
      <c r="C36" s="87" t="s">
        <v>21</v>
      </c>
      <c r="D36" s="88" t="s">
        <v>504</v>
      </c>
      <c r="E36" s="89">
        <v>45692.0</v>
      </c>
      <c r="F36" s="87" t="s">
        <v>505</v>
      </c>
    </row>
    <row r="37" ht="22.5" customHeight="1">
      <c r="A37" s="77">
        <v>4.0</v>
      </c>
      <c r="B37" s="78" t="s">
        <v>23</v>
      </c>
      <c r="C37" s="78" t="s">
        <v>21</v>
      </c>
      <c r="D37" s="83" t="s">
        <v>506</v>
      </c>
      <c r="E37" s="84">
        <v>45748.0</v>
      </c>
      <c r="F37" s="78" t="s">
        <v>507</v>
      </c>
    </row>
    <row r="38" ht="22.5" customHeight="1">
      <c r="A38" s="86">
        <v>5.0</v>
      </c>
      <c r="B38" s="87" t="s">
        <v>21</v>
      </c>
      <c r="C38" s="87" t="s">
        <v>46</v>
      </c>
      <c r="D38" s="88" t="s">
        <v>508</v>
      </c>
      <c r="E38" s="161" t="s">
        <v>164</v>
      </c>
      <c r="F38" s="87" t="s">
        <v>383</v>
      </c>
    </row>
    <row r="39" ht="22.5" customHeight="1">
      <c r="A39" s="197">
        <v>6.0</v>
      </c>
      <c r="B39" s="198" t="s">
        <v>21</v>
      </c>
      <c r="C39" s="198" t="s">
        <v>44</v>
      </c>
      <c r="D39" s="264" t="s">
        <v>509</v>
      </c>
      <c r="E39" s="265">
        <v>45690.0</v>
      </c>
      <c r="F39" s="198" t="s">
        <v>383</v>
      </c>
    </row>
    <row r="40" ht="22.5" customHeight="1">
      <c r="A40" s="77">
        <v>7.0</v>
      </c>
      <c r="B40" s="78" t="s">
        <v>20</v>
      </c>
      <c r="C40" s="78" t="s">
        <v>21</v>
      </c>
      <c r="D40" s="79"/>
      <c r="E40" s="80" t="s">
        <v>271</v>
      </c>
      <c r="F40" s="78" t="s">
        <v>510</v>
      </c>
    </row>
    <row r="41" ht="22.5" customHeight="1">
      <c r="A41" s="90">
        <v>8.0</v>
      </c>
      <c r="B41" s="91" t="s">
        <v>21</v>
      </c>
      <c r="C41" s="91" t="s">
        <v>16</v>
      </c>
      <c r="D41" s="92"/>
      <c r="E41" s="93"/>
      <c r="F41" s="94" t="s">
        <v>383</v>
      </c>
    </row>
    <row r="42">
      <c r="A42" s="12"/>
      <c r="D42" s="95"/>
      <c r="E42" s="14"/>
      <c r="F42" s="96"/>
    </row>
    <row r="43">
      <c r="A43" s="12"/>
      <c r="D43" s="95"/>
      <c r="E43" s="14"/>
      <c r="F43" s="96"/>
    </row>
    <row r="44">
      <c r="A44" s="12"/>
      <c r="D44" s="95"/>
      <c r="E44" s="14"/>
      <c r="F44" s="96"/>
    </row>
    <row r="45">
      <c r="A45" s="12"/>
      <c r="D45" s="95"/>
      <c r="E45" s="14"/>
      <c r="F45" s="96"/>
    </row>
    <row r="46">
      <c r="A46" s="12"/>
      <c r="D46" s="95"/>
      <c r="E46" s="14"/>
      <c r="F46" s="96"/>
    </row>
    <row r="47">
      <c r="A47" s="12"/>
      <c r="D47" s="95"/>
      <c r="E47" s="14"/>
      <c r="F47" s="96"/>
    </row>
    <row r="48">
      <c r="A48" s="12"/>
      <c r="D48" s="95"/>
      <c r="E48" s="14"/>
      <c r="F48" s="96"/>
    </row>
    <row r="49">
      <c r="A49" s="12"/>
      <c r="D49" s="95"/>
      <c r="E49" s="14"/>
      <c r="F49" s="96"/>
    </row>
    <row r="50">
      <c r="A50" s="12"/>
      <c r="D50" s="95"/>
      <c r="E50" s="14"/>
      <c r="F50" s="96"/>
    </row>
    <row r="51">
      <c r="A51" s="12"/>
      <c r="D51" s="95"/>
      <c r="E51" s="14"/>
      <c r="F51" s="96"/>
    </row>
    <row r="52">
      <c r="A52" s="12"/>
      <c r="D52" s="95"/>
      <c r="E52" s="14"/>
      <c r="F52" s="96"/>
    </row>
    <row r="53">
      <c r="A53" s="12"/>
      <c r="D53" s="95"/>
      <c r="E53" s="14"/>
      <c r="F53" s="96"/>
    </row>
    <row r="54">
      <c r="A54" s="12"/>
      <c r="D54" s="95"/>
      <c r="E54" s="14"/>
      <c r="F54" s="96"/>
    </row>
    <row r="55">
      <c r="A55" s="12"/>
      <c r="D55" s="95"/>
      <c r="E55" s="14"/>
      <c r="F55" s="96"/>
    </row>
    <row r="56">
      <c r="A56" s="12"/>
      <c r="D56" s="95"/>
      <c r="E56" s="14"/>
      <c r="F56" s="96"/>
    </row>
    <row r="57">
      <c r="A57" s="12"/>
      <c r="D57" s="95"/>
      <c r="E57" s="14"/>
      <c r="F57" s="96"/>
    </row>
    <row r="58">
      <c r="A58" s="12"/>
      <c r="D58" s="95"/>
      <c r="E58" s="14"/>
      <c r="F58" s="96"/>
    </row>
    <row r="59">
      <c r="A59" s="12"/>
      <c r="D59" s="95"/>
      <c r="E59" s="14"/>
      <c r="F59" s="96"/>
    </row>
    <row r="60">
      <c r="A60" s="12"/>
      <c r="D60" s="95"/>
      <c r="E60" s="14"/>
      <c r="F60" s="96"/>
    </row>
    <row r="61">
      <c r="A61" s="12"/>
      <c r="D61" s="95"/>
      <c r="E61" s="14"/>
      <c r="F61" s="96"/>
    </row>
    <row r="62">
      <c r="A62" s="12"/>
      <c r="D62" s="95"/>
      <c r="E62" s="14"/>
      <c r="F62" s="96"/>
    </row>
    <row r="63">
      <c r="A63" s="12"/>
      <c r="D63" s="95"/>
      <c r="E63" s="14"/>
      <c r="F63" s="96"/>
    </row>
    <row r="64">
      <c r="A64" s="12"/>
      <c r="D64" s="95"/>
      <c r="E64" s="14"/>
      <c r="F64" s="96"/>
    </row>
    <row r="65">
      <c r="A65" s="12"/>
      <c r="D65" s="95"/>
      <c r="E65" s="14"/>
      <c r="F65" s="96"/>
    </row>
    <row r="66">
      <c r="A66" s="12"/>
      <c r="D66" s="95"/>
      <c r="E66" s="14"/>
      <c r="F66" s="96"/>
    </row>
    <row r="67">
      <c r="A67" s="12"/>
      <c r="D67" s="95"/>
      <c r="E67" s="14"/>
      <c r="F67" s="96"/>
    </row>
    <row r="68">
      <c r="A68" s="12"/>
      <c r="D68" s="95"/>
      <c r="E68" s="14"/>
      <c r="F68" s="96"/>
    </row>
    <row r="69">
      <c r="A69" s="12"/>
      <c r="D69" s="95"/>
      <c r="E69" s="14"/>
      <c r="F69" s="96"/>
    </row>
    <row r="70">
      <c r="A70" s="12"/>
      <c r="D70" s="95"/>
      <c r="E70" s="14"/>
      <c r="F70" s="96"/>
    </row>
    <row r="71">
      <c r="A71" s="12"/>
      <c r="D71" s="95"/>
      <c r="E71" s="14"/>
      <c r="F71" s="96"/>
    </row>
    <row r="72">
      <c r="A72" s="12"/>
      <c r="D72" s="95"/>
      <c r="E72" s="14"/>
      <c r="F72" s="96"/>
    </row>
    <row r="73">
      <c r="A73" s="12"/>
      <c r="D73" s="95"/>
      <c r="E73" s="14"/>
      <c r="F73" s="96"/>
    </row>
    <row r="74">
      <c r="A74" s="12"/>
      <c r="D74" s="95"/>
      <c r="E74" s="14"/>
      <c r="F74" s="96"/>
    </row>
    <row r="75">
      <c r="A75" s="12"/>
      <c r="D75" s="95"/>
      <c r="E75" s="14"/>
      <c r="F75" s="96"/>
    </row>
    <row r="76">
      <c r="A76" s="12"/>
      <c r="D76" s="95"/>
      <c r="E76" s="14"/>
      <c r="F76" s="96"/>
    </row>
    <row r="77">
      <c r="A77" s="12"/>
      <c r="D77" s="95"/>
      <c r="E77" s="14"/>
      <c r="F77" s="96"/>
    </row>
    <row r="78">
      <c r="A78" s="12"/>
      <c r="D78" s="95"/>
      <c r="E78" s="14"/>
      <c r="F78" s="96"/>
    </row>
    <row r="79">
      <c r="A79" s="12"/>
      <c r="D79" s="95"/>
      <c r="E79" s="14"/>
      <c r="F79" s="96"/>
    </row>
    <row r="80">
      <c r="A80" s="12"/>
      <c r="D80" s="95"/>
      <c r="E80" s="14"/>
      <c r="F80" s="96"/>
    </row>
    <row r="81">
      <c r="A81" s="12"/>
      <c r="D81" s="95"/>
      <c r="E81" s="14"/>
      <c r="F81" s="96"/>
    </row>
    <row r="82">
      <c r="A82" s="12"/>
      <c r="D82" s="95"/>
      <c r="E82" s="14"/>
      <c r="F82" s="96"/>
    </row>
    <row r="83">
      <c r="A83" s="12"/>
      <c r="D83" s="95"/>
      <c r="E83" s="14"/>
      <c r="F83" s="96"/>
    </row>
    <row r="84">
      <c r="A84" s="12"/>
      <c r="D84" s="95"/>
      <c r="E84" s="14"/>
      <c r="F84" s="96"/>
    </row>
    <row r="85">
      <c r="A85" s="12"/>
      <c r="D85" s="95"/>
      <c r="E85" s="14"/>
      <c r="F85" s="96"/>
    </row>
    <row r="86">
      <c r="A86" s="12"/>
      <c r="D86" s="95"/>
      <c r="E86" s="14"/>
      <c r="F86" s="96"/>
    </row>
    <row r="87">
      <c r="A87" s="12"/>
      <c r="D87" s="95"/>
      <c r="E87" s="14"/>
      <c r="F87" s="96"/>
    </row>
    <row r="88">
      <c r="A88" s="12"/>
      <c r="D88" s="95"/>
      <c r="E88" s="14"/>
      <c r="F88" s="96"/>
    </row>
    <row r="89">
      <c r="A89" s="12"/>
      <c r="D89" s="95"/>
      <c r="E89" s="14"/>
      <c r="F89" s="96"/>
    </row>
    <row r="90">
      <c r="A90" s="12"/>
      <c r="D90" s="95"/>
      <c r="E90" s="14"/>
      <c r="F90" s="96"/>
    </row>
    <row r="91">
      <c r="A91" s="12"/>
      <c r="D91" s="95"/>
      <c r="E91" s="14"/>
      <c r="F91" s="96"/>
    </row>
    <row r="92">
      <c r="A92" s="12"/>
      <c r="D92" s="95"/>
      <c r="E92" s="14"/>
      <c r="F92" s="96"/>
    </row>
    <row r="93">
      <c r="A93" s="12"/>
      <c r="D93" s="95"/>
      <c r="E93" s="14"/>
      <c r="F93" s="96"/>
    </row>
    <row r="94">
      <c r="A94" s="12"/>
      <c r="D94" s="95"/>
      <c r="E94" s="14"/>
      <c r="F94" s="96"/>
    </row>
    <row r="95">
      <c r="A95" s="12"/>
      <c r="D95" s="95"/>
      <c r="E95" s="14"/>
      <c r="F95" s="96"/>
    </row>
    <row r="96">
      <c r="A96" s="12"/>
      <c r="D96" s="95"/>
      <c r="E96" s="14"/>
      <c r="F96" s="96"/>
    </row>
    <row r="97">
      <c r="A97" s="12"/>
      <c r="D97" s="95"/>
      <c r="E97" s="14"/>
      <c r="F97" s="96"/>
    </row>
    <row r="98">
      <c r="A98" s="12"/>
      <c r="D98" s="95"/>
      <c r="E98" s="14"/>
      <c r="F98" s="96"/>
    </row>
    <row r="99">
      <c r="A99" s="12"/>
      <c r="D99" s="95"/>
      <c r="E99" s="14"/>
      <c r="F99" s="96"/>
    </row>
    <row r="100">
      <c r="A100" s="12"/>
      <c r="D100" s="95"/>
      <c r="E100" s="14"/>
      <c r="F100" s="96"/>
    </row>
    <row r="101">
      <c r="A101" s="12"/>
      <c r="D101" s="95"/>
      <c r="E101" s="14"/>
      <c r="F101" s="96"/>
    </row>
    <row r="102">
      <c r="A102" s="12"/>
      <c r="D102" s="95"/>
      <c r="E102" s="14"/>
      <c r="F102" s="96"/>
    </row>
    <row r="103">
      <c r="A103" s="12"/>
      <c r="D103" s="95"/>
      <c r="E103" s="14"/>
      <c r="F103" s="96"/>
    </row>
    <row r="104">
      <c r="A104" s="12"/>
      <c r="D104" s="95"/>
      <c r="E104" s="14"/>
      <c r="F104" s="96"/>
    </row>
    <row r="105">
      <c r="A105" s="12"/>
      <c r="D105" s="95"/>
      <c r="E105" s="14"/>
      <c r="F105" s="96"/>
    </row>
    <row r="106">
      <c r="A106" s="12"/>
      <c r="D106" s="95"/>
      <c r="E106" s="14"/>
      <c r="F106" s="96"/>
    </row>
    <row r="107">
      <c r="A107" s="12"/>
      <c r="D107" s="95"/>
      <c r="E107" s="14"/>
      <c r="F107" s="96"/>
    </row>
    <row r="108">
      <c r="A108" s="12"/>
      <c r="D108" s="95"/>
      <c r="E108" s="14"/>
      <c r="F108" s="96"/>
    </row>
    <row r="109">
      <c r="A109" s="12"/>
      <c r="D109" s="95"/>
      <c r="E109" s="14"/>
      <c r="F109" s="96"/>
    </row>
    <row r="110">
      <c r="A110" s="12"/>
      <c r="D110" s="95"/>
      <c r="E110" s="14"/>
      <c r="F110" s="96"/>
    </row>
    <row r="111">
      <c r="A111" s="12"/>
      <c r="D111" s="95"/>
      <c r="E111" s="14"/>
      <c r="F111" s="96"/>
    </row>
    <row r="112">
      <c r="A112" s="12"/>
      <c r="D112" s="95"/>
      <c r="E112" s="14"/>
      <c r="F112" s="96"/>
    </row>
    <row r="113">
      <c r="A113" s="12"/>
      <c r="D113" s="95"/>
      <c r="E113" s="14"/>
      <c r="F113" s="96"/>
    </row>
    <row r="114">
      <c r="A114" s="12"/>
      <c r="D114" s="95"/>
      <c r="E114" s="14"/>
      <c r="F114" s="96"/>
    </row>
    <row r="115">
      <c r="A115" s="12"/>
      <c r="D115" s="95"/>
      <c r="E115" s="14"/>
      <c r="F115" s="96"/>
    </row>
    <row r="116">
      <c r="A116" s="12"/>
      <c r="D116" s="95"/>
      <c r="E116" s="14"/>
      <c r="F116" s="96"/>
    </row>
    <row r="117">
      <c r="A117" s="12"/>
      <c r="D117" s="95"/>
      <c r="E117" s="14"/>
      <c r="F117" s="96"/>
    </row>
    <row r="118">
      <c r="A118" s="12"/>
      <c r="D118" s="95"/>
      <c r="E118" s="14"/>
      <c r="F118" s="96"/>
    </row>
    <row r="119">
      <c r="A119" s="12"/>
      <c r="D119" s="95"/>
      <c r="E119" s="14"/>
      <c r="F119" s="96"/>
    </row>
    <row r="120">
      <c r="A120" s="12"/>
      <c r="D120" s="95"/>
      <c r="E120" s="14"/>
      <c r="F120" s="96"/>
    </row>
    <row r="121">
      <c r="A121" s="12"/>
      <c r="D121" s="95"/>
      <c r="E121" s="14"/>
      <c r="F121" s="96"/>
    </row>
    <row r="122">
      <c r="A122" s="12"/>
      <c r="D122" s="95"/>
      <c r="E122" s="14"/>
      <c r="F122" s="96"/>
    </row>
    <row r="123">
      <c r="A123" s="12"/>
      <c r="D123" s="95"/>
      <c r="E123" s="14"/>
      <c r="F123" s="96"/>
    </row>
    <row r="124">
      <c r="A124" s="12"/>
      <c r="D124" s="95"/>
      <c r="E124" s="14"/>
      <c r="F124" s="96"/>
    </row>
    <row r="125">
      <c r="A125" s="12"/>
      <c r="D125" s="95"/>
      <c r="E125" s="14"/>
      <c r="F125" s="96"/>
    </row>
    <row r="126">
      <c r="A126" s="12"/>
      <c r="D126" s="95"/>
      <c r="E126" s="14"/>
      <c r="F126" s="96"/>
    </row>
    <row r="127">
      <c r="A127" s="12"/>
      <c r="D127" s="95"/>
      <c r="E127" s="14"/>
      <c r="F127" s="96"/>
    </row>
    <row r="128">
      <c r="A128" s="12"/>
      <c r="D128" s="95"/>
      <c r="E128" s="14"/>
      <c r="F128" s="96"/>
    </row>
    <row r="129">
      <c r="A129" s="12"/>
      <c r="D129" s="95"/>
      <c r="E129" s="14"/>
      <c r="F129" s="96"/>
    </row>
    <row r="130">
      <c r="A130" s="12"/>
      <c r="D130" s="95"/>
      <c r="E130" s="14"/>
      <c r="F130" s="96"/>
    </row>
    <row r="131">
      <c r="A131" s="12"/>
      <c r="D131" s="95"/>
      <c r="E131" s="14"/>
      <c r="F131" s="96"/>
    </row>
    <row r="132">
      <c r="A132" s="12"/>
      <c r="D132" s="95"/>
      <c r="E132" s="14"/>
      <c r="F132" s="96"/>
    </row>
    <row r="133">
      <c r="A133" s="12"/>
      <c r="D133" s="95"/>
      <c r="E133" s="14"/>
      <c r="F133" s="96"/>
    </row>
    <row r="134">
      <c r="A134" s="12"/>
      <c r="D134" s="95"/>
      <c r="E134" s="14"/>
      <c r="F134" s="96"/>
    </row>
    <row r="135">
      <c r="A135" s="12"/>
      <c r="D135" s="95"/>
      <c r="E135" s="14"/>
      <c r="F135" s="96"/>
    </row>
    <row r="136">
      <c r="A136" s="12"/>
      <c r="D136" s="95"/>
      <c r="E136" s="14"/>
      <c r="F136" s="96"/>
    </row>
    <row r="137">
      <c r="A137" s="12"/>
      <c r="D137" s="95"/>
      <c r="E137" s="14"/>
      <c r="F137" s="96"/>
    </row>
    <row r="138">
      <c r="A138" s="12"/>
      <c r="D138" s="95"/>
      <c r="E138" s="14"/>
      <c r="F138" s="96"/>
    </row>
    <row r="139">
      <c r="A139" s="12"/>
      <c r="D139" s="95"/>
      <c r="E139" s="14"/>
      <c r="F139" s="96"/>
    </row>
    <row r="140">
      <c r="A140" s="12"/>
      <c r="D140" s="95"/>
      <c r="E140" s="14"/>
      <c r="F140" s="96"/>
    </row>
    <row r="141">
      <c r="A141" s="12"/>
      <c r="D141" s="95"/>
      <c r="E141" s="14"/>
      <c r="F141" s="96"/>
    </row>
    <row r="142">
      <c r="A142" s="12"/>
      <c r="D142" s="95"/>
      <c r="E142" s="14"/>
      <c r="F142" s="96"/>
    </row>
    <row r="143">
      <c r="A143" s="12"/>
      <c r="D143" s="95"/>
      <c r="E143" s="14"/>
      <c r="F143" s="96"/>
    </row>
    <row r="144">
      <c r="A144" s="12"/>
      <c r="D144" s="95"/>
      <c r="E144" s="14"/>
      <c r="F144" s="96"/>
    </row>
    <row r="145">
      <c r="A145" s="12"/>
      <c r="D145" s="95"/>
      <c r="E145" s="14"/>
      <c r="F145" s="96"/>
    </row>
    <row r="146">
      <c r="A146" s="12"/>
      <c r="D146" s="95"/>
      <c r="E146" s="14"/>
      <c r="F146" s="96"/>
    </row>
    <row r="147">
      <c r="A147" s="12"/>
      <c r="D147" s="95"/>
      <c r="E147" s="14"/>
      <c r="F147" s="96"/>
    </row>
    <row r="148">
      <c r="A148" s="12"/>
      <c r="D148" s="95"/>
      <c r="E148" s="14"/>
      <c r="F148" s="96"/>
    </row>
    <row r="149">
      <c r="A149" s="12"/>
      <c r="D149" s="95"/>
      <c r="E149" s="14"/>
      <c r="F149" s="96"/>
    </row>
    <row r="150">
      <c r="A150" s="12"/>
      <c r="D150" s="95"/>
      <c r="E150" s="14"/>
      <c r="F150" s="96"/>
    </row>
    <row r="151">
      <c r="A151" s="12"/>
      <c r="D151" s="95"/>
      <c r="E151" s="14"/>
      <c r="F151" s="96"/>
    </row>
    <row r="152">
      <c r="A152" s="12"/>
      <c r="D152" s="95"/>
      <c r="E152" s="14"/>
      <c r="F152" s="96"/>
    </row>
    <row r="153">
      <c r="A153" s="12"/>
      <c r="D153" s="95"/>
      <c r="E153" s="14"/>
      <c r="F153" s="96"/>
    </row>
    <row r="154">
      <c r="A154" s="12"/>
      <c r="D154" s="95"/>
      <c r="E154" s="14"/>
      <c r="F154" s="96"/>
    </row>
    <row r="155">
      <c r="A155" s="12"/>
      <c r="D155" s="95"/>
      <c r="E155" s="14"/>
      <c r="F155" s="96"/>
    </row>
    <row r="156">
      <c r="A156" s="12"/>
      <c r="D156" s="95"/>
      <c r="E156" s="14"/>
      <c r="F156" s="96"/>
    </row>
    <row r="157">
      <c r="A157" s="12"/>
      <c r="D157" s="95"/>
      <c r="E157" s="14"/>
      <c r="F157" s="96"/>
    </row>
    <row r="158">
      <c r="A158" s="12"/>
      <c r="D158" s="95"/>
      <c r="E158" s="14"/>
      <c r="F158" s="96"/>
    </row>
    <row r="159">
      <c r="A159" s="12"/>
      <c r="D159" s="95"/>
      <c r="E159" s="14"/>
      <c r="F159" s="96"/>
    </row>
    <row r="160">
      <c r="A160" s="12"/>
      <c r="D160" s="95"/>
      <c r="E160" s="14"/>
      <c r="F160" s="96"/>
    </row>
    <row r="161">
      <c r="A161" s="12"/>
      <c r="D161" s="95"/>
      <c r="E161" s="14"/>
      <c r="F161" s="96"/>
    </row>
    <row r="162">
      <c r="A162" s="12"/>
      <c r="D162" s="95"/>
      <c r="E162" s="14"/>
      <c r="F162" s="96"/>
    </row>
    <row r="163">
      <c r="A163" s="12"/>
      <c r="D163" s="95"/>
      <c r="E163" s="14"/>
      <c r="F163" s="96"/>
    </row>
    <row r="164">
      <c r="A164" s="12"/>
      <c r="D164" s="95"/>
      <c r="E164" s="14"/>
      <c r="F164" s="96"/>
    </row>
    <row r="165">
      <c r="A165" s="12"/>
      <c r="D165" s="95"/>
      <c r="E165" s="14"/>
      <c r="F165" s="96"/>
    </row>
    <row r="166">
      <c r="A166" s="12"/>
      <c r="D166" s="95"/>
      <c r="E166" s="14"/>
      <c r="F166" s="96"/>
    </row>
    <row r="167">
      <c r="A167" s="12"/>
      <c r="D167" s="95"/>
      <c r="E167" s="14"/>
      <c r="F167" s="96"/>
    </row>
    <row r="168">
      <c r="A168" s="12"/>
      <c r="D168" s="95"/>
      <c r="E168" s="14"/>
      <c r="F168" s="96"/>
    </row>
    <row r="169">
      <c r="A169" s="12"/>
      <c r="D169" s="95"/>
      <c r="E169" s="14"/>
      <c r="F169" s="96"/>
    </row>
    <row r="170">
      <c r="A170" s="12"/>
      <c r="D170" s="95"/>
      <c r="E170" s="14"/>
      <c r="F170" s="96"/>
    </row>
    <row r="171">
      <c r="A171" s="12"/>
      <c r="D171" s="95"/>
      <c r="E171" s="14"/>
      <c r="F171" s="96"/>
    </row>
    <row r="172">
      <c r="A172" s="12"/>
      <c r="D172" s="95"/>
      <c r="E172" s="14"/>
      <c r="F172" s="96"/>
    </row>
    <row r="173">
      <c r="A173" s="12"/>
      <c r="D173" s="95"/>
      <c r="E173" s="14"/>
      <c r="F173" s="96"/>
    </row>
    <row r="174">
      <c r="A174" s="12"/>
      <c r="D174" s="95"/>
      <c r="E174" s="14"/>
      <c r="F174" s="96"/>
    </row>
    <row r="175">
      <c r="A175" s="12"/>
      <c r="D175" s="95"/>
      <c r="E175" s="14"/>
      <c r="F175" s="96"/>
    </row>
    <row r="176">
      <c r="A176" s="12"/>
      <c r="D176" s="95"/>
      <c r="E176" s="14"/>
      <c r="F176" s="96"/>
    </row>
    <row r="177">
      <c r="A177" s="12"/>
      <c r="D177" s="95"/>
      <c r="E177" s="14"/>
      <c r="F177" s="96"/>
    </row>
    <row r="178">
      <c r="A178" s="12"/>
      <c r="D178" s="95"/>
      <c r="E178" s="14"/>
      <c r="F178" s="96"/>
    </row>
    <row r="179">
      <c r="A179" s="12"/>
      <c r="D179" s="95"/>
      <c r="E179" s="14"/>
      <c r="F179" s="96"/>
    </row>
    <row r="180">
      <c r="A180" s="12"/>
      <c r="D180" s="95"/>
      <c r="E180" s="14"/>
      <c r="F180" s="96"/>
    </row>
    <row r="181">
      <c r="A181" s="12"/>
      <c r="D181" s="95"/>
      <c r="E181" s="14"/>
      <c r="F181" s="96"/>
    </row>
    <row r="182">
      <c r="A182" s="12"/>
      <c r="D182" s="95"/>
      <c r="E182" s="14"/>
      <c r="F182" s="96"/>
    </row>
    <row r="183">
      <c r="A183" s="12"/>
      <c r="D183" s="95"/>
      <c r="E183" s="14"/>
      <c r="F183" s="96"/>
    </row>
    <row r="184">
      <c r="A184" s="12"/>
      <c r="D184" s="95"/>
      <c r="E184" s="14"/>
      <c r="F184" s="96"/>
    </row>
    <row r="185">
      <c r="A185" s="12"/>
      <c r="D185" s="95"/>
      <c r="E185" s="14"/>
      <c r="F185" s="96"/>
    </row>
    <row r="186">
      <c r="A186" s="12"/>
      <c r="D186" s="95"/>
      <c r="E186" s="14"/>
      <c r="F186" s="96"/>
    </row>
    <row r="187">
      <c r="A187" s="12"/>
      <c r="D187" s="95"/>
      <c r="E187" s="14"/>
      <c r="F187" s="96"/>
    </row>
    <row r="188">
      <c r="A188" s="12"/>
      <c r="D188" s="95"/>
      <c r="E188" s="14"/>
      <c r="F188" s="96"/>
    </row>
    <row r="189">
      <c r="A189" s="12"/>
      <c r="D189" s="95"/>
      <c r="E189" s="14"/>
      <c r="F189" s="96"/>
    </row>
    <row r="190">
      <c r="A190" s="12"/>
      <c r="D190" s="95"/>
      <c r="E190" s="14"/>
      <c r="F190" s="96"/>
    </row>
    <row r="191">
      <c r="A191" s="12"/>
      <c r="D191" s="95"/>
      <c r="E191" s="14"/>
      <c r="F191" s="96"/>
    </row>
    <row r="192">
      <c r="A192" s="12"/>
      <c r="D192" s="95"/>
      <c r="E192" s="14"/>
      <c r="F192" s="96"/>
    </row>
    <row r="193">
      <c r="A193" s="12"/>
      <c r="D193" s="95"/>
      <c r="E193" s="14"/>
      <c r="F193" s="96"/>
    </row>
    <row r="194">
      <c r="A194" s="12"/>
      <c r="D194" s="95"/>
      <c r="E194" s="14"/>
      <c r="F194" s="96"/>
    </row>
    <row r="195">
      <c r="A195" s="12"/>
      <c r="D195" s="95"/>
      <c r="E195" s="14"/>
      <c r="F195" s="96"/>
    </row>
    <row r="196">
      <c r="A196" s="12"/>
      <c r="D196" s="95"/>
      <c r="E196" s="14"/>
      <c r="F196" s="96"/>
    </row>
    <row r="197">
      <c r="A197" s="12"/>
      <c r="D197" s="95"/>
      <c r="E197" s="14"/>
      <c r="F197" s="96"/>
    </row>
    <row r="198">
      <c r="A198" s="12"/>
      <c r="D198" s="95"/>
      <c r="E198" s="14"/>
      <c r="F198" s="96"/>
    </row>
    <row r="199">
      <c r="A199" s="12"/>
      <c r="D199" s="95"/>
      <c r="E199" s="14"/>
      <c r="F199" s="96"/>
    </row>
    <row r="200">
      <c r="A200" s="12"/>
      <c r="D200" s="95"/>
      <c r="E200" s="14"/>
      <c r="F200" s="96"/>
    </row>
    <row r="201">
      <c r="A201" s="12"/>
      <c r="D201" s="95"/>
      <c r="E201" s="14"/>
      <c r="F201" s="96"/>
    </row>
    <row r="202">
      <c r="A202" s="12"/>
      <c r="D202" s="95"/>
      <c r="E202" s="14"/>
      <c r="F202" s="96"/>
    </row>
    <row r="203">
      <c r="A203" s="12"/>
      <c r="D203" s="95"/>
      <c r="E203" s="14"/>
      <c r="F203" s="96"/>
    </row>
    <row r="204">
      <c r="A204" s="12"/>
      <c r="D204" s="95"/>
      <c r="E204" s="14"/>
      <c r="F204" s="96"/>
    </row>
    <row r="205">
      <c r="A205" s="12"/>
      <c r="D205" s="95"/>
      <c r="E205" s="14"/>
      <c r="F205" s="96"/>
    </row>
    <row r="206">
      <c r="A206" s="12"/>
      <c r="D206" s="95"/>
      <c r="E206" s="14"/>
      <c r="F206" s="96"/>
    </row>
    <row r="207">
      <c r="A207" s="12"/>
      <c r="D207" s="95"/>
      <c r="E207" s="14"/>
      <c r="F207" s="96"/>
    </row>
    <row r="208">
      <c r="A208" s="12"/>
      <c r="D208" s="95"/>
      <c r="E208" s="14"/>
      <c r="F208" s="96"/>
    </row>
    <row r="209">
      <c r="A209" s="12"/>
      <c r="D209" s="95"/>
      <c r="E209" s="14"/>
      <c r="F209" s="96"/>
    </row>
    <row r="210">
      <c r="A210" s="12"/>
      <c r="D210" s="95"/>
      <c r="E210" s="14"/>
      <c r="F210" s="96"/>
    </row>
    <row r="211">
      <c r="A211" s="12"/>
      <c r="D211" s="95"/>
      <c r="E211" s="14"/>
      <c r="F211" s="96"/>
    </row>
    <row r="212">
      <c r="A212" s="12"/>
      <c r="D212" s="95"/>
      <c r="E212" s="14"/>
      <c r="F212" s="96"/>
    </row>
    <row r="213">
      <c r="A213" s="12"/>
      <c r="D213" s="95"/>
      <c r="E213" s="14"/>
      <c r="F213" s="96"/>
    </row>
    <row r="214">
      <c r="A214" s="12"/>
      <c r="D214" s="95"/>
      <c r="E214" s="14"/>
      <c r="F214" s="96"/>
    </row>
    <row r="215">
      <c r="A215" s="12"/>
      <c r="D215" s="95"/>
      <c r="E215" s="14"/>
      <c r="F215" s="96"/>
    </row>
    <row r="216">
      <c r="A216" s="12"/>
      <c r="D216" s="95"/>
      <c r="E216" s="14"/>
      <c r="F216" s="96"/>
    </row>
    <row r="217">
      <c r="A217" s="12"/>
      <c r="D217" s="95"/>
      <c r="E217" s="14"/>
      <c r="F217" s="96"/>
    </row>
    <row r="218">
      <c r="A218" s="12"/>
      <c r="D218" s="95"/>
      <c r="E218" s="14"/>
      <c r="F218" s="96"/>
    </row>
    <row r="219">
      <c r="A219" s="12"/>
      <c r="D219" s="95"/>
      <c r="E219" s="14"/>
      <c r="F219" s="96"/>
    </row>
    <row r="220">
      <c r="A220" s="12"/>
      <c r="D220" s="95"/>
      <c r="E220" s="14"/>
      <c r="F220" s="96"/>
    </row>
    <row r="221">
      <c r="A221" s="12"/>
      <c r="D221" s="95"/>
      <c r="E221" s="14"/>
      <c r="F221" s="96"/>
    </row>
    <row r="222">
      <c r="A222" s="12"/>
      <c r="D222" s="95"/>
      <c r="E222" s="14"/>
      <c r="F222" s="96"/>
    </row>
    <row r="223">
      <c r="A223" s="12"/>
      <c r="D223" s="95"/>
      <c r="E223" s="14"/>
      <c r="F223" s="96"/>
    </row>
    <row r="224">
      <c r="A224" s="12"/>
      <c r="D224" s="95"/>
      <c r="E224" s="14"/>
      <c r="F224" s="96"/>
    </row>
    <row r="225">
      <c r="A225" s="12"/>
      <c r="D225" s="95"/>
      <c r="E225" s="14"/>
      <c r="F225" s="96"/>
    </row>
    <row r="226">
      <c r="A226" s="12"/>
      <c r="D226" s="95"/>
      <c r="E226" s="14"/>
      <c r="F226" s="96"/>
    </row>
    <row r="227">
      <c r="A227" s="12"/>
      <c r="D227" s="95"/>
      <c r="E227" s="14"/>
      <c r="F227" s="96"/>
    </row>
    <row r="228">
      <c r="A228" s="12"/>
      <c r="D228" s="95"/>
      <c r="E228" s="14"/>
      <c r="F228" s="96"/>
    </row>
    <row r="229">
      <c r="A229" s="12"/>
      <c r="D229" s="95"/>
      <c r="E229" s="14"/>
      <c r="F229" s="96"/>
    </row>
    <row r="230">
      <c r="A230" s="12"/>
      <c r="D230" s="95"/>
      <c r="E230" s="14"/>
      <c r="F230" s="96"/>
    </row>
    <row r="231">
      <c r="A231" s="12"/>
      <c r="D231" s="95"/>
      <c r="E231" s="14"/>
      <c r="F231" s="96"/>
    </row>
    <row r="232">
      <c r="A232" s="12"/>
      <c r="D232" s="95"/>
      <c r="E232" s="14"/>
      <c r="F232" s="96"/>
    </row>
    <row r="233">
      <c r="A233" s="12"/>
      <c r="D233" s="95"/>
      <c r="E233" s="14"/>
      <c r="F233" s="96"/>
    </row>
    <row r="234">
      <c r="A234" s="12"/>
      <c r="D234" s="95"/>
      <c r="E234" s="14"/>
      <c r="F234" s="96"/>
    </row>
    <row r="235">
      <c r="A235" s="12"/>
      <c r="D235" s="95"/>
      <c r="E235" s="14"/>
      <c r="F235" s="96"/>
    </row>
    <row r="236">
      <c r="A236" s="12"/>
      <c r="D236" s="95"/>
      <c r="E236" s="14"/>
      <c r="F236" s="96"/>
    </row>
    <row r="237">
      <c r="A237" s="12"/>
      <c r="D237" s="95"/>
      <c r="E237" s="14"/>
      <c r="F237" s="96"/>
    </row>
    <row r="238">
      <c r="A238" s="12"/>
      <c r="D238" s="95"/>
      <c r="E238" s="14"/>
      <c r="F238" s="96"/>
    </row>
    <row r="239">
      <c r="A239" s="12"/>
      <c r="D239" s="95"/>
      <c r="E239" s="14"/>
      <c r="F239" s="96"/>
    </row>
    <row r="240">
      <c r="A240" s="12"/>
      <c r="D240" s="95"/>
      <c r="E240" s="14"/>
      <c r="F240" s="96"/>
    </row>
    <row r="241">
      <c r="A241" s="12"/>
      <c r="D241" s="95"/>
      <c r="E241" s="14"/>
      <c r="F241" s="96"/>
    </row>
    <row r="242">
      <c r="A242" s="12"/>
      <c r="D242" s="95"/>
      <c r="E242" s="14"/>
      <c r="F242" s="96"/>
    </row>
    <row r="243">
      <c r="A243" s="12"/>
      <c r="D243" s="95"/>
      <c r="E243" s="14"/>
      <c r="F243" s="96"/>
    </row>
    <row r="244">
      <c r="A244" s="12"/>
      <c r="D244" s="95"/>
      <c r="E244" s="14"/>
      <c r="F244" s="96"/>
    </row>
    <row r="245">
      <c r="A245" s="12"/>
      <c r="D245" s="95"/>
      <c r="E245" s="14"/>
      <c r="F245" s="96"/>
    </row>
    <row r="246">
      <c r="A246" s="12"/>
      <c r="D246" s="95"/>
      <c r="E246" s="14"/>
      <c r="F246" s="96"/>
    </row>
    <row r="247">
      <c r="A247" s="12"/>
      <c r="D247" s="95"/>
      <c r="E247" s="14"/>
      <c r="F247" s="96"/>
    </row>
    <row r="248">
      <c r="A248" s="12"/>
      <c r="D248" s="95"/>
      <c r="E248" s="14"/>
      <c r="F248" s="96"/>
    </row>
    <row r="249">
      <c r="A249" s="12"/>
      <c r="D249" s="95"/>
      <c r="E249" s="14"/>
      <c r="F249" s="96"/>
    </row>
    <row r="250">
      <c r="A250" s="12"/>
      <c r="D250" s="95"/>
      <c r="E250" s="14"/>
      <c r="F250" s="96"/>
    </row>
    <row r="251">
      <c r="A251" s="12"/>
      <c r="D251" s="95"/>
      <c r="E251" s="14"/>
      <c r="F251" s="96"/>
    </row>
    <row r="252">
      <c r="A252" s="12"/>
      <c r="D252" s="95"/>
      <c r="E252" s="14"/>
      <c r="F252" s="96"/>
    </row>
    <row r="253">
      <c r="A253" s="12"/>
      <c r="D253" s="95"/>
      <c r="E253" s="14"/>
      <c r="F253" s="96"/>
    </row>
    <row r="254">
      <c r="A254" s="12"/>
      <c r="D254" s="95"/>
      <c r="E254" s="14"/>
      <c r="F254" s="96"/>
    </row>
    <row r="255">
      <c r="A255" s="12"/>
      <c r="D255" s="95"/>
      <c r="E255" s="14"/>
      <c r="F255" s="96"/>
    </row>
    <row r="256">
      <c r="A256" s="12"/>
      <c r="D256" s="95"/>
      <c r="E256" s="14"/>
      <c r="F256" s="96"/>
    </row>
    <row r="257">
      <c r="A257" s="12"/>
      <c r="D257" s="95"/>
      <c r="E257" s="14"/>
      <c r="F257" s="96"/>
    </row>
    <row r="258">
      <c r="A258" s="12"/>
      <c r="D258" s="95"/>
      <c r="E258" s="14"/>
      <c r="F258" s="96"/>
    </row>
    <row r="259">
      <c r="A259" s="12"/>
      <c r="D259" s="95"/>
      <c r="E259" s="14"/>
      <c r="F259" s="96"/>
    </row>
    <row r="260">
      <c r="A260" s="12"/>
      <c r="D260" s="95"/>
      <c r="E260" s="14"/>
      <c r="F260" s="96"/>
    </row>
    <row r="261">
      <c r="A261" s="12"/>
      <c r="D261" s="95"/>
      <c r="E261" s="14"/>
      <c r="F261" s="96"/>
    </row>
    <row r="262">
      <c r="A262" s="12"/>
      <c r="D262" s="95"/>
      <c r="E262" s="14"/>
      <c r="F262" s="96"/>
    </row>
    <row r="263">
      <c r="A263" s="12"/>
      <c r="D263" s="95"/>
      <c r="E263" s="14"/>
      <c r="F263" s="96"/>
    </row>
    <row r="264">
      <c r="A264" s="12"/>
      <c r="D264" s="95"/>
      <c r="E264" s="14"/>
      <c r="F264" s="96"/>
    </row>
    <row r="265">
      <c r="A265" s="12"/>
      <c r="D265" s="95"/>
      <c r="E265" s="14"/>
      <c r="F265" s="96"/>
    </row>
    <row r="266">
      <c r="A266" s="12"/>
      <c r="D266" s="95"/>
      <c r="E266" s="14"/>
      <c r="F266" s="96"/>
    </row>
    <row r="267">
      <c r="A267" s="12"/>
      <c r="D267" s="95"/>
      <c r="E267" s="14"/>
      <c r="F267" s="96"/>
    </row>
    <row r="268">
      <c r="A268" s="12"/>
      <c r="D268" s="95"/>
      <c r="E268" s="14"/>
      <c r="F268" s="96"/>
    </row>
    <row r="269">
      <c r="A269" s="12"/>
      <c r="D269" s="95"/>
      <c r="E269" s="14"/>
      <c r="F269" s="96"/>
    </row>
    <row r="270">
      <c r="A270" s="12"/>
      <c r="D270" s="95"/>
      <c r="E270" s="14"/>
      <c r="F270" s="96"/>
    </row>
    <row r="271">
      <c r="A271" s="12"/>
      <c r="D271" s="95"/>
      <c r="E271" s="14"/>
      <c r="F271" s="96"/>
    </row>
    <row r="272">
      <c r="A272" s="12"/>
      <c r="D272" s="95"/>
      <c r="E272" s="14"/>
      <c r="F272" s="96"/>
    </row>
    <row r="273">
      <c r="A273" s="12"/>
      <c r="D273" s="95"/>
      <c r="E273" s="14"/>
      <c r="F273" s="96"/>
    </row>
    <row r="274">
      <c r="A274" s="12"/>
      <c r="D274" s="95"/>
      <c r="E274" s="14"/>
      <c r="F274" s="96"/>
    </row>
    <row r="275">
      <c r="A275" s="12"/>
      <c r="D275" s="95"/>
      <c r="E275" s="14"/>
      <c r="F275" s="96"/>
    </row>
    <row r="276">
      <c r="A276" s="12"/>
      <c r="D276" s="95"/>
      <c r="E276" s="14"/>
      <c r="F276" s="96"/>
    </row>
    <row r="277">
      <c r="A277" s="12"/>
      <c r="D277" s="95"/>
      <c r="E277" s="14"/>
      <c r="F277" s="96"/>
    </row>
    <row r="278">
      <c r="A278" s="12"/>
      <c r="D278" s="95"/>
      <c r="E278" s="14"/>
      <c r="F278" s="96"/>
    </row>
    <row r="279">
      <c r="A279" s="12"/>
      <c r="D279" s="95"/>
      <c r="E279" s="14"/>
      <c r="F279" s="96"/>
    </row>
    <row r="280">
      <c r="A280" s="12"/>
      <c r="D280" s="95"/>
      <c r="E280" s="14"/>
      <c r="F280" s="96"/>
    </row>
    <row r="281">
      <c r="A281" s="12"/>
      <c r="D281" s="95"/>
      <c r="E281" s="14"/>
      <c r="F281" s="96"/>
    </row>
    <row r="282">
      <c r="A282" s="12"/>
      <c r="D282" s="95"/>
      <c r="E282" s="14"/>
      <c r="F282" s="96"/>
    </row>
    <row r="283">
      <c r="A283" s="12"/>
      <c r="D283" s="95"/>
      <c r="E283" s="14"/>
      <c r="F283" s="96"/>
    </row>
    <row r="284">
      <c r="A284" s="12"/>
      <c r="D284" s="95"/>
      <c r="E284" s="14"/>
      <c r="F284" s="96"/>
    </row>
    <row r="285">
      <c r="A285" s="12"/>
      <c r="D285" s="95"/>
      <c r="E285" s="14"/>
      <c r="F285" s="96"/>
    </row>
    <row r="286">
      <c r="A286" s="12"/>
      <c r="D286" s="95"/>
      <c r="E286" s="14"/>
      <c r="F286" s="96"/>
    </row>
    <row r="287">
      <c r="A287" s="12"/>
      <c r="D287" s="95"/>
      <c r="E287" s="14"/>
      <c r="F287" s="96"/>
    </row>
    <row r="288">
      <c r="A288" s="12"/>
      <c r="D288" s="95"/>
      <c r="E288" s="14"/>
      <c r="F288" s="96"/>
    </row>
    <row r="289">
      <c r="A289" s="12"/>
      <c r="D289" s="95"/>
      <c r="E289" s="14"/>
      <c r="F289" s="96"/>
    </row>
    <row r="290">
      <c r="A290" s="12"/>
      <c r="D290" s="95"/>
      <c r="E290" s="14"/>
      <c r="F290" s="96"/>
    </row>
    <row r="291">
      <c r="A291" s="12"/>
      <c r="D291" s="95"/>
      <c r="E291" s="14"/>
      <c r="F291" s="96"/>
    </row>
    <row r="292">
      <c r="A292" s="12"/>
      <c r="D292" s="95"/>
      <c r="E292" s="14"/>
      <c r="F292" s="96"/>
    </row>
    <row r="293">
      <c r="A293" s="12"/>
      <c r="D293" s="95"/>
      <c r="E293" s="14"/>
      <c r="F293" s="96"/>
    </row>
    <row r="294">
      <c r="A294" s="12"/>
      <c r="D294" s="95"/>
      <c r="E294" s="14"/>
      <c r="F294" s="96"/>
    </row>
    <row r="295">
      <c r="A295" s="12"/>
      <c r="D295" s="95"/>
      <c r="E295" s="14"/>
      <c r="F295" s="96"/>
    </row>
    <row r="296">
      <c r="A296" s="12"/>
      <c r="D296" s="95"/>
      <c r="E296" s="14"/>
      <c r="F296" s="96"/>
    </row>
    <row r="297">
      <c r="A297" s="12"/>
      <c r="D297" s="95"/>
      <c r="E297" s="14"/>
      <c r="F297" s="96"/>
    </row>
    <row r="298">
      <c r="A298" s="12"/>
      <c r="D298" s="95"/>
      <c r="E298" s="14"/>
      <c r="F298" s="96"/>
    </row>
    <row r="299">
      <c r="A299" s="12"/>
      <c r="D299" s="95"/>
      <c r="E299" s="14"/>
      <c r="F299" s="96"/>
    </row>
    <row r="300">
      <c r="A300" s="12"/>
      <c r="D300" s="95"/>
      <c r="E300" s="14"/>
      <c r="F300" s="96"/>
    </row>
    <row r="301">
      <c r="A301" s="12"/>
      <c r="D301" s="95"/>
      <c r="E301" s="14"/>
      <c r="F301" s="96"/>
    </row>
    <row r="302">
      <c r="A302" s="12"/>
      <c r="D302" s="95"/>
      <c r="E302" s="14"/>
      <c r="F302" s="96"/>
    </row>
    <row r="303">
      <c r="A303" s="12"/>
      <c r="D303" s="95"/>
      <c r="E303" s="14"/>
      <c r="F303" s="96"/>
    </row>
    <row r="304">
      <c r="A304" s="12"/>
      <c r="D304" s="95"/>
      <c r="E304" s="14"/>
      <c r="F304" s="96"/>
    </row>
    <row r="305">
      <c r="A305" s="12"/>
      <c r="D305" s="95"/>
      <c r="E305" s="14"/>
      <c r="F305" s="96"/>
    </row>
    <row r="306">
      <c r="A306" s="12"/>
      <c r="D306" s="95"/>
      <c r="E306" s="14"/>
      <c r="F306" s="96"/>
    </row>
    <row r="307">
      <c r="A307" s="12"/>
      <c r="D307" s="95"/>
      <c r="E307" s="14"/>
      <c r="F307" s="96"/>
    </row>
    <row r="308">
      <c r="A308" s="12"/>
      <c r="D308" s="95"/>
      <c r="E308" s="14"/>
      <c r="F308" s="96"/>
    </row>
    <row r="309">
      <c r="A309" s="12"/>
      <c r="D309" s="95"/>
      <c r="E309" s="14"/>
      <c r="F309" s="96"/>
    </row>
    <row r="310">
      <c r="A310" s="12"/>
      <c r="D310" s="95"/>
      <c r="E310" s="14"/>
      <c r="F310" s="96"/>
    </row>
    <row r="311">
      <c r="A311" s="12"/>
      <c r="D311" s="95"/>
      <c r="E311" s="14"/>
      <c r="F311" s="96"/>
    </row>
    <row r="312">
      <c r="A312" s="12"/>
      <c r="D312" s="95"/>
      <c r="E312" s="14"/>
      <c r="F312" s="96"/>
    </row>
    <row r="313">
      <c r="A313" s="12"/>
      <c r="D313" s="95"/>
      <c r="E313" s="14"/>
      <c r="F313" s="96"/>
    </row>
    <row r="314">
      <c r="A314" s="12"/>
      <c r="D314" s="95"/>
      <c r="E314" s="14"/>
      <c r="F314" s="96"/>
    </row>
    <row r="315">
      <c r="A315" s="12"/>
      <c r="D315" s="95"/>
      <c r="E315" s="14"/>
      <c r="F315" s="96"/>
    </row>
    <row r="316">
      <c r="A316" s="12"/>
      <c r="D316" s="95"/>
      <c r="E316" s="14"/>
      <c r="F316" s="96"/>
    </row>
    <row r="317">
      <c r="A317" s="12"/>
      <c r="D317" s="95"/>
      <c r="E317" s="14"/>
      <c r="F317" s="96"/>
    </row>
    <row r="318">
      <c r="A318" s="12"/>
      <c r="D318" s="95"/>
      <c r="E318" s="14"/>
      <c r="F318" s="96"/>
    </row>
    <row r="319">
      <c r="A319" s="12"/>
      <c r="D319" s="95"/>
      <c r="E319" s="14"/>
      <c r="F319" s="96"/>
    </row>
    <row r="320">
      <c r="A320" s="12"/>
      <c r="D320" s="95"/>
      <c r="E320" s="14"/>
      <c r="F320" s="96"/>
    </row>
    <row r="321">
      <c r="A321" s="12"/>
      <c r="D321" s="95"/>
      <c r="E321" s="14"/>
      <c r="F321" s="96"/>
    </row>
    <row r="322">
      <c r="A322" s="12"/>
      <c r="D322" s="95"/>
      <c r="E322" s="14"/>
      <c r="F322" s="96"/>
    </row>
    <row r="323">
      <c r="A323" s="12"/>
      <c r="D323" s="95"/>
      <c r="E323" s="14"/>
      <c r="F323" s="96"/>
    </row>
    <row r="324">
      <c r="A324" s="12"/>
      <c r="D324" s="95"/>
      <c r="E324" s="14"/>
      <c r="F324" s="96"/>
    </row>
    <row r="325">
      <c r="A325" s="12"/>
      <c r="D325" s="95"/>
      <c r="E325" s="14"/>
      <c r="F325" s="96"/>
    </row>
    <row r="326">
      <c r="A326" s="12"/>
      <c r="D326" s="95"/>
      <c r="E326" s="14"/>
      <c r="F326" s="96"/>
    </row>
    <row r="327">
      <c r="A327" s="12"/>
      <c r="D327" s="95"/>
      <c r="E327" s="14"/>
      <c r="F327" s="96"/>
    </row>
    <row r="328">
      <c r="A328" s="12"/>
      <c r="D328" s="95"/>
      <c r="E328" s="14"/>
      <c r="F328" s="96"/>
    </row>
    <row r="329">
      <c r="A329" s="12"/>
      <c r="D329" s="95"/>
      <c r="E329" s="14"/>
      <c r="F329" s="96"/>
    </row>
    <row r="330">
      <c r="A330" s="12"/>
      <c r="D330" s="95"/>
      <c r="E330" s="14"/>
      <c r="F330" s="96"/>
    </row>
    <row r="331">
      <c r="A331" s="12"/>
      <c r="D331" s="95"/>
      <c r="E331" s="14"/>
      <c r="F331" s="96"/>
    </row>
    <row r="332">
      <c r="A332" s="12"/>
      <c r="D332" s="95"/>
      <c r="E332" s="14"/>
      <c r="F332" s="96"/>
    </row>
    <row r="333">
      <c r="A333" s="12"/>
      <c r="D333" s="95"/>
      <c r="E333" s="14"/>
      <c r="F333" s="96"/>
    </row>
    <row r="334">
      <c r="A334" s="12"/>
      <c r="D334" s="95"/>
      <c r="E334" s="14"/>
      <c r="F334" s="96"/>
    </row>
    <row r="335">
      <c r="A335" s="12"/>
      <c r="D335" s="95"/>
      <c r="E335" s="14"/>
      <c r="F335" s="96"/>
    </row>
    <row r="336">
      <c r="A336" s="12"/>
      <c r="D336" s="95"/>
      <c r="E336" s="14"/>
      <c r="F336" s="96"/>
    </row>
    <row r="337">
      <c r="A337" s="12"/>
      <c r="D337" s="95"/>
      <c r="E337" s="14"/>
      <c r="F337" s="96"/>
    </row>
    <row r="338">
      <c r="A338" s="12"/>
      <c r="D338" s="95"/>
      <c r="E338" s="14"/>
      <c r="F338" s="96"/>
    </row>
    <row r="339">
      <c r="A339" s="12"/>
      <c r="D339" s="95"/>
      <c r="E339" s="14"/>
      <c r="F339" s="96"/>
    </row>
    <row r="340">
      <c r="A340" s="12"/>
      <c r="D340" s="95"/>
      <c r="E340" s="14"/>
      <c r="F340" s="96"/>
    </row>
    <row r="341">
      <c r="A341" s="12"/>
      <c r="D341" s="95"/>
      <c r="E341" s="14"/>
      <c r="F341" s="96"/>
    </row>
    <row r="342">
      <c r="A342" s="12"/>
      <c r="D342" s="95"/>
      <c r="E342" s="14"/>
      <c r="F342" s="96"/>
    </row>
    <row r="343">
      <c r="A343" s="12"/>
      <c r="D343" s="95"/>
      <c r="E343" s="14"/>
      <c r="F343" s="96"/>
    </row>
    <row r="344">
      <c r="A344" s="12"/>
      <c r="D344" s="95"/>
      <c r="E344" s="14"/>
      <c r="F344" s="96"/>
    </row>
    <row r="345">
      <c r="A345" s="12"/>
      <c r="D345" s="95"/>
      <c r="E345" s="14"/>
      <c r="F345" s="96"/>
    </row>
    <row r="346">
      <c r="A346" s="12"/>
      <c r="D346" s="95"/>
      <c r="E346" s="14"/>
      <c r="F346" s="96"/>
    </row>
    <row r="347">
      <c r="A347" s="12"/>
      <c r="D347" s="95"/>
      <c r="E347" s="14"/>
      <c r="F347" s="96"/>
    </row>
    <row r="348">
      <c r="A348" s="12"/>
      <c r="D348" s="95"/>
      <c r="E348" s="14"/>
      <c r="F348" s="96"/>
    </row>
    <row r="349">
      <c r="A349" s="12"/>
      <c r="D349" s="95"/>
      <c r="E349" s="14"/>
      <c r="F349" s="96"/>
    </row>
    <row r="350">
      <c r="A350" s="12"/>
      <c r="D350" s="95"/>
      <c r="E350" s="14"/>
      <c r="F350" s="96"/>
    </row>
    <row r="351">
      <c r="A351" s="12"/>
      <c r="D351" s="95"/>
      <c r="E351" s="14"/>
      <c r="F351" s="96"/>
    </row>
    <row r="352">
      <c r="A352" s="12"/>
      <c r="D352" s="95"/>
      <c r="E352" s="14"/>
      <c r="F352" s="96"/>
    </row>
    <row r="353">
      <c r="A353" s="12"/>
      <c r="D353" s="95"/>
      <c r="E353" s="14"/>
      <c r="F353" s="96"/>
    </row>
    <row r="354">
      <c r="A354" s="12"/>
      <c r="D354" s="95"/>
      <c r="E354" s="14"/>
      <c r="F354" s="96"/>
    </row>
    <row r="355">
      <c r="A355" s="12"/>
      <c r="D355" s="95"/>
      <c r="E355" s="14"/>
      <c r="F355" s="96"/>
    </row>
    <row r="356">
      <c r="A356" s="12"/>
      <c r="D356" s="95"/>
      <c r="E356" s="14"/>
      <c r="F356" s="96"/>
    </row>
    <row r="357">
      <c r="A357" s="12"/>
      <c r="D357" s="95"/>
      <c r="E357" s="14"/>
      <c r="F357" s="96"/>
    </row>
    <row r="358">
      <c r="A358" s="12"/>
      <c r="D358" s="95"/>
      <c r="E358" s="14"/>
      <c r="F358" s="96"/>
    </row>
    <row r="359">
      <c r="A359" s="12"/>
      <c r="D359" s="95"/>
      <c r="E359" s="14"/>
      <c r="F359" s="96"/>
    </row>
    <row r="360">
      <c r="A360" s="12"/>
      <c r="D360" s="95"/>
      <c r="E360" s="14"/>
      <c r="F360" s="96"/>
    </row>
    <row r="361">
      <c r="A361" s="12"/>
      <c r="D361" s="95"/>
      <c r="E361" s="14"/>
      <c r="F361" s="96"/>
    </row>
    <row r="362">
      <c r="A362" s="12"/>
      <c r="D362" s="95"/>
      <c r="E362" s="14"/>
      <c r="F362" s="96"/>
    </row>
    <row r="363">
      <c r="A363" s="12"/>
      <c r="D363" s="95"/>
      <c r="E363" s="14"/>
      <c r="F363" s="96"/>
    </row>
    <row r="364">
      <c r="A364" s="12"/>
      <c r="D364" s="95"/>
      <c r="E364" s="14"/>
      <c r="F364" s="96"/>
    </row>
    <row r="365">
      <c r="A365" s="12"/>
      <c r="D365" s="95"/>
      <c r="E365" s="14"/>
      <c r="F365" s="96"/>
    </row>
    <row r="366">
      <c r="A366" s="12"/>
      <c r="D366" s="95"/>
      <c r="E366" s="14"/>
      <c r="F366" s="96"/>
    </row>
    <row r="367">
      <c r="A367" s="12"/>
      <c r="D367" s="95"/>
      <c r="E367" s="14"/>
      <c r="F367" s="96"/>
    </row>
    <row r="368">
      <c r="A368" s="12"/>
      <c r="D368" s="95"/>
      <c r="E368" s="14"/>
      <c r="F368" s="96"/>
    </row>
    <row r="369">
      <c r="A369" s="12"/>
      <c r="D369" s="95"/>
      <c r="E369" s="14"/>
      <c r="F369" s="96"/>
    </row>
    <row r="370">
      <c r="A370" s="12"/>
      <c r="D370" s="95"/>
      <c r="E370" s="14"/>
      <c r="F370" s="96"/>
    </row>
    <row r="371">
      <c r="A371" s="12"/>
      <c r="D371" s="95"/>
      <c r="E371" s="14"/>
      <c r="F371" s="96"/>
    </row>
    <row r="372">
      <c r="A372" s="12"/>
      <c r="D372" s="95"/>
      <c r="E372" s="14"/>
      <c r="F372" s="96"/>
    </row>
    <row r="373">
      <c r="A373" s="12"/>
      <c r="D373" s="95"/>
      <c r="E373" s="14"/>
      <c r="F373" s="96"/>
    </row>
    <row r="374">
      <c r="A374" s="12"/>
      <c r="D374" s="95"/>
      <c r="E374" s="14"/>
      <c r="F374" s="96"/>
    </row>
    <row r="375">
      <c r="A375" s="12"/>
      <c r="D375" s="95"/>
      <c r="E375" s="14"/>
      <c r="F375" s="96"/>
    </row>
    <row r="376">
      <c r="A376" s="12"/>
      <c r="D376" s="95"/>
      <c r="E376" s="14"/>
      <c r="F376" s="96"/>
    </row>
    <row r="377">
      <c r="A377" s="12"/>
      <c r="D377" s="95"/>
      <c r="E377" s="14"/>
      <c r="F377" s="96"/>
    </row>
    <row r="378">
      <c r="A378" s="12"/>
      <c r="D378" s="95"/>
      <c r="E378" s="14"/>
      <c r="F378" s="96"/>
    </row>
    <row r="379">
      <c r="A379" s="12"/>
      <c r="D379" s="95"/>
      <c r="E379" s="14"/>
      <c r="F379" s="96"/>
    </row>
    <row r="380">
      <c r="A380" s="12"/>
      <c r="D380" s="95"/>
      <c r="E380" s="14"/>
      <c r="F380" s="96"/>
    </row>
    <row r="381">
      <c r="A381" s="12"/>
      <c r="D381" s="95"/>
      <c r="E381" s="14"/>
      <c r="F381" s="96"/>
    </row>
    <row r="382">
      <c r="A382" s="12"/>
      <c r="D382" s="95"/>
      <c r="E382" s="14"/>
      <c r="F382" s="96"/>
    </row>
    <row r="383">
      <c r="A383" s="12"/>
      <c r="D383" s="95"/>
      <c r="E383" s="14"/>
      <c r="F383" s="96"/>
    </row>
    <row r="384">
      <c r="A384" s="12"/>
      <c r="D384" s="95"/>
      <c r="E384" s="14"/>
      <c r="F384" s="96"/>
    </row>
    <row r="385">
      <c r="A385" s="12"/>
      <c r="D385" s="95"/>
      <c r="E385" s="14"/>
      <c r="F385" s="96"/>
    </row>
    <row r="386">
      <c r="A386" s="12"/>
      <c r="D386" s="95"/>
      <c r="E386" s="14"/>
      <c r="F386" s="96"/>
    </row>
    <row r="387">
      <c r="A387" s="12"/>
      <c r="D387" s="95"/>
      <c r="E387" s="14"/>
      <c r="F387" s="96"/>
    </row>
    <row r="388">
      <c r="A388" s="12"/>
      <c r="D388" s="95"/>
      <c r="E388" s="14"/>
      <c r="F388" s="96"/>
    </row>
    <row r="389">
      <c r="A389" s="12"/>
      <c r="D389" s="95"/>
      <c r="E389" s="14"/>
      <c r="F389" s="96"/>
    </row>
    <row r="390">
      <c r="A390" s="12"/>
      <c r="D390" s="95"/>
      <c r="E390" s="14"/>
      <c r="F390" s="96"/>
    </row>
    <row r="391">
      <c r="A391" s="12"/>
      <c r="D391" s="95"/>
      <c r="E391" s="14"/>
      <c r="F391" s="96"/>
    </row>
    <row r="392">
      <c r="A392" s="12"/>
      <c r="D392" s="95"/>
      <c r="E392" s="14"/>
      <c r="F392" s="96"/>
    </row>
    <row r="393">
      <c r="A393" s="12"/>
      <c r="D393" s="95"/>
      <c r="E393" s="14"/>
      <c r="F393" s="96"/>
    </row>
    <row r="394">
      <c r="A394" s="12"/>
      <c r="D394" s="95"/>
      <c r="E394" s="14"/>
      <c r="F394" s="96"/>
    </row>
    <row r="395">
      <c r="A395" s="12"/>
      <c r="D395" s="95"/>
      <c r="E395" s="14"/>
      <c r="F395" s="96"/>
    </row>
    <row r="396">
      <c r="A396" s="12"/>
      <c r="D396" s="95"/>
      <c r="E396" s="14"/>
      <c r="F396" s="96"/>
    </row>
    <row r="397">
      <c r="A397" s="12"/>
      <c r="D397" s="95"/>
      <c r="E397" s="14"/>
      <c r="F397" s="96"/>
    </row>
    <row r="398">
      <c r="A398" s="12"/>
      <c r="D398" s="95"/>
      <c r="E398" s="14"/>
      <c r="F398" s="96"/>
    </row>
    <row r="399">
      <c r="A399" s="12"/>
      <c r="D399" s="95"/>
      <c r="E399" s="14"/>
      <c r="F399" s="96"/>
    </row>
    <row r="400">
      <c r="A400" s="12"/>
      <c r="D400" s="95"/>
      <c r="E400" s="14"/>
      <c r="F400" s="96"/>
    </row>
    <row r="401">
      <c r="A401" s="12"/>
      <c r="D401" s="95"/>
      <c r="E401" s="14"/>
      <c r="F401" s="96"/>
    </row>
    <row r="402">
      <c r="A402" s="12"/>
      <c r="D402" s="95"/>
      <c r="E402" s="14"/>
      <c r="F402" s="96"/>
    </row>
    <row r="403">
      <c r="A403" s="12"/>
      <c r="D403" s="95"/>
      <c r="E403" s="14"/>
      <c r="F403" s="96"/>
    </row>
    <row r="404">
      <c r="A404" s="12"/>
      <c r="D404" s="95"/>
      <c r="E404" s="14"/>
      <c r="F404" s="96"/>
    </row>
    <row r="405">
      <c r="A405" s="12"/>
      <c r="D405" s="95"/>
      <c r="E405" s="14"/>
      <c r="F405" s="96"/>
    </row>
    <row r="406">
      <c r="A406" s="12"/>
      <c r="D406" s="95"/>
      <c r="E406" s="14"/>
      <c r="F406" s="96"/>
    </row>
    <row r="407">
      <c r="A407" s="12"/>
      <c r="D407" s="95"/>
      <c r="E407" s="14"/>
      <c r="F407" s="96"/>
    </row>
    <row r="408">
      <c r="A408" s="12"/>
      <c r="D408" s="95"/>
      <c r="E408" s="14"/>
      <c r="F408" s="96"/>
    </row>
    <row r="409">
      <c r="A409" s="12"/>
      <c r="D409" s="95"/>
      <c r="E409" s="14"/>
      <c r="F409" s="96"/>
    </row>
    <row r="410">
      <c r="A410" s="12"/>
      <c r="D410" s="95"/>
      <c r="E410" s="14"/>
      <c r="F410" s="96"/>
    </row>
    <row r="411">
      <c r="A411" s="12"/>
      <c r="D411" s="95"/>
      <c r="E411" s="14"/>
      <c r="F411" s="96"/>
    </row>
    <row r="412">
      <c r="A412" s="12"/>
      <c r="D412" s="95"/>
      <c r="E412" s="14"/>
      <c r="F412" s="96"/>
    </row>
    <row r="413">
      <c r="A413" s="12"/>
      <c r="D413" s="95"/>
      <c r="E413" s="14"/>
      <c r="F413" s="96"/>
    </row>
    <row r="414">
      <c r="A414" s="12"/>
      <c r="D414" s="95"/>
      <c r="E414" s="14"/>
      <c r="F414" s="96"/>
    </row>
    <row r="415">
      <c r="A415" s="12"/>
      <c r="D415" s="95"/>
      <c r="E415" s="14"/>
      <c r="F415" s="96"/>
    </row>
    <row r="416">
      <c r="A416" s="12"/>
      <c r="D416" s="95"/>
      <c r="E416" s="14"/>
      <c r="F416" s="96"/>
    </row>
    <row r="417">
      <c r="A417" s="12"/>
      <c r="D417" s="95"/>
      <c r="E417" s="14"/>
      <c r="F417" s="96"/>
    </row>
    <row r="418">
      <c r="A418" s="12"/>
      <c r="D418" s="95"/>
      <c r="E418" s="14"/>
      <c r="F418" s="96"/>
    </row>
    <row r="419">
      <c r="A419" s="12"/>
      <c r="D419" s="95"/>
      <c r="E419" s="14"/>
      <c r="F419" s="96"/>
    </row>
    <row r="420">
      <c r="A420" s="12"/>
      <c r="D420" s="95"/>
      <c r="E420" s="14"/>
      <c r="F420" s="96"/>
    </row>
    <row r="421">
      <c r="A421" s="12"/>
      <c r="D421" s="95"/>
      <c r="E421" s="14"/>
      <c r="F421" s="96"/>
    </row>
    <row r="422">
      <c r="A422" s="12"/>
      <c r="D422" s="95"/>
      <c r="E422" s="14"/>
      <c r="F422" s="96"/>
    </row>
    <row r="423">
      <c r="A423" s="12"/>
      <c r="D423" s="95"/>
      <c r="E423" s="14"/>
      <c r="F423" s="96"/>
    </row>
    <row r="424">
      <c r="A424" s="12"/>
      <c r="D424" s="95"/>
      <c r="E424" s="14"/>
      <c r="F424" s="96"/>
    </row>
    <row r="425">
      <c r="A425" s="12"/>
      <c r="D425" s="95"/>
      <c r="E425" s="14"/>
      <c r="F425" s="96"/>
    </row>
    <row r="426">
      <c r="A426" s="12"/>
      <c r="D426" s="95"/>
      <c r="E426" s="14"/>
      <c r="F426" s="96"/>
    </row>
    <row r="427">
      <c r="A427" s="12"/>
      <c r="D427" s="95"/>
      <c r="E427" s="14"/>
      <c r="F427" s="96"/>
    </row>
    <row r="428">
      <c r="A428" s="12"/>
      <c r="D428" s="95"/>
      <c r="E428" s="14"/>
      <c r="F428" s="96"/>
    </row>
    <row r="429">
      <c r="A429" s="12"/>
      <c r="D429" s="95"/>
      <c r="E429" s="14"/>
      <c r="F429" s="96"/>
    </row>
    <row r="430">
      <c r="A430" s="12"/>
      <c r="D430" s="95"/>
      <c r="E430" s="14"/>
      <c r="F430" s="96"/>
    </row>
    <row r="431">
      <c r="A431" s="12"/>
      <c r="D431" s="95"/>
      <c r="E431" s="14"/>
      <c r="F431" s="96"/>
    </row>
    <row r="432">
      <c r="A432" s="12"/>
      <c r="D432" s="95"/>
      <c r="E432" s="14"/>
      <c r="F432" s="96"/>
    </row>
    <row r="433">
      <c r="A433" s="12"/>
      <c r="D433" s="95"/>
      <c r="E433" s="14"/>
      <c r="F433" s="96"/>
    </row>
    <row r="434">
      <c r="A434" s="12"/>
      <c r="D434" s="95"/>
      <c r="E434" s="14"/>
      <c r="F434" s="96"/>
    </row>
    <row r="435">
      <c r="A435" s="12"/>
      <c r="D435" s="95"/>
      <c r="E435" s="14"/>
      <c r="F435" s="96"/>
    </row>
    <row r="436">
      <c r="A436" s="12"/>
      <c r="D436" s="95"/>
      <c r="E436" s="14"/>
      <c r="F436" s="96"/>
    </row>
    <row r="437">
      <c r="A437" s="12"/>
      <c r="D437" s="95"/>
      <c r="E437" s="14"/>
      <c r="F437" s="96"/>
    </row>
    <row r="438">
      <c r="A438" s="12"/>
      <c r="D438" s="95"/>
      <c r="E438" s="14"/>
      <c r="F438" s="96"/>
    </row>
    <row r="439">
      <c r="A439" s="12"/>
      <c r="D439" s="95"/>
      <c r="E439" s="14"/>
      <c r="F439" s="96"/>
    </row>
    <row r="440">
      <c r="A440" s="12"/>
      <c r="D440" s="95"/>
      <c r="E440" s="14"/>
      <c r="F440" s="96"/>
    </row>
    <row r="441">
      <c r="A441" s="12"/>
      <c r="D441" s="95"/>
      <c r="E441" s="14"/>
      <c r="F441" s="96"/>
    </row>
    <row r="442">
      <c r="A442" s="12"/>
      <c r="D442" s="95"/>
      <c r="E442" s="14"/>
      <c r="F442" s="96"/>
    </row>
    <row r="443">
      <c r="A443" s="12"/>
      <c r="D443" s="95"/>
      <c r="E443" s="14"/>
      <c r="F443" s="96"/>
    </row>
    <row r="444">
      <c r="A444" s="12"/>
      <c r="D444" s="95"/>
      <c r="E444" s="14"/>
      <c r="F444" s="96"/>
    </row>
    <row r="445">
      <c r="A445" s="12"/>
      <c r="D445" s="95"/>
      <c r="E445" s="14"/>
      <c r="F445" s="96"/>
    </row>
    <row r="446">
      <c r="A446" s="12"/>
      <c r="D446" s="95"/>
      <c r="E446" s="14"/>
      <c r="F446" s="96"/>
    </row>
    <row r="447">
      <c r="A447" s="12"/>
      <c r="D447" s="95"/>
      <c r="E447" s="14"/>
      <c r="F447" s="96"/>
    </row>
    <row r="448">
      <c r="A448" s="12"/>
      <c r="D448" s="95"/>
      <c r="E448" s="14"/>
      <c r="F448" s="96"/>
    </row>
    <row r="449">
      <c r="A449" s="12"/>
      <c r="D449" s="95"/>
      <c r="E449" s="14"/>
      <c r="F449" s="96"/>
    </row>
    <row r="450">
      <c r="A450" s="12"/>
      <c r="D450" s="95"/>
      <c r="E450" s="14"/>
      <c r="F450" s="96"/>
    </row>
    <row r="451">
      <c r="A451" s="12"/>
      <c r="D451" s="95"/>
      <c r="E451" s="14"/>
      <c r="F451" s="96"/>
    </row>
    <row r="452">
      <c r="A452" s="12"/>
      <c r="D452" s="95"/>
      <c r="E452" s="14"/>
      <c r="F452" s="96"/>
    </row>
    <row r="453">
      <c r="A453" s="12"/>
      <c r="D453" s="95"/>
      <c r="E453" s="14"/>
      <c r="F453" s="96"/>
    </row>
    <row r="454">
      <c r="A454" s="12"/>
      <c r="D454" s="95"/>
      <c r="E454" s="14"/>
      <c r="F454" s="96"/>
    </row>
    <row r="455">
      <c r="A455" s="12"/>
      <c r="D455" s="95"/>
      <c r="E455" s="14"/>
      <c r="F455" s="96"/>
    </row>
    <row r="456">
      <c r="A456" s="12"/>
      <c r="D456" s="95"/>
      <c r="E456" s="14"/>
      <c r="F456" s="96"/>
    </row>
    <row r="457">
      <c r="A457" s="12"/>
      <c r="D457" s="95"/>
      <c r="E457" s="14"/>
      <c r="F457" s="96"/>
    </row>
    <row r="458">
      <c r="A458" s="12"/>
      <c r="D458" s="95"/>
      <c r="E458" s="14"/>
      <c r="F458" s="96"/>
    </row>
    <row r="459">
      <c r="A459" s="12"/>
      <c r="D459" s="95"/>
      <c r="E459" s="14"/>
      <c r="F459" s="96"/>
    </row>
    <row r="460">
      <c r="A460" s="12"/>
      <c r="D460" s="95"/>
      <c r="E460" s="14"/>
      <c r="F460" s="96"/>
    </row>
    <row r="461">
      <c r="A461" s="12"/>
      <c r="D461" s="95"/>
      <c r="E461" s="14"/>
      <c r="F461" s="96"/>
    </row>
    <row r="462">
      <c r="A462" s="12"/>
      <c r="D462" s="95"/>
      <c r="E462" s="14"/>
      <c r="F462" s="96"/>
    </row>
    <row r="463">
      <c r="A463" s="12"/>
      <c r="D463" s="95"/>
      <c r="E463" s="14"/>
      <c r="F463" s="96"/>
    </row>
    <row r="464">
      <c r="A464" s="12"/>
      <c r="D464" s="95"/>
      <c r="E464" s="14"/>
      <c r="F464" s="96"/>
    </row>
    <row r="465">
      <c r="A465" s="12"/>
      <c r="D465" s="95"/>
      <c r="E465" s="14"/>
      <c r="F465" s="96"/>
    </row>
    <row r="466">
      <c r="A466" s="12"/>
      <c r="D466" s="95"/>
      <c r="E466" s="14"/>
      <c r="F466" s="96"/>
    </row>
    <row r="467">
      <c r="A467" s="12"/>
      <c r="D467" s="95"/>
      <c r="E467" s="14"/>
      <c r="F467" s="96"/>
    </row>
    <row r="468">
      <c r="A468" s="12"/>
      <c r="D468" s="95"/>
      <c r="E468" s="14"/>
      <c r="F468" s="96"/>
    </row>
    <row r="469">
      <c r="A469" s="12"/>
      <c r="D469" s="95"/>
      <c r="E469" s="14"/>
      <c r="F469" s="96"/>
    </row>
    <row r="470">
      <c r="A470" s="12"/>
      <c r="D470" s="95"/>
      <c r="E470" s="14"/>
      <c r="F470" s="96"/>
    </row>
    <row r="471">
      <c r="A471" s="12"/>
      <c r="D471" s="95"/>
      <c r="E471" s="14"/>
      <c r="F471" s="96"/>
    </row>
    <row r="472">
      <c r="A472" s="12"/>
      <c r="D472" s="95"/>
      <c r="E472" s="14"/>
      <c r="F472" s="96"/>
    </row>
    <row r="473">
      <c r="A473" s="12"/>
      <c r="D473" s="95"/>
      <c r="E473" s="14"/>
      <c r="F473" s="96"/>
    </row>
    <row r="474">
      <c r="A474" s="12"/>
      <c r="D474" s="95"/>
      <c r="E474" s="14"/>
      <c r="F474" s="96"/>
    </row>
    <row r="475">
      <c r="A475" s="12"/>
      <c r="D475" s="95"/>
      <c r="E475" s="14"/>
      <c r="F475" s="96"/>
    </row>
    <row r="476">
      <c r="A476" s="12"/>
      <c r="D476" s="95"/>
      <c r="E476" s="14"/>
      <c r="F476" s="96"/>
    </row>
    <row r="477">
      <c r="A477" s="12"/>
      <c r="D477" s="95"/>
      <c r="E477" s="14"/>
      <c r="F477" s="96"/>
    </row>
    <row r="478">
      <c r="A478" s="12"/>
      <c r="D478" s="95"/>
      <c r="E478" s="14"/>
      <c r="F478" s="96"/>
    </row>
    <row r="479">
      <c r="A479" s="12"/>
      <c r="D479" s="95"/>
      <c r="E479" s="14"/>
      <c r="F479" s="96"/>
    </row>
    <row r="480">
      <c r="A480" s="12"/>
      <c r="D480" s="95"/>
      <c r="E480" s="14"/>
      <c r="F480" s="96"/>
    </row>
    <row r="481">
      <c r="A481" s="12"/>
      <c r="D481" s="95"/>
      <c r="E481" s="14"/>
      <c r="F481" s="96"/>
    </row>
    <row r="482">
      <c r="A482" s="12"/>
      <c r="D482" s="95"/>
      <c r="E482" s="14"/>
      <c r="F482" s="96"/>
    </row>
    <row r="483">
      <c r="A483" s="12"/>
      <c r="D483" s="95"/>
      <c r="E483" s="14"/>
      <c r="F483" s="96"/>
    </row>
    <row r="484">
      <c r="A484" s="12"/>
      <c r="D484" s="95"/>
      <c r="E484" s="14"/>
      <c r="F484" s="96"/>
    </row>
    <row r="485">
      <c r="A485" s="12"/>
      <c r="D485" s="95"/>
      <c r="E485" s="14"/>
      <c r="F485" s="96"/>
    </row>
    <row r="486">
      <c r="A486" s="12"/>
      <c r="D486" s="95"/>
      <c r="E486" s="14"/>
      <c r="F486" s="96"/>
    </row>
    <row r="487">
      <c r="A487" s="12"/>
      <c r="D487" s="95"/>
      <c r="E487" s="14"/>
      <c r="F487" s="96"/>
    </row>
    <row r="488">
      <c r="A488" s="12"/>
      <c r="D488" s="95"/>
      <c r="E488" s="14"/>
      <c r="F488" s="96"/>
    </row>
    <row r="489">
      <c r="A489" s="12"/>
      <c r="D489" s="95"/>
      <c r="E489" s="14"/>
      <c r="F489" s="96"/>
    </row>
    <row r="490">
      <c r="A490" s="12"/>
      <c r="D490" s="95"/>
      <c r="E490" s="14"/>
      <c r="F490" s="96"/>
    </row>
    <row r="491">
      <c r="A491" s="12"/>
      <c r="D491" s="95"/>
      <c r="E491" s="14"/>
      <c r="F491" s="96"/>
    </row>
    <row r="492">
      <c r="A492" s="12"/>
      <c r="D492" s="95"/>
      <c r="E492" s="14"/>
      <c r="F492" s="96"/>
    </row>
    <row r="493">
      <c r="A493" s="12"/>
      <c r="D493" s="95"/>
      <c r="E493" s="14"/>
      <c r="F493" s="96"/>
    </row>
    <row r="494">
      <c r="A494" s="12"/>
      <c r="D494" s="95"/>
      <c r="E494" s="14"/>
      <c r="F494" s="96"/>
    </row>
    <row r="495">
      <c r="A495" s="12"/>
      <c r="D495" s="95"/>
      <c r="E495" s="14"/>
      <c r="F495" s="96"/>
    </row>
    <row r="496">
      <c r="A496" s="12"/>
      <c r="D496" s="95"/>
      <c r="E496" s="14"/>
      <c r="F496" s="96"/>
    </row>
    <row r="497">
      <c r="A497" s="12"/>
      <c r="D497" s="95"/>
      <c r="E497" s="14"/>
      <c r="F497" s="96"/>
    </row>
    <row r="498">
      <c r="A498" s="12"/>
      <c r="D498" s="95"/>
      <c r="E498" s="14"/>
      <c r="F498" s="96"/>
    </row>
    <row r="499">
      <c r="A499" s="12"/>
      <c r="D499" s="95"/>
      <c r="E499" s="14"/>
      <c r="F499" s="96"/>
    </row>
    <row r="500">
      <c r="A500" s="12"/>
      <c r="D500" s="95"/>
      <c r="E500" s="14"/>
      <c r="F500" s="96"/>
    </row>
    <row r="501">
      <c r="A501" s="12"/>
      <c r="D501" s="95"/>
      <c r="E501" s="14"/>
      <c r="F501" s="96"/>
    </row>
    <row r="502">
      <c r="A502" s="12"/>
      <c r="D502" s="95"/>
      <c r="E502" s="14"/>
      <c r="F502" s="96"/>
    </row>
    <row r="503">
      <c r="A503" s="12"/>
      <c r="D503" s="95"/>
      <c r="E503" s="14"/>
      <c r="F503" s="96"/>
    </row>
    <row r="504">
      <c r="A504" s="12"/>
      <c r="D504" s="95"/>
      <c r="E504" s="14"/>
      <c r="F504" s="96"/>
    </row>
    <row r="505">
      <c r="A505" s="12"/>
      <c r="D505" s="95"/>
      <c r="E505" s="14"/>
      <c r="F505" s="96"/>
    </row>
    <row r="506">
      <c r="A506" s="12"/>
      <c r="D506" s="95"/>
      <c r="E506" s="14"/>
      <c r="F506" s="96"/>
    </row>
    <row r="507">
      <c r="A507" s="12"/>
      <c r="D507" s="95"/>
      <c r="E507" s="14"/>
      <c r="F507" s="96"/>
    </row>
    <row r="508">
      <c r="A508" s="12"/>
      <c r="D508" s="95"/>
      <c r="E508" s="14"/>
      <c r="F508" s="96"/>
    </row>
    <row r="509">
      <c r="A509" s="12"/>
      <c r="D509" s="95"/>
      <c r="E509" s="14"/>
      <c r="F509" s="96"/>
    </row>
    <row r="510">
      <c r="A510" s="12"/>
      <c r="D510" s="95"/>
      <c r="E510" s="14"/>
      <c r="F510" s="96"/>
    </row>
    <row r="511">
      <c r="A511" s="12"/>
      <c r="D511" s="95"/>
      <c r="E511" s="14"/>
      <c r="F511" s="96"/>
    </row>
    <row r="512">
      <c r="A512" s="12"/>
      <c r="D512" s="95"/>
      <c r="E512" s="14"/>
      <c r="F512" s="96"/>
    </row>
    <row r="513">
      <c r="A513" s="12"/>
      <c r="D513" s="95"/>
      <c r="E513" s="14"/>
      <c r="F513" s="96"/>
    </row>
    <row r="514">
      <c r="A514" s="12"/>
      <c r="D514" s="95"/>
      <c r="E514" s="14"/>
      <c r="F514" s="96"/>
    </row>
    <row r="515">
      <c r="A515" s="12"/>
      <c r="D515" s="95"/>
      <c r="E515" s="14"/>
      <c r="F515" s="96"/>
    </row>
    <row r="516">
      <c r="A516" s="12"/>
      <c r="D516" s="95"/>
      <c r="E516" s="14"/>
      <c r="F516" s="96"/>
    </row>
    <row r="517">
      <c r="A517" s="12"/>
      <c r="D517" s="95"/>
      <c r="E517" s="14"/>
      <c r="F517" s="96"/>
    </row>
    <row r="518">
      <c r="A518" s="12"/>
      <c r="D518" s="95"/>
      <c r="E518" s="14"/>
      <c r="F518" s="96"/>
    </row>
    <row r="519">
      <c r="A519" s="12"/>
      <c r="D519" s="95"/>
      <c r="E519" s="14"/>
      <c r="F519" s="96"/>
    </row>
    <row r="520">
      <c r="A520" s="12"/>
      <c r="D520" s="95"/>
      <c r="E520" s="14"/>
      <c r="F520" s="96"/>
    </row>
    <row r="521">
      <c r="A521" s="12"/>
      <c r="D521" s="95"/>
      <c r="E521" s="14"/>
      <c r="F521" s="96"/>
    </row>
    <row r="522">
      <c r="A522" s="12"/>
      <c r="D522" s="95"/>
      <c r="E522" s="14"/>
      <c r="F522" s="96"/>
    </row>
    <row r="523">
      <c r="A523" s="12"/>
      <c r="D523" s="95"/>
      <c r="E523" s="14"/>
      <c r="F523" s="96"/>
    </row>
    <row r="524">
      <c r="A524" s="12"/>
      <c r="D524" s="95"/>
      <c r="E524" s="14"/>
      <c r="F524" s="96"/>
    </row>
    <row r="525">
      <c r="A525" s="12"/>
      <c r="D525" s="95"/>
      <c r="E525" s="14"/>
      <c r="F525" s="96"/>
    </row>
    <row r="526">
      <c r="A526" s="12"/>
      <c r="D526" s="95"/>
      <c r="E526" s="14"/>
      <c r="F526" s="96"/>
    </row>
    <row r="527">
      <c r="A527" s="12"/>
      <c r="D527" s="95"/>
      <c r="E527" s="14"/>
      <c r="F527" s="96"/>
    </row>
    <row r="528">
      <c r="A528" s="12"/>
      <c r="D528" s="95"/>
      <c r="E528" s="14"/>
      <c r="F528" s="96"/>
    </row>
    <row r="529">
      <c r="A529" s="12"/>
      <c r="D529" s="95"/>
      <c r="E529" s="14"/>
      <c r="F529" s="96"/>
    </row>
    <row r="530">
      <c r="A530" s="12"/>
      <c r="D530" s="95"/>
      <c r="E530" s="14"/>
      <c r="F530" s="96"/>
    </row>
    <row r="531">
      <c r="A531" s="12"/>
      <c r="D531" s="95"/>
      <c r="E531" s="14"/>
      <c r="F531" s="96"/>
    </row>
    <row r="532">
      <c r="A532" s="12"/>
      <c r="D532" s="95"/>
      <c r="E532" s="14"/>
      <c r="F532" s="96"/>
    </row>
    <row r="533">
      <c r="A533" s="12"/>
      <c r="D533" s="95"/>
      <c r="E533" s="14"/>
      <c r="F533" s="96"/>
    </row>
    <row r="534">
      <c r="A534" s="12"/>
      <c r="D534" s="95"/>
      <c r="E534" s="14"/>
      <c r="F534" s="96"/>
    </row>
    <row r="535">
      <c r="A535" s="12"/>
      <c r="D535" s="95"/>
      <c r="E535" s="14"/>
      <c r="F535" s="96"/>
    </row>
    <row r="536">
      <c r="A536" s="12"/>
      <c r="D536" s="95"/>
      <c r="E536" s="14"/>
      <c r="F536" s="96"/>
    </row>
    <row r="537">
      <c r="A537" s="12"/>
      <c r="D537" s="95"/>
      <c r="E537" s="14"/>
      <c r="F537" s="96"/>
    </row>
    <row r="538">
      <c r="A538" s="12"/>
      <c r="D538" s="95"/>
      <c r="E538" s="14"/>
      <c r="F538" s="96"/>
    </row>
    <row r="539">
      <c r="A539" s="12"/>
      <c r="D539" s="95"/>
      <c r="E539" s="14"/>
      <c r="F539" s="96"/>
    </row>
    <row r="540">
      <c r="A540" s="12"/>
      <c r="D540" s="95"/>
      <c r="E540" s="14"/>
      <c r="F540" s="96"/>
    </row>
    <row r="541">
      <c r="A541" s="12"/>
      <c r="D541" s="95"/>
      <c r="E541" s="14"/>
      <c r="F541" s="96"/>
    </row>
    <row r="542">
      <c r="A542" s="12"/>
      <c r="D542" s="95"/>
      <c r="E542" s="14"/>
      <c r="F542" s="96"/>
    </row>
    <row r="543">
      <c r="A543" s="12"/>
      <c r="D543" s="95"/>
      <c r="E543" s="14"/>
      <c r="F543" s="96"/>
    </row>
    <row r="544">
      <c r="A544" s="12"/>
      <c r="D544" s="95"/>
      <c r="E544" s="14"/>
      <c r="F544" s="96"/>
    </row>
    <row r="545">
      <c r="A545" s="12"/>
      <c r="D545" s="95"/>
      <c r="E545" s="14"/>
      <c r="F545" s="96"/>
    </row>
    <row r="546">
      <c r="A546" s="12"/>
      <c r="D546" s="95"/>
      <c r="E546" s="14"/>
      <c r="F546" s="96"/>
    </row>
    <row r="547">
      <c r="A547" s="12"/>
      <c r="D547" s="95"/>
      <c r="E547" s="14"/>
      <c r="F547" s="96"/>
    </row>
    <row r="548">
      <c r="A548" s="12"/>
      <c r="D548" s="95"/>
      <c r="E548" s="14"/>
      <c r="F548" s="96"/>
    </row>
    <row r="549">
      <c r="A549" s="12"/>
      <c r="D549" s="95"/>
      <c r="E549" s="14"/>
      <c r="F549" s="96"/>
    </row>
    <row r="550">
      <c r="A550" s="12"/>
      <c r="D550" s="95"/>
      <c r="E550" s="14"/>
      <c r="F550" s="96"/>
    </row>
    <row r="551">
      <c r="A551" s="12"/>
      <c r="D551" s="95"/>
      <c r="E551" s="14"/>
      <c r="F551" s="96"/>
    </row>
    <row r="552">
      <c r="A552" s="12"/>
      <c r="D552" s="95"/>
      <c r="E552" s="14"/>
      <c r="F552" s="96"/>
    </row>
    <row r="553">
      <c r="A553" s="12"/>
      <c r="D553" s="95"/>
      <c r="E553" s="14"/>
      <c r="F553" s="96"/>
    </row>
    <row r="554">
      <c r="A554" s="12"/>
      <c r="D554" s="95"/>
      <c r="E554" s="14"/>
      <c r="F554" s="96"/>
    </row>
    <row r="555">
      <c r="A555" s="12"/>
      <c r="D555" s="95"/>
      <c r="E555" s="14"/>
      <c r="F555" s="96"/>
    </row>
    <row r="556">
      <c r="A556" s="12"/>
      <c r="D556" s="95"/>
      <c r="E556" s="14"/>
      <c r="F556" s="96"/>
    </row>
    <row r="557">
      <c r="A557" s="12"/>
      <c r="D557" s="95"/>
      <c r="E557" s="14"/>
      <c r="F557" s="96"/>
    </row>
    <row r="558">
      <c r="A558" s="12"/>
      <c r="D558" s="95"/>
      <c r="E558" s="14"/>
      <c r="F558" s="96"/>
    </row>
    <row r="559">
      <c r="A559" s="12"/>
      <c r="D559" s="95"/>
      <c r="E559" s="14"/>
      <c r="F559" s="96"/>
    </row>
    <row r="560">
      <c r="A560" s="12"/>
      <c r="D560" s="95"/>
      <c r="E560" s="14"/>
      <c r="F560" s="96"/>
    </row>
    <row r="561">
      <c r="A561" s="12"/>
      <c r="D561" s="95"/>
      <c r="E561" s="14"/>
      <c r="F561" s="96"/>
    </row>
    <row r="562">
      <c r="A562" s="12"/>
      <c r="D562" s="95"/>
      <c r="E562" s="14"/>
      <c r="F562" s="96"/>
    </row>
    <row r="563">
      <c r="A563" s="12"/>
      <c r="D563" s="95"/>
      <c r="E563" s="14"/>
      <c r="F563" s="96"/>
    </row>
    <row r="564">
      <c r="A564" s="12"/>
      <c r="D564" s="95"/>
      <c r="E564" s="14"/>
      <c r="F564" s="96"/>
    </row>
    <row r="565">
      <c r="A565" s="12"/>
      <c r="D565" s="95"/>
      <c r="E565" s="14"/>
      <c r="F565" s="96"/>
    </row>
    <row r="566">
      <c r="A566" s="12"/>
      <c r="D566" s="95"/>
      <c r="E566" s="14"/>
      <c r="F566" s="96"/>
    </row>
    <row r="567">
      <c r="A567" s="12"/>
      <c r="D567" s="95"/>
      <c r="E567" s="14"/>
      <c r="F567" s="96"/>
    </row>
    <row r="568">
      <c r="A568" s="12"/>
      <c r="D568" s="95"/>
      <c r="E568" s="14"/>
      <c r="F568" s="96"/>
    </row>
    <row r="569">
      <c r="A569" s="12"/>
      <c r="D569" s="95"/>
      <c r="E569" s="14"/>
      <c r="F569" s="96"/>
    </row>
    <row r="570">
      <c r="A570" s="12"/>
      <c r="D570" s="95"/>
      <c r="E570" s="14"/>
      <c r="F570" s="96"/>
    </row>
    <row r="571">
      <c r="A571" s="12"/>
      <c r="D571" s="95"/>
      <c r="E571" s="14"/>
      <c r="F571" s="96"/>
    </row>
    <row r="572">
      <c r="A572" s="12"/>
      <c r="D572" s="95"/>
      <c r="E572" s="14"/>
      <c r="F572" s="96"/>
    </row>
    <row r="573">
      <c r="A573" s="12"/>
      <c r="D573" s="95"/>
      <c r="E573" s="14"/>
      <c r="F573" s="96"/>
    </row>
    <row r="574">
      <c r="A574" s="12"/>
      <c r="D574" s="95"/>
      <c r="E574" s="14"/>
      <c r="F574" s="96"/>
    </row>
    <row r="575">
      <c r="A575" s="12"/>
      <c r="D575" s="95"/>
      <c r="E575" s="14"/>
      <c r="F575" s="96"/>
    </row>
    <row r="576">
      <c r="A576" s="12"/>
      <c r="D576" s="95"/>
      <c r="E576" s="14"/>
      <c r="F576" s="96"/>
    </row>
    <row r="577">
      <c r="A577" s="12"/>
      <c r="D577" s="95"/>
      <c r="E577" s="14"/>
      <c r="F577" s="96"/>
    </row>
    <row r="578">
      <c r="A578" s="12"/>
      <c r="D578" s="95"/>
      <c r="E578" s="14"/>
      <c r="F578" s="96"/>
    </row>
    <row r="579">
      <c r="A579" s="12"/>
      <c r="D579" s="95"/>
      <c r="E579" s="14"/>
      <c r="F579" s="96"/>
    </row>
    <row r="580">
      <c r="A580" s="12"/>
      <c r="D580" s="95"/>
      <c r="E580" s="14"/>
      <c r="F580" s="96"/>
    </row>
    <row r="581">
      <c r="A581" s="12"/>
      <c r="D581" s="95"/>
      <c r="E581" s="14"/>
      <c r="F581" s="96"/>
    </row>
    <row r="582">
      <c r="A582" s="12"/>
      <c r="D582" s="95"/>
      <c r="E582" s="14"/>
      <c r="F582" s="96"/>
    </row>
    <row r="583">
      <c r="A583" s="12"/>
      <c r="D583" s="95"/>
      <c r="E583" s="14"/>
      <c r="F583" s="96"/>
    </row>
    <row r="584">
      <c r="A584" s="12"/>
      <c r="D584" s="95"/>
      <c r="E584" s="14"/>
      <c r="F584" s="96"/>
    </row>
    <row r="585">
      <c r="A585" s="12"/>
      <c r="D585" s="95"/>
      <c r="E585" s="14"/>
      <c r="F585" s="96"/>
    </row>
    <row r="586">
      <c r="A586" s="12"/>
      <c r="D586" s="95"/>
      <c r="E586" s="14"/>
      <c r="F586" s="96"/>
    </row>
    <row r="587">
      <c r="A587" s="12"/>
      <c r="D587" s="95"/>
      <c r="E587" s="14"/>
      <c r="F587" s="96"/>
    </row>
    <row r="588">
      <c r="A588" s="12"/>
      <c r="D588" s="95"/>
      <c r="E588" s="14"/>
      <c r="F588" s="96"/>
    </row>
    <row r="589">
      <c r="A589" s="12"/>
      <c r="D589" s="95"/>
      <c r="E589" s="14"/>
      <c r="F589" s="96"/>
    </row>
    <row r="590">
      <c r="A590" s="12"/>
      <c r="D590" s="95"/>
      <c r="E590" s="14"/>
      <c r="F590" s="96"/>
    </row>
    <row r="591">
      <c r="A591" s="12"/>
      <c r="D591" s="95"/>
      <c r="E591" s="14"/>
      <c r="F591" s="96"/>
    </row>
    <row r="592">
      <c r="A592" s="12"/>
      <c r="D592" s="95"/>
      <c r="E592" s="14"/>
      <c r="F592" s="96"/>
    </row>
    <row r="593">
      <c r="A593" s="12"/>
      <c r="D593" s="95"/>
      <c r="E593" s="14"/>
      <c r="F593" s="96"/>
    </row>
    <row r="594">
      <c r="A594" s="12"/>
      <c r="D594" s="95"/>
      <c r="E594" s="14"/>
      <c r="F594" s="96"/>
    </row>
    <row r="595">
      <c r="A595" s="12"/>
      <c r="D595" s="95"/>
      <c r="E595" s="14"/>
      <c r="F595" s="96"/>
    </row>
    <row r="596">
      <c r="A596" s="12"/>
      <c r="D596" s="95"/>
      <c r="E596" s="14"/>
      <c r="F596" s="96"/>
    </row>
    <row r="597">
      <c r="A597" s="12"/>
      <c r="D597" s="95"/>
      <c r="E597" s="14"/>
      <c r="F597" s="96"/>
    </row>
    <row r="598">
      <c r="A598" s="12"/>
      <c r="D598" s="95"/>
      <c r="E598" s="14"/>
      <c r="F598" s="96"/>
    </row>
    <row r="599">
      <c r="A599" s="12"/>
      <c r="D599" s="95"/>
      <c r="E599" s="14"/>
      <c r="F599" s="96"/>
    </row>
    <row r="600">
      <c r="A600" s="12"/>
      <c r="D600" s="95"/>
      <c r="E600" s="14"/>
      <c r="F600" s="96"/>
    </row>
    <row r="601">
      <c r="A601" s="12"/>
      <c r="D601" s="95"/>
      <c r="E601" s="14"/>
      <c r="F601" s="96"/>
    </row>
    <row r="602">
      <c r="A602" s="12"/>
      <c r="D602" s="95"/>
      <c r="E602" s="14"/>
      <c r="F602" s="96"/>
    </row>
    <row r="603">
      <c r="A603" s="12"/>
      <c r="D603" s="95"/>
      <c r="E603" s="14"/>
      <c r="F603" s="96"/>
    </row>
    <row r="604">
      <c r="A604" s="12"/>
      <c r="D604" s="95"/>
      <c r="E604" s="14"/>
      <c r="F604" s="96"/>
    </row>
    <row r="605">
      <c r="A605" s="12"/>
      <c r="D605" s="95"/>
      <c r="E605" s="14"/>
      <c r="F605" s="96"/>
    </row>
    <row r="606">
      <c r="A606" s="12"/>
      <c r="D606" s="95"/>
      <c r="E606" s="14"/>
      <c r="F606" s="96"/>
    </row>
    <row r="607">
      <c r="A607" s="12"/>
      <c r="D607" s="95"/>
      <c r="E607" s="14"/>
      <c r="F607" s="96"/>
    </row>
    <row r="608">
      <c r="A608" s="12"/>
      <c r="D608" s="95"/>
      <c r="E608" s="14"/>
      <c r="F608" s="96"/>
    </row>
    <row r="609">
      <c r="A609" s="12"/>
      <c r="D609" s="95"/>
      <c r="E609" s="14"/>
      <c r="F609" s="96"/>
    </row>
    <row r="610">
      <c r="A610" s="12"/>
      <c r="D610" s="95"/>
      <c r="E610" s="14"/>
      <c r="F610" s="96"/>
    </row>
    <row r="611">
      <c r="A611" s="12"/>
      <c r="D611" s="95"/>
      <c r="E611" s="14"/>
      <c r="F611" s="96"/>
    </row>
    <row r="612">
      <c r="A612" s="12"/>
      <c r="D612" s="95"/>
      <c r="E612" s="14"/>
      <c r="F612" s="96"/>
    </row>
    <row r="613">
      <c r="A613" s="12"/>
      <c r="D613" s="95"/>
      <c r="E613" s="14"/>
      <c r="F613" s="96"/>
    </row>
    <row r="614">
      <c r="A614" s="12"/>
      <c r="D614" s="95"/>
      <c r="E614" s="14"/>
      <c r="F614" s="96"/>
    </row>
    <row r="615">
      <c r="A615" s="12"/>
      <c r="D615" s="95"/>
      <c r="E615" s="14"/>
      <c r="F615" s="96"/>
    </row>
    <row r="616">
      <c r="A616" s="12"/>
      <c r="D616" s="95"/>
      <c r="E616" s="14"/>
      <c r="F616" s="96"/>
    </row>
    <row r="617">
      <c r="A617" s="12"/>
      <c r="D617" s="95"/>
      <c r="E617" s="14"/>
      <c r="F617" s="96"/>
    </row>
    <row r="618">
      <c r="A618" s="12"/>
      <c r="D618" s="95"/>
      <c r="E618" s="14"/>
      <c r="F618" s="96"/>
    </row>
    <row r="619">
      <c r="A619" s="12"/>
      <c r="D619" s="95"/>
      <c r="E619" s="14"/>
      <c r="F619" s="96"/>
    </row>
    <row r="620">
      <c r="A620" s="12"/>
      <c r="D620" s="95"/>
      <c r="E620" s="14"/>
      <c r="F620" s="96"/>
    </row>
    <row r="621">
      <c r="A621" s="12"/>
      <c r="D621" s="95"/>
      <c r="E621" s="14"/>
      <c r="F621" s="96"/>
    </row>
    <row r="622">
      <c r="A622" s="12"/>
      <c r="D622" s="95"/>
      <c r="E622" s="14"/>
      <c r="F622" s="96"/>
    </row>
    <row r="623">
      <c r="A623" s="12"/>
      <c r="D623" s="95"/>
      <c r="E623" s="14"/>
      <c r="F623" s="96"/>
    </row>
    <row r="624">
      <c r="A624" s="12"/>
      <c r="D624" s="95"/>
      <c r="E624" s="14"/>
      <c r="F624" s="96"/>
    </row>
    <row r="625">
      <c r="A625" s="12"/>
      <c r="D625" s="95"/>
      <c r="E625" s="14"/>
      <c r="F625" s="96"/>
    </row>
    <row r="626">
      <c r="A626" s="12"/>
      <c r="D626" s="95"/>
      <c r="E626" s="14"/>
      <c r="F626" s="96"/>
    </row>
    <row r="627">
      <c r="A627" s="12"/>
      <c r="D627" s="95"/>
      <c r="E627" s="14"/>
      <c r="F627" s="96"/>
    </row>
    <row r="628">
      <c r="A628" s="12"/>
      <c r="D628" s="95"/>
      <c r="E628" s="14"/>
      <c r="F628" s="96"/>
    </row>
    <row r="629">
      <c r="A629" s="12"/>
      <c r="D629" s="95"/>
      <c r="E629" s="14"/>
      <c r="F629" s="96"/>
    </row>
    <row r="630">
      <c r="A630" s="12"/>
      <c r="D630" s="95"/>
      <c r="E630" s="14"/>
      <c r="F630" s="96"/>
    </row>
    <row r="631">
      <c r="A631" s="12"/>
      <c r="D631" s="95"/>
      <c r="E631" s="14"/>
      <c r="F631" s="96"/>
    </row>
    <row r="632">
      <c r="A632" s="12"/>
      <c r="D632" s="95"/>
      <c r="E632" s="14"/>
      <c r="F632" s="96"/>
    </row>
    <row r="633">
      <c r="A633" s="12"/>
      <c r="D633" s="95"/>
      <c r="E633" s="14"/>
      <c r="F633" s="96"/>
    </row>
    <row r="634">
      <c r="A634" s="12"/>
      <c r="D634" s="95"/>
      <c r="E634" s="14"/>
      <c r="F634" s="96"/>
    </row>
    <row r="635">
      <c r="A635" s="12"/>
      <c r="D635" s="95"/>
      <c r="E635" s="14"/>
      <c r="F635" s="96"/>
    </row>
    <row r="636">
      <c r="A636" s="12"/>
      <c r="D636" s="95"/>
      <c r="E636" s="14"/>
      <c r="F636" s="96"/>
    </row>
    <row r="637">
      <c r="A637" s="12"/>
      <c r="D637" s="95"/>
      <c r="E637" s="14"/>
      <c r="F637" s="96"/>
    </row>
    <row r="638">
      <c r="A638" s="12"/>
      <c r="D638" s="95"/>
      <c r="E638" s="14"/>
      <c r="F638" s="96"/>
    </row>
    <row r="639">
      <c r="A639" s="12"/>
      <c r="D639" s="95"/>
      <c r="E639" s="14"/>
      <c r="F639" s="96"/>
    </row>
    <row r="640">
      <c r="A640" s="12"/>
      <c r="D640" s="95"/>
      <c r="E640" s="14"/>
      <c r="F640" s="96"/>
    </row>
    <row r="641">
      <c r="A641" s="12"/>
      <c r="D641" s="95"/>
      <c r="E641" s="14"/>
      <c r="F641" s="96"/>
    </row>
    <row r="642">
      <c r="A642" s="12"/>
      <c r="D642" s="95"/>
      <c r="E642" s="14"/>
      <c r="F642" s="96"/>
    </row>
    <row r="643">
      <c r="A643" s="12"/>
      <c r="D643" s="95"/>
      <c r="E643" s="14"/>
      <c r="F643" s="96"/>
    </row>
    <row r="644">
      <c r="A644" s="12"/>
      <c r="D644" s="95"/>
      <c r="E644" s="14"/>
      <c r="F644" s="96"/>
    </row>
    <row r="645">
      <c r="A645" s="12"/>
      <c r="D645" s="95"/>
      <c r="E645" s="14"/>
      <c r="F645" s="96"/>
    </row>
    <row r="646">
      <c r="A646" s="12"/>
      <c r="D646" s="95"/>
      <c r="E646" s="14"/>
      <c r="F646" s="96"/>
    </row>
    <row r="647">
      <c r="A647" s="12"/>
      <c r="D647" s="95"/>
      <c r="E647" s="14"/>
      <c r="F647" s="96"/>
    </row>
    <row r="648">
      <c r="A648" s="12"/>
      <c r="D648" s="95"/>
      <c r="E648" s="14"/>
      <c r="F648" s="96"/>
    </row>
    <row r="649">
      <c r="A649" s="12"/>
      <c r="D649" s="95"/>
      <c r="E649" s="14"/>
      <c r="F649" s="96"/>
    </row>
    <row r="650">
      <c r="A650" s="12"/>
      <c r="D650" s="95"/>
      <c r="E650" s="14"/>
      <c r="F650" s="96"/>
    </row>
    <row r="651">
      <c r="A651" s="12"/>
      <c r="D651" s="95"/>
      <c r="E651" s="14"/>
      <c r="F651" s="96"/>
    </row>
    <row r="652">
      <c r="A652" s="12"/>
      <c r="D652" s="95"/>
      <c r="E652" s="14"/>
      <c r="F652" s="96"/>
    </row>
    <row r="653">
      <c r="A653" s="12"/>
      <c r="D653" s="95"/>
      <c r="E653" s="14"/>
      <c r="F653" s="96"/>
    </row>
    <row r="654">
      <c r="A654" s="12"/>
      <c r="D654" s="95"/>
      <c r="E654" s="14"/>
      <c r="F654" s="96"/>
    </row>
    <row r="655">
      <c r="A655" s="12"/>
      <c r="D655" s="95"/>
      <c r="E655" s="14"/>
      <c r="F655" s="96"/>
    </row>
    <row r="656">
      <c r="A656" s="12"/>
      <c r="D656" s="95"/>
      <c r="E656" s="14"/>
      <c r="F656" s="96"/>
    </row>
    <row r="657">
      <c r="A657" s="12"/>
      <c r="D657" s="95"/>
      <c r="E657" s="14"/>
      <c r="F657" s="96"/>
    </row>
    <row r="658">
      <c r="A658" s="12"/>
      <c r="D658" s="95"/>
      <c r="E658" s="14"/>
      <c r="F658" s="96"/>
    </row>
    <row r="659">
      <c r="A659" s="12"/>
      <c r="D659" s="95"/>
      <c r="E659" s="14"/>
      <c r="F659" s="96"/>
    </row>
    <row r="660">
      <c r="A660" s="12"/>
      <c r="D660" s="95"/>
      <c r="E660" s="14"/>
      <c r="F660" s="96"/>
    </row>
    <row r="661">
      <c r="A661" s="12"/>
      <c r="D661" s="95"/>
      <c r="E661" s="14"/>
      <c r="F661" s="96"/>
    </row>
    <row r="662">
      <c r="A662" s="12"/>
      <c r="D662" s="95"/>
      <c r="E662" s="14"/>
      <c r="F662" s="96"/>
    </row>
    <row r="663">
      <c r="A663" s="12"/>
      <c r="D663" s="95"/>
      <c r="E663" s="14"/>
      <c r="F663" s="96"/>
    </row>
    <row r="664">
      <c r="A664" s="12"/>
      <c r="D664" s="95"/>
      <c r="E664" s="14"/>
      <c r="F664" s="96"/>
    </row>
    <row r="665">
      <c r="A665" s="12"/>
      <c r="D665" s="95"/>
      <c r="E665" s="14"/>
      <c r="F665" s="96"/>
    </row>
    <row r="666">
      <c r="A666" s="12"/>
      <c r="D666" s="95"/>
      <c r="E666" s="14"/>
      <c r="F666" s="96"/>
    </row>
    <row r="667">
      <c r="A667" s="12"/>
      <c r="D667" s="95"/>
      <c r="E667" s="14"/>
      <c r="F667" s="96"/>
    </row>
    <row r="668">
      <c r="A668" s="12"/>
      <c r="D668" s="95"/>
      <c r="E668" s="14"/>
      <c r="F668" s="96"/>
    </row>
    <row r="669">
      <c r="A669" s="12"/>
      <c r="D669" s="95"/>
      <c r="E669" s="14"/>
      <c r="F669" s="96"/>
    </row>
    <row r="670">
      <c r="A670" s="12"/>
      <c r="D670" s="95"/>
      <c r="E670" s="14"/>
      <c r="F670" s="96"/>
    </row>
    <row r="671">
      <c r="A671" s="12"/>
      <c r="D671" s="95"/>
      <c r="E671" s="14"/>
      <c r="F671" s="96"/>
    </row>
    <row r="672">
      <c r="A672" s="12"/>
      <c r="D672" s="95"/>
      <c r="E672" s="14"/>
      <c r="F672" s="96"/>
    </row>
    <row r="673">
      <c r="A673" s="12"/>
      <c r="D673" s="95"/>
      <c r="E673" s="14"/>
      <c r="F673" s="96"/>
    </row>
    <row r="674">
      <c r="A674" s="12"/>
      <c r="D674" s="95"/>
      <c r="E674" s="14"/>
      <c r="F674" s="96"/>
    </row>
    <row r="675">
      <c r="A675" s="12"/>
      <c r="D675" s="95"/>
      <c r="E675" s="14"/>
      <c r="F675" s="96"/>
    </row>
    <row r="676">
      <c r="A676" s="12"/>
      <c r="D676" s="95"/>
      <c r="E676" s="14"/>
      <c r="F676" s="96"/>
    </row>
    <row r="677">
      <c r="A677" s="12"/>
      <c r="D677" s="95"/>
      <c r="E677" s="14"/>
      <c r="F677" s="96"/>
    </row>
    <row r="678">
      <c r="A678" s="12"/>
      <c r="D678" s="95"/>
      <c r="E678" s="14"/>
      <c r="F678" s="96"/>
    </row>
    <row r="679">
      <c r="A679" s="12"/>
      <c r="D679" s="95"/>
      <c r="E679" s="14"/>
      <c r="F679" s="96"/>
    </row>
    <row r="680">
      <c r="A680" s="12"/>
      <c r="D680" s="95"/>
      <c r="E680" s="14"/>
      <c r="F680" s="96"/>
    </row>
    <row r="681">
      <c r="A681" s="12"/>
      <c r="D681" s="95"/>
      <c r="E681" s="14"/>
      <c r="F681" s="96"/>
    </row>
    <row r="682">
      <c r="A682" s="12"/>
      <c r="D682" s="95"/>
      <c r="E682" s="14"/>
      <c r="F682" s="96"/>
    </row>
    <row r="683">
      <c r="A683" s="12"/>
      <c r="D683" s="95"/>
      <c r="E683" s="14"/>
      <c r="F683" s="96"/>
    </row>
    <row r="684">
      <c r="A684" s="12"/>
      <c r="D684" s="95"/>
      <c r="E684" s="14"/>
      <c r="F684" s="96"/>
    </row>
    <row r="685">
      <c r="A685" s="12"/>
      <c r="D685" s="95"/>
      <c r="E685" s="14"/>
      <c r="F685" s="96"/>
    </row>
    <row r="686">
      <c r="A686" s="12"/>
      <c r="D686" s="95"/>
      <c r="E686" s="14"/>
      <c r="F686" s="96"/>
    </row>
    <row r="687">
      <c r="A687" s="12"/>
      <c r="D687" s="95"/>
      <c r="E687" s="14"/>
      <c r="F687" s="96"/>
    </row>
    <row r="688">
      <c r="A688" s="12"/>
      <c r="D688" s="95"/>
      <c r="E688" s="14"/>
      <c r="F688" s="96"/>
    </row>
    <row r="689">
      <c r="A689" s="12"/>
      <c r="D689" s="95"/>
      <c r="E689" s="14"/>
      <c r="F689" s="96"/>
    </row>
    <row r="690">
      <c r="A690" s="12"/>
      <c r="D690" s="95"/>
      <c r="E690" s="14"/>
      <c r="F690" s="96"/>
    </row>
    <row r="691">
      <c r="A691" s="12"/>
      <c r="D691" s="95"/>
      <c r="E691" s="14"/>
      <c r="F691" s="96"/>
    </row>
    <row r="692">
      <c r="A692" s="12"/>
      <c r="D692" s="95"/>
      <c r="E692" s="14"/>
      <c r="F692" s="96"/>
    </row>
    <row r="693">
      <c r="A693" s="12"/>
      <c r="D693" s="95"/>
      <c r="E693" s="14"/>
      <c r="F693" s="96"/>
    </row>
    <row r="694">
      <c r="A694" s="12"/>
      <c r="D694" s="95"/>
      <c r="E694" s="14"/>
      <c r="F694" s="96"/>
    </row>
    <row r="695">
      <c r="A695" s="12"/>
      <c r="D695" s="95"/>
      <c r="E695" s="14"/>
      <c r="F695" s="96"/>
    </row>
    <row r="696">
      <c r="A696" s="12"/>
      <c r="D696" s="95"/>
      <c r="E696" s="14"/>
      <c r="F696" s="96"/>
    </row>
    <row r="697">
      <c r="A697" s="12"/>
      <c r="D697" s="95"/>
      <c r="E697" s="14"/>
      <c r="F697" s="96"/>
    </row>
    <row r="698">
      <c r="A698" s="12"/>
      <c r="D698" s="95"/>
      <c r="E698" s="14"/>
      <c r="F698" s="96"/>
    </row>
    <row r="699">
      <c r="A699" s="12"/>
      <c r="D699" s="95"/>
      <c r="E699" s="14"/>
      <c r="F699" s="96"/>
    </row>
    <row r="700">
      <c r="A700" s="12"/>
      <c r="D700" s="95"/>
      <c r="E700" s="14"/>
      <c r="F700" s="96"/>
    </row>
    <row r="701">
      <c r="A701" s="12"/>
      <c r="D701" s="95"/>
      <c r="E701" s="14"/>
      <c r="F701" s="96"/>
    </row>
    <row r="702">
      <c r="A702" s="12"/>
      <c r="D702" s="95"/>
      <c r="E702" s="14"/>
      <c r="F702" s="96"/>
    </row>
    <row r="703">
      <c r="A703" s="12"/>
      <c r="D703" s="95"/>
      <c r="E703" s="14"/>
      <c r="F703" s="96"/>
    </row>
    <row r="704">
      <c r="A704" s="12"/>
      <c r="D704" s="95"/>
      <c r="E704" s="14"/>
      <c r="F704" s="96"/>
    </row>
    <row r="705">
      <c r="A705" s="12"/>
      <c r="D705" s="95"/>
      <c r="E705" s="14"/>
      <c r="F705" s="96"/>
    </row>
    <row r="706">
      <c r="A706" s="12"/>
      <c r="D706" s="95"/>
      <c r="E706" s="14"/>
      <c r="F706" s="96"/>
    </row>
    <row r="707">
      <c r="A707" s="12"/>
      <c r="D707" s="95"/>
      <c r="E707" s="14"/>
      <c r="F707" s="96"/>
    </row>
    <row r="708">
      <c r="A708" s="12"/>
      <c r="D708" s="95"/>
      <c r="E708" s="14"/>
      <c r="F708" s="96"/>
    </row>
    <row r="709">
      <c r="A709" s="12"/>
      <c r="D709" s="95"/>
      <c r="E709" s="14"/>
      <c r="F709" s="96"/>
    </row>
    <row r="710">
      <c r="A710" s="12"/>
      <c r="D710" s="95"/>
      <c r="E710" s="14"/>
      <c r="F710" s="96"/>
    </row>
    <row r="711">
      <c r="A711" s="12"/>
      <c r="D711" s="95"/>
      <c r="E711" s="14"/>
      <c r="F711" s="96"/>
    </row>
    <row r="712">
      <c r="A712" s="12"/>
      <c r="D712" s="95"/>
      <c r="E712" s="14"/>
      <c r="F712" s="96"/>
    </row>
    <row r="713">
      <c r="A713" s="12"/>
      <c r="D713" s="95"/>
      <c r="E713" s="14"/>
      <c r="F713" s="96"/>
    </row>
    <row r="714">
      <c r="A714" s="12"/>
      <c r="D714" s="95"/>
      <c r="E714" s="14"/>
      <c r="F714" s="96"/>
    </row>
    <row r="715">
      <c r="A715" s="12"/>
      <c r="D715" s="95"/>
      <c r="E715" s="14"/>
      <c r="F715" s="96"/>
    </row>
    <row r="716">
      <c r="A716" s="12"/>
      <c r="D716" s="95"/>
      <c r="E716" s="14"/>
      <c r="F716" s="96"/>
    </row>
    <row r="717">
      <c r="A717" s="12"/>
      <c r="D717" s="95"/>
      <c r="E717" s="14"/>
      <c r="F717" s="96"/>
    </row>
    <row r="718">
      <c r="A718" s="12"/>
      <c r="D718" s="95"/>
      <c r="E718" s="14"/>
      <c r="F718" s="96"/>
    </row>
    <row r="719">
      <c r="A719" s="12"/>
      <c r="D719" s="95"/>
      <c r="E719" s="14"/>
      <c r="F719" s="96"/>
    </row>
    <row r="720">
      <c r="A720" s="12"/>
      <c r="D720" s="95"/>
      <c r="E720" s="14"/>
      <c r="F720" s="96"/>
    </row>
    <row r="721">
      <c r="A721" s="12"/>
      <c r="D721" s="95"/>
      <c r="E721" s="14"/>
      <c r="F721" s="96"/>
    </row>
    <row r="722">
      <c r="A722" s="12"/>
      <c r="D722" s="95"/>
      <c r="E722" s="14"/>
      <c r="F722" s="96"/>
    </row>
    <row r="723">
      <c r="A723" s="12"/>
      <c r="D723" s="95"/>
      <c r="E723" s="14"/>
      <c r="F723" s="96"/>
    </row>
    <row r="724">
      <c r="A724" s="12"/>
      <c r="D724" s="95"/>
      <c r="E724" s="14"/>
      <c r="F724" s="96"/>
    </row>
    <row r="725">
      <c r="A725" s="12"/>
      <c r="D725" s="95"/>
      <c r="E725" s="14"/>
      <c r="F725" s="96"/>
    </row>
    <row r="726">
      <c r="A726" s="12"/>
      <c r="D726" s="95"/>
      <c r="E726" s="14"/>
      <c r="F726" s="96"/>
    </row>
    <row r="727">
      <c r="A727" s="12"/>
      <c r="D727" s="95"/>
      <c r="E727" s="14"/>
      <c r="F727" s="96"/>
    </row>
    <row r="728">
      <c r="A728" s="12"/>
      <c r="D728" s="95"/>
      <c r="E728" s="14"/>
      <c r="F728" s="96"/>
    </row>
    <row r="729">
      <c r="A729" s="12"/>
      <c r="D729" s="95"/>
      <c r="E729" s="14"/>
      <c r="F729" s="96"/>
    </row>
    <row r="730">
      <c r="A730" s="12"/>
      <c r="D730" s="95"/>
      <c r="E730" s="14"/>
      <c r="F730" s="96"/>
    </row>
    <row r="731">
      <c r="A731" s="12"/>
      <c r="D731" s="95"/>
      <c r="E731" s="14"/>
      <c r="F731" s="96"/>
    </row>
    <row r="732">
      <c r="A732" s="12"/>
      <c r="D732" s="95"/>
      <c r="E732" s="14"/>
      <c r="F732" s="96"/>
    </row>
    <row r="733">
      <c r="A733" s="12"/>
      <c r="D733" s="95"/>
      <c r="E733" s="14"/>
      <c r="F733" s="96"/>
    </row>
    <row r="734">
      <c r="A734" s="12"/>
      <c r="D734" s="95"/>
      <c r="E734" s="14"/>
      <c r="F734" s="96"/>
    </row>
    <row r="735">
      <c r="A735" s="12"/>
      <c r="D735" s="95"/>
      <c r="E735" s="14"/>
      <c r="F735" s="96"/>
    </row>
    <row r="736">
      <c r="A736" s="12"/>
      <c r="D736" s="95"/>
      <c r="E736" s="14"/>
      <c r="F736" s="96"/>
    </row>
    <row r="737">
      <c r="A737" s="12"/>
      <c r="D737" s="95"/>
      <c r="E737" s="14"/>
      <c r="F737" s="96"/>
    </row>
    <row r="738">
      <c r="A738" s="12"/>
      <c r="D738" s="95"/>
      <c r="E738" s="14"/>
      <c r="F738" s="96"/>
    </row>
    <row r="739">
      <c r="A739" s="12"/>
      <c r="D739" s="95"/>
      <c r="E739" s="14"/>
      <c r="F739" s="96"/>
    </row>
    <row r="740">
      <c r="A740" s="12"/>
      <c r="D740" s="95"/>
      <c r="E740" s="14"/>
      <c r="F740" s="96"/>
    </row>
    <row r="741">
      <c r="A741" s="12"/>
      <c r="D741" s="95"/>
      <c r="E741" s="14"/>
      <c r="F741" s="96"/>
    </row>
    <row r="742">
      <c r="A742" s="12"/>
      <c r="D742" s="95"/>
      <c r="E742" s="14"/>
      <c r="F742" s="96"/>
    </row>
    <row r="743">
      <c r="A743" s="12"/>
      <c r="D743" s="95"/>
      <c r="E743" s="14"/>
      <c r="F743" s="96"/>
    </row>
    <row r="744">
      <c r="A744" s="12"/>
      <c r="D744" s="95"/>
      <c r="E744" s="14"/>
      <c r="F744" s="96"/>
    </row>
    <row r="745">
      <c r="A745" s="12"/>
      <c r="D745" s="95"/>
      <c r="E745" s="14"/>
      <c r="F745" s="96"/>
    </row>
    <row r="746">
      <c r="A746" s="12"/>
      <c r="D746" s="95"/>
      <c r="E746" s="14"/>
      <c r="F746" s="96"/>
    </row>
    <row r="747">
      <c r="A747" s="12"/>
      <c r="D747" s="95"/>
      <c r="E747" s="14"/>
      <c r="F747" s="96"/>
    </row>
    <row r="748">
      <c r="A748" s="12"/>
      <c r="D748" s="95"/>
      <c r="E748" s="14"/>
      <c r="F748" s="96"/>
    </row>
    <row r="749">
      <c r="A749" s="12"/>
      <c r="D749" s="95"/>
      <c r="E749" s="14"/>
      <c r="F749" s="96"/>
    </row>
    <row r="750">
      <c r="A750" s="12"/>
      <c r="D750" s="95"/>
      <c r="E750" s="14"/>
      <c r="F750" s="96"/>
    </row>
    <row r="751">
      <c r="A751" s="12"/>
      <c r="D751" s="95"/>
      <c r="E751" s="14"/>
      <c r="F751" s="96"/>
    </row>
    <row r="752">
      <c r="A752" s="12"/>
      <c r="D752" s="95"/>
      <c r="E752" s="14"/>
      <c r="F752" s="96"/>
    </row>
    <row r="753">
      <c r="A753" s="12"/>
      <c r="D753" s="95"/>
      <c r="E753" s="14"/>
      <c r="F753" s="96"/>
    </row>
    <row r="754">
      <c r="A754" s="12"/>
      <c r="D754" s="95"/>
      <c r="E754" s="14"/>
      <c r="F754" s="96"/>
    </row>
    <row r="755">
      <c r="A755" s="12"/>
      <c r="D755" s="95"/>
      <c r="E755" s="14"/>
      <c r="F755" s="96"/>
    </row>
    <row r="756">
      <c r="A756" s="12"/>
      <c r="D756" s="95"/>
      <c r="E756" s="14"/>
      <c r="F756" s="96"/>
    </row>
    <row r="757">
      <c r="A757" s="12"/>
      <c r="D757" s="95"/>
      <c r="E757" s="14"/>
      <c r="F757" s="96"/>
    </row>
    <row r="758">
      <c r="A758" s="12"/>
      <c r="D758" s="95"/>
      <c r="E758" s="14"/>
      <c r="F758" s="96"/>
    </row>
    <row r="759">
      <c r="A759" s="12"/>
      <c r="D759" s="95"/>
      <c r="E759" s="14"/>
      <c r="F759" s="96"/>
    </row>
    <row r="760">
      <c r="A760" s="12"/>
      <c r="D760" s="95"/>
      <c r="E760" s="14"/>
      <c r="F760" s="96"/>
    </row>
    <row r="761">
      <c r="A761" s="12"/>
      <c r="D761" s="95"/>
      <c r="E761" s="14"/>
      <c r="F761" s="96"/>
    </row>
    <row r="762">
      <c r="A762" s="12"/>
      <c r="D762" s="95"/>
      <c r="E762" s="14"/>
      <c r="F762" s="96"/>
    </row>
    <row r="763">
      <c r="A763" s="12"/>
      <c r="D763" s="95"/>
      <c r="E763" s="14"/>
      <c r="F763" s="96"/>
    </row>
    <row r="764">
      <c r="A764" s="12"/>
      <c r="D764" s="95"/>
      <c r="E764" s="14"/>
      <c r="F764" s="96"/>
    </row>
    <row r="765">
      <c r="A765" s="12"/>
      <c r="D765" s="95"/>
      <c r="E765" s="14"/>
      <c r="F765" s="96"/>
    </row>
    <row r="766">
      <c r="A766" s="12"/>
      <c r="D766" s="95"/>
      <c r="E766" s="14"/>
      <c r="F766" s="96"/>
    </row>
    <row r="767">
      <c r="A767" s="12"/>
      <c r="D767" s="95"/>
      <c r="E767" s="14"/>
      <c r="F767" s="96"/>
    </row>
    <row r="768">
      <c r="A768" s="12"/>
      <c r="D768" s="95"/>
      <c r="E768" s="14"/>
      <c r="F768" s="96"/>
    </row>
    <row r="769">
      <c r="A769" s="12"/>
      <c r="D769" s="95"/>
      <c r="E769" s="14"/>
      <c r="F769" s="96"/>
    </row>
    <row r="770">
      <c r="A770" s="12"/>
      <c r="D770" s="95"/>
      <c r="E770" s="14"/>
      <c r="F770" s="96"/>
    </row>
    <row r="771">
      <c r="A771" s="12"/>
      <c r="D771" s="95"/>
      <c r="E771" s="14"/>
      <c r="F771" s="96"/>
    </row>
    <row r="772">
      <c r="A772" s="12"/>
      <c r="D772" s="95"/>
      <c r="E772" s="14"/>
      <c r="F772" s="96"/>
    </row>
    <row r="773">
      <c r="A773" s="12"/>
      <c r="D773" s="95"/>
      <c r="E773" s="14"/>
      <c r="F773" s="96"/>
    </row>
    <row r="774">
      <c r="A774" s="12"/>
      <c r="D774" s="95"/>
      <c r="E774" s="14"/>
      <c r="F774" s="96"/>
    </row>
    <row r="775">
      <c r="A775" s="12"/>
      <c r="D775" s="95"/>
      <c r="E775" s="14"/>
      <c r="F775" s="96"/>
    </row>
    <row r="776">
      <c r="A776" s="12"/>
      <c r="D776" s="95"/>
      <c r="E776" s="14"/>
      <c r="F776" s="96"/>
    </row>
    <row r="777">
      <c r="A777" s="12"/>
      <c r="D777" s="95"/>
      <c r="E777" s="14"/>
      <c r="F777" s="96"/>
    </row>
    <row r="778">
      <c r="A778" s="12"/>
      <c r="D778" s="95"/>
      <c r="E778" s="14"/>
      <c r="F778" s="96"/>
    </row>
    <row r="779">
      <c r="A779" s="12"/>
      <c r="D779" s="95"/>
      <c r="E779" s="14"/>
      <c r="F779" s="96"/>
    </row>
    <row r="780">
      <c r="A780" s="12"/>
      <c r="D780" s="95"/>
      <c r="E780" s="14"/>
      <c r="F780" s="96"/>
    </row>
    <row r="781">
      <c r="A781" s="12"/>
      <c r="D781" s="95"/>
      <c r="E781" s="14"/>
      <c r="F781" s="96"/>
    </row>
    <row r="782">
      <c r="A782" s="12"/>
      <c r="D782" s="95"/>
      <c r="E782" s="14"/>
      <c r="F782" s="96"/>
    </row>
    <row r="783">
      <c r="A783" s="12"/>
      <c r="D783" s="95"/>
      <c r="E783" s="14"/>
      <c r="F783" s="96"/>
    </row>
    <row r="784">
      <c r="A784" s="12"/>
      <c r="D784" s="95"/>
      <c r="E784" s="14"/>
      <c r="F784" s="96"/>
    </row>
    <row r="785">
      <c r="A785" s="12"/>
      <c r="D785" s="95"/>
      <c r="E785" s="14"/>
      <c r="F785" s="96"/>
    </row>
    <row r="786">
      <c r="A786" s="12"/>
      <c r="D786" s="95"/>
      <c r="E786" s="14"/>
      <c r="F786" s="96"/>
    </row>
    <row r="787">
      <c r="A787" s="12"/>
      <c r="D787" s="95"/>
      <c r="E787" s="14"/>
      <c r="F787" s="96"/>
    </row>
    <row r="788">
      <c r="A788" s="12"/>
      <c r="D788" s="95"/>
      <c r="E788" s="14"/>
      <c r="F788" s="96"/>
    </row>
    <row r="789">
      <c r="A789" s="12"/>
      <c r="D789" s="95"/>
      <c r="E789" s="14"/>
      <c r="F789" s="96"/>
    </row>
    <row r="790">
      <c r="A790" s="12"/>
      <c r="D790" s="95"/>
      <c r="E790" s="14"/>
      <c r="F790" s="96"/>
    </row>
    <row r="791">
      <c r="A791" s="12"/>
      <c r="D791" s="95"/>
      <c r="E791" s="14"/>
      <c r="F791" s="96"/>
    </row>
    <row r="792">
      <c r="A792" s="12"/>
      <c r="D792" s="95"/>
      <c r="E792" s="14"/>
      <c r="F792" s="96"/>
    </row>
    <row r="793">
      <c r="A793" s="12"/>
      <c r="D793" s="95"/>
      <c r="E793" s="14"/>
      <c r="F793" s="96"/>
    </row>
    <row r="794">
      <c r="A794" s="12"/>
      <c r="D794" s="95"/>
      <c r="E794" s="14"/>
      <c r="F794" s="96"/>
    </row>
    <row r="795">
      <c r="A795" s="12"/>
      <c r="D795" s="95"/>
      <c r="E795" s="14"/>
      <c r="F795" s="96"/>
    </row>
    <row r="796">
      <c r="A796" s="12"/>
      <c r="D796" s="95"/>
      <c r="E796" s="14"/>
      <c r="F796" s="96"/>
    </row>
    <row r="797">
      <c r="A797" s="12"/>
      <c r="D797" s="95"/>
      <c r="E797" s="14"/>
      <c r="F797" s="96"/>
    </row>
    <row r="798">
      <c r="A798" s="12"/>
      <c r="D798" s="95"/>
      <c r="E798" s="14"/>
      <c r="F798" s="96"/>
    </row>
    <row r="799">
      <c r="A799" s="12"/>
      <c r="D799" s="95"/>
      <c r="E799" s="14"/>
      <c r="F799" s="96"/>
    </row>
    <row r="800">
      <c r="A800" s="12"/>
      <c r="D800" s="95"/>
      <c r="E800" s="14"/>
      <c r="F800" s="96"/>
    </row>
    <row r="801">
      <c r="A801" s="12"/>
      <c r="D801" s="95"/>
      <c r="E801" s="14"/>
      <c r="F801" s="96"/>
    </row>
    <row r="802">
      <c r="A802" s="12"/>
      <c r="D802" s="95"/>
      <c r="E802" s="14"/>
      <c r="F802" s="96"/>
    </row>
    <row r="803">
      <c r="A803" s="12"/>
      <c r="D803" s="95"/>
      <c r="E803" s="14"/>
      <c r="F803" s="96"/>
    </row>
    <row r="804">
      <c r="A804" s="12"/>
      <c r="D804" s="95"/>
      <c r="E804" s="14"/>
      <c r="F804" s="96"/>
    </row>
    <row r="805">
      <c r="A805" s="12"/>
      <c r="D805" s="95"/>
      <c r="E805" s="14"/>
      <c r="F805" s="96"/>
    </row>
    <row r="806">
      <c r="A806" s="12"/>
      <c r="D806" s="95"/>
      <c r="E806" s="14"/>
      <c r="F806" s="96"/>
    </row>
    <row r="807">
      <c r="A807" s="12"/>
      <c r="D807" s="95"/>
      <c r="E807" s="14"/>
      <c r="F807" s="96"/>
    </row>
    <row r="808">
      <c r="A808" s="12"/>
      <c r="D808" s="95"/>
      <c r="E808" s="14"/>
      <c r="F808" s="96"/>
    </row>
    <row r="809">
      <c r="A809" s="12"/>
      <c r="D809" s="95"/>
      <c r="E809" s="14"/>
      <c r="F809" s="96"/>
    </row>
    <row r="810">
      <c r="A810" s="12"/>
      <c r="D810" s="95"/>
      <c r="E810" s="14"/>
      <c r="F810" s="96"/>
    </row>
    <row r="811">
      <c r="A811" s="12"/>
      <c r="D811" s="95"/>
      <c r="E811" s="14"/>
      <c r="F811" s="96"/>
    </row>
    <row r="812">
      <c r="A812" s="12"/>
      <c r="D812" s="95"/>
      <c r="E812" s="14"/>
      <c r="F812" s="96"/>
    </row>
    <row r="813">
      <c r="A813" s="12"/>
      <c r="D813" s="95"/>
      <c r="E813" s="14"/>
      <c r="F813" s="96"/>
    </row>
    <row r="814">
      <c r="A814" s="12"/>
      <c r="D814" s="95"/>
      <c r="E814" s="14"/>
      <c r="F814" s="96"/>
    </row>
    <row r="815">
      <c r="A815" s="12"/>
      <c r="D815" s="95"/>
      <c r="E815" s="14"/>
      <c r="F815" s="96"/>
    </row>
    <row r="816">
      <c r="A816" s="12"/>
      <c r="D816" s="95"/>
      <c r="E816" s="14"/>
      <c r="F816" s="96"/>
    </row>
    <row r="817">
      <c r="A817" s="12"/>
      <c r="D817" s="95"/>
      <c r="E817" s="14"/>
      <c r="F817" s="96"/>
    </row>
    <row r="818">
      <c r="A818" s="12"/>
      <c r="D818" s="95"/>
      <c r="E818" s="14"/>
      <c r="F818" s="96"/>
    </row>
    <row r="819">
      <c r="A819" s="12"/>
      <c r="D819" s="95"/>
      <c r="E819" s="14"/>
      <c r="F819" s="96"/>
    </row>
    <row r="820">
      <c r="A820" s="12"/>
      <c r="D820" s="95"/>
      <c r="E820" s="14"/>
      <c r="F820" s="96"/>
    </row>
    <row r="821">
      <c r="A821" s="12"/>
      <c r="D821" s="95"/>
      <c r="E821" s="14"/>
      <c r="F821" s="96"/>
    </row>
    <row r="822">
      <c r="A822" s="12"/>
      <c r="D822" s="95"/>
      <c r="E822" s="14"/>
      <c r="F822" s="96"/>
    </row>
    <row r="823">
      <c r="A823" s="12"/>
      <c r="D823" s="95"/>
      <c r="E823" s="14"/>
      <c r="F823" s="96"/>
    </row>
    <row r="824">
      <c r="A824" s="12"/>
      <c r="D824" s="95"/>
      <c r="E824" s="14"/>
      <c r="F824" s="96"/>
    </row>
    <row r="825">
      <c r="A825" s="12"/>
      <c r="D825" s="95"/>
      <c r="E825" s="14"/>
      <c r="F825" s="96"/>
    </row>
    <row r="826">
      <c r="A826" s="12"/>
      <c r="D826" s="95"/>
      <c r="E826" s="14"/>
      <c r="F826" s="96"/>
    </row>
    <row r="827">
      <c r="A827" s="12"/>
      <c r="D827" s="95"/>
      <c r="E827" s="14"/>
      <c r="F827" s="96"/>
    </row>
    <row r="828">
      <c r="A828" s="12"/>
      <c r="D828" s="95"/>
      <c r="E828" s="14"/>
      <c r="F828" s="96"/>
    </row>
    <row r="829">
      <c r="A829" s="12"/>
      <c r="D829" s="95"/>
      <c r="E829" s="14"/>
      <c r="F829" s="96"/>
    </row>
    <row r="830">
      <c r="A830" s="12"/>
      <c r="D830" s="95"/>
      <c r="E830" s="14"/>
      <c r="F830" s="96"/>
    </row>
    <row r="831">
      <c r="A831" s="12"/>
      <c r="D831" s="95"/>
      <c r="E831" s="14"/>
      <c r="F831" s="96"/>
    </row>
    <row r="832">
      <c r="A832" s="12"/>
      <c r="D832" s="95"/>
      <c r="E832" s="14"/>
      <c r="F832" s="96"/>
    </row>
    <row r="833">
      <c r="A833" s="12"/>
      <c r="D833" s="95"/>
      <c r="E833" s="14"/>
      <c r="F833" s="96"/>
    </row>
    <row r="834">
      <c r="A834" s="12"/>
      <c r="D834" s="95"/>
      <c r="E834" s="14"/>
      <c r="F834" s="96"/>
    </row>
    <row r="835">
      <c r="A835" s="12"/>
      <c r="D835" s="95"/>
      <c r="E835" s="14"/>
      <c r="F835" s="96"/>
    </row>
    <row r="836">
      <c r="A836" s="12"/>
      <c r="D836" s="95"/>
      <c r="E836" s="14"/>
      <c r="F836" s="96"/>
    </row>
    <row r="837">
      <c r="A837" s="12"/>
      <c r="D837" s="95"/>
      <c r="E837" s="14"/>
      <c r="F837" s="96"/>
    </row>
    <row r="838">
      <c r="A838" s="12"/>
      <c r="D838" s="95"/>
      <c r="E838" s="14"/>
      <c r="F838" s="96"/>
    </row>
    <row r="839">
      <c r="A839" s="12"/>
      <c r="D839" s="95"/>
      <c r="E839" s="14"/>
      <c r="F839" s="96"/>
    </row>
    <row r="840">
      <c r="A840" s="12"/>
      <c r="D840" s="95"/>
      <c r="E840" s="14"/>
      <c r="F840" s="96"/>
    </row>
    <row r="841">
      <c r="A841" s="12"/>
      <c r="D841" s="95"/>
      <c r="E841" s="14"/>
      <c r="F841" s="96"/>
    </row>
    <row r="842">
      <c r="A842" s="12"/>
      <c r="D842" s="95"/>
      <c r="E842" s="14"/>
      <c r="F842" s="96"/>
    </row>
    <row r="843">
      <c r="A843" s="12"/>
      <c r="D843" s="95"/>
      <c r="E843" s="14"/>
      <c r="F843" s="96"/>
    </row>
    <row r="844">
      <c r="A844" s="12"/>
      <c r="D844" s="95"/>
      <c r="E844" s="14"/>
      <c r="F844" s="96"/>
    </row>
    <row r="845">
      <c r="A845" s="12"/>
      <c r="D845" s="95"/>
      <c r="E845" s="14"/>
      <c r="F845" s="96"/>
    </row>
    <row r="846">
      <c r="A846" s="12"/>
      <c r="D846" s="95"/>
      <c r="E846" s="14"/>
      <c r="F846" s="96"/>
    </row>
    <row r="847">
      <c r="A847" s="12"/>
      <c r="D847" s="95"/>
      <c r="E847" s="14"/>
      <c r="F847" s="96"/>
    </row>
    <row r="848">
      <c r="A848" s="12"/>
      <c r="D848" s="95"/>
      <c r="E848" s="14"/>
      <c r="F848" s="96"/>
    </row>
    <row r="849">
      <c r="A849" s="12"/>
      <c r="D849" s="95"/>
      <c r="E849" s="14"/>
      <c r="F849" s="96"/>
    </row>
    <row r="850">
      <c r="A850" s="12"/>
      <c r="D850" s="95"/>
      <c r="E850" s="14"/>
      <c r="F850" s="96"/>
    </row>
    <row r="851">
      <c r="A851" s="12"/>
      <c r="D851" s="95"/>
      <c r="E851" s="14"/>
      <c r="F851" s="96"/>
    </row>
    <row r="852">
      <c r="A852" s="12"/>
      <c r="D852" s="95"/>
      <c r="E852" s="14"/>
      <c r="F852" s="96"/>
    </row>
    <row r="853">
      <c r="A853" s="12"/>
      <c r="D853" s="95"/>
      <c r="E853" s="14"/>
      <c r="F853" s="96"/>
    </row>
    <row r="854">
      <c r="A854" s="12"/>
      <c r="D854" s="95"/>
      <c r="E854" s="14"/>
      <c r="F854" s="96"/>
    </row>
    <row r="855">
      <c r="A855" s="12"/>
      <c r="D855" s="95"/>
      <c r="E855" s="14"/>
      <c r="F855" s="96"/>
    </row>
    <row r="856">
      <c r="A856" s="12"/>
      <c r="D856" s="95"/>
      <c r="E856" s="14"/>
      <c r="F856" s="96"/>
    </row>
    <row r="857">
      <c r="A857" s="12"/>
      <c r="D857" s="95"/>
      <c r="E857" s="14"/>
      <c r="F857" s="96"/>
    </row>
    <row r="858">
      <c r="A858" s="12"/>
      <c r="D858" s="95"/>
      <c r="E858" s="14"/>
      <c r="F858" s="96"/>
    </row>
    <row r="859">
      <c r="A859" s="12"/>
      <c r="D859" s="95"/>
      <c r="E859" s="14"/>
      <c r="F859" s="96"/>
    </row>
    <row r="860">
      <c r="A860" s="12"/>
      <c r="D860" s="95"/>
      <c r="E860" s="14"/>
      <c r="F860" s="96"/>
    </row>
    <row r="861">
      <c r="A861" s="12"/>
      <c r="D861" s="95"/>
      <c r="E861" s="14"/>
      <c r="F861" s="96"/>
    </row>
    <row r="862">
      <c r="A862" s="12"/>
      <c r="D862" s="95"/>
      <c r="E862" s="14"/>
      <c r="F862" s="96"/>
    </row>
    <row r="863">
      <c r="A863" s="12"/>
      <c r="D863" s="95"/>
      <c r="E863" s="14"/>
      <c r="F863" s="96"/>
    </row>
    <row r="864">
      <c r="A864" s="12"/>
      <c r="D864" s="95"/>
      <c r="E864" s="14"/>
      <c r="F864" s="96"/>
    </row>
    <row r="865">
      <c r="A865" s="12"/>
      <c r="D865" s="95"/>
      <c r="E865" s="14"/>
      <c r="F865" s="96"/>
    </row>
    <row r="866">
      <c r="A866" s="12"/>
      <c r="D866" s="95"/>
      <c r="E866" s="14"/>
      <c r="F866" s="96"/>
    </row>
    <row r="867">
      <c r="A867" s="12"/>
      <c r="D867" s="95"/>
      <c r="E867" s="14"/>
      <c r="F867" s="96"/>
    </row>
    <row r="868">
      <c r="A868" s="12"/>
      <c r="D868" s="95"/>
      <c r="E868" s="14"/>
      <c r="F868" s="96"/>
    </row>
    <row r="869">
      <c r="A869" s="12"/>
      <c r="D869" s="95"/>
      <c r="E869" s="14"/>
      <c r="F869" s="96"/>
    </row>
    <row r="870">
      <c r="A870" s="12"/>
      <c r="D870" s="95"/>
      <c r="E870" s="14"/>
      <c r="F870" s="96"/>
    </row>
    <row r="871">
      <c r="A871" s="12"/>
      <c r="D871" s="95"/>
      <c r="E871" s="14"/>
      <c r="F871" s="96"/>
    </row>
    <row r="872">
      <c r="A872" s="12"/>
      <c r="D872" s="95"/>
      <c r="E872" s="14"/>
      <c r="F872" s="96"/>
    </row>
    <row r="873">
      <c r="A873" s="12"/>
      <c r="D873" s="95"/>
      <c r="E873" s="14"/>
      <c r="F873" s="96"/>
    </row>
    <row r="874">
      <c r="A874" s="12"/>
      <c r="D874" s="95"/>
      <c r="E874" s="14"/>
      <c r="F874" s="96"/>
    </row>
    <row r="875">
      <c r="A875" s="12"/>
      <c r="D875" s="95"/>
      <c r="E875" s="14"/>
      <c r="F875" s="96"/>
    </row>
    <row r="876">
      <c r="A876" s="12"/>
      <c r="D876" s="95"/>
      <c r="E876" s="14"/>
      <c r="F876" s="96"/>
    </row>
    <row r="877">
      <c r="A877" s="12"/>
      <c r="D877" s="95"/>
      <c r="E877" s="14"/>
      <c r="F877" s="96"/>
    </row>
    <row r="878">
      <c r="A878" s="12"/>
      <c r="D878" s="95"/>
      <c r="E878" s="14"/>
      <c r="F878" s="96"/>
    </row>
    <row r="879">
      <c r="A879" s="12"/>
      <c r="D879" s="95"/>
      <c r="E879" s="14"/>
      <c r="F879" s="96"/>
    </row>
    <row r="880">
      <c r="A880" s="12"/>
      <c r="D880" s="95"/>
      <c r="E880" s="14"/>
      <c r="F880" s="96"/>
    </row>
    <row r="881">
      <c r="A881" s="12"/>
      <c r="D881" s="95"/>
      <c r="E881" s="14"/>
      <c r="F881" s="96"/>
    </row>
    <row r="882">
      <c r="A882" s="12"/>
      <c r="D882" s="95"/>
      <c r="E882" s="14"/>
      <c r="F882" s="96"/>
    </row>
    <row r="883">
      <c r="A883" s="12"/>
      <c r="D883" s="95"/>
      <c r="E883" s="14"/>
      <c r="F883" s="96"/>
    </row>
    <row r="884">
      <c r="A884" s="12"/>
      <c r="D884" s="95"/>
      <c r="E884" s="14"/>
      <c r="F884" s="96"/>
    </row>
    <row r="885">
      <c r="A885" s="12"/>
      <c r="D885" s="95"/>
      <c r="E885" s="14"/>
      <c r="F885" s="96"/>
    </row>
    <row r="886">
      <c r="A886" s="12"/>
      <c r="D886" s="95"/>
      <c r="E886" s="14"/>
      <c r="F886" s="96"/>
    </row>
    <row r="887">
      <c r="A887" s="12"/>
      <c r="D887" s="95"/>
      <c r="E887" s="14"/>
      <c r="F887" s="96"/>
    </row>
    <row r="888">
      <c r="A888" s="12"/>
      <c r="D888" s="95"/>
      <c r="E888" s="14"/>
      <c r="F888" s="96"/>
    </row>
    <row r="889">
      <c r="A889" s="12"/>
      <c r="D889" s="95"/>
      <c r="E889" s="14"/>
      <c r="F889" s="96"/>
    </row>
    <row r="890">
      <c r="A890" s="12"/>
      <c r="D890" s="95"/>
      <c r="E890" s="14"/>
      <c r="F890" s="96"/>
    </row>
    <row r="891">
      <c r="A891" s="12"/>
      <c r="D891" s="95"/>
      <c r="E891" s="14"/>
      <c r="F891" s="96"/>
    </row>
    <row r="892">
      <c r="A892" s="12"/>
      <c r="D892" s="95"/>
      <c r="E892" s="14"/>
      <c r="F892" s="96"/>
    </row>
    <row r="893">
      <c r="A893" s="12"/>
      <c r="D893" s="95"/>
      <c r="E893" s="14"/>
      <c r="F893" s="96"/>
    </row>
    <row r="894">
      <c r="A894" s="12"/>
      <c r="D894" s="95"/>
      <c r="E894" s="14"/>
      <c r="F894" s="96"/>
    </row>
    <row r="895">
      <c r="A895" s="12"/>
      <c r="D895" s="95"/>
      <c r="E895" s="14"/>
      <c r="F895" s="96"/>
    </row>
    <row r="896">
      <c r="A896" s="12"/>
      <c r="D896" s="95"/>
      <c r="E896" s="14"/>
      <c r="F896" s="96"/>
    </row>
    <row r="897">
      <c r="A897" s="12"/>
      <c r="D897" s="95"/>
      <c r="E897" s="14"/>
      <c r="F897" s="96"/>
    </row>
    <row r="898">
      <c r="A898" s="12"/>
      <c r="D898" s="95"/>
      <c r="E898" s="14"/>
      <c r="F898" s="96"/>
    </row>
    <row r="899">
      <c r="A899" s="12"/>
      <c r="D899" s="95"/>
      <c r="E899" s="14"/>
      <c r="F899" s="96"/>
    </row>
    <row r="900">
      <c r="A900" s="12"/>
      <c r="D900" s="95"/>
      <c r="E900" s="14"/>
      <c r="F900" s="96"/>
    </row>
    <row r="901">
      <c r="A901" s="12"/>
      <c r="D901" s="95"/>
      <c r="E901" s="14"/>
      <c r="F901" s="96"/>
    </row>
    <row r="902">
      <c r="A902" s="12"/>
      <c r="D902" s="95"/>
      <c r="E902" s="14"/>
      <c r="F902" s="96"/>
    </row>
    <row r="903">
      <c r="A903" s="12"/>
      <c r="D903" s="95"/>
      <c r="E903" s="14"/>
      <c r="F903" s="96"/>
    </row>
    <row r="904">
      <c r="A904" s="12"/>
      <c r="D904" s="95"/>
      <c r="E904" s="14"/>
      <c r="F904" s="96"/>
    </row>
    <row r="905">
      <c r="A905" s="12"/>
      <c r="D905" s="95"/>
      <c r="E905" s="14"/>
      <c r="F905" s="96"/>
    </row>
    <row r="906">
      <c r="A906" s="12"/>
      <c r="D906" s="95"/>
      <c r="E906" s="14"/>
      <c r="F906" s="96"/>
    </row>
    <row r="907">
      <c r="A907" s="12"/>
      <c r="D907" s="95"/>
      <c r="E907" s="14"/>
      <c r="F907" s="96"/>
    </row>
    <row r="908">
      <c r="A908" s="12"/>
      <c r="D908" s="95"/>
      <c r="E908" s="14"/>
      <c r="F908" s="96"/>
    </row>
    <row r="909">
      <c r="A909" s="12"/>
      <c r="D909" s="95"/>
      <c r="E909" s="14"/>
      <c r="F909" s="96"/>
    </row>
    <row r="910">
      <c r="A910" s="12"/>
      <c r="D910" s="95"/>
      <c r="E910" s="14"/>
      <c r="F910" s="96"/>
    </row>
    <row r="911">
      <c r="A911" s="12"/>
      <c r="D911" s="95"/>
      <c r="E911" s="14"/>
      <c r="F911" s="96"/>
    </row>
    <row r="912">
      <c r="A912" s="12"/>
      <c r="D912" s="95"/>
      <c r="E912" s="14"/>
      <c r="F912" s="96"/>
    </row>
    <row r="913">
      <c r="A913" s="12"/>
      <c r="D913" s="95"/>
      <c r="E913" s="14"/>
      <c r="F913" s="96"/>
    </row>
    <row r="914">
      <c r="A914" s="12"/>
      <c r="D914" s="95"/>
      <c r="E914" s="14"/>
      <c r="F914" s="96"/>
    </row>
    <row r="915">
      <c r="A915" s="12"/>
      <c r="D915" s="95"/>
      <c r="E915" s="14"/>
      <c r="F915" s="96"/>
    </row>
    <row r="916">
      <c r="A916" s="12"/>
      <c r="D916" s="95"/>
      <c r="E916" s="14"/>
      <c r="F916" s="96"/>
    </row>
    <row r="917">
      <c r="A917" s="12"/>
      <c r="D917" s="95"/>
      <c r="E917" s="14"/>
      <c r="F917" s="96"/>
    </row>
    <row r="918">
      <c r="A918" s="12"/>
      <c r="D918" s="95"/>
      <c r="E918" s="14"/>
      <c r="F918" s="96"/>
    </row>
    <row r="919">
      <c r="A919" s="12"/>
      <c r="D919" s="95"/>
      <c r="E919" s="14"/>
      <c r="F919" s="96"/>
    </row>
    <row r="920">
      <c r="A920" s="12"/>
      <c r="D920" s="95"/>
      <c r="E920" s="14"/>
      <c r="F920" s="96"/>
    </row>
    <row r="921">
      <c r="A921" s="12"/>
      <c r="D921" s="95"/>
      <c r="E921" s="14"/>
      <c r="F921" s="96"/>
    </row>
    <row r="922">
      <c r="A922" s="12"/>
      <c r="D922" s="95"/>
      <c r="E922" s="14"/>
      <c r="F922" s="96"/>
    </row>
    <row r="923">
      <c r="A923" s="12"/>
      <c r="D923" s="95"/>
      <c r="E923" s="14"/>
      <c r="F923" s="96"/>
    </row>
    <row r="924">
      <c r="A924" s="12"/>
      <c r="D924" s="95"/>
      <c r="E924" s="14"/>
      <c r="F924" s="96"/>
    </row>
    <row r="925">
      <c r="A925" s="12"/>
      <c r="D925" s="95"/>
      <c r="E925" s="14"/>
      <c r="F925" s="96"/>
    </row>
    <row r="926">
      <c r="A926" s="12"/>
      <c r="D926" s="95"/>
      <c r="E926" s="14"/>
      <c r="F926" s="96"/>
    </row>
    <row r="927">
      <c r="A927" s="12"/>
      <c r="D927" s="95"/>
      <c r="E927" s="14"/>
      <c r="F927" s="96"/>
    </row>
    <row r="928">
      <c r="A928" s="12"/>
      <c r="D928" s="95"/>
      <c r="E928" s="14"/>
      <c r="F928" s="96"/>
    </row>
    <row r="929">
      <c r="A929" s="12"/>
      <c r="D929" s="95"/>
      <c r="E929" s="14"/>
      <c r="F929" s="96"/>
    </row>
    <row r="930">
      <c r="A930" s="12"/>
      <c r="D930" s="95"/>
      <c r="E930" s="14"/>
      <c r="F930" s="96"/>
    </row>
    <row r="931">
      <c r="A931" s="12"/>
      <c r="D931" s="95"/>
      <c r="E931" s="14"/>
      <c r="F931" s="96"/>
    </row>
    <row r="932">
      <c r="A932" s="12"/>
      <c r="D932" s="95"/>
      <c r="E932" s="14"/>
      <c r="F932" s="96"/>
    </row>
    <row r="933">
      <c r="A933" s="12"/>
      <c r="D933" s="95"/>
      <c r="E933" s="14"/>
      <c r="F933" s="96"/>
    </row>
    <row r="934">
      <c r="A934" s="12"/>
      <c r="D934" s="95"/>
      <c r="E934" s="14"/>
      <c r="F934" s="96"/>
    </row>
    <row r="935">
      <c r="A935" s="12"/>
      <c r="D935" s="95"/>
      <c r="E935" s="14"/>
      <c r="F935" s="96"/>
    </row>
    <row r="936">
      <c r="A936" s="12"/>
      <c r="D936" s="95"/>
      <c r="E936" s="14"/>
      <c r="F936" s="96"/>
    </row>
    <row r="937">
      <c r="A937" s="12"/>
      <c r="D937" s="95"/>
      <c r="E937" s="14"/>
      <c r="F937" s="96"/>
    </row>
    <row r="938">
      <c r="A938" s="12"/>
      <c r="D938" s="95"/>
      <c r="E938" s="14"/>
      <c r="F938" s="96"/>
    </row>
    <row r="939">
      <c r="A939" s="12"/>
      <c r="D939" s="95"/>
      <c r="E939" s="14"/>
      <c r="F939" s="96"/>
    </row>
    <row r="940">
      <c r="A940" s="12"/>
      <c r="D940" s="95"/>
      <c r="E940" s="14"/>
      <c r="F940" s="96"/>
    </row>
    <row r="941">
      <c r="A941" s="12"/>
      <c r="D941" s="95"/>
      <c r="E941" s="14"/>
      <c r="F941" s="96"/>
    </row>
    <row r="942">
      <c r="A942" s="12"/>
      <c r="D942" s="95"/>
      <c r="E942" s="14"/>
      <c r="F942" s="96"/>
    </row>
    <row r="943">
      <c r="A943" s="12"/>
      <c r="D943" s="95"/>
      <c r="E943" s="14"/>
      <c r="F943" s="96"/>
    </row>
    <row r="944">
      <c r="A944" s="12"/>
      <c r="D944" s="95"/>
      <c r="E944" s="14"/>
      <c r="F944" s="96"/>
    </row>
    <row r="945">
      <c r="A945" s="12"/>
      <c r="D945" s="95"/>
      <c r="E945" s="14"/>
      <c r="F945" s="96"/>
    </row>
    <row r="946">
      <c r="A946" s="12"/>
      <c r="D946" s="95"/>
      <c r="E946" s="14"/>
      <c r="F946" s="96"/>
    </row>
    <row r="947">
      <c r="A947" s="12"/>
      <c r="D947" s="95"/>
      <c r="E947" s="14"/>
      <c r="F947" s="96"/>
    </row>
    <row r="948">
      <c r="A948" s="12"/>
      <c r="D948" s="95"/>
      <c r="E948" s="14"/>
      <c r="F948" s="96"/>
    </row>
    <row r="949">
      <c r="A949" s="12"/>
      <c r="D949" s="95"/>
      <c r="E949" s="14"/>
      <c r="F949" s="96"/>
    </row>
    <row r="950">
      <c r="A950" s="12"/>
      <c r="D950" s="95"/>
      <c r="E950" s="14"/>
      <c r="F950" s="96"/>
    </row>
    <row r="951">
      <c r="A951" s="12"/>
      <c r="D951" s="95"/>
      <c r="E951" s="14"/>
      <c r="F951" s="96"/>
    </row>
    <row r="952">
      <c r="A952" s="12"/>
      <c r="D952" s="95"/>
      <c r="E952" s="14"/>
      <c r="F952" s="96"/>
    </row>
    <row r="953">
      <c r="A953" s="12"/>
      <c r="D953" s="95"/>
      <c r="E953" s="14"/>
      <c r="F953" s="96"/>
    </row>
    <row r="954">
      <c r="A954" s="12"/>
      <c r="D954" s="95"/>
      <c r="E954" s="14"/>
      <c r="F954" s="96"/>
    </row>
    <row r="955">
      <c r="A955" s="12"/>
      <c r="D955" s="95"/>
      <c r="E955" s="14"/>
      <c r="F955" s="96"/>
    </row>
    <row r="956">
      <c r="A956" s="12"/>
      <c r="D956" s="95"/>
      <c r="E956" s="14"/>
      <c r="F956" s="96"/>
    </row>
    <row r="957">
      <c r="A957" s="12"/>
      <c r="D957" s="95"/>
      <c r="E957" s="14"/>
      <c r="F957" s="96"/>
    </row>
    <row r="958">
      <c r="A958" s="12"/>
      <c r="D958" s="95"/>
      <c r="E958" s="14"/>
      <c r="F958" s="96"/>
    </row>
    <row r="959">
      <c r="A959" s="12"/>
      <c r="D959" s="95"/>
      <c r="E959" s="14"/>
      <c r="F959" s="96"/>
    </row>
    <row r="960">
      <c r="A960" s="12"/>
      <c r="D960" s="95"/>
      <c r="E960" s="14"/>
      <c r="F960" s="96"/>
    </row>
    <row r="961">
      <c r="A961" s="12"/>
      <c r="D961" s="95"/>
      <c r="E961" s="14"/>
      <c r="F961" s="96"/>
    </row>
    <row r="962">
      <c r="A962" s="12"/>
      <c r="D962" s="95"/>
      <c r="E962" s="14"/>
      <c r="F962" s="96"/>
    </row>
    <row r="963">
      <c r="A963" s="12"/>
      <c r="D963" s="95"/>
      <c r="E963" s="14"/>
      <c r="F963" s="96"/>
    </row>
    <row r="964">
      <c r="A964" s="12"/>
      <c r="D964" s="95"/>
      <c r="E964" s="14"/>
      <c r="F964" s="96"/>
    </row>
    <row r="965">
      <c r="A965" s="12"/>
      <c r="D965" s="95"/>
      <c r="E965" s="14"/>
      <c r="F965" s="96"/>
    </row>
    <row r="966">
      <c r="A966" s="12"/>
      <c r="D966" s="95"/>
      <c r="E966" s="14"/>
      <c r="F966" s="96"/>
    </row>
    <row r="967">
      <c r="A967" s="12"/>
      <c r="D967" s="95"/>
      <c r="E967" s="14"/>
      <c r="F967" s="96"/>
    </row>
    <row r="968">
      <c r="A968" s="12"/>
      <c r="D968" s="95"/>
      <c r="E968" s="14"/>
      <c r="F968" s="96"/>
    </row>
    <row r="969">
      <c r="A969" s="12"/>
      <c r="D969" s="95"/>
      <c r="E969" s="14"/>
      <c r="F969" s="96"/>
    </row>
    <row r="970">
      <c r="A970" s="12"/>
      <c r="D970" s="95"/>
      <c r="E970" s="14"/>
      <c r="F970" s="96"/>
    </row>
    <row r="971">
      <c r="A971" s="12"/>
      <c r="D971" s="95"/>
      <c r="E971" s="14"/>
      <c r="F971" s="96"/>
    </row>
    <row r="972">
      <c r="A972" s="12"/>
      <c r="D972" s="95"/>
      <c r="E972" s="14"/>
      <c r="F972" s="96"/>
    </row>
    <row r="973">
      <c r="A973" s="12"/>
      <c r="D973" s="95"/>
      <c r="E973" s="14"/>
      <c r="F973" s="96"/>
    </row>
    <row r="974">
      <c r="A974" s="12"/>
      <c r="D974" s="95"/>
      <c r="E974" s="14"/>
      <c r="F974" s="96"/>
    </row>
    <row r="975">
      <c r="A975" s="12"/>
      <c r="D975" s="95"/>
      <c r="E975" s="14"/>
      <c r="F975" s="96"/>
    </row>
    <row r="976">
      <c r="A976" s="12"/>
      <c r="D976" s="95"/>
      <c r="E976" s="14"/>
      <c r="F976" s="96"/>
    </row>
    <row r="977">
      <c r="A977" s="12"/>
      <c r="D977" s="95"/>
      <c r="E977" s="14"/>
      <c r="F977" s="96"/>
    </row>
    <row r="978">
      <c r="A978" s="12"/>
      <c r="D978" s="95"/>
      <c r="E978" s="14"/>
      <c r="F978" s="96"/>
    </row>
    <row r="979">
      <c r="A979" s="12"/>
      <c r="D979" s="95"/>
      <c r="E979" s="14"/>
      <c r="F979" s="96"/>
    </row>
    <row r="980">
      <c r="A980" s="12"/>
      <c r="D980" s="95"/>
      <c r="E980" s="14"/>
      <c r="F980" s="96"/>
    </row>
    <row r="981">
      <c r="A981" s="12"/>
      <c r="D981" s="95"/>
      <c r="E981" s="14"/>
      <c r="F981" s="96"/>
    </row>
    <row r="982">
      <c r="A982" s="12"/>
      <c r="D982" s="95"/>
      <c r="E982" s="14"/>
      <c r="F982" s="96"/>
    </row>
    <row r="983">
      <c r="A983" s="12"/>
      <c r="D983" s="95"/>
      <c r="E983" s="14"/>
      <c r="F983" s="96"/>
    </row>
    <row r="984">
      <c r="A984" s="12"/>
      <c r="D984" s="95"/>
      <c r="E984" s="14"/>
      <c r="F984" s="96"/>
    </row>
    <row r="985">
      <c r="A985" s="12"/>
      <c r="D985" s="95"/>
      <c r="E985" s="14"/>
      <c r="F985" s="96"/>
    </row>
    <row r="986">
      <c r="A986" s="12"/>
      <c r="D986" s="95"/>
      <c r="E986" s="14"/>
      <c r="F986" s="96"/>
    </row>
    <row r="987">
      <c r="A987" s="12"/>
      <c r="D987" s="95"/>
      <c r="E987" s="14"/>
      <c r="F987" s="96"/>
    </row>
    <row r="988">
      <c r="A988" s="12"/>
      <c r="D988" s="95"/>
      <c r="E988" s="14"/>
      <c r="F988" s="96"/>
    </row>
    <row r="989">
      <c r="A989" s="12"/>
      <c r="D989" s="95"/>
      <c r="E989" s="14"/>
      <c r="F989" s="96"/>
    </row>
    <row r="990">
      <c r="A990" s="12"/>
      <c r="D990" s="95"/>
      <c r="E990" s="14"/>
      <c r="F990" s="96"/>
    </row>
    <row r="991">
      <c r="A991" s="12"/>
      <c r="D991" s="95"/>
      <c r="E991" s="14"/>
      <c r="F991" s="96"/>
    </row>
    <row r="992">
      <c r="A992" s="12"/>
      <c r="D992" s="95"/>
      <c r="E992" s="14"/>
      <c r="F992" s="96"/>
    </row>
    <row r="993">
      <c r="A993" s="12"/>
      <c r="D993" s="95"/>
      <c r="E993" s="14"/>
      <c r="F993" s="96"/>
    </row>
    <row r="994">
      <c r="A994" s="12"/>
      <c r="D994" s="95"/>
      <c r="E994" s="14"/>
      <c r="F994" s="96"/>
    </row>
    <row r="995">
      <c r="A995" s="12"/>
      <c r="D995" s="95"/>
      <c r="E995" s="14"/>
      <c r="F995" s="96"/>
    </row>
    <row r="996">
      <c r="A996" s="12"/>
      <c r="D996" s="95"/>
      <c r="E996" s="14"/>
      <c r="F996" s="96"/>
    </row>
    <row r="997">
      <c r="A997" s="12"/>
      <c r="D997" s="95"/>
      <c r="E997" s="14"/>
      <c r="F997" s="96"/>
    </row>
    <row r="998">
      <c r="A998" s="12"/>
      <c r="D998" s="95"/>
      <c r="E998" s="14"/>
      <c r="F998" s="96"/>
    </row>
    <row r="999">
      <c r="A999" s="12"/>
      <c r="D999" s="95"/>
      <c r="E999" s="14"/>
      <c r="F999" s="96"/>
    </row>
  </sheetData>
  <conditionalFormatting sqref="H2:Q28">
    <cfRule type="cellIs" dxfId="13" priority="1" operator="equal">
      <formula>0</formula>
    </cfRule>
  </conditionalFormatting>
  <conditionalFormatting sqref="O2:O28">
    <cfRule type="colorScale" priority="2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28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28">
    <cfRule type="colorScale" priority="4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28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28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28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28">
    <cfRule type="colorScale" priority="8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H2:H28">
    <cfRule type="colorScale" priority="9">
      <colorScale>
        <cfvo type="min"/>
        <cfvo type="percentile" val="50"/>
        <cfvo type="max"/>
        <color rgb="FFFF0000"/>
        <color rgb="FFFFFF00"/>
        <color rgb="FF34A853"/>
      </colorScale>
    </cfRule>
  </conditionalFormatting>
  <conditionalFormatting sqref="P2:Q28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4:C41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4:F41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(Camp Nou)"</formula1>
    </dataValidation>
    <dataValidation type="custom" allowBlank="1" showDropDown="1" sqref="F31">
      <formula1>OR(NOT(ISERROR(DATEVALUE(F31))), AND(ISNUMBER(F31), LEFT(CELL("format", F31))="D"))</formula1>
    </dataValidation>
    <dataValidation type="list" allowBlank="1" showDropDown="1" sqref="C2:C28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38"/>
    <col customWidth="1" min="2" max="2" width="19.0"/>
    <col customWidth="1" min="3" max="3" width="16.13"/>
    <col customWidth="1" min="4" max="4" width="28.88"/>
    <col customWidth="1" min="5" max="5" width="9.88"/>
    <col customWidth="1" min="6" max="6" width="29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6" width="13.13"/>
    <col customWidth="1" min="17" max="17" width="17.75"/>
  </cols>
  <sheetData>
    <row r="1" ht="22.5" customHeight="1">
      <c r="A1" s="298" t="s">
        <v>48</v>
      </c>
      <c r="B1" s="299" t="s">
        <v>49</v>
      </c>
      <c r="C1" s="299" t="s">
        <v>50</v>
      </c>
      <c r="D1" s="300" t="s">
        <v>56</v>
      </c>
      <c r="E1" s="298" t="s">
        <v>57</v>
      </c>
      <c r="F1" s="301" t="s">
        <v>52</v>
      </c>
      <c r="G1" s="302" t="s">
        <v>53</v>
      </c>
      <c r="H1" s="298" t="s">
        <v>4</v>
      </c>
      <c r="I1" s="298" t="s">
        <v>58</v>
      </c>
      <c r="J1" s="298" t="s">
        <v>59</v>
      </c>
      <c r="K1" s="298" t="s">
        <v>60</v>
      </c>
      <c r="L1" s="298" t="s">
        <v>61</v>
      </c>
      <c r="M1" s="298" t="s">
        <v>62</v>
      </c>
      <c r="N1" s="298" t="s">
        <v>63</v>
      </c>
      <c r="O1" s="303" t="s">
        <v>511</v>
      </c>
      <c r="P1" s="303" t="s">
        <v>64</v>
      </c>
      <c r="Q1" s="298" t="s">
        <v>65</v>
      </c>
    </row>
    <row r="2" ht="22.5" customHeight="1">
      <c r="A2" s="304">
        <v>1.0</v>
      </c>
      <c r="B2" s="305" t="s">
        <v>512</v>
      </c>
      <c r="C2" s="306" t="s">
        <v>67</v>
      </c>
      <c r="D2" s="307" t="s">
        <v>204</v>
      </c>
      <c r="E2" s="308" t="str">
        <f>IMAGE("https://flagcdn.com/w320/de.png")</f>
        <v/>
      </c>
      <c r="F2" s="309">
        <v>33724.0</v>
      </c>
      <c r="G2" s="310">
        <f t="shared" ref="G2:G33" si="1">DATEDIF(F2,TODAY(),"Y")</f>
        <v>33</v>
      </c>
      <c r="H2" s="311">
        <v>0.0</v>
      </c>
      <c r="I2" s="311">
        <v>0.0</v>
      </c>
      <c r="J2" s="312"/>
      <c r="K2" s="312"/>
      <c r="L2" s="312"/>
      <c r="M2" s="312"/>
      <c r="N2" s="312"/>
      <c r="O2" s="312"/>
      <c r="P2" s="312">
        <f t="shared" ref="P2:P33" si="3">J2+K2</f>
        <v>0</v>
      </c>
      <c r="Q2" s="312"/>
    </row>
    <row r="3" ht="22.5" customHeight="1">
      <c r="A3" s="304">
        <v>3.0</v>
      </c>
      <c r="B3" s="305" t="s">
        <v>513</v>
      </c>
      <c r="C3" s="306" t="s">
        <v>70</v>
      </c>
      <c r="D3" s="307" t="s">
        <v>83</v>
      </c>
      <c r="E3" s="308" t="str">
        <f>IMAGE("https://flagcdn.com/w320/es.png")</f>
        <v/>
      </c>
      <c r="F3" s="309">
        <v>37913.0</v>
      </c>
      <c r="G3" s="310">
        <f t="shared" si="1"/>
        <v>22</v>
      </c>
      <c r="H3" s="312">
        <f>1+1+1+1+1+1</f>
        <v>6</v>
      </c>
      <c r="I3" s="312">
        <f>19+74+89+79+88+77</f>
        <v>426</v>
      </c>
      <c r="J3" s="312"/>
      <c r="K3" s="312">
        <f t="shared" ref="K3:L3" si="2">1</f>
        <v>1</v>
      </c>
      <c r="L3" s="312">
        <f t="shared" si="2"/>
        <v>1</v>
      </c>
      <c r="M3" s="312"/>
      <c r="N3" s="312"/>
      <c r="O3" s="312"/>
      <c r="P3" s="312">
        <f t="shared" si="3"/>
        <v>1</v>
      </c>
      <c r="Q3" s="312"/>
    </row>
    <row r="4" ht="22.5" customHeight="1">
      <c r="A4" s="304">
        <v>4.0</v>
      </c>
      <c r="B4" s="305" t="s">
        <v>514</v>
      </c>
      <c r="C4" s="306" t="s">
        <v>70</v>
      </c>
      <c r="D4" s="307" t="s">
        <v>515</v>
      </c>
      <c r="E4" s="308" t="str">
        <f>IMAGE("https://flagcdn.com/w320/uy.png")</f>
        <v/>
      </c>
      <c r="F4" s="309">
        <v>36226.0</v>
      </c>
      <c r="G4" s="310">
        <f t="shared" si="1"/>
        <v>26</v>
      </c>
      <c r="H4" s="312">
        <f>1+1+1+1+1</f>
        <v>5</v>
      </c>
      <c r="I4" s="312">
        <f>90+16+90+43+13</f>
        <v>252</v>
      </c>
      <c r="J4" s="312"/>
      <c r="K4" s="312"/>
      <c r="L4" s="312">
        <f>2</f>
        <v>2</v>
      </c>
      <c r="M4" s="312">
        <f>1</f>
        <v>1</v>
      </c>
      <c r="N4" s="312"/>
      <c r="O4" s="312"/>
      <c r="P4" s="312">
        <f t="shared" si="3"/>
        <v>0</v>
      </c>
      <c r="Q4" s="312"/>
    </row>
    <row r="5" ht="22.5" customHeight="1">
      <c r="A5" s="304">
        <v>5.0</v>
      </c>
      <c r="B5" s="305" t="s">
        <v>516</v>
      </c>
      <c r="C5" s="306" t="s">
        <v>70</v>
      </c>
      <c r="D5" s="307" t="s">
        <v>83</v>
      </c>
      <c r="E5" s="308" t="str">
        <f t="shared" ref="E5:E8" si="4">IMAGE("https://flagcdn.com/w320/es.png")</f>
        <v/>
      </c>
      <c r="F5" s="309">
        <v>39104.0</v>
      </c>
      <c r="G5" s="310">
        <f t="shared" si="1"/>
        <v>19</v>
      </c>
      <c r="H5" s="312">
        <f>1+1+1+1+1+1</f>
        <v>6</v>
      </c>
      <c r="I5" s="312">
        <f>68+90+90+1+90+90</f>
        <v>429</v>
      </c>
      <c r="J5" s="312"/>
      <c r="K5" s="312"/>
      <c r="L5" s="312"/>
      <c r="M5" s="312"/>
      <c r="N5" s="312"/>
      <c r="O5" s="312"/>
      <c r="P5" s="312">
        <f t="shared" si="3"/>
        <v>0</v>
      </c>
      <c r="Q5" s="312"/>
    </row>
    <row r="6" ht="22.5" customHeight="1">
      <c r="A6" s="304">
        <v>6.0</v>
      </c>
      <c r="B6" s="313" t="s">
        <v>517</v>
      </c>
      <c r="C6" s="306" t="s">
        <v>79</v>
      </c>
      <c r="D6" s="307" t="s">
        <v>83</v>
      </c>
      <c r="E6" s="308" t="str">
        <f t="shared" si="4"/>
        <v/>
      </c>
      <c r="F6" s="309">
        <v>38204.0</v>
      </c>
      <c r="G6" s="310">
        <f t="shared" si="1"/>
        <v>21</v>
      </c>
      <c r="H6" s="312"/>
      <c r="I6" s="312"/>
      <c r="J6" s="312"/>
      <c r="K6" s="312"/>
      <c r="L6" s="312"/>
      <c r="M6" s="312"/>
      <c r="N6" s="312"/>
      <c r="O6" s="312"/>
      <c r="P6" s="312">
        <f t="shared" si="3"/>
        <v>0</v>
      </c>
      <c r="Q6" s="312"/>
    </row>
    <row r="7" ht="22.5" customHeight="1">
      <c r="A7" s="304">
        <v>7.0</v>
      </c>
      <c r="B7" s="305" t="s">
        <v>518</v>
      </c>
      <c r="C7" s="306" t="s">
        <v>82</v>
      </c>
      <c r="D7" s="307" t="s">
        <v>83</v>
      </c>
      <c r="E7" s="308" t="str">
        <f t="shared" si="4"/>
        <v/>
      </c>
      <c r="F7" s="309">
        <v>36585.0</v>
      </c>
      <c r="G7" s="310">
        <f t="shared" si="1"/>
        <v>25</v>
      </c>
      <c r="H7" s="312">
        <f t="shared" ref="H7:H8" si="5">1+1+1+1+1</f>
        <v>5</v>
      </c>
      <c r="I7" s="312">
        <f>22+90+57+45+25</f>
        <v>239</v>
      </c>
      <c r="J7" s="312">
        <f>1+1</f>
        <v>2</v>
      </c>
      <c r="K7" s="312"/>
      <c r="L7" s="312"/>
      <c r="M7" s="312"/>
      <c r="N7" s="312"/>
      <c r="O7" s="312"/>
      <c r="P7" s="312">
        <f t="shared" si="3"/>
        <v>2</v>
      </c>
      <c r="Q7" s="312"/>
    </row>
    <row r="8" ht="22.5" customHeight="1">
      <c r="A8" s="304">
        <v>8.0</v>
      </c>
      <c r="B8" s="313" t="s">
        <v>519</v>
      </c>
      <c r="C8" s="306" t="s">
        <v>79</v>
      </c>
      <c r="D8" s="307" t="s">
        <v>83</v>
      </c>
      <c r="E8" s="308" t="str">
        <f t="shared" si="4"/>
        <v/>
      </c>
      <c r="F8" s="309">
        <v>37585.0</v>
      </c>
      <c r="G8" s="310">
        <f t="shared" si="1"/>
        <v>23</v>
      </c>
      <c r="H8" s="312">
        <f t="shared" si="5"/>
        <v>5</v>
      </c>
      <c r="I8" s="312">
        <f>90+78+79+90+60</f>
        <v>397</v>
      </c>
      <c r="J8" s="312"/>
      <c r="K8" s="312">
        <f>1+1</f>
        <v>2</v>
      </c>
      <c r="L8" s="312"/>
      <c r="M8" s="312"/>
      <c r="N8" s="312"/>
      <c r="O8" s="312"/>
      <c r="P8" s="312">
        <f t="shared" si="3"/>
        <v>2</v>
      </c>
      <c r="Q8" s="312"/>
    </row>
    <row r="9" ht="22.5" customHeight="1">
      <c r="A9" s="304">
        <v>9.0</v>
      </c>
      <c r="B9" s="305" t="s">
        <v>520</v>
      </c>
      <c r="C9" s="306" t="s">
        <v>82</v>
      </c>
      <c r="D9" s="307" t="s">
        <v>521</v>
      </c>
      <c r="E9" s="308" t="str">
        <f>IMAGE("https://flagcdn.com/w320/pl.png")</f>
        <v/>
      </c>
      <c r="F9" s="309">
        <v>32376.0</v>
      </c>
      <c r="G9" s="310">
        <f t="shared" si="1"/>
        <v>37</v>
      </c>
      <c r="H9" s="312">
        <f>1+1+1+1+1+1</f>
        <v>6</v>
      </c>
      <c r="I9" s="312">
        <f>68+19+33+61+65+90</f>
        <v>336</v>
      </c>
      <c r="J9" s="312">
        <f>1</f>
        <v>1</v>
      </c>
      <c r="K9" s="312"/>
      <c r="L9" s="312"/>
      <c r="M9" s="312"/>
      <c r="N9" s="312"/>
      <c r="O9" s="312">
        <f>1</f>
        <v>1</v>
      </c>
      <c r="P9" s="312">
        <f t="shared" si="3"/>
        <v>1</v>
      </c>
      <c r="Q9" s="312"/>
    </row>
    <row r="10" ht="22.5" customHeight="1">
      <c r="A10" s="304">
        <v>10.0</v>
      </c>
      <c r="B10" s="305" t="s">
        <v>522</v>
      </c>
      <c r="C10" s="306" t="s">
        <v>82</v>
      </c>
      <c r="D10" s="307" t="s">
        <v>523</v>
      </c>
      <c r="E10" s="308" t="str">
        <f>IMAGE("https://flagcdn.com/w320/es.png")</f>
        <v/>
      </c>
      <c r="F10" s="309">
        <v>39276.0</v>
      </c>
      <c r="G10" s="310">
        <f t="shared" si="1"/>
        <v>18</v>
      </c>
      <c r="H10" s="312">
        <f>1+1+1+1+1</f>
        <v>5</v>
      </c>
      <c r="I10" s="312">
        <f>90+74+90+79+88</f>
        <v>421</v>
      </c>
      <c r="J10" s="312">
        <f t="shared" ref="J10:K10" si="6">1+1</f>
        <v>2</v>
      </c>
      <c r="K10" s="312">
        <f t="shared" si="6"/>
        <v>2</v>
      </c>
      <c r="L10" s="312">
        <f>1+1+1</f>
        <v>3</v>
      </c>
      <c r="M10" s="312"/>
      <c r="N10" s="312"/>
      <c r="O10" s="312"/>
      <c r="P10" s="312">
        <f t="shared" si="3"/>
        <v>4</v>
      </c>
      <c r="Q10" s="312"/>
    </row>
    <row r="11" ht="22.5" customHeight="1">
      <c r="A11" s="304">
        <v>11.0</v>
      </c>
      <c r="B11" s="313" t="s">
        <v>524</v>
      </c>
      <c r="C11" s="306" t="s">
        <v>82</v>
      </c>
      <c r="D11" s="307" t="s">
        <v>525</v>
      </c>
      <c r="E11" s="308" t="str">
        <f>IMAGE("https://flagcdn.com/w320/br.png")</f>
        <v/>
      </c>
      <c r="F11" s="309">
        <v>35413.0</v>
      </c>
      <c r="G11" s="310">
        <f t="shared" si="1"/>
        <v>29</v>
      </c>
      <c r="H11" s="312">
        <f t="shared" ref="H11:H12" si="7">1+1+1+1</f>
        <v>4</v>
      </c>
      <c r="I11" s="312">
        <f>90+29+65+90</f>
        <v>274</v>
      </c>
      <c r="J11" s="312"/>
      <c r="K11" s="312"/>
      <c r="L11" s="312"/>
      <c r="M11" s="312"/>
      <c r="N11" s="312"/>
      <c r="O11" s="312"/>
      <c r="P11" s="312">
        <f t="shared" si="3"/>
        <v>0</v>
      </c>
      <c r="Q11" s="312"/>
    </row>
    <row r="12" ht="22.5" customHeight="1">
      <c r="A12" s="304">
        <v>13.0</v>
      </c>
      <c r="B12" s="305" t="s">
        <v>526</v>
      </c>
      <c r="C12" s="306" t="s">
        <v>67</v>
      </c>
      <c r="D12" s="307" t="s">
        <v>83</v>
      </c>
      <c r="E12" s="308" t="str">
        <f>IMAGE("https://flagcdn.com/w320/es.png")</f>
        <v/>
      </c>
      <c r="F12" s="309">
        <v>37015.0</v>
      </c>
      <c r="G12" s="310">
        <f t="shared" si="1"/>
        <v>24</v>
      </c>
      <c r="H12" s="312">
        <f t="shared" si="7"/>
        <v>4</v>
      </c>
      <c r="I12" s="312">
        <f>90+90+90+90</f>
        <v>360</v>
      </c>
      <c r="J12" s="312"/>
      <c r="K12" s="312"/>
      <c r="L12" s="312"/>
      <c r="M12" s="312"/>
      <c r="N12" s="312"/>
      <c r="O12" s="312"/>
      <c r="P12" s="312">
        <f t="shared" si="3"/>
        <v>0</v>
      </c>
      <c r="Q12" s="312"/>
    </row>
    <row r="13" ht="22.5" customHeight="1">
      <c r="A13" s="304">
        <v>14.0</v>
      </c>
      <c r="B13" s="305" t="s">
        <v>527</v>
      </c>
      <c r="C13" s="306" t="s">
        <v>82</v>
      </c>
      <c r="D13" s="307" t="s">
        <v>528</v>
      </c>
      <c r="E13" s="308" t="str">
        <f>IMAGE("https://flagcdn.com/w320/gb-eng.png")</f>
        <v/>
      </c>
      <c r="F13" s="309">
        <v>35734.0</v>
      </c>
      <c r="G13" s="310">
        <f t="shared" si="1"/>
        <v>28</v>
      </c>
      <c r="H13" s="312">
        <f>1+1+1+1+1+1+1</f>
        <v>7</v>
      </c>
      <c r="I13" s="312">
        <f>80+71+90+82+45+45+30</f>
        <v>443</v>
      </c>
      <c r="J13" s="312">
        <f>2+2</f>
        <v>4</v>
      </c>
      <c r="K13" s="312">
        <f>1+1+1</f>
        <v>3</v>
      </c>
      <c r="L13" s="312"/>
      <c r="M13" s="312"/>
      <c r="N13" s="312"/>
      <c r="O13" s="312"/>
      <c r="P13" s="312">
        <f t="shared" si="3"/>
        <v>7</v>
      </c>
      <c r="Q13" s="312"/>
    </row>
    <row r="14" ht="22.5" customHeight="1">
      <c r="A14" s="304">
        <v>15.0</v>
      </c>
      <c r="B14" s="305" t="s">
        <v>529</v>
      </c>
      <c r="C14" s="306" t="s">
        <v>70</v>
      </c>
      <c r="D14" s="307" t="s">
        <v>73</v>
      </c>
      <c r="E14" s="308" t="str">
        <f>IMAGE("https://flagcdn.com/w320/dk.png")</f>
        <v/>
      </c>
      <c r="F14" s="309">
        <v>35165.0</v>
      </c>
      <c r="G14" s="310">
        <f t="shared" si="1"/>
        <v>29</v>
      </c>
      <c r="H14" s="312">
        <f>1+1+1+1</f>
        <v>4</v>
      </c>
      <c r="I14" s="312">
        <f>22+6+29+2</f>
        <v>59</v>
      </c>
      <c r="J14" s="312"/>
      <c r="K14" s="312"/>
      <c r="L14" s="312"/>
      <c r="M14" s="312"/>
      <c r="N14" s="312"/>
      <c r="O14" s="312"/>
      <c r="P14" s="312">
        <f t="shared" si="3"/>
        <v>0</v>
      </c>
      <c r="Q14" s="312"/>
    </row>
    <row r="15" ht="22.5" customHeight="1">
      <c r="A15" s="304">
        <v>16.0</v>
      </c>
      <c r="B15" s="305" t="s">
        <v>530</v>
      </c>
      <c r="C15" s="306" t="s">
        <v>79</v>
      </c>
      <c r="D15" s="307" t="s">
        <v>83</v>
      </c>
      <c r="E15" s="308" t="str">
        <f t="shared" ref="E15:E18" si="8">IMAGE("https://flagcdn.com/w320/es.png")</f>
        <v/>
      </c>
      <c r="F15" s="309">
        <v>37752.0</v>
      </c>
      <c r="G15" s="310">
        <f t="shared" si="1"/>
        <v>22</v>
      </c>
      <c r="H15" s="312">
        <f>1+1+1+1+1+1</f>
        <v>6</v>
      </c>
      <c r="I15" s="312">
        <f>89+90+90+61+45+77</f>
        <v>452</v>
      </c>
      <c r="J15" s="312">
        <f>3+2</f>
        <v>5</v>
      </c>
      <c r="K15" s="312">
        <f>2</f>
        <v>2</v>
      </c>
      <c r="L15" s="312">
        <f t="shared" ref="L15:L17" si="9">1+1</f>
        <v>2</v>
      </c>
      <c r="M15" s="312"/>
      <c r="N15" s="312"/>
      <c r="O15" s="312"/>
      <c r="P15" s="312">
        <f t="shared" si="3"/>
        <v>7</v>
      </c>
      <c r="Q15" s="312"/>
    </row>
    <row r="16" ht="22.5" customHeight="1">
      <c r="A16" s="304">
        <v>17.0</v>
      </c>
      <c r="B16" s="305" t="s">
        <v>531</v>
      </c>
      <c r="C16" s="306" t="s">
        <v>79</v>
      </c>
      <c r="D16" s="307" t="s">
        <v>83</v>
      </c>
      <c r="E16" s="308" t="str">
        <f t="shared" si="8"/>
        <v/>
      </c>
      <c r="F16" s="309">
        <v>37752.0</v>
      </c>
      <c r="G16" s="310">
        <f t="shared" si="1"/>
        <v>22</v>
      </c>
      <c r="H16" s="312">
        <f>1+1+1+1</f>
        <v>4</v>
      </c>
      <c r="I16" s="312">
        <f>1+19+90+57</f>
        <v>167</v>
      </c>
      <c r="J16" s="312"/>
      <c r="K16" s="312"/>
      <c r="L16" s="312">
        <f t="shared" si="9"/>
        <v>2</v>
      </c>
      <c r="M16" s="312"/>
      <c r="N16" s="312"/>
      <c r="O16" s="312"/>
      <c r="P16" s="312">
        <f t="shared" si="3"/>
        <v>0</v>
      </c>
      <c r="Q16" s="312"/>
    </row>
    <row r="17" ht="22.5" customHeight="1">
      <c r="A17" s="304">
        <v>18.0</v>
      </c>
      <c r="B17" s="305" t="s">
        <v>532</v>
      </c>
      <c r="C17" s="306" t="s">
        <v>70</v>
      </c>
      <c r="D17" s="307" t="s">
        <v>83</v>
      </c>
      <c r="E17" s="308" t="str">
        <f t="shared" si="8"/>
        <v/>
      </c>
      <c r="F17" s="309">
        <v>37313.0</v>
      </c>
      <c r="G17" s="310">
        <f t="shared" si="1"/>
        <v>23</v>
      </c>
      <c r="H17" s="312">
        <f>1+1+1+1+1+1+1</f>
        <v>7</v>
      </c>
      <c r="I17" s="312">
        <f>80+71+16+1+11+90+90</f>
        <v>359</v>
      </c>
      <c r="J17" s="312"/>
      <c r="K17" s="312"/>
      <c r="L17" s="312">
        <f t="shared" si="9"/>
        <v>2</v>
      </c>
      <c r="M17" s="312"/>
      <c r="N17" s="312"/>
      <c r="O17" s="312"/>
      <c r="P17" s="312">
        <f t="shared" si="3"/>
        <v>0</v>
      </c>
      <c r="Q17" s="312"/>
    </row>
    <row r="18" ht="22.5" customHeight="1">
      <c r="A18" s="304">
        <v>20.0</v>
      </c>
      <c r="B18" s="305" t="s">
        <v>533</v>
      </c>
      <c r="C18" s="306" t="s">
        <v>79</v>
      </c>
      <c r="D18" s="307" t="s">
        <v>83</v>
      </c>
      <c r="E18" s="308" t="str">
        <f t="shared" si="8"/>
        <v/>
      </c>
      <c r="F18" s="309">
        <v>35922.0</v>
      </c>
      <c r="G18" s="310">
        <f t="shared" si="1"/>
        <v>27</v>
      </c>
      <c r="H18" s="312">
        <f>1+1+1+1+1</f>
        <v>5</v>
      </c>
      <c r="I18" s="312">
        <f>10+71+33+11+30</f>
        <v>155</v>
      </c>
      <c r="J18" s="312">
        <f>1</f>
        <v>1</v>
      </c>
      <c r="K18" s="312"/>
      <c r="L18" s="312">
        <f>1</f>
        <v>1</v>
      </c>
      <c r="M18" s="312"/>
      <c r="N18" s="312"/>
      <c r="O18" s="312"/>
      <c r="P18" s="312">
        <f t="shared" si="3"/>
        <v>1</v>
      </c>
      <c r="Q18" s="312"/>
    </row>
    <row r="19" ht="22.5" customHeight="1">
      <c r="A19" s="304">
        <v>21.0</v>
      </c>
      <c r="B19" s="305" t="s">
        <v>534</v>
      </c>
      <c r="C19" s="306" t="s">
        <v>79</v>
      </c>
      <c r="D19" s="307" t="s">
        <v>80</v>
      </c>
      <c r="E19" s="308" t="str">
        <f>IMAGE("https://flagcdn.com/w320/nl.png")</f>
        <v/>
      </c>
      <c r="F19" s="309">
        <v>35562.0</v>
      </c>
      <c r="G19" s="310">
        <f t="shared" si="1"/>
        <v>28</v>
      </c>
      <c r="H19" s="312">
        <f>1+1+1+1+1+1+1</f>
        <v>7</v>
      </c>
      <c r="I19" s="312">
        <f>90+90+32+90+90+25+90</f>
        <v>507</v>
      </c>
      <c r="J19" s="312"/>
      <c r="K19" s="312">
        <f>1</f>
        <v>1</v>
      </c>
      <c r="L19" s="312">
        <f>1+1+1</f>
        <v>3</v>
      </c>
      <c r="M19" s="312"/>
      <c r="N19" s="312"/>
      <c r="O19" s="312"/>
      <c r="P19" s="312">
        <f t="shared" si="3"/>
        <v>1</v>
      </c>
      <c r="Q19" s="312"/>
    </row>
    <row r="20" ht="22.5" customHeight="1">
      <c r="A20" s="304">
        <v>22.0</v>
      </c>
      <c r="B20" s="305" t="s">
        <v>535</v>
      </c>
      <c r="C20" s="306" t="s">
        <v>79</v>
      </c>
      <c r="D20" s="307" t="s">
        <v>83</v>
      </c>
      <c r="E20" s="308" t="str">
        <f>IMAGE("https://flagcdn.com/w320/es.png")</f>
        <v/>
      </c>
      <c r="F20" s="309">
        <v>39228.0</v>
      </c>
      <c r="G20" s="310">
        <f t="shared" si="1"/>
        <v>18</v>
      </c>
      <c r="H20" s="311">
        <f>1+1+1</f>
        <v>3</v>
      </c>
      <c r="I20" s="311">
        <f>12+11+13</f>
        <v>36</v>
      </c>
      <c r="J20" s="312"/>
      <c r="K20" s="312"/>
      <c r="L20" s="312"/>
      <c r="M20" s="312"/>
      <c r="N20" s="312"/>
      <c r="O20" s="312"/>
      <c r="P20" s="312">
        <f t="shared" si="3"/>
        <v>0</v>
      </c>
      <c r="Q20" s="312"/>
    </row>
    <row r="21" ht="22.5" customHeight="1">
      <c r="A21" s="304">
        <v>23.0</v>
      </c>
      <c r="B21" s="305" t="s">
        <v>536</v>
      </c>
      <c r="C21" s="306" t="s">
        <v>70</v>
      </c>
      <c r="D21" s="307" t="s">
        <v>537</v>
      </c>
      <c r="E21" s="308" t="str">
        <f>IMAGE("https://flagcdn.com/w320/fr.png")</f>
        <v/>
      </c>
      <c r="F21" s="309">
        <v>36111.0</v>
      </c>
      <c r="G21" s="310">
        <f t="shared" si="1"/>
        <v>27</v>
      </c>
      <c r="H21" s="312">
        <f t="shared" ref="H21:H22" si="11">1+1+1+1+1+1+1</f>
        <v>7</v>
      </c>
      <c r="I21" s="312">
        <f>90+90+74+90+90+90+90</f>
        <v>614</v>
      </c>
      <c r="J21" s="312">
        <f>2</f>
        <v>2</v>
      </c>
      <c r="K21" s="312">
        <f t="shared" ref="K21:L21" si="10">1</f>
        <v>1</v>
      </c>
      <c r="L21" s="312">
        <f t="shared" si="10"/>
        <v>1</v>
      </c>
      <c r="M21" s="312"/>
      <c r="N21" s="312"/>
      <c r="O21" s="312">
        <f>1</f>
        <v>1</v>
      </c>
      <c r="P21" s="312">
        <f t="shared" si="3"/>
        <v>3</v>
      </c>
      <c r="Q21" s="312"/>
    </row>
    <row r="22" ht="22.5" customHeight="1">
      <c r="A22" s="304">
        <v>24.0</v>
      </c>
      <c r="B22" s="305" t="s">
        <v>538</v>
      </c>
      <c r="C22" s="306" t="s">
        <v>70</v>
      </c>
      <c r="D22" s="307" t="s">
        <v>83</v>
      </c>
      <c r="E22" s="308" t="str">
        <f>IMAGE("https://flagcdn.com/w320/es.png")</f>
        <v/>
      </c>
      <c r="F22" s="309">
        <v>36900.0</v>
      </c>
      <c r="G22" s="310">
        <f t="shared" si="1"/>
        <v>25</v>
      </c>
      <c r="H22" s="312">
        <f t="shared" si="11"/>
        <v>7</v>
      </c>
      <c r="I22" s="312">
        <f>10+84+90+89+90+90+90</f>
        <v>543</v>
      </c>
      <c r="J22" s="312"/>
      <c r="K22" s="312"/>
      <c r="L22" s="312"/>
      <c r="M22" s="312"/>
      <c r="N22" s="312"/>
      <c r="O22" s="312"/>
      <c r="P22" s="312">
        <f t="shared" si="3"/>
        <v>0</v>
      </c>
      <c r="Q22" s="312"/>
    </row>
    <row r="23" ht="22.5" customHeight="1">
      <c r="A23" s="304">
        <v>25.0</v>
      </c>
      <c r="B23" s="305" t="s">
        <v>539</v>
      </c>
      <c r="C23" s="306" t="s">
        <v>67</v>
      </c>
      <c r="D23" s="307" t="s">
        <v>521</v>
      </c>
      <c r="E23" s="308" t="str">
        <f>IMAGE("https://flagcdn.com/w320/pl.png")</f>
        <v/>
      </c>
      <c r="F23" s="309">
        <v>32981.0</v>
      </c>
      <c r="G23" s="310">
        <f t="shared" si="1"/>
        <v>35</v>
      </c>
      <c r="H23" s="311">
        <f>1+1+1</f>
        <v>3</v>
      </c>
      <c r="I23" s="311">
        <f>90+90+90</f>
        <v>270</v>
      </c>
      <c r="J23" s="312"/>
      <c r="K23" s="312"/>
      <c r="L23" s="312"/>
      <c r="M23" s="312"/>
      <c r="N23" s="312"/>
      <c r="O23" s="312"/>
      <c r="P23" s="312">
        <f t="shared" si="3"/>
        <v>0</v>
      </c>
      <c r="Q23" s="312"/>
    </row>
    <row r="24" ht="22.5" customHeight="1">
      <c r="A24" s="314">
        <v>26.0</v>
      </c>
      <c r="B24" s="315" t="s">
        <v>540</v>
      </c>
      <c r="C24" s="316" t="s">
        <v>70</v>
      </c>
      <c r="D24" s="317" t="s">
        <v>83</v>
      </c>
      <c r="E24" s="318" t="str">
        <f t="shared" ref="E24:E25" si="12">IMAGE("https://flagcdn.com/w320/es.png")</f>
        <v/>
      </c>
      <c r="F24" s="319">
        <v>39110.0</v>
      </c>
      <c r="G24" s="320">
        <f t="shared" si="1"/>
        <v>19</v>
      </c>
      <c r="H24" s="321">
        <v>0.0</v>
      </c>
      <c r="I24" s="321">
        <v>0.0</v>
      </c>
      <c r="J24" s="322"/>
      <c r="K24" s="322"/>
      <c r="L24" s="322"/>
      <c r="M24" s="322"/>
      <c r="N24" s="322"/>
      <c r="O24" s="322"/>
      <c r="P24" s="322">
        <f t="shared" si="3"/>
        <v>0</v>
      </c>
      <c r="Q24" s="322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 ht="22.5" customHeight="1">
      <c r="A25" s="314">
        <v>27.0</v>
      </c>
      <c r="B25" s="315" t="s">
        <v>541</v>
      </c>
      <c r="C25" s="316" t="s">
        <v>79</v>
      </c>
      <c r="D25" s="317" t="s">
        <v>542</v>
      </c>
      <c r="E25" s="318" t="str">
        <f t="shared" si="12"/>
        <v/>
      </c>
      <c r="F25" s="319">
        <v>39459.0</v>
      </c>
      <c r="G25" s="320">
        <f t="shared" si="1"/>
        <v>18</v>
      </c>
      <c r="H25" s="321">
        <f>1</f>
        <v>1</v>
      </c>
      <c r="I25" s="321">
        <f>58</f>
        <v>58</v>
      </c>
      <c r="J25" s="322"/>
      <c r="K25" s="322">
        <f t="shared" ref="K25:K26" si="13">1</f>
        <v>1</v>
      </c>
      <c r="L25" s="322"/>
      <c r="M25" s="322"/>
      <c r="N25" s="322"/>
      <c r="O25" s="322"/>
      <c r="P25" s="322">
        <f t="shared" si="3"/>
        <v>1</v>
      </c>
      <c r="Q25" s="322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22.5" customHeight="1">
      <c r="A26" s="304">
        <v>28.0</v>
      </c>
      <c r="B26" s="305" t="s">
        <v>543</v>
      </c>
      <c r="C26" s="306" t="s">
        <v>79</v>
      </c>
      <c r="D26" s="307" t="s">
        <v>544</v>
      </c>
      <c r="E26" s="308" t="str">
        <f>IMAGE("https://flagcdn.com/w320/se.png")</f>
        <v/>
      </c>
      <c r="F26" s="309">
        <v>38671.0</v>
      </c>
      <c r="G26" s="310">
        <f t="shared" si="1"/>
        <v>20</v>
      </c>
      <c r="H26" s="311">
        <f>1+1+1+1</f>
        <v>4</v>
      </c>
      <c r="I26" s="311">
        <f>16+8+2+60</f>
        <v>86</v>
      </c>
      <c r="J26" s="312"/>
      <c r="K26" s="312">
        <f t="shared" si="13"/>
        <v>1</v>
      </c>
      <c r="L26" s="312"/>
      <c r="M26" s="312"/>
      <c r="N26" s="312"/>
      <c r="O26" s="312"/>
      <c r="P26" s="312">
        <f t="shared" si="3"/>
        <v>1</v>
      </c>
      <c r="Q26" s="312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ht="22.5" customHeight="1">
      <c r="A27" s="314">
        <v>29.0</v>
      </c>
      <c r="B27" s="315" t="s">
        <v>545</v>
      </c>
      <c r="C27" s="316" t="s">
        <v>82</v>
      </c>
      <c r="D27" s="317" t="s">
        <v>83</v>
      </c>
      <c r="E27" s="318" t="str">
        <f>IMAGE("https://flagcdn.com/w320/es.png")</f>
        <v/>
      </c>
      <c r="F27" s="319">
        <v>39644.0</v>
      </c>
      <c r="G27" s="320">
        <f t="shared" si="1"/>
        <v>17</v>
      </c>
      <c r="H27" s="321">
        <v>0.0</v>
      </c>
      <c r="I27" s="321">
        <v>0.0</v>
      </c>
      <c r="J27" s="322"/>
      <c r="K27" s="322"/>
      <c r="L27" s="322"/>
      <c r="M27" s="322"/>
      <c r="N27" s="322"/>
      <c r="O27" s="322"/>
      <c r="P27" s="322">
        <f t="shared" si="3"/>
        <v>0</v>
      </c>
      <c r="Q27" s="322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ht="22.5" customHeight="1">
      <c r="A28" s="314">
        <v>31.0</v>
      </c>
      <c r="B28" s="315" t="s">
        <v>546</v>
      </c>
      <c r="C28" s="316" t="s">
        <v>67</v>
      </c>
      <c r="D28" s="317" t="s">
        <v>547</v>
      </c>
      <c r="E28" s="318" t="str">
        <f>IMAGE("https://flagcdn.com/w320/us.png")</f>
        <v/>
      </c>
      <c r="F28" s="319">
        <v>38795.0</v>
      </c>
      <c r="G28" s="320">
        <f t="shared" si="1"/>
        <v>19</v>
      </c>
      <c r="H28" s="321">
        <v>0.0</v>
      </c>
      <c r="I28" s="321">
        <v>0.0</v>
      </c>
      <c r="J28" s="322"/>
      <c r="K28" s="322"/>
      <c r="L28" s="322"/>
      <c r="M28" s="322"/>
      <c r="N28" s="322"/>
      <c r="O28" s="322"/>
      <c r="P28" s="322">
        <f t="shared" si="3"/>
        <v>0</v>
      </c>
      <c r="Q28" s="322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ht="22.5" customHeight="1">
      <c r="A29" s="314">
        <v>33.0</v>
      </c>
      <c r="B29" s="315" t="s">
        <v>548</v>
      </c>
      <c r="C29" s="316" t="s">
        <v>67</v>
      </c>
      <c r="D29" s="317" t="s">
        <v>83</v>
      </c>
      <c r="E29" s="318" t="str">
        <f t="shared" ref="E29:E33" si="14">IMAGE("https://flagcdn.com/w320/es.png")</f>
        <v/>
      </c>
      <c r="F29" s="319">
        <v>39176.0</v>
      </c>
      <c r="G29" s="320">
        <f t="shared" si="1"/>
        <v>18</v>
      </c>
      <c r="H29" s="321">
        <v>0.0</v>
      </c>
      <c r="I29" s="321">
        <v>0.0</v>
      </c>
      <c r="J29" s="322"/>
      <c r="K29" s="322"/>
      <c r="L29" s="322"/>
      <c r="M29" s="322"/>
      <c r="N29" s="322"/>
      <c r="O29" s="322"/>
      <c r="P29" s="322">
        <f t="shared" si="3"/>
        <v>0</v>
      </c>
      <c r="Q29" s="322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ht="22.5" customHeight="1">
      <c r="A30" s="314">
        <v>37.0</v>
      </c>
      <c r="B30" s="315" t="s">
        <v>549</v>
      </c>
      <c r="C30" s="316" t="s">
        <v>82</v>
      </c>
      <c r="D30" s="317" t="s">
        <v>83</v>
      </c>
      <c r="E30" s="318" t="str">
        <f t="shared" si="14"/>
        <v/>
      </c>
      <c r="F30" s="319">
        <v>38573.0</v>
      </c>
      <c r="G30" s="320">
        <f t="shared" si="1"/>
        <v>20</v>
      </c>
      <c r="H30" s="321">
        <v>0.0</v>
      </c>
      <c r="I30" s="321">
        <v>0.0</v>
      </c>
      <c r="J30" s="322"/>
      <c r="K30" s="322"/>
      <c r="L30" s="322"/>
      <c r="M30" s="322"/>
      <c r="N30" s="322"/>
      <c r="O30" s="322"/>
      <c r="P30" s="322">
        <f t="shared" si="3"/>
        <v>0</v>
      </c>
      <c r="Q30" s="322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ht="22.5" customHeight="1">
      <c r="A31" s="314">
        <v>41.0</v>
      </c>
      <c r="B31" s="315" t="s">
        <v>550</v>
      </c>
      <c r="C31" s="316" t="s">
        <v>79</v>
      </c>
      <c r="D31" s="317" t="s">
        <v>83</v>
      </c>
      <c r="E31" s="318" t="str">
        <f t="shared" si="14"/>
        <v/>
      </c>
      <c r="F31" s="319">
        <v>39284.0</v>
      </c>
      <c r="G31" s="320">
        <f t="shared" si="1"/>
        <v>18</v>
      </c>
      <c r="H31" s="321">
        <v>0.0</v>
      </c>
      <c r="I31" s="321">
        <v>0.0</v>
      </c>
      <c r="J31" s="322"/>
      <c r="K31" s="322"/>
      <c r="L31" s="322"/>
      <c r="M31" s="322"/>
      <c r="N31" s="322"/>
      <c r="O31" s="322"/>
      <c r="P31" s="322">
        <f t="shared" si="3"/>
        <v>0</v>
      </c>
      <c r="Q31" s="322"/>
    </row>
    <row r="32" ht="22.5" customHeight="1">
      <c r="A32" s="314">
        <v>42.0</v>
      </c>
      <c r="B32" s="315" t="s">
        <v>551</v>
      </c>
      <c r="C32" s="316" t="s">
        <v>70</v>
      </c>
      <c r="D32" s="317" t="s">
        <v>83</v>
      </c>
      <c r="E32" s="318" t="str">
        <f t="shared" si="14"/>
        <v/>
      </c>
      <c r="F32" s="319">
        <v>39223.0</v>
      </c>
      <c r="G32" s="320">
        <f t="shared" si="1"/>
        <v>18</v>
      </c>
      <c r="H32" s="321">
        <v>0.0</v>
      </c>
      <c r="I32" s="321">
        <v>0.0</v>
      </c>
      <c r="J32" s="322"/>
      <c r="K32" s="322"/>
      <c r="L32" s="322"/>
      <c r="M32" s="322"/>
      <c r="N32" s="322"/>
      <c r="O32" s="322"/>
      <c r="P32" s="322">
        <f t="shared" si="3"/>
        <v>0</v>
      </c>
      <c r="Q32" s="322"/>
    </row>
    <row r="33" ht="22.5" customHeight="1">
      <c r="A33" s="314">
        <v>43.0</v>
      </c>
      <c r="B33" s="315" t="s">
        <v>552</v>
      </c>
      <c r="C33" s="316" t="s">
        <v>79</v>
      </c>
      <c r="D33" s="317" t="s">
        <v>83</v>
      </c>
      <c r="E33" s="318" t="str">
        <f t="shared" si="14"/>
        <v/>
      </c>
      <c r="F33" s="319">
        <v>39020.0</v>
      </c>
      <c r="G33" s="320">
        <f t="shared" si="1"/>
        <v>19</v>
      </c>
      <c r="H33" s="321">
        <v>0.0</v>
      </c>
      <c r="I33" s="321">
        <v>0.0</v>
      </c>
      <c r="J33" s="322"/>
      <c r="K33" s="322"/>
      <c r="L33" s="322"/>
      <c r="M33" s="322"/>
      <c r="N33" s="322"/>
      <c r="O33" s="322"/>
      <c r="P33" s="322">
        <f t="shared" si="3"/>
        <v>0</v>
      </c>
      <c r="Q33" s="322"/>
    </row>
    <row r="34">
      <c r="A34" s="11"/>
      <c r="B34" s="18"/>
      <c r="C34" s="18"/>
      <c r="D34" s="64"/>
      <c r="E34" s="18"/>
      <c r="F34" s="66"/>
      <c r="G34" s="18"/>
      <c r="H34" s="11">
        <f>SUM(H2:H33)</f>
        <v>111</v>
      </c>
      <c r="I34" s="11">
        <f>SUM(I2:I33)+47</f>
        <v>6930</v>
      </c>
      <c r="J34" s="11">
        <f t="shared" ref="J34:Q34" si="15">SUM(J2:J33)</f>
        <v>17</v>
      </c>
      <c r="K34" s="11">
        <f t="shared" si="15"/>
        <v>14</v>
      </c>
      <c r="L34" s="11">
        <f t="shared" si="15"/>
        <v>17</v>
      </c>
      <c r="M34" s="11">
        <f t="shared" si="15"/>
        <v>1</v>
      </c>
      <c r="N34" s="11">
        <f t="shared" si="15"/>
        <v>0</v>
      </c>
      <c r="O34" s="11">
        <f t="shared" si="15"/>
        <v>2</v>
      </c>
      <c r="P34" s="11">
        <f t="shared" si="15"/>
        <v>31</v>
      </c>
      <c r="Q34" s="11">
        <f t="shared" si="15"/>
        <v>0</v>
      </c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ht="22.5" customHeight="1">
      <c r="A35" s="298" t="s">
        <v>150</v>
      </c>
      <c r="B35" s="299" t="s">
        <v>49</v>
      </c>
      <c r="C35" s="299" t="s">
        <v>265</v>
      </c>
      <c r="D35" s="323" t="s">
        <v>56</v>
      </c>
      <c r="E35" s="299" t="s">
        <v>57</v>
      </c>
      <c r="F35" s="299" t="s">
        <v>52</v>
      </c>
      <c r="G35" s="299" t="s">
        <v>53</v>
      </c>
      <c r="H35" s="324" t="s">
        <v>4</v>
      </c>
      <c r="I35" s="324" t="s">
        <v>5</v>
      </c>
      <c r="J35" s="324" t="s">
        <v>6</v>
      </c>
      <c r="K35" s="324" t="s">
        <v>7</v>
      </c>
      <c r="L35" s="324" t="s">
        <v>8</v>
      </c>
      <c r="M35" s="324" t="s">
        <v>9</v>
      </c>
      <c r="N35" s="324" t="s">
        <v>10</v>
      </c>
      <c r="O35" s="12"/>
      <c r="P35" s="12"/>
      <c r="Q35" s="12"/>
    </row>
    <row r="36" ht="22.5" customHeight="1">
      <c r="A36" s="325"/>
      <c r="B36" s="305" t="s">
        <v>553</v>
      </c>
      <c r="C36" s="305" t="s">
        <v>153</v>
      </c>
      <c r="D36" s="307" t="s">
        <v>204</v>
      </c>
      <c r="E36" s="308" t="str">
        <f>IMAGE("https://flagcdn.com/w320/de.png")</f>
        <v/>
      </c>
      <c r="F36" s="309">
        <v>23797.0</v>
      </c>
      <c r="G36" s="310">
        <f>DATEDIF(F36,TODAY(),"Y")</f>
        <v>60</v>
      </c>
      <c r="H36" s="326">
        <f>L36+M36+N36</f>
        <v>7</v>
      </c>
      <c r="I36" s="326">
        <f>(3*L36)+M36</f>
        <v>13</v>
      </c>
      <c r="J36" s="326">
        <f>2+1+6+3+2+4</f>
        <v>18</v>
      </c>
      <c r="K36" s="326">
        <f>1+2+1+3+3+1+2</f>
        <v>13</v>
      </c>
      <c r="L36" s="327">
        <f>1+1+1+1</f>
        <v>4</v>
      </c>
      <c r="M36" s="328">
        <f>1</f>
        <v>1</v>
      </c>
      <c r="N36" s="329">
        <f>1+1</f>
        <v>2</v>
      </c>
      <c r="O36" s="12"/>
      <c r="P36" s="12"/>
      <c r="Q36" s="12"/>
    </row>
    <row r="37">
      <c r="A37" s="11"/>
      <c r="B37" s="18"/>
      <c r="C37" s="18"/>
      <c r="D37" s="64"/>
      <c r="E37" s="18"/>
      <c r="F37" s="66"/>
      <c r="G37" s="18"/>
      <c r="H37" s="11">
        <f t="shared" ref="H37:N37" si="16">SUM(H36)</f>
        <v>7</v>
      </c>
      <c r="I37" s="11">
        <f t="shared" si="16"/>
        <v>13</v>
      </c>
      <c r="J37" s="11">
        <f t="shared" si="16"/>
        <v>18</v>
      </c>
      <c r="K37" s="11">
        <f t="shared" si="16"/>
        <v>13</v>
      </c>
      <c r="L37" s="11">
        <f t="shared" si="16"/>
        <v>4</v>
      </c>
      <c r="M37" s="11">
        <f t="shared" si="16"/>
        <v>1</v>
      </c>
      <c r="N37" s="11">
        <f t="shared" si="16"/>
        <v>2</v>
      </c>
      <c r="O37" s="11"/>
      <c r="P37" s="11"/>
      <c r="Q37" s="11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ht="22.5" customHeight="1">
      <c r="A38" s="298" t="s">
        <v>156</v>
      </c>
      <c r="B38" s="298" t="s">
        <v>157</v>
      </c>
      <c r="C38" s="298" t="s">
        <v>158</v>
      </c>
      <c r="D38" s="302" t="s">
        <v>554</v>
      </c>
      <c r="E38" s="298" t="s">
        <v>160</v>
      </c>
      <c r="F38" s="298" t="s">
        <v>161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22.5" customHeight="1">
      <c r="A39" s="86">
        <v>1.0</v>
      </c>
      <c r="B39" s="87" t="s">
        <v>26</v>
      </c>
      <c r="C39" s="87" t="s">
        <v>25</v>
      </c>
      <c r="D39" s="88" t="s">
        <v>555</v>
      </c>
      <c r="E39" s="89">
        <v>45659.0</v>
      </c>
      <c r="F39" s="87" t="s">
        <v>385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22.5" customHeight="1">
      <c r="A40" s="77">
        <v>2.0</v>
      </c>
      <c r="B40" s="78" t="s">
        <v>25</v>
      </c>
      <c r="C40" s="78" t="s">
        <v>15</v>
      </c>
      <c r="D40" s="83" t="s">
        <v>556</v>
      </c>
      <c r="E40" s="84">
        <v>45659.0</v>
      </c>
      <c r="F40" s="78" t="s">
        <v>557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22.5" customHeight="1">
      <c r="A41" s="86">
        <v>3.0</v>
      </c>
      <c r="B41" s="87" t="s">
        <v>25</v>
      </c>
      <c r="C41" s="87" t="s">
        <v>38</v>
      </c>
      <c r="D41" s="88" t="s">
        <v>558</v>
      </c>
      <c r="E41" s="89">
        <v>45809.0</v>
      </c>
      <c r="F41" s="87" t="s">
        <v>557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22.5" customHeight="1">
      <c r="A42" s="197">
        <v>4.0</v>
      </c>
      <c r="B42" s="198" t="s">
        <v>39</v>
      </c>
      <c r="C42" s="198" t="s">
        <v>25</v>
      </c>
      <c r="D42" s="264" t="s">
        <v>559</v>
      </c>
      <c r="E42" s="265">
        <v>45719.0</v>
      </c>
      <c r="F42" s="198" t="s">
        <v>279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22.5" customHeight="1">
      <c r="A43" s="77">
        <v>5.0</v>
      </c>
      <c r="B43" s="78" t="s">
        <v>22</v>
      </c>
      <c r="C43" s="78" t="s">
        <v>25</v>
      </c>
      <c r="D43" s="79"/>
      <c r="E43" s="80" t="s">
        <v>560</v>
      </c>
      <c r="F43" s="78" t="s">
        <v>167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22.5" customHeight="1">
      <c r="A44" s="86">
        <v>6.0</v>
      </c>
      <c r="B44" s="87" t="s">
        <v>25</v>
      </c>
      <c r="C44" s="87" t="s">
        <v>41</v>
      </c>
      <c r="D44" s="88" t="s">
        <v>561</v>
      </c>
      <c r="E44" s="89">
        <v>45689.0</v>
      </c>
      <c r="F44" s="87" t="s">
        <v>562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22.5" customHeight="1">
      <c r="A45" s="86">
        <v>7.0</v>
      </c>
      <c r="B45" s="87" t="s">
        <v>45</v>
      </c>
      <c r="C45" s="87" t="s">
        <v>25</v>
      </c>
      <c r="D45" s="88" t="s">
        <v>563</v>
      </c>
      <c r="E45" s="89">
        <v>46057.0</v>
      </c>
      <c r="F45" s="87" t="s">
        <v>276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22.5" customHeight="1">
      <c r="A46" s="90">
        <v>8.0</v>
      </c>
      <c r="B46" s="91" t="s">
        <v>25</v>
      </c>
      <c r="C46" s="91" t="s">
        <v>34</v>
      </c>
      <c r="D46" s="92"/>
      <c r="E46" s="93"/>
      <c r="F46" s="94" t="s">
        <v>562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>
      <c r="A47" s="12"/>
      <c r="D47" s="95"/>
      <c r="F47" s="96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>
      <c r="A48" s="12"/>
      <c r="D48" s="95"/>
      <c r="F48" s="96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>
      <c r="A49" s="12"/>
      <c r="D49" s="95"/>
      <c r="F49" s="96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>
      <c r="A50" s="12"/>
      <c r="D50" s="95"/>
      <c r="F50" s="96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A51" s="12"/>
      <c r="D51" s="95"/>
      <c r="F51" s="96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A52" s="12"/>
      <c r="D52" s="95"/>
      <c r="F52" s="96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A53" s="12"/>
      <c r="D53" s="95"/>
      <c r="F53" s="96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A54" s="12"/>
      <c r="D54" s="95"/>
      <c r="F54" s="96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A55" s="12"/>
      <c r="D55" s="95"/>
      <c r="F55" s="96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A56" s="12"/>
      <c r="D56" s="95"/>
      <c r="F56" s="96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A57" s="12"/>
      <c r="D57" s="95"/>
      <c r="F57" s="96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A58" s="12"/>
      <c r="D58" s="95"/>
      <c r="F58" s="96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A59" s="12"/>
      <c r="D59" s="95"/>
      <c r="F59" s="96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A60" s="12"/>
      <c r="D60" s="95"/>
      <c r="F60" s="96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A61" s="12"/>
      <c r="D61" s="95"/>
      <c r="F61" s="96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A62" s="12"/>
      <c r="D62" s="95"/>
      <c r="F62" s="96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A63" s="12"/>
      <c r="D63" s="95"/>
      <c r="F63" s="96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A64" s="12"/>
      <c r="D64" s="95"/>
      <c r="F64" s="96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A65" s="12"/>
      <c r="D65" s="95"/>
      <c r="F65" s="96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A66" s="12"/>
      <c r="D66" s="95"/>
      <c r="F66" s="96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A67" s="12"/>
      <c r="D67" s="95"/>
      <c r="F67" s="96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A68" s="12"/>
      <c r="D68" s="95"/>
      <c r="F68" s="96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A69" s="12"/>
      <c r="D69" s="95"/>
      <c r="F69" s="96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A70" s="12"/>
      <c r="D70" s="95"/>
      <c r="F70" s="96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A71" s="12"/>
      <c r="D71" s="95"/>
      <c r="F71" s="96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A72" s="12"/>
      <c r="D72" s="95"/>
      <c r="F72" s="96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A73" s="12"/>
      <c r="D73" s="95"/>
      <c r="F73" s="96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A74" s="12"/>
      <c r="D74" s="95"/>
      <c r="F74" s="96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A75" s="12"/>
      <c r="D75" s="95"/>
      <c r="F75" s="96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A76" s="12"/>
      <c r="D76" s="95"/>
      <c r="F76" s="96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A77" s="12"/>
      <c r="D77" s="95"/>
      <c r="F77" s="96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A78" s="12"/>
      <c r="D78" s="95"/>
      <c r="F78" s="96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A79" s="12"/>
      <c r="D79" s="95"/>
      <c r="F79" s="96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A80" s="12"/>
      <c r="D80" s="95"/>
      <c r="F80" s="96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A81" s="12"/>
      <c r="D81" s="95"/>
      <c r="F81" s="96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A82" s="12"/>
      <c r="D82" s="95"/>
      <c r="F82" s="96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A83" s="12"/>
      <c r="D83" s="95"/>
      <c r="F83" s="96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A84" s="12"/>
      <c r="D84" s="95"/>
      <c r="F84" s="96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A85" s="12"/>
      <c r="D85" s="95"/>
      <c r="F85" s="96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A86" s="12"/>
      <c r="D86" s="95"/>
      <c r="F86" s="96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A87" s="12"/>
      <c r="D87" s="95"/>
      <c r="F87" s="96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A88" s="12"/>
      <c r="D88" s="95"/>
      <c r="F88" s="96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A89" s="12"/>
      <c r="D89" s="95"/>
      <c r="F89" s="96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A90" s="12"/>
      <c r="D90" s="95"/>
      <c r="F90" s="96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A91" s="12"/>
      <c r="D91" s="95"/>
      <c r="F91" s="96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A92" s="12"/>
      <c r="D92" s="95"/>
      <c r="F92" s="96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A93" s="12"/>
      <c r="D93" s="95"/>
      <c r="F93" s="96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A94" s="12"/>
      <c r="D94" s="95"/>
      <c r="F94" s="96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A95" s="12"/>
      <c r="D95" s="95"/>
      <c r="F95" s="96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A96" s="12"/>
      <c r="D96" s="95"/>
      <c r="F96" s="96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A97" s="12"/>
      <c r="D97" s="95"/>
      <c r="F97" s="96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A98" s="12"/>
      <c r="D98" s="95"/>
      <c r="F98" s="96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A99" s="12"/>
      <c r="D99" s="95"/>
      <c r="F99" s="96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A100" s="12"/>
      <c r="D100" s="95"/>
      <c r="F100" s="96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A101" s="12"/>
      <c r="D101" s="95"/>
      <c r="F101" s="96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A102" s="12"/>
      <c r="D102" s="95"/>
      <c r="F102" s="96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A103" s="12"/>
      <c r="D103" s="95"/>
      <c r="F103" s="96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12"/>
      <c r="D104" s="95"/>
      <c r="F104" s="96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12"/>
      <c r="D105" s="95"/>
      <c r="F105" s="96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12"/>
      <c r="D106" s="95"/>
      <c r="F106" s="96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12"/>
      <c r="D107" s="95"/>
      <c r="F107" s="96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A108" s="12"/>
      <c r="D108" s="95"/>
      <c r="F108" s="96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A109" s="12"/>
      <c r="D109" s="95"/>
      <c r="F109" s="96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A110" s="12"/>
      <c r="D110" s="95"/>
      <c r="F110" s="96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A111" s="12"/>
      <c r="D111" s="95"/>
      <c r="F111" s="96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A112" s="12"/>
      <c r="D112" s="95"/>
      <c r="F112" s="96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A113" s="12"/>
      <c r="D113" s="95"/>
      <c r="F113" s="96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A114" s="12"/>
      <c r="D114" s="95"/>
      <c r="F114" s="96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A115" s="12"/>
      <c r="D115" s="95"/>
      <c r="F115" s="96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A116" s="12"/>
      <c r="D116" s="95"/>
      <c r="F116" s="96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A117" s="12"/>
      <c r="D117" s="95"/>
      <c r="F117" s="96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A118" s="12"/>
      <c r="D118" s="95"/>
      <c r="F118" s="96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A119" s="12"/>
      <c r="D119" s="95"/>
      <c r="F119" s="96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A120" s="12"/>
      <c r="D120" s="95"/>
      <c r="F120" s="96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A121" s="12"/>
      <c r="D121" s="95"/>
      <c r="F121" s="96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A122" s="12"/>
      <c r="D122" s="95"/>
      <c r="F122" s="96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A123" s="12"/>
      <c r="D123" s="95"/>
      <c r="F123" s="96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A124" s="12"/>
      <c r="D124" s="95"/>
      <c r="F124" s="96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A125" s="12"/>
      <c r="D125" s="95"/>
      <c r="F125" s="96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A126" s="12"/>
      <c r="D126" s="95"/>
      <c r="F126" s="96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A127" s="12"/>
      <c r="D127" s="95"/>
      <c r="F127" s="96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A128" s="12"/>
      <c r="D128" s="95"/>
      <c r="F128" s="96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A129" s="12"/>
      <c r="D129" s="95"/>
      <c r="F129" s="96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A130" s="12"/>
      <c r="D130" s="95"/>
      <c r="F130" s="96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A131" s="12"/>
      <c r="D131" s="95"/>
      <c r="F131" s="96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A132" s="12"/>
      <c r="D132" s="95"/>
      <c r="F132" s="96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A133" s="12"/>
      <c r="D133" s="95"/>
      <c r="F133" s="96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A134" s="12"/>
      <c r="D134" s="95"/>
      <c r="F134" s="96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A135" s="12"/>
      <c r="D135" s="95"/>
      <c r="F135" s="96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A136" s="12"/>
      <c r="D136" s="95"/>
      <c r="F136" s="96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A137" s="12"/>
      <c r="D137" s="95"/>
      <c r="F137" s="96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A138" s="12"/>
      <c r="D138" s="95"/>
      <c r="F138" s="96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A139" s="12"/>
      <c r="D139" s="95"/>
      <c r="F139" s="96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A140" s="12"/>
      <c r="D140" s="95"/>
      <c r="F140" s="96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A141" s="12"/>
      <c r="D141" s="95"/>
      <c r="F141" s="96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A142" s="12"/>
      <c r="D142" s="95"/>
      <c r="F142" s="96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A143" s="12"/>
      <c r="D143" s="95"/>
      <c r="F143" s="96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A144" s="12"/>
      <c r="D144" s="95"/>
      <c r="F144" s="96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A145" s="12"/>
      <c r="D145" s="95"/>
      <c r="F145" s="96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A146" s="12"/>
      <c r="D146" s="95"/>
      <c r="F146" s="96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A147" s="12"/>
      <c r="D147" s="95"/>
      <c r="F147" s="96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A148" s="12"/>
      <c r="D148" s="95"/>
      <c r="F148" s="96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A149" s="12"/>
      <c r="D149" s="95"/>
      <c r="F149" s="96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A150" s="12"/>
      <c r="D150" s="95"/>
      <c r="F150" s="96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A151" s="12"/>
      <c r="D151" s="95"/>
      <c r="F151" s="96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A152" s="12"/>
      <c r="D152" s="95"/>
      <c r="F152" s="96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A153" s="12"/>
      <c r="D153" s="95"/>
      <c r="F153" s="96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A154" s="12"/>
      <c r="D154" s="95"/>
      <c r="F154" s="96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A155" s="12"/>
      <c r="D155" s="95"/>
      <c r="F155" s="96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A156" s="12"/>
      <c r="D156" s="95"/>
      <c r="F156" s="96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A157" s="12"/>
      <c r="D157" s="95"/>
      <c r="F157" s="96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A158" s="12"/>
      <c r="D158" s="95"/>
      <c r="F158" s="96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A159" s="12"/>
      <c r="D159" s="95"/>
      <c r="F159" s="96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A160" s="12"/>
      <c r="D160" s="95"/>
      <c r="F160" s="96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A161" s="12"/>
      <c r="D161" s="95"/>
      <c r="F161" s="96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A162" s="12"/>
      <c r="D162" s="95"/>
      <c r="F162" s="96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A163" s="12"/>
      <c r="D163" s="95"/>
      <c r="F163" s="96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A164" s="12"/>
      <c r="D164" s="95"/>
      <c r="F164" s="96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A165" s="12"/>
      <c r="D165" s="95"/>
      <c r="F165" s="96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A166" s="12"/>
      <c r="D166" s="95"/>
      <c r="F166" s="96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A167" s="12"/>
      <c r="D167" s="95"/>
      <c r="F167" s="96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A168" s="12"/>
      <c r="D168" s="95"/>
      <c r="F168" s="96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A169" s="12"/>
      <c r="D169" s="95"/>
      <c r="F169" s="96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A170" s="12"/>
      <c r="D170" s="95"/>
      <c r="F170" s="96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A171" s="12"/>
      <c r="D171" s="95"/>
      <c r="F171" s="96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A172" s="12"/>
      <c r="D172" s="95"/>
      <c r="F172" s="96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2"/>
      <c r="D173" s="95"/>
      <c r="F173" s="96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A174" s="12"/>
      <c r="D174" s="95"/>
      <c r="F174" s="96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A175" s="12"/>
      <c r="D175" s="95"/>
      <c r="F175" s="96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A176" s="12"/>
      <c r="D176" s="95"/>
      <c r="F176" s="96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A177" s="12"/>
      <c r="D177" s="95"/>
      <c r="F177" s="96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A178" s="12"/>
      <c r="D178" s="95"/>
      <c r="F178" s="96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A179" s="12"/>
      <c r="D179" s="95"/>
      <c r="F179" s="96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A180" s="12"/>
      <c r="D180" s="95"/>
      <c r="F180" s="96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A181" s="12"/>
      <c r="D181" s="95"/>
      <c r="F181" s="96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A182" s="12"/>
      <c r="D182" s="95"/>
      <c r="F182" s="96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A183" s="12"/>
      <c r="D183" s="95"/>
      <c r="F183" s="96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A184" s="12"/>
      <c r="D184" s="95"/>
      <c r="F184" s="96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A185" s="12"/>
      <c r="D185" s="95"/>
      <c r="F185" s="96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A186" s="12"/>
      <c r="D186" s="95"/>
      <c r="F186" s="96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A187" s="12"/>
      <c r="D187" s="95"/>
      <c r="F187" s="96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A188" s="12"/>
      <c r="D188" s="95"/>
      <c r="F188" s="96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A189" s="12"/>
      <c r="D189" s="95"/>
      <c r="F189" s="96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A190" s="12"/>
      <c r="D190" s="95"/>
      <c r="F190" s="96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A191" s="12"/>
      <c r="D191" s="95"/>
      <c r="F191" s="96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A192" s="12"/>
      <c r="D192" s="95"/>
      <c r="F192" s="96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A193" s="12"/>
      <c r="D193" s="95"/>
      <c r="F193" s="96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A194" s="12"/>
      <c r="D194" s="95"/>
      <c r="F194" s="96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A195" s="12"/>
      <c r="D195" s="95"/>
      <c r="F195" s="96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A196" s="12"/>
      <c r="D196" s="95"/>
      <c r="F196" s="96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A197" s="12"/>
      <c r="D197" s="95"/>
      <c r="F197" s="96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A198" s="12"/>
      <c r="D198" s="95"/>
      <c r="F198" s="96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A199" s="12"/>
      <c r="D199" s="95"/>
      <c r="F199" s="96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A200" s="12"/>
      <c r="D200" s="95"/>
      <c r="F200" s="96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A201" s="12"/>
      <c r="D201" s="95"/>
      <c r="F201" s="96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A202" s="12"/>
      <c r="D202" s="95"/>
      <c r="F202" s="96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A203" s="12"/>
      <c r="D203" s="95"/>
      <c r="F203" s="96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A204" s="12"/>
      <c r="D204" s="95"/>
      <c r="F204" s="96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A205" s="12"/>
      <c r="D205" s="95"/>
      <c r="F205" s="96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A206" s="12"/>
      <c r="D206" s="95"/>
      <c r="F206" s="96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A207" s="12"/>
      <c r="D207" s="95"/>
      <c r="F207" s="96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A208" s="12"/>
      <c r="D208" s="95"/>
      <c r="F208" s="96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A209" s="12"/>
      <c r="D209" s="95"/>
      <c r="F209" s="96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A210" s="12"/>
      <c r="D210" s="95"/>
      <c r="F210" s="96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A211" s="12"/>
      <c r="D211" s="95"/>
      <c r="F211" s="96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A212" s="12"/>
      <c r="D212" s="95"/>
      <c r="F212" s="96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A213" s="12"/>
      <c r="D213" s="95"/>
      <c r="F213" s="96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A214" s="12"/>
      <c r="D214" s="95"/>
      <c r="F214" s="96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A215" s="12"/>
      <c r="D215" s="95"/>
      <c r="F215" s="96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A216" s="12"/>
      <c r="D216" s="95"/>
      <c r="F216" s="96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A217" s="12"/>
      <c r="D217" s="95"/>
      <c r="F217" s="96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A218" s="12"/>
      <c r="D218" s="95"/>
      <c r="F218" s="96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A219" s="12"/>
      <c r="D219" s="95"/>
      <c r="F219" s="96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A220" s="12"/>
      <c r="D220" s="95"/>
      <c r="F220" s="96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A221" s="12"/>
      <c r="D221" s="95"/>
      <c r="F221" s="96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A222" s="12"/>
      <c r="D222" s="95"/>
      <c r="F222" s="96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A223" s="12"/>
      <c r="D223" s="95"/>
      <c r="F223" s="96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A224" s="12"/>
      <c r="D224" s="95"/>
      <c r="F224" s="96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A225" s="12"/>
      <c r="D225" s="95"/>
      <c r="F225" s="96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A226" s="12"/>
      <c r="D226" s="95"/>
      <c r="F226" s="96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A227" s="12"/>
      <c r="D227" s="95"/>
      <c r="F227" s="96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A228" s="12"/>
      <c r="D228" s="95"/>
      <c r="F228" s="96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A229" s="12"/>
      <c r="D229" s="95"/>
      <c r="F229" s="96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A230" s="12"/>
      <c r="D230" s="95"/>
      <c r="F230" s="96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A231" s="12"/>
      <c r="D231" s="95"/>
      <c r="F231" s="96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A232" s="12"/>
      <c r="D232" s="95"/>
      <c r="F232" s="96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A233" s="12"/>
      <c r="D233" s="95"/>
      <c r="F233" s="96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A234" s="12"/>
      <c r="D234" s="95"/>
      <c r="F234" s="96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A235" s="12"/>
      <c r="D235" s="95"/>
      <c r="F235" s="96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A236" s="12"/>
      <c r="D236" s="95"/>
      <c r="F236" s="96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A237" s="12"/>
      <c r="D237" s="95"/>
      <c r="F237" s="96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A238" s="12"/>
      <c r="D238" s="95"/>
      <c r="F238" s="96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A239" s="12"/>
      <c r="D239" s="95"/>
      <c r="F239" s="96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A240" s="12"/>
      <c r="D240" s="95"/>
      <c r="F240" s="96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A241" s="12"/>
      <c r="D241" s="95"/>
      <c r="F241" s="96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A242" s="12"/>
      <c r="D242" s="95"/>
      <c r="F242" s="96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A243" s="12"/>
      <c r="D243" s="95"/>
      <c r="F243" s="96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A244" s="12"/>
      <c r="D244" s="95"/>
      <c r="F244" s="96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A245" s="12"/>
      <c r="D245" s="95"/>
      <c r="F245" s="96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A246" s="12"/>
      <c r="D246" s="95"/>
      <c r="F246" s="96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A247" s="12"/>
      <c r="D247" s="95"/>
      <c r="F247" s="96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A248" s="12"/>
      <c r="D248" s="95"/>
      <c r="F248" s="96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A249" s="12"/>
      <c r="D249" s="95"/>
      <c r="F249" s="96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A250" s="12"/>
      <c r="D250" s="95"/>
      <c r="F250" s="96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A251" s="12"/>
      <c r="D251" s="95"/>
      <c r="F251" s="96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A252" s="12"/>
      <c r="D252" s="95"/>
      <c r="F252" s="96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A253" s="12"/>
      <c r="D253" s="95"/>
      <c r="F253" s="96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A254" s="12"/>
      <c r="D254" s="95"/>
      <c r="F254" s="96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A255" s="12"/>
      <c r="D255" s="95"/>
      <c r="F255" s="96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A256" s="12"/>
      <c r="D256" s="95"/>
      <c r="F256" s="96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A257" s="12"/>
      <c r="D257" s="95"/>
      <c r="F257" s="96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A258" s="12"/>
      <c r="D258" s="95"/>
      <c r="F258" s="96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A259" s="12"/>
      <c r="D259" s="95"/>
      <c r="F259" s="96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A260" s="12"/>
      <c r="D260" s="95"/>
      <c r="F260" s="96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A261" s="12"/>
      <c r="D261" s="95"/>
      <c r="F261" s="96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A262" s="12"/>
      <c r="D262" s="95"/>
      <c r="F262" s="96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A263" s="12"/>
      <c r="D263" s="95"/>
      <c r="F263" s="96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A264" s="12"/>
      <c r="D264" s="95"/>
      <c r="F264" s="96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A265" s="12"/>
      <c r="D265" s="95"/>
      <c r="F265" s="96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A266" s="12"/>
      <c r="D266" s="95"/>
      <c r="F266" s="96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A267" s="12"/>
      <c r="D267" s="95"/>
      <c r="F267" s="96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A268" s="12"/>
      <c r="D268" s="95"/>
      <c r="F268" s="96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A269" s="12"/>
      <c r="D269" s="95"/>
      <c r="F269" s="96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A270" s="12"/>
      <c r="D270" s="95"/>
      <c r="F270" s="96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A271" s="12"/>
      <c r="D271" s="95"/>
      <c r="F271" s="96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A272" s="12"/>
      <c r="D272" s="95"/>
      <c r="F272" s="96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A273" s="12"/>
      <c r="D273" s="95"/>
      <c r="F273" s="96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A274" s="12"/>
      <c r="D274" s="95"/>
      <c r="F274" s="96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A275" s="12"/>
      <c r="D275" s="95"/>
      <c r="F275" s="96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A276" s="12"/>
      <c r="D276" s="95"/>
      <c r="F276" s="96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A277" s="12"/>
      <c r="D277" s="95"/>
      <c r="F277" s="96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A278" s="12"/>
      <c r="D278" s="95"/>
      <c r="F278" s="96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A279" s="12"/>
      <c r="D279" s="95"/>
      <c r="F279" s="96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A280" s="12"/>
      <c r="D280" s="95"/>
      <c r="F280" s="96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A281" s="12"/>
      <c r="D281" s="95"/>
      <c r="F281" s="96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A282" s="12"/>
      <c r="D282" s="95"/>
      <c r="F282" s="96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A283" s="12"/>
      <c r="D283" s="95"/>
      <c r="F283" s="96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A284" s="12"/>
      <c r="D284" s="95"/>
      <c r="F284" s="96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A285" s="12"/>
      <c r="D285" s="95"/>
      <c r="F285" s="96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A286" s="12"/>
      <c r="D286" s="95"/>
      <c r="F286" s="96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A287" s="12"/>
      <c r="D287" s="95"/>
      <c r="F287" s="96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A288" s="12"/>
      <c r="D288" s="95"/>
      <c r="F288" s="96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A289" s="12"/>
      <c r="D289" s="95"/>
      <c r="F289" s="96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A290" s="12"/>
      <c r="D290" s="95"/>
      <c r="F290" s="96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A291" s="12"/>
      <c r="D291" s="95"/>
      <c r="F291" s="96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A292" s="12"/>
      <c r="D292" s="95"/>
      <c r="F292" s="96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A293" s="12"/>
      <c r="D293" s="95"/>
      <c r="F293" s="96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A294" s="12"/>
      <c r="D294" s="95"/>
      <c r="F294" s="96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A295" s="12"/>
      <c r="D295" s="95"/>
      <c r="F295" s="96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A296" s="12"/>
      <c r="D296" s="95"/>
      <c r="F296" s="96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A297" s="12"/>
      <c r="D297" s="95"/>
      <c r="F297" s="96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A298" s="12"/>
      <c r="D298" s="95"/>
      <c r="F298" s="96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A299" s="12"/>
      <c r="D299" s="95"/>
      <c r="F299" s="96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A300" s="12"/>
      <c r="D300" s="95"/>
      <c r="F300" s="96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A301" s="12"/>
      <c r="D301" s="95"/>
      <c r="F301" s="96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A302" s="12"/>
      <c r="D302" s="95"/>
      <c r="F302" s="96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A303" s="12"/>
      <c r="D303" s="95"/>
      <c r="F303" s="96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A304" s="12"/>
      <c r="D304" s="95"/>
      <c r="F304" s="96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A305" s="12"/>
      <c r="D305" s="95"/>
      <c r="F305" s="96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A306" s="12"/>
      <c r="D306" s="95"/>
      <c r="F306" s="96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A307" s="12"/>
      <c r="D307" s="95"/>
      <c r="F307" s="96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A308" s="12"/>
      <c r="D308" s="95"/>
      <c r="F308" s="96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A309" s="12"/>
      <c r="D309" s="95"/>
      <c r="F309" s="96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A310" s="12"/>
      <c r="D310" s="95"/>
      <c r="F310" s="96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A311" s="12"/>
      <c r="D311" s="95"/>
      <c r="F311" s="96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A312" s="12"/>
      <c r="D312" s="95"/>
      <c r="F312" s="96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A313" s="12"/>
      <c r="D313" s="95"/>
      <c r="F313" s="96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A314" s="12"/>
      <c r="D314" s="95"/>
      <c r="F314" s="96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A315" s="12"/>
      <c r="D315" s="95"/>
      <c r="F315" s="96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A316" s="12"/>
      <c r="D316" s="95"/>
      <c r="F316" s="96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A317" s="12"/>
      <c r="D317" s="95"/>
      <c r="F317" s="96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A318" s="12"/>
      <c r="D318" s="95"/>
      <c r="F318" s="96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A319" s="12"/>
      <c r="D319" s="95"/>
      <c r="F319" s="96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A320" s="12"/>
      <c r="D320" s="95"/>
      <c r="F320" s="96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A321" s="12"/>
      <c r="D321" s="95"/>
      <c r="F321" s="96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A322" s="12"/>
      <c r="D322" s="95"/>
      <c r="F322" s="96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A323" s="12"/>
      <c r="D323" s="95"/>
      <c r="F323" s="96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A324" s="12"/>
      <c r="D324" s="95"/>
      <c r="F324" s="96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A325" s="12"/>
      <c r="D325" s="95"/>
      <c r="F325" s="96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A326" s="12"/>
      <c r="D326" s="95"/>
      <c r="F326" s="96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A327" s="12"/>
      <c r="D327" s="95"/>
      <c r="F327" s="96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A328" s="12"/>
      <c r="D328" s="95"/>
      <c r="F328" s="96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A329" s="12"/>
      <c r="D329" s="95"/>
      <c r="F329" s="96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A330" s="12"/>
      <c r="D330" s="95"/>
      <c r="F330" s="96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A331" s="12"/>
      <c r="D331" s="95"/>
      <c r="F331" s="96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A332" s="12"/>
      <c r="D332" s="95"/>
      <c r="F332" s="96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A333" s="12"/>
      <c r="D333" s="95"/>
      <c r="F333" s="96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A334" s="12"/>
      <c r="D334" s="95"/>
      <c r="F334" s="96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A335" s="12"/>
      <c r="D335" s="95"/>
      <c r="F335" s="96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A336" s="12"/>
      <c r="D336" s="95"/>
      <c r="F336" s="96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A337" s="12"/>
      <c r="D337" s="95"/>
      <c r="F337" s="96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A338" s="12"/>
      <c r="D338" s="95"/>
      <c r="F338" s="96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A339" s="12"/>
      <c r="D339" s="95"/>
      <c r="F339" s="96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A340" s="12"/>
      <c r="D340" s="95"/>
      <c r="F340" s="96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A341" s="12"/>
      <c r="D341" s="95"/>
      <c r="F341" s="96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A342" s="12"/>
      <c r="D342" s="95"/>
      <c r="F342" s="96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A343" s="12"/>
      <c r="D343" s="95"/>
      <c r="F343" s="96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A344" s="12"/>
      <c r="D344" s="95"/>
      <c r="F344" s="96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A345" s="12"/>
      <c r="D345" s="95"/>
      <c r="F345" s="96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A346" s="12"/>
      <c r="D346" s="95"/>
      <c r="F346" s="96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A347" s="12"/>
      <c r="D347" s="95"/>
      <c r="F347" s="96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A348" s="12"/>
      <c r="D348" s="95"/>
      <c r="F348" s="96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A349" s="12"/>
      <c r="D349" s="95"/>
      <c r="F349" s="96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A350" s="12"/>
      <c r="D350" s="95"/>
      <c r="F350" s="96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A351" s="12"/>
      <c r="D351" s="95"/>
      <c r="F351" s="96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A352" s="12"/>
      <c r="D352" s="95"/>
      <c r="F352" s="96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A353" s="12"/>
      <c r="D353" s="95"/>
      <c r="F353" s="96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A354" s="12"/>
      <c r="D354" s="95"/>
      <c r="F354" s="96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A355" s="12"/>
      <c r="D355" s="95"/>
      <c r="F355" s="96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A356" s="12"/>
      <c r="D356" s="95"/>
      <c r="F356" s="96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A357" s="12"/>
      <c r="D357" s="95"/>
      <c r="F357" s="96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A358" s="12"/>
      <c r="D358" s="95"/>
      <c r="F358" s="96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A359" s="12"/>
      <c r="D359" s="95"/>
      <c r="F359" s="96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A360" s="12"/>
      <c r="D360" s="95"/>
      <c r="F360" s="96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A361" s="12"/>
      <c r="D361" s="95"/>
      <c r="F361" s="96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A362" s="12"/>
      <c r="D362" s="95"/>
      <c r="F362" s="96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A363" s="12"/>
      <c r="D363" s="95"/>
      <c r="F363" s="96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A364" s="12"/>
      <c r="D364" s="95"/>
      <c r="F364" s="96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A365" s="12"/>
      <c r="D365" s="95"/>
      <c r="F365" s="96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A366" s="12"/>
      <c r="D366" s="95"/>
      <c r="F366" s="96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A367" s="12"/>
      <c r="D367" s="95"/>
      <c r="F367" s="96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A368" s="12"/>
      <c r="D368" s="95"/>
      <c r="F368" s="96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A369" s="12"/>
      <c r="D369" s="95"/>
      <c r="F369" s="96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A370" s="12"/>
      <c r="D370" s="95"/>
      <c r="F370" s="96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A371" s="12"/>
      <c r="D371" s="95"/>
      <c r="F371" s="96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A372" s="12"/>
      <c r="D372" s="95"/>
      <c r="F372" s="96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A373" s="12"/>
      <c r="D373" s="95"/>
      <c r="F373" s="96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A374" s="12"/>
      <c r="D374" s="95"/>
      <c r="F374" s="96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A375" s="12"/>
      <c r="D375" s="95"/>
      <c r="F375" s="96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A376" s="12"/>
      <c r="D376" s="95"/>
      <c r="F376" s="96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A377" s="12"/>
      <c r="D377" s="95"/>
      <c r="F377" s="96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A378" s="12"/>
      <c r="D378" s="95"/>
      <c r="F378" s="96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A379" s="12"/>
      <c r="D379" s="95"/>
      <c r="F379" s="96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A380" s="12"/>
      <c r="D380" s="95"/>
      <c r="F380" s="96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A381" s="12"/>
      <c r="D381" s="95"/>
      <c r="F381" s="96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A382" s="12"/>
      <c r="D382" s="95"/>
      <c r="F382" s="96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A383" s="12"/>
      <c r="D383" s="95"/>
      <c r="F383" s="96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A384" s="12"/>
      <c r="D384" s="95"/>
      <c r="F384" s="96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A385" s="12"/>
      <c r="D385" s="95"/>
      <c r="F385" s="96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A386" s="12"/>
      <c r="D386" s="95"/>
      <c r="F386" s="96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A387" s="12"/>
      <c r="D387" s="95"/>
      <c r="F387" s="96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A388" s="12"/>
      <c r="D388" s="95"/>
      <c r="F388" s="96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A389" s="12"/>
      <c r="D389" s="95"/>
      <c r="F389" s="96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A390" s="12"/>
      <c r="D390" s="95"/>
      <c r="F390" s="96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A391" s="12"/>
      <c r="D391" s="95"/>
      <c r="F391" s="96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A392" s="12"/>
      <c r="D392" s="95"/>
      <c r="F392" s="96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A393" s="12"/>
      <c r="D393" s="95"/>
      <c r="F393" s="96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A394" s="12"/>
      <c r="D394" s="95"/>
      <c r="F394" s="96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A395" s="12"/>
      <c r="D395" s="95"/>
      <c r="F395" s="96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A396" s="12"/>
      <c r="D396" s="95"/>
      <c r="F396" s="96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A397" s="12"/>
      <c r="D397" s="95"/>
      <c r="F397" s="96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A398" s="12"/>
      <c r="D398" s="95"/>
      <c r="F398" s="96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A399" s="12"/>
      <c r="D399" s="95"/>
      <c r="F399" s="96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A400" s="12"/>
      <c r="D400" s="95"/>
      <c r="F400" s="96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A401" s="12"/>
      <c r="D401" s="95"/>
      <c r="F401" s="96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A402" s="12"/>
      <c r="D402" s="95"/>
      <c r="F402" s="96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A403" s="12"/>
      <c r="D403" s="95"/>
      <c r="F403" s="96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A404" s="12"/>
      <c r="D404" s="95"/>
      <c r="F404" s="96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A405" s="12"/>
      <c r="D405" s="95"/>
      <c r="F405" s="96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A406" s="12"/>
      <c r="D406" s="95"/>
      <c r="F406" s="96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A407" s="12"/>
      <c r="D407" s="95"/>
      <c r="F407" s="96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A408" s="12"/>
      <c r="D408" s="95"/>
      <c r="F408" s="96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A409" s="12"/>
      <c r="D409" s="95"/>
      <c r="F409" s="96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A410" s="12"/>
      <c r="D410" s="95"/>
      <c r="F410" s="96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A411" s="12"/>
      <c r="D411" s="95"/>
      <c r="F411" s="96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A412" s="12"/>
      <c r="D412" s="95"/>
      <c r="F412" s="96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A413" s="12"/>
      <c r="D413" s="95"/>
      <c r="F413" s="96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A414" s="12"/>
      <c r="D414" s="95"/>
      <c r="F414" s="96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A415" s="12"/>
      <c r="D415" s="95"/>
      <c r="F415" s="96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A416" s="12"/>
      <c r="D416" s="95"/>
      <c r="F416" s="96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A417" s="12"/>
      <c r="D417" s="95"/>
      <c r="F417" s="96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A418" s="12"/>
      <c r="D418" s="95"/>
      <c r="F418" s="96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A419" s="12"/>
      <c r="D419" s="95"/>
      <c r="F419" s="96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A420" s="12"/>
      <c r="D420" s="95"/>
      <c r="F420" s="96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A421" s="12"/>
      <c r="D421" s="95"/>
      <c r="F421" s="96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A422" s="12"/>
      <c r="D422" s="95"/>
      <c r="F422" s="96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A423" s="12"/>
      <c r="D423" s="95"/>
      <c r="F423" s="96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A424" s="12"/>
      <c r="D424" s="95"/>
      <c r="F424" s="96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A425" s="12"/>
      <c r="D425" s="95"/>
      <c r="F425" s="96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A426" s="12"/>
      <c r="D426" s="95"/>
      <c r="F426" s="96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A427" s="12"/>
      <c r="D427" s="95"/>
      <c r="F427" s="96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A428" s="12"/>
      <c r="D428" s="95"/>
      <c r="F428" s="96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A429" s="12"/>
      <c r="D429" s="95"/>
      <c r="F429" s="96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A430" s="12"/>
      <c r="D430" s="95"/>
      <c r="F430" s="96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A431" s="12"/>
      <c r="D431" s="95"/>
      <c r="F431" s="96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A432" s="12"/>
      <c r="D432" s="95"/>
      <c r="F432" s="96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A433" s="12"/>
      <c r="D433" s="95"/>
      <c r="F433" s="96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A434" s="12"/>
      <c r="D434" s="95"/>
      <c r="F434" s="96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A435" s="12"/>
      <c r="D435" s="95"/>
      <c r="F435" s="96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A436" s="12"/>
      <c r="D436" s="95"/>
      <c r="F436" s="96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A437" s="12"/>
      <c r="D437" s="95"/>
      <c r="F437" s="96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A438" s="12"/>
      <c r="D438" s="95"/>
      <c r="F438" s="96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A439" s="12"/>
      <c r="D439" s="95"/>
      <c r="F439" s="96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A440" s="12"/>
      <c r="D440" s="95"/>
      <c r="F440" s="96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A441" s="12"/>
      <c r="D441" s="95"/>
      <c r="F441" s="96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A442" s="12"/>
      <c r="D442" s="95"/>
      <c r="F442" s="96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A443" s="12"/>
      <c r="D443" s="95"/>
      <c r="F443" s="96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A444" s="12"/>
      <c r="D444" s="95"/>
      <c r="F444" s="96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A445" s="12"/>
      <c r="D445" s="95"/>
      <c r="F445" s="96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A446" s="12"/>
      <c r="D446" s="95"/>
      <c r="F446" s="96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A447" s="12"/>
      <c r="D447" s="95"/>
      <c r="F447" s="96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A448" s="12"/>
      <c r="D448" s="95"/>
      <c r="F448" s="96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A449" s="12"/>
      <c r="D449" s="95"/>
      <c r="F449" s="96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A450" s="12"/>
      <c r="D450" s="95"/>
      <c r="F450" s="96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A451" s="12"/>
      <c r="D451" s="95"/>
      <c r="F451" s="96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A452" s="12"/>
      <c r="D452" s="95"/>
      <c r="F452" s="96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A453" s="12"/>
      <c r="D453" s="95"/>
      <c r="F453" s="96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A454" s="12"/>
      <c r="D454" s="95"/>
      <c r="F454" s="96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A455" s="12"/>
      <c r="D455" s="95"/>
      <c r="F455" s="96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A456" s="12"/>
      <c r="D456" s="95"/>
      <c r="F456" s="96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A457" s="12"/>
      <c r="D457" s="95"/>
      <c r="F457" s="96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A458" s="12"/>
      <c r="D458" s="95"/>
      <c r="F458" s="96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A459" s="12"/>
      <c r="D459" s="95"/>
      <c r="F459" s="96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A460" s="12"/>
      <c r="D460" s="95"/>
      <c r="F460" s="96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A461" s="12"/>
      <c r="D461" s="95"/>
      <c r="F461" s="96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A462" s="12"/>
      <c r="D462" s="95"/>
      <c r="F462" s="96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A463" s="12"/>
      <c r="D463" s="95"/>
      <c r="F463" s="96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A464" s="12"/>
      <c r="D464" s="95"/>
      <c r="F464" s="96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A465" s="12"/>
      <c r="D465" s="95"/>
      <c r="F465" s="96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A466" s="12"/>
      <c r="D466" s="95"/>
      <c r="F466" s="96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A467" s="12"/>
      <c r="D467" s="95"/>
      <c r="F467" s="96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A468" s="12"/>
      <c r="D468" s="95"/>
      <c r="F468" s="96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A469" s="12"/>
      <c r="D469" s="95"/>
      <c r="F469" s="96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A470" s="12"/>
      <c r="D470" s="95"/>
      <c r="F470" s="96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A471" s="12"/>
      <c r="D471" s="95"/>
      <c r="F471" s="96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A472" s="12"/>
      <c r="D472" s="95"/>
      <c r="F472" s="96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A473" s="12"/>
      <c r="D473" s="95"/>
      <c r="F473" s="96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A474" s="12"/>
      <c r="D474" s="95"/>
      <c r="F474" s="96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A475" s="12"/>
      <c r="D475" s="95"/>
      <c r="F475" s="96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A476" s="12"/>
      <c r="D476" s="95"/>
      <c r="F476" s="96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A477" s="12"/>
      <c r="D477" s="95"/>
      <c r="F477" s="96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A478" s="12"/>
      <c r="D478" s="95"/>
      <c r="F478" s="96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A479" s="12"/>
      <c r="D479" s="95"/>
      <c r="F479" s="96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A480" s="12"/>
      <c r="D480" s="95"/>
      <c r="F480" s="96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A481" s="12"/>
      <c r="D481" s="95"/>
      <c r="F481" s="96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A482" s="12"/>
      <c r="D482" s="95"/>
      <c r="F482" s="96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A483" s="12"/>
      <c r="D483" s="95"/>
      <c r="F483" s="96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A484" s="12"/>
      <c r="D484" s="95"/>
      <c r="F484" s="96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A485" s="12"/>
      <c r="D485" s="95"/>
      <c r="F485" s="96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A486" s="12"/>
      <c r="D486" s="95"/>
      <c r="F486" s="96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A487" s="12"/>
      <c r="D487" s="95"/>
      <c r="F487" s="96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A488" s="12"/>
      <c r="D488" s="95"/>
      <c r="F488" s="96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A489" s="12"/>
      <c r="D489" s="95"/>
      <c r="F489" s="96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A490" s="12"/>
      <c r="D490" s="95"/>
      <c r="F490" s="96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A491" s="12"/>
      <c r="D491" s="95"/>
      <c r="F491" s="96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A492" s="12"/>
      <c r="D492" s="95"/>
      <c r="F492" s="96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A493" s="12"/>
      <c r="D493" s="95"/>
      <c r="F493" s="96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A494" s="12"/>
      <c r="D494" s="95"/>
      <c r="F494" s="96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A495" s="12"/>
      <c r="D495" s="95"/>
      <c r="F495" s="96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A496" s="12"/>
      <c r="D496" s="95"/>
      <c r="F496" s="96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A497" s="12"/>
      <c r="D497" s="95"/>
      <c r="F497" s="96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A498" s="12"/>
      <c r="D498" s="95"/>
      <c r="F498" s="96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A499" s="12"/>
      <c r="D499" s="95"/>
      <c r="F499" s="96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A500" s="12"/>
      <c r="D500" s="95"/>
      <c r="F500" s="96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A501" s="12"/>
      <c r="D501" s="95"/>
      <c r="F501" s="96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A502" s="12"/>
      <c r="D502" s="95"/>
      <c r="F502" s="96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A503" s="12"/>
      <c r="D503" s="95"/>
      <c r="F503" s="96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A504" s="12"/>
      <c r="D504" s="95"/>
      <c r="F504" s="96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A505" s="12"/>
      <c r="D505" s="95"/>
      <c r="F505" s="96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A506" s="12"/>
      <c r="D506" s="95"/>
      <c r="F506" s="96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A507" s="12"/>
      <c r="D507" s="95"/>
      <c r="F507" s="96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A508" s="12"/>
      <c r="D508" s="95"/>
      <c r="F508" s="96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A509" s="12"/>
      <c r="D509" s="95"/>
      <c r="F509" s="96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A510" s="12"/>
      <c r="D510" s="95"/>
      <c r="F510" s="96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A511" s="12"/>
      <c r="D511" s="95"/>
      <c r="F511" s="96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A512" s="12"/>
      <c r="D512" s="95"/>
      <c r="F512" s="96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A513" s="12"/>
      <c r="D513" s="95"/>
      <c r="F513" s="96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A514" s="12"/>
      <c r="D514" s="95"/>
      <c r="F514" s="96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A515" s="12"/>
      <c r="D515" s="95"/>
      <c r="F515" s="96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A516" s="12"/>
      <c r="D516" s="95"/>
      <c r="F516" s="96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A517" s="12"/>
      <c r="D517" s="95"/>
      <c r="F517" s="96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A518" s="12"/>
      <c r="D518" s="95"/>
      <c r="F518" s="96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A519" s="12"/>
      <c r="D519" s="95"/>
      <c r="F519" s="96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A520" s="12"/>
      <c r="D520" s="95"/>
      <c r="F520" s="96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A521" s="12"/>
      <c r="D521" s="95"/>
      <c r="F521" s="96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A522" s="12"/>
      <c r="D522" s="95"/>
      <c r="F522" s="96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A523" s="12"/>
      <c r="D523" s="95"/>
      <c r="F523" s="96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A524" s="12"/>
      <c r="D524" s="95"/>
      <c r="F524" s="96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A525" s="12"/>
      <c r="D525" s="95"/>
      <c r="F525" s="96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A526" s="12"/>
      <c r="D526" s="95"/>
      <c r="F526" s="96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A527" s="12"/>
      <c r="D527" s="95"/>
      <c r="F527" s="96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A528" s="12"/>
      <c r="D528" s="95"/>
      <c r="F528" s="96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A529" s="12"/>
      <c r="D529" s="95"/>
      <c r="F529" s="96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A530" s="12"/>
      <c r="D530" s="95"/>
      <c r="F530" s="96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A531" s="12"/>
      <c r="D531" s="95"/>
      <c r="F531" s="96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A532" s="12"/>
      <c r="D532" s="95"/>
      <c r="F532" s="96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A533" s="12"/>
      <c r="D533" s="95"/>
      <c r="F533" s="96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A534" s="12"/>
      <c r="D534" s="95"/>
      <c r="F534" s="96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A535" s="12"/>
      <c r="D535" s="95"/>
      <c r="F535" s="96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A536" s="12"/>
      <c r="D536" s="95"/>
      <c r="F536" s="96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A537" s="12"/>
      <c r="D537" s="95"/>
      <c r="F537" s="96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A538" s="12"/>
      <c r="D538" s="95"/>
      <c r="F538" s="96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A539" s="12"/>
      <c r="D539" s="95"/>
      <c r="F539" s="96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A540" s="12"/>
      <c r="D540" s="95"/>
      <c r="F540" s="96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A541" s="12"/>
      <c r="D541" s="95"/>
      <c r="F541" s="96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A542" s="12"/>
      <c r="D542" s="95"/>
      <c r="F542" s="96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A543" s="12"/>
      <c r="D543" s="95"/>
      <c r="F543" s="96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A544" s="12"/>
      <c r="D544" s="95"/>
      <c r="F544" s="96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A545" s="12"/>
      <c r="D545" s="95"/>
      <c r="F545" s="96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A546" s="12"/>
      <c r="D546" s="95"/>
      <c r="F546" s="96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A547" s="12"/>
      <c r="D547" s="95"/>
      <c r="F547" s="96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A548" s="12"/>
      <c r="D548" s="95"/>
      <c r="F548" s="96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A549" s="12"/>
      <c r="D549" s="95"/>
      <c r="F549" s="96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A550" s="12"/>
      <c r="D550" s="95"/>
      <c r="F550" s="96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A551" s="12"/>
      <c r="D551" s="95"/>
      <c r="F551" s="96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A552" s="12"/>
      <c r="D552" s="95"/>
      <c r="F552" s="96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A553" s="12"/>
      <c r="D553" s="95"/>
      <c r="F553" s="96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A554" s="12"/>
      <c r="D554" s="95"/>
      <c r="F554" s="96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A555" s="12"/>
      <c r="D555" s="95"/>
      <c r="F555" s="96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A556" s="12"/>
      <c r="D556" s="95"/>
      <c r="F556" s="96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A557" s="12"/>
      <c r="D557" s="95"/>
      <c r="F557" s="96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A558" s="12"/>
      <c r="D558" s="95"/>
      <c r="F558" s="96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A559" s="12"/>
      <c r="D559" s="95"/>
      <c r="F559" s="96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A560" s="12"/>
      <c r="D560" s="95"/>
      <c r="F560" s="96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A561" s="12"/>
      <c r="D561" s="95"/>
      <c r="F561" s="96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A562" s="12"/>
      <c r="D562" s="95"/>
      <c r="F562" s="96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A563" s="12"/>
      <c r="D563" s="95"/>
      <c r="F563" s="96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A564" s="12"/>
      <c r="D564" s="95"/>
      <c r="F564" s="96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A565" s="12"/>
      <c r="D565" s="95"/>
      <c r="F565" s="96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A566" s="12"/>
      <c r="D566" s="95"/>
      <c r="F566" s="96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A567" s="12"/>
      <c r="D567" s="95"/>
      <c r="F567" s="96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A568" s="12"/>
      <c r="D568" s="95"/>
      <c r="F568" s="96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A569" s="12"/>
      <c r="D569" s="95"/>
      <c r="F569" s="96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A570" s="12"/>
      <c r="D570" s="95"/>
      <c r="F570" s="96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A571" s="12"/>
      <c r="D571" s="95"/>
      <c r="F571" s="96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A572" s="12"/>
      <c r="D572" s="95"/>
      <c r="F572" s="96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A573" s="12"/>
      <c r="D573" s="95"/>
      <c r="F573" s="96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A574" s="12"/>
      <c r="D574" s="95"/>
      <c r="F574" s="96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A575" s="12"/>
      <c r="D575" s="95"/>
      <c r="F575" s="96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A576" s="12"/>
      <c r="D576" s="95"/>
      <c r="F576" s="96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A577" s="12"/>
      <c r="D577" s="95"/>
      <c r="F577" s="96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A578" s="12"/>
      <c r="D578" s="95"/>
      <c r="F578" s="96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A579" s="12"/>
      <c r="D579" s="95"/>
      <c r="F579" s="96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A580" s="12"/>
      <c r="D580" s="95"/>
      <c r="F580" s="96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A581" s="12"/>
      <c r="D581" s="95"/>
      <c r="F581" s="96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A582" s="12"/>
      <c r="D582" s="95"/>
      <c r="F582" s="96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A583" s="12"/>
      <c r="D583" s="95"/>
      <c r="F583" s="96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A584" s="12"/>
      <c r="D584" s="95"/>
      <c r="F584" s="96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A585" s="12"/>
      <c r="D585" s="95"/>
      <c r="F585" s="96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A586" s="12"/>
      <c r="D586" s="95"/>
      <c r="F586" s="96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A587" s="12"/>
      <c r="D587" s="95"/>
      <c r="F587" s="96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A588" s="12"/>
      <c r="D588" s="95"/>
      <c r="F588" s="96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A589" s="12"/>
      <c r="D589" s="95"/>
      <c r="F589" s="96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A590" s="12"/>
      <c r="D590" s="95"/>
      <c r="F590" s="96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A591" s="12"/>
      <c r="D591" s="95"/>
      <c r="F591" s="96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A592" s="12"/>
      <c r="D592" s="95"/>
      <c r="F592" s="96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A593" s="12"/>
      <c r="D593" s="95"/>
      <c r="F593" s="96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A594" s="12"/>
      <c r="D594" s="95"/>
      <c r="F594" s="96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A595" s="12"/>
      <c r="D595" s="95"/>
      <c r="F595" s="96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A596" s="12"/>
      <c r="D596" s="95"/>
      <c r="F596" s="96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A597" s="12"/>
      <c r="D597" s="95"/>
      <c r="F597" s="96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A598" s="12"/>
      <c r="D598" s="95"/>
      <c r="F598" s="96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A599" s="12"/>
      <c r="D599" s="95"/>
      <c r="F599" s="96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A600" s="12"/>
      <c r="D600" s="95"/>
      <c r="F600" s="96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A601" s="12"/>
      <c r="D601" s="95"/>
      <c r="F601" s="96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A602" s="12"/>
      <c r="D602" s="95"/>
      <c r="F602" s="96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A603" s="12"/>
      <c r="D603" s="95"/>
      <c r="F603" s="96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A604" s="12"/>
      <c r="D604" s="95"/>
      <c r="F604" s="96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A605" s="12"/>
      <c r="D605" s="95"/>
      <c r="F605" s="96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A606" s="12"/>
      <c r="D606" s="95"/>
      <c r="F606" s="96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A607" s="12"/>
      <c r="D607" s="95"/>
      <c r="F607" s="96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A608" s="12"/>
      <c r="D608" s="95"/>
      <c r="F608" s="96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A609" s="12"/>
      <c r="D609" s="95"/>
      <c r="F609" s="96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A610" s="12"/>
      <c r="D610" s="95"/>
      <c r="F610" s="96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A611" s="12"/>
      <c r="D611" s="95"/>
      <c r="F611" s="96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A612" s="12"/>
      <c r="D612" s="95"/>
      <c r="F612" s="96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A613" s="12"/>
      <c r="D613" s="95"/>
      <c r="F613" s="96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A614" s="12"/>
      <c r="D614" s="95"/>
      <c r="F614" s="96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A615" s="12"/>
      <c r="D615" s="95"/>
      <c r="F615" s="96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A616" s="12"/>
      <c r="D616" s="95"/>
      <c r="F616" s="96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A617" s="12"/>
      <c r="D617" s="95"/>
      <c r="F617" s="96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A618" s="12"/>
      <c r="D618" s="95"/>
      <c r="F618" s="96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A619" s="12"/>
      <c r="D619" s="95"/>
      <c r="F619" s="96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A620" s="12"/>
      <c r="D620" s="95"/>
      <c r="F620" s="96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A621" s="12"/>
      <c r="D621" s="95"/>
      <c r="F621" s="96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A622" s="12"/>
      <c r="D622" s="95"/>
      <c r="F622" s="96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A623" s="12"/>
      <c r="D623" s="95"/>
      <c r="F623" s="96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A624" s="12"/>
      <c r="D624" s="95"/>
      <c r="F624" s="96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A625" s="12"/>
      <c r="D625" s="95"/>
      <c r="F625" s="96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A626" s="12"/>
      <c r="D626" s="95"/>
      <c r="F626" s="96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A627" s="12"/>
      <c r="D627" s="95"/>
      <c r="F627" s="96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A628" s="12"/>
      <c r="D628" s="95"/>
      <c r="F628" s="96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A629" s="12"/>
      <c r="D629" s="95"/>
      <c r="F629" s="96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A630" s="12"/>
      <c r="D630" s="95"/>
      <c r="F630" s="96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A631" s="12"/>
      <c r="D631" s="95"/>
      <c r="F631" s="96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A632" s="12"/>
      <c r="D632" s="95"/>
      <c r="F632" s="96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A633" s="12"/>
      <c r="D633" s="95"/>
      <c r="F633" s="96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A634" s="12"/>
      <c r="D634" s="95"/>
      <c r="F634" s="96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A635" s="12"/>
      <c r="D635" s="95"/>
      <c r="F635" s="96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A636" s="12"/>
      <c r="D636" s="95"/>
      <c r="F636" s="96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A637" s="12"/>
      <c r="D637" s="95"/>
      <c r="F637" s="96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A638" s="12"/>
      <c r="D638" s="95"/>
      <c r="F638" s="96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A639" s="12"/>
      <c r="D639" s="95"/>
      <c r="F639" s="96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A640" s="12"/>
      <c r="D640" s="95"/>
      <c r="F640" s="96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A641" s="12"/>
      <c r="D641" s="95"/>
      <c r="F641" s="96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A642" s="12"/>
      <c r="D642" s="95"/>
      <c r="F642" s="96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A643" s="12"/>
      <c r="D643" s="95"/>
      <c r="F643" s="96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A644" s="12"/>
      <c r="D644" s="95"/>
      <c r="F644" s="96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A645" s="12"/>
      <c r="D645" s="95"/>
      <c r="F645" s="96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A646" s="12"/>
      <c r="D646" s="95"/>
      <c r="F646" s="96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A647" s="12"/>
      <c r="D647" s="95"/>
      <c r="F647" s="96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A648" s="12"/>
      <c r="D648" s="95"/>
      <c r="F648" s="96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A649" s="12"/>
      <c r="D649" s="95"/>
      <c r="F649" s="96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A650" s="12"/>
      <c r="D650" s="95"/>
      <c r="F650" s="96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A651" s="12"/>
      <c r="D651" s="95"/>
      <c r="F651" s="96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A652" s="12"/>
      <c r="D652" s="95"/>
      <c r="F652" s="96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A653" s="12"/>
      <c r="D653" s="95"/>
      <c r="F653" s="96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A654" s="12"/>
      <c r="D654" s="95"/>
      <c r="F654" s="96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A655" s="12"/>
      <c r="D655" s="95"/>
      <c r="F655" s="96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A656" s="12"/>
      <c r="D656" s="95"/>
      <c r="F656" s="96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A657" s="12"/>
      <c r="D657" s="95"/>
      <c r="F657" s="96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A658" s="12"/>
      <c r="D658" s="95"/>
      <c r="F658" s="96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A659" s="12"/>
      <c r="D659" s="95"/>
      <c r="F659" s="96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A660" s="12"/>
      <c r="D660" s="95"/>
      <c r="F660" s="96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A661" s="12"/>
      <c r="D661" s="95"/>
      <c r="F661" s="96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A662" s="12"/>
      <c r="D662" s="95"/>
      <c r="F662" s="96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A663" s="12"/>
      <c r="D663" s="95"/>
      <c r="F663" s="96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A664" s="12"/>
      <c r="D664" s="95"/>
      <c r="F664" s="96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A665" s="12"/>
      <c r="D665" s="95"/>
      <c r="F665" s="96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A666" s="12"/>
      <c r="D666" s="95"/>
      <c r="F666" s="96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A667" s="12"/>
      <c r="D667" s="95"/>
      <c r="F667" s="96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A668" s="12"/>
      <c r="D668" s="95"/>
      <c r="F668" s="96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A669" s="12"/>
      <c r="D669" s="95"/>
      <c r="F669" s="96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A670" s="12"/>
      <c r="D670" s="95"/>
      <c r="F670" s="96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A671" s="12"/>
      <c r="D671" s="95"/>
      <c r="F671" s="96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A672" s="12"/>
      <c r="D672" s="95"/>
      <c r="F672" s="96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A673" s="12"/>
      <c r="D673" s="95"/>
      <c r="F673" s="96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A674" s="12"/>
      <c r="D674" s="95"/>
      <c r="F674" s="96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A675" s="12"/>
      <c r="D675" s="95"/>
      <c r="F675" s="96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A676" s="12"/>
      <c r="D676" s="95"/>
      <c r="F676" s="96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A677" s="12"/>
      <c r="D677" s="95"/>
      <c r="F677" s="96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A678" s="12"/>
      <c r="D678" s="95"/>
      <c r="F678" s="96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A679" s="12"/>
      <c r="D679" s="95"/>
      <c r="F679" s="96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A680" s="12"/>
      <c r="D680" s="95"/>
      <c r="F680" s="96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A681" s="12"/>
      <c r="D681" s="95"/>
      <c r="F681" s="96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A682" s="12"/>
      <c r="D682" s="95"/>
      <c r="F682" s="96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A683" s="12"/>
      <c r="D683" s="95"/>
      <c r="F683" s="96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A684" s="12"/>
      <c r="D684" s="95"/>
      <c r="F684" s="96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A685" s="12"/>
      <c r="D685" s="95"/>
      <c r="F685" s="96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A686" s="12"/>
      <c r="D686" s="95"/>
      <c r="F686" s="96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A687" s="12"/>
      <c r="D687" s="95"/>
      <c r="F687" s="96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A688" s="12"/>
      <c r="D688" s="95"/>
      <c r="F688" s="96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A689" s="12"/>
      <c r="D689" s="95"/>
      <c r="F689" s="96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A690" s="12"/>
      <c r="D690" s="95"/>
      <c r="F690" s="96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A691" s="12"/>
      <c r="D691" s="95"/>
      <c r="F691" s="96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A692" s="12"/>
      <c r="D692" s="95"/>
      <c r="F692" s="96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A693" s="12"/>
      <c r="D693" s="95"/>
      <c r="F693" s="96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A694" s="12"/>
      <c r="D694" s="95"/>
      <c r="F694" s="96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A695" s="12"/>
      <c r="D695" s="95"/>
      <c r="F695" s="96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A696" s="12"/>
      <c r="D696" s="95"/>
      <c r="F696" s="96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A697" s="12"/>
      <c r="D697" s="95"/>
      <c r="F697" s="96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A698" s="12"/>
      <c r="D698" s="95"/>
      <c r="F698" s="96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A699" s="12"/>
      <c r="D699" s="95"/>
      <c r="F699" s="96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A700" s="12"/>
      <c r="D700" s="95"/>
      <c r="F700" s="96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A701" s="12"/>
      <c r="D701" s="95"/>
      <c r="F701" s="96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A702" s="12"/>
      <c r="D702" s="95"/>
      <c r="F702" s="96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A703" s="12"/>
      <c r="D703" s="95"/>
      <c r="F703" s="96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A704" s="12"/>
      <c r="D704" s="95"/>
      <c r="F704" s="96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A705" s="12"/>
      <c r="D705" s="95"/>
      <c r="F705" s="96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A706" s="12"/>
      <c r="D706" s="95"/>
      <c r="F706" s="96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A707" s="12"/>
      <c r="D707" s="95"/>
      <c r="F707" s="96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A708" s="12"/>
      <c r="D708" s="95"/>
      <c r="F708" s="96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A709" s="12"/>
      <c r="D709" s="95"/>
      <c r="F709" s="96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A710" s="12"/>
      <c r="D710" s="95"/>
      <c r="F710" s="96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A711" s="12"/>
      <c r="D711" s="95"/>
      <c r="F711" s="96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A712" s="12"/>
      <c r="D712" s="95"/>
      <c r="F712" s="96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A713" s="12"/>
      <c r="D713" s="95"/>
      <c r="F713" s="96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A714" s="12"/>
      <c r="D714" s="95"/>
      <c r="F714" s="96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A715" s="12"/>
      <c r="D715" s="95"/>
      <c r="F715" s="96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A716" s="12"/>
      <c r="D716" s="95"/>
      <c r="F716" s="96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A717" s="12"/>
      <c r="D717" s="95"/>
      <c r="F717" s="96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A718" s="12"/>
      <c r="D718" s="95"/>
      <c r="F718" s="96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A719" s="12"/>
      <c r="D719" s="95"/>
      <c r="F719" s="96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A720" s="12"/>
      <c r="D720" s="95"/>
      <c r="F720" s="96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A721" s="12"/>
      <c r="D721" s="95"/>
      <c r="F721" s="96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A722" s="12"/>
      <c r="D722" s="95"/>
      <c r="F722" s="96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A723" s="12"/>
      <c r="D723" s="95"/>
      <c r="F723" s="96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A724" s="12"/>
      <c r="D724" s="95"/>
      <c r="F724" s="96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A725" s="12"/>
      <c r="D725" s="95"/>
      <c r="F725" s="96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A726" s="12"/>
      <c r="D726" s="95"/>
      <c r="F726" s="96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A727" s="12"/>
      <c r="D727" s="95"/>
      <c r="F727" s="96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A728" s="12"/>
      <c r="D728" s="95"/>
      <c r="F728" s="96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A729" s="12"/>
      <c r="D729" s="95"/>
      <c r="F729" s="96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A730" s="12"/>
      <c r="D730" s="95"/>
      <c r="F730" s="96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A731" s="12"/>
      <c r="D731" s="95"/>
      <c r="F731" s="96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A732" s="12"/>
      <c r="D732" s="95"/>
      <c r="F732" s="96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A733" s="12"/>
      <c r="D733" s="95"/>
      <c r="F733" s="96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A734" s="12"/>
      <c r="D734" s="95"/>
      <c r="F734" s="96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A735" s="12"/>
      <c r="D735" s="95"/>
      <c r="F735" s="96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A736" s="12"/>
      <c r="D736" s="95"/>
      <c r="F736" s="96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A737" s="12"/>
      <c r="D737" s="95"/>
      <c r="F737" s="96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A738" s="12"/>
      <c r="D738" s="95"/>
      <c r="F738" s="96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A739" s="12"/>
      <c r="D739" s="95"/>
      <c r="F739" s="96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A740" s="12"/>
      <c r="D740" s="95"/>
      <c r="F740" s="96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A741" s="12"/>
      <c r="D741" s="95"/>
      <c r="F741" s="96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A742" s="12"/>
      <c r="D742" s="95"/>
      <c r="F742" s="96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A743" s="12"/>
      <c r="D743" s="95"/>
      <c r="F743" s="96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A744" s="12"/>
      <c r="D744" s="95"/>
      <c r="F744" s="96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A745" s="12"/>
      <c r="D745" s="95"/>
      <c r="F745" s="96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A746" s="12"/>
      <c r="D746" s="95"/>
      <c r="F746" s="96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A747" s="12"/>
      <c r="D747" s="95"/>
      <c r="F747" s="96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A748" s="12"/>
      <c r="D748" s="95"/>
      <c r="F748" s="96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A749" s="12"/>
      <c r="D749" s="95"/>
      <c r="F749" s="96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A750" s="12"/>
      <c r="D750" s="95"/>
      <c r="F750" s="96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A751" s="12"/>
      <c r="D751" s="95"/>
      <c r="F751" s="96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A752" s="12"/>
      <c r="D752" s="95"/>
      <c r="F752" s="96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A753" s="12"/>
      <c r="D753" s="95"/>
      <c r="F753" s="96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A754" s="12"/>
      <c r="D754" s="95"/>
      <c r="F754" s="96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A755" s="12"/>
      <c r="D755" s="95"/>
      <c r="F755" s="96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A756" s="12"/>
      <c r="D756" s="95"/>
      <c r="F756" s="96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A757" s="12"/>
      <c r="D757" s="95"/>
      <c r="F757" s="96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A758" s="12"/>
      <c r="D758" s="95"/>
      <c r="F758" s="96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A759" s="12"/>
      <c r="D759" s="95"/>
      <c r="F759" s="96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A760" s="12"/>
      <c r="D760" s="95"/>
      <c r="F760" s="96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A761" s="12"/>
      <c r="D761" s="95"/>
      <c r="F761" s="96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A762" s="12"/>
      <c r="D762" s="95"/>
      <c r="F762" s="96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A763" s="12"/>
      <c r="D763" s="95"/>
      <c r="F763" s="96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A764" s="12"/>
      <c r="D764" s="95"/>
      <c r="F764" s="96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A765" s="12"/>
      <c r="D765" s="95"/>
      <c r="F765" s="96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A766" s="12"/>
      <c r="D766" s="95"/>
      <c r="F766" s="96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A767" s="12"/>
      <c r="D767" s="95"/>
      <c r="F767" s="96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A768" s="12"/>
      <c r="D768" s="95"/>
      <c r="F768" s="96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A769" s="12"/>
      <c r="D769" s="95"/>
      <c r="F769" s="96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A770" s="12"/>
      <c r="D770" s="95"/>
      <c r="F770" s="96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A771" s="12"/>
      <c r="D771" s="95"/>
      <c r="F771" s="96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A772" s="12"/>
      <c r="D772" s="95"/>
      <c r="F772" s="96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A773" s="12"/>
      <c r="D773" s="95"/>
      <c r="F773" s="96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A774" s="12"/>
      <c r="D774" s="95"/>
      <c r="F774" s="96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A775" s="12"/>
      <c r="D775" s="95"/>
      <c r="F775" s="96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A776" s="12"/>
      <c r="D776" s="95"/>
      <c r="F776" s="96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A777" s="12"/>
      <c r="D777" s="95"/>
      <c r="F777" s="96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A778" s="12"/>
      <c r="D778" s="95"/>
      <c r="F778" s="96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A779" s="12"/>
      <c r="D779" s="95"/>
      <c r="F779" s="96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A780" s="12"/>
      <c r="D780" s="95"/>
      <c r="F780" s="96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A781" s="12"/>
      <c r="D781" s="95"/>
      <c r="F781" s="96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A782" s="12"/>
      <c r="D782" s="95"/>
      <c r="F782" s="96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A783" s="12"/>
      <c r="D783" s="95"/>
      <c r="F783" s="96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A784" s="12"/>
      <c r="D784" s="95"/>
      <c r="F784" s="96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A785" s="12"/>
      <c r="D785" s="95"/>
      <c r="F785" s="96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A786" s="12"/>
      <c r="D786" s="95"/>
      <c r="F786" s="96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A787" s="12"/>
      <c r="D787" s="95"/>
      <c r="F787" s="96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A788" s="12"/>
      <c r="D788" s="95"/>
      <c r="F788" s="96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A789" s="12"/>
      <c r="D789" s="95"/>
      <c r="F789" s="96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A790" s="12"/>
      <c r="D790" s="95"/>
      <c r="F790" s="96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A791" s="12"/>
      <c r="D791" s="95"/>
      <c r="F791" s="96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A792" s="12"/>
      <c r="D792" s="95"/>
      <c r="F792" s="96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A793" s="12"/>
      <c r="D793" s="95"/>
      <c r="F793" s="96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A794" s="12"/>
      <c r="D794" s="95"/>
      <c r="F794" s="96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A795" s="12"/>
      <c r="D795" s="95"/>
      <c r="F795" s="96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A796" s="12"/>
      <c r="D796" s="95"/>
      <c r="F796" s="96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A797" s="12"/>
      <c r="D797" s="95"/>
      <c r="F797" s="96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A798" s="12"/>
      <c r="D798" s="95"/>
      <c r="F798" s="96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A799" s="12"/>
      <c r="D799" s="95"/>
      <c r="F799" s="96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A800" s="12"/>
      <c r="D800" s="95"/>
      <c r="F800" s="96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A801" s="12"/>
      <c r="D801" s="95"/>
      <c r="F801" s="96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A802" s="12"/>
      <c r="D802" s="95"/>
      <c r="F802" s="96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A803" s="12"/>
      <c r="D803" s="95"/>
      <c r="F803" s="96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A804" s="12"/>
      <c r="D804" s="95"/>
      <c r="F804" s="96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A805" s="12"/>
      <c r="D805" s="95"/>
      <c r="F805" s="96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A806" s="12"/>
      <c r="D806" s="95"/>
      <c r="F806" s="96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A807" s="12"/>
      <c r="D807" s="95"/>
      <c r="F807" s="96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A808" s="12"/>
      <c r="D808" s="95"/>
      <c r="F808" s="96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A809" s="12"/>
      <c r="D809" s="95"/>
      <c r="F809" s="96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A810" s="12"/>
      <c r="D810" s="95"/>
      <c r="F810" s="96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A811" s="12"/>
      <c r="D811" s="95"/>
      <c r="F811" s="96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A812" s="12"/>
      <c r="D812" s="95"/>
      <c r="F812" s="96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A813" s="12"/>
      <c r="D813" s="95"/>
      <c r="F813" s="96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A814" s="12"/>
      <c r="D814" s="95"/>
      <c r="F814" s="96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A815" s="12"/>
      <c r="D815" s="95"/>
      <c r="F815" s="96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A816" s="12"/>
      <c r="D816" s="95"/>
      <c r="F816" s="96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A817" s="12"/>
      <c r="D817" s="95"/>
      <c r="F817" s="96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A818" s="12"/>
      <c r="D818" s="95"/>
      <c r="F818" s="96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A819" s="12"/>
      <c r="D819" s="95"/>
      <c r="F819" s="96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A820" s="12"/>
      <c r="D820" s="95"/>
      <c r="F820" s="96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A821" s="12"/>
      <c r="D821" s="95"/>
      <c r="F821" s="96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A822" s="12"/>
      <c r="D822" s="95"/>
      <c r="F822" s="96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A823" s="12"/>
      <c r="D823" s="95"/>
      <c r="F823" s="96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A824" s="12"/>
      <c r="D824" s="95"/>
      <c r="F824" s="96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A825" s="12"/>
      <c r="D825" s="95"/>
      <c r="F825" s="96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A826" s="12"/>
      <c r="D826" s="95"/>
      <c r="F826" s="96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A827" s="12"/>
      <c r="D827" s="95"/>
      <c r="F827" s="96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A828" s="12"/>
      <c r="D828" s="95"/>
      <c r="F828" s="96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A829" s="12"/>
      <c r="D829" s="95"/>
      <c r="F829" s="96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A830" s="12"/>
      <c r="D830" s="95"/>
      <c r="F830" s="96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A831" s="12"/>
      <c r="D831" s="95"/>
      <c r="F831" s="96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A832" s="12"/>
      <c r="D832" s="95"/>
      <c r="F832" s="96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A833" s="12"/>
      <c r="D833" s="95"/>
      <c r="F833" s="96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A834" s="12"/>
      <c r="D834" s="95"/>
      <c r="F834" s="96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A835" s="12"/>
      <c r="D835" s="95"/>
      <c r="F835" s="96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A836" s="12"/>
      <c r="D836" s="95"/>
      <c r="F836" s="96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A837" s="12"/>
      <c r="D837" s="95"/>
      <c r="F837" s="96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A838" s="12"/>
      <c r="D838" s="95"/>
      <c r="F838" s="96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A839" s="12"/>
      <c r="D839" s="95"/>
      <c r="F839" s="96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A840" s="12"/>
      <c r="D840" s="95"/>
      <c r="F840" s="96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A841" s="12"/>
      <c r="D841" s="95"/>
      <c r="F841" s="96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A842" s="12"/>
      <c r="D842" s="95"/>
      <c r="F842" s="96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A843" s="12"/>
      <c r="D843" s="95"/>
      <c r="F843" s="96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A844" s="12"/>
      <c r="D844" s="95"/>
      <c r="F844" s="96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A845" s="12"/>
      <c r="D845" s="95"/>
      <c r="F845" s="96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A846" s="12"/>
      <c r="D846" s="95"/>
      <c r="F846" s="96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A847" s="12"/>
      <c r="D847" s="95"/>
      <c r="F847" s="96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A848" s="12"/>
      <c r="D848" s="95"/>
      <c r="F848" s="96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A849" s="12"/>
      <c r="D849" s="95"/>
      <c r="F849" s="96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A850" s="12"/>
      <c r="D850" s="95"/>
      <c r="F850" s="96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A851" s="12"/>
      <c r="D851" s="95"/>
      <c r="F851" s="96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A852" s="12"/>
      <c r="D852" s="95"/>
      <c r="F852" s="96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A853" s="12"/>
      <c r="D853" s="95"/>
      <c r="F853" s="96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A854" s="12"/>
      <c r="D854" s="95"/>
      <c r="F854" s="96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A855" s="12"/>
      <c r="D855" s="95"/>
      <c r="F855" s="96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A856" s="12"/>
      <c r="D856" s="95"/>
      <c r="F856" s="96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A857" s="12"/>
      <c r="D857" s="95"/>
      <c r="F857" s="96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A858" s="12"/>
      <c r="D858" s="95"/>
      <c r="F858" s="96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A859" s="12"/>
      <c r="D859" s="95"/>
      <c r="F859" s="96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A860" s="12"/>
      <c r="D860" s="95"/>
      <c r="F860" s="96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A861" s="12"/>
      <c r="D861" s="95"/>
      <c r="F861" s="96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A862" s="12"/>
      <c r="D862" s="95"/>
      <c r="F862" s="96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A863" s="12"/>
      <c r="D863" s="95"/>
      <c r="F863" s="96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A864" s="12"/>
      <c r="D864" s="95"/>
      <c r="F864" s="96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A865" s="12"/>
      <c r="D865" s="95"/>
      <c r="F865" s="96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A866" s="12"/>
      <c r="D866" s="95"/>
      <c r="F866" s="96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A867" s="12"/>
      <c r="D867" s="95"/>
      <c r="F867" s="96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A868" s="12"/>
      <c r="D868" s="95"/>
      <c r="F868" s="96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A869" s="12"/>
      <c r="D869" s="95"/>
      <c r="F869" s="96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A870" s="12"/>
      <c r="D870" s="95"/>
      <c r="F870" s="96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A871" s="12"/>
      <c r="D871" s="95"/>
      <c r="F871" s="96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A872" s="12"/>
      <c r="D872" s="95"/>
      <c r="F872" s="96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A873" s="12"/>
      <c r="D873" s="95"/>
      <c r="F873" s="96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A874" s="12"/>
      <c r="D874" s="95"/>
      <c r="F874" s="96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A875" s="12"/>
      <c r="D875" s="95"/>
      <c r="F875" s="96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A876" s="12"/>
      <c r="D876" s="95"/>
      <c r="F876" s="96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A877" s="12"/>
      <c r="D877" s="95"/>
      <c r="F877" s="96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A878" s="12"/>
      <c r="D878" s="95"/>
      <c r="F878" s="96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A879" s="12"/>
      <c r="D879" s="95"/>
      <c r="F879" s="96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A880" s="12"/>
      <c r="D880" s="95"/>
      <c r="F880" s="96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A881" s="12"/>
      <c r="D881" s="95"/>
      <c r="F881" s="96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A882" s="12"/>
      <c r="D882" s="95"/>
      <c r="F882" s="96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A883" s="12"/>
      <c r="D883" s="95"/>
      <c r="F883" s="96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A884" s="12"/>
      <c r="D884" s="95"/>
      <c r="F884" s="96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A885" s="12"/>
      <c r="D885" s="95"/>
      <c r="F885" s="96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A886" s="12"/>
      <c r="D886" s="95"/>
      <c r="F886" s="96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A887" s="12"/>
      <c r="D887" s="95"/>
      <c r="F887" s="96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A888" s="12"/>
      <c r="D888" s="95"/>
      <c r="F888" s="96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A889" s="12"/>
      <c r="D889" s="95"/>
      <c r="F889" s="96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A890" s="12"/>
      <c r="D890" s="95"/>
      <c r="F890" s="96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A891" s="12"/>
      <c r="D891" s="95"/>
      <c r="F891" s="96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A892" s="12"/>
      <c r="D892" s="95"/>
      <c r="F892" s="96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A893" s="12"/>
      <c r="D893" s="95"/>
      <c r="F893" s="96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A894" s="12"/>
      <c r="D894" s="95"/>
      <c r="F894" s="96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A895" s="12"/>
      <c r="D895" s="95"/>
      <c r="F895" s="96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A896" s="12"/>
      <c r="D896" s="95"/>
      <c r="F896" s="96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A897" s="12"/>
      <c r="D897" s="95"/>
      <c r="F897" s="96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A898" s="12"/>
      <c r="D898" s="95"/>
      <c r="F898" s="96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A899" s="12"/>
      <c r="D899" s="95"/>
      <c r="F899" s="96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A900" s="12"/>
      <c r="D900" s="95"/>
      <c r="F900" s="96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A901" s="12"/>
      <c r="D901" s="95"/>
      <c r="F901" s="96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A902" s="12"/>
      <c r="D902" s="95"/>
      <c r="F902" s="96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A903" s="12"/>
      <c r="D903" s="95"/>
      <c r="F903" s="96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A904" s="12"/>
      <c r="D904" s="95"/>
      <c r="F904" s="96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A905" s="12"/>
      <c r="D905" s="95"/>
      <c r="F905" s="96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A906" s="12"/>
      <c r="D906" s="95"/>
      <c r="F906" s="96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A907" s="12"/>
      <c r="D907" s="95"/>
      <c r="F907" s="96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A908" s="12"/>
      <c r="D908" s="95"/>
      <c r="F908" s="96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A909" s="12"/>
      <c r="D909" s="95"/>
      <c r="F909" s="96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A910" s="12"/>
      <c r="D910" s="95"/>
      <c r="F910" s="96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A911" s="12"/>
      <c r="D911" s="95"/>
      <c r="F911" s="96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A912" s="12"/>
      <c r="D912" s="95"/>
      <c r="F912" s="96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A913" s="12"/>
      <c r="D913" s="95"/>
      <c r="F913" s="96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A914" s="12"/>
      <c r="D914" s="95"/>
      <c r="F914" s="96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A915" s="12"/>
      <c r="D915" s="95"/>
      <c r="F915" s="96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A916" s="12"/>
      <c r="D916" s="95"/>
      <c r="F916" s="96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A917" s="12"/>
      <c r="D917" s="95"/>
      <c r="F917" s="96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A918" s="12"/>
      <c r="D918" s="95"/>
      <c r="F918" s="96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A919" s="12"/>
      <c r="D919" s="95"/>
      <c r="F919" s="96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A920" s="12"/>
      <c r="D920" s="95"/>
      <c r="F920" s="96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A921" s="12"/>
      <c r="D921" s="95"/>
      <c r="F921" s="96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A922" s="12"/>
      <c r="D922" s="95"/>
      <c r="F922" s="96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A923" s="12"/>
      <c r="D923" s="95"/>
      <c r="F923" s="96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A924" s="12"/>
      <c r="D924" s="95"/>
      <c r="F924" s="96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A925" s="12"/>
      <c r="D925" s="95"/>
      <c r="F925" s="96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A926" s="12"/>
      <c r="D926" s="95"/>
      <c r="F926" s="96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A927" s="12"/>
      <c r="D927" s="95"/>
      <c r="F927" s="96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A928" s="12"/>
      <c r="D928" s="95"/>
      <c r="F928" s="96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A929" s="12"/>
      <c r="D929" s="95"/>
      <c r="F929" s="96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A930" s="12"/>
      <c r="D930" s="95"/>
      <c r="F930" s="96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A931" s="12"/>
      <c r="D931" s="95"/>
      <c r="F931" s="96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A932" s="12"/>
      <c r="D932" s="95"/>
      <c r="F932" s="96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A933" s="12"/>
      <c r="D933" s="95"/>
      <c r="F933" s="96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A934" s="12"/>
      <c r="D934" s="95"/>
      <c r="F934" s="96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A935" s="12"/>
      <c r="D935" s="95"/>
      <c r="F935" s="96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A936" s="12"/>
      <c r="D936" s="95"/>
      <c r="F936" s="96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A937" s="12"/>
      <c r="D937" s="95"/>
      <c r="F937" s="96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A938" s="12"/>
      <c r="D938" s="95"/>
      <c r="F938" s="96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A939" s="12"/>
      <c r="D939" s="95"/>
      <c r="F939" s="96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A940" s="12"/>
      <c r="D940" s="95"/>
      <c r="F940" s="96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A941" s="12"/>
      <c r="D941" s="95"/>
      <c r="F941" s="96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A942" s="12"/>
      <c r="D942" s="95"/>
      <c r="F942" s="96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A943" s="12"/>
      <c r="D943" s="95"/>
      <c r="F943" s="96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A944" s="12"/>
      <c r="D944" s="95"/>
      <c r="F944" s="96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A945" s="12"/>
      <c r="D945" s="95"/>
      <c r="F945" s="96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A946" s="12"/>
      <c r="D946" s="95"/>
      <c r="F946" s="96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A947" s="12"/>
      <c r="D947" s="95"/>
      <c r="F947" s="96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A948" s="12"/>
      <c r="D948" s="95"/>
      <c r="F948" s="96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A949" s="12"/>
      <c r="D949" s="95"/>
      <c r="F949" s="96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A950" s="12"/>
      <c r="D950" s="95"/>
      <c r="F950" s="96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A951" s="12"/>
      <c r="D951" s="95"/>
      <c r="F951" s="96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A952" s="12"/>
      <c r="D952" s="95"/>
      <c r="F952" s="96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A953" s="12"/>
      <c r="D953" s="95"/>
      <c r="F953" s="96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A954" s="12"/>
      <c r="D954" s="95"/>
      <c r="F954" s="96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A955" s="12"/>
      <c r="D955" s="95"/>
      <c r="F955" s="96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A956" s="12"/>
      <c r="D956" s="95"/>
      <c r="F956" s="96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A957" s="12"/>
      <c r="D957" s="95"/>
      <c r="F957" s="96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A958" s="12"/>
      <c r="D958" s="95"/>
      <c r="F958" s="96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A959" s="12"/>
      <c r="D959" s="95"/>
      <c r="F959" s="96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A960" s="12"/>
      <c r="D960" s="95"/>
      <c r="F960" s="96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A961" s="12"/>
      <c r="D961" s="95"/>
      <c r="F961" s="96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A962" s="12"/>
      <c r="D962" s="95"/>
      <c r="F962" s="96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A963" s="12"/>
      <c r="D963" s="95"/>
      <c r="F963" s="96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A964" s="12"/>
      <c r="D964" s="95"/>
      <c r="F964" s="96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A965" s="12"/>
      <c r="D965" s="95"/>
      <c r="F965" s="96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A966" s="12"/>
      <c r="D966" s="95"/>
      <c r="F966" s="96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A967" s="12"/>
      <c r="D967" s="95"/>
      <c r="F967" s="96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A968" s="12"/>
      <c r="D968" s="95"/>
      <c r="F968" s="96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A969" s="12"/>
      <c r="D969" s="95"/>
      <c r="F969" s="96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A970" s="12"/>
      <c r="D970" s="95"/>
      <c r="F970" s="96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A971" s="12"/>
      <c r="D971" s="95"/>
      <c r="F971" s="96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A972" s="12"/>
      <c r="D972" s="95"/>
      <c r="F972" s="96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A973" s="12"/>
      <c r="D973" s="95"/>
      <c r="F973" s="96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A974" s="12"/>
      <c r="D974" s="95"/>
      <c r="F974" s="96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A975" s="12"/>
      <c r="D975" s="95"/>
      <c r="F975" s="96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A976" s="12"/>
      <c r="D976" s="95"/>
      <c r="F976" s="96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A977" s="12"/>
      <c r="D977" s="95"/>
      <c r="F977" s="96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A978" s="12"/>
      <c r="D978" s="95"/>
      <c r="F978" s="96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A979" s="12"/>
      <c r="D979" s="95"/>
      <c r="F979" s="96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A980" s="12"/>
      <c r="D980" s="95"/>
      <c r="F980" s="96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A981" s="12"/>
      <c r="D981" s="95"/>
      <c r="F981" s="96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A982" s="12"/>
      <c r="D982" s="95"/>
      <c r="F982" s="96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A983" s="12"/>
      <c r="D983" s="95"/>
      <c r="F983" s="96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A984" s="12"/>
      <c r="D984" s="95"/>
      <c r="F984" s="96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A985" s="12"/>
      <c r="D985" s="95"/>
      <c r="F985" s="96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A986" s="12"/>
      <c r="D986" s="95"/>
      <c r="F986" s="96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A987" s="12"/>
      <c r="D987" s="95"/>
      <c r="F987" s="96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A988" s="12"/>
      <c r="D988" s="95"/>
      <c r="F988" s="96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A989" s="12"/>
      <c r="D989" s="95"/>
      <c r="F989" s="96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A990" s="12"/>
      <c r="D990" s="95"/>
      <c r="F990" s="96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A991" s="12"/>
      <c r="D991" s="95"/>
      <c r="F991" s="96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A992" s="12"/>
      <c r="D992" s="95"/>
      <c r="F992" s="96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A993" s="12"/>
      <c r="D993" s="95"/>
      <c r="F993" s="96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A994" s="12"/>
      <c r="D994" s="95"/>
      <c r="F994" s="96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A995" s="12"/>
      <c r="D995" s="95"/>
      <c r="F995" s="96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A996" s="12"/>
      <c r="D996" s="95"/>
      <c r="F996" s="96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A997" s="12"/>
      <c r="D997" s="95"/>
      <c r="F997" s="96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A998" s="12"/>
      <c r="D998" s="95"/>
      <c r="F998" s="96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A999" s="12"/>
      <c r="D999" s="95"/>
      <c r="F999" s="96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A1000" s="12"/>
      <c r="D1000" s="95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>
      <c r="A1001" s="12"/>
      <c r="D1001" s="95"/>
      <c r="F1001" s="96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>
      <c r="A1002" s="12"/>
      <c r="D1002" s="95"/>
      <c r="F1002" s="96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  <row r="1003">
      <c r="A1003" s="12"/>
      <c r="D1003" s="95"/>
      <c r="F1003" s="96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</row>
    <row r="1004">
      <c r="A1004" s="12"/>
      <c r="D1004" s="95"/>
      <c r="F1004" s="96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</row>
    <row r="1005">
      <c r="A1005" s="12"/>
      <c r="D1005" s="95"/>
      <c r="F1005" s="96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</row>
    <row r="1006">
      <c r="A1006" s="12"/>
      <c r="D1006" s="95"/>
      <c r="F1006" s="96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</row>
    <row r="1007">
      <c r="A1007" s="12"/>
      <c r="D1007" s="95"/>
      <c r="F1007" s="96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</row>
    <row r="1008">
      <c r="A1008" s="12"/>
      <c r="D1008" s="95"/>
      <c r="F1008" s="96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</row>
    <row r="1009">
      <c r="A1009" s="12"/>
      <c r="D1009" s="95"/>
      <c r="F1009" s="96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</row>
  </sheetData>
  <conditionalFormatting sqref="H2:Q33">
    <cfRule type="cellIs" dxfId="14" priority="1" operator="equal">
      <formula>0</formula>
    </cfRule>
  </conditionalFormatting>
  <conditionalFormatting sqref="H2:H33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3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3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3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3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3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3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Q2:Q33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3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P2:P33">
    <cfRule type="colorScale" priority="11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9:C46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9:F46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6">
      <formula1>OR(NOT(ISERROR(DATEVALUE(F36))), AND(ISNUMBER(F36), LEFT(CELL("format", F36))="D"))</formula1>
    </dataValidation>
    <dataValidation type="list" allowBlank="1" showDropDown="1" sqref="C2:C33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5"/>
    <col customWidth="1" min="3" max="3" width="15.88"/>
    <col customWidth="1" min="4" max="4" width="35.63"/>
    <col customWidth="1" min="5" max="5" width="9.25"/>
    <col customWidth="1" min="6" max="6" width="24.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63"/>
    <col customWidth="1" min="17" max="17" width="17.75"/>
  </cols>
  <sheetData>
    <row r="1" ht="22.5" customHeight="1">
      <c r="A1" s="330" t="s">
        <v>48</v>
      </c>
      <c r="B1" s="331" t="s">
        <v>49</v>
      </c>
      <c r="C1" s="331" t="s">
        <v>50</v>
      </c>
      <c r="D1" s="332" t="s">
        <v>56</v>
      </c>
      <c r="E1" s="330" t="s">
        <v>57</v>
      </c>
      <c r="F1" s="333" t="s">
        <v>52</v>
      </c>
      <c r="G1" s="334" t="s">
        <v>53</v>
      </c>
      <c r="H1" s="330" t="s">
        <v>4</v>
      </c>
      <c r="I1" s="330" t="s">
        <v>58</v>
      </c>
      <c r="J1" s="330" t="s">
        <v>59</v>
      </c>
      <c r="K1" s="330" t="s">
        <v>60</v>
      </c>
      <c r="L1" s="330" t="s">
        <v>61</v>
      </c>
      <c r="M1" s="330" t="s">
        <v>62</v>
      </c>
      <c r="N1" s="330" t="s">
        <v>63</v>
      </c>
      <c r="O1" s="335" t="s">
        <v>387</v>
      </c>
      <c r="P1" s="335" t="s">
        <v>64</v>
      </c>
      <c r="Q1" s="330" t="s">
        <v>65</v>
      </c>
    </row>
    <row r="2" ht="22.5" customHeight="1">
      <c r="A2" s="336">
        <v>1.0</v>
      </c>
      <c r="B2" s="337" t="s">
        <v>564</v>
      </c>
      <c r="C2" s="338" t="s">
        <v>67</v>
      </c>
      <c r="D2" s="339" t="s">
        <v>204</v>
      </c>
      <c r="E2" s="340" t="str">
        <f>IMAGE("https://flagcdn.com/w320/de.png")</f>
        <v/>
      </c>
      <c r="F2" s="341">
        <v>31498.0</v>
      </c>
      <c r="G2" s="342">
        <f t="shared" ref="G2:G32" si="1">DATEDIF(F2,TODAY(),"Y")</f>
        <v>39</v>
      </c>
      <c r="H2" s="343">
        <f>1+1+1+1+1+1+1</f>
        <v>7</v>
      </c>
      <c r="I2" s="343">
        <f>90+90+90+90+90+90+90</f>
        <v>630</v>
      </c>
      <c r="J2" s="343"/>
      <c r="K2" s="343"/>
      <c r="L2" s="343">
        <f t="shared" ref="L2:L3" si="2">1</f>
        <v>1</v>
      </c>
      <c r="M2" s="343"/>
      <c r="N2" s="343">
        <f>1+1</f>
        <v>2</v>
      </c>
      <c r="O2" s="343"/>
      <c r="P2" s="343">
        <f t="shared" ref="P2:P32" si="3">J2+K2</f>
        <v>0</v>
      </c>
      <c r="Q2" s="343"/>
    </row>
    <row r="3" ht="22.5" customHeight="1">
      <c r="A3" s="336">
        <v>2.0</v>
      </c>
      <c r="B3" s="337" t="s">
        <v>565</v>
      </c>
      <c r="C3" s="338" t="s">
        <v>70</v>
      </c>
      <c r="D3" s="339" t="s">
        <v>566</v>
      </c>
      <c r="E3" s="340" t="str">
        <f>IMAGE("https://flagcdn.com/w320/fr.png")</f>
        <v/>
      </c>
      <c r="F3" s="341">
        <v>36095.0</v>
      </c>
      <c r="G3" s="342">
        <f t="shared" si="1"/>
        <v>27</v>
      </c>
      <c r="H3" s="343">
        <f t="shared" ref="H3:H4" si="4">1+1+1+1+1+1</f>
        <v>6</v>
      </c>
      <c r="I3" s="343">
        <f>90+71+80+90+80+90</f>
        <v>501</v>
      </c>
      <c r="J3" s="343"/>
      <c r="K3" s="343"/>
      <c r="L3" s="343">
        <f t="shared" si="2"/>
        <v>1</v>
      </c>
      <c r="M3" s="343"/>
      <c r="N3" s="343"/>
      <c r="O3" s="343"/>
      <c r="P3" s="343">
        <f t="shared" si="3"/>
        <v>0</v>
      </c>
      <c r="Q3" s="343"/>
    </row>
    <row r="4" ht="22.5" customHeight="1">
      <c r="A4" s="336">
        <v>3.0</v>
      </c>
      <c r="B4" s="344" t="s">
        <v>567</v>
      </c>
      <c r="C4" s="338" t="s">
        <v>70</v>
      </c>
      <c r="D4" s="339" t="s">
        <v>568</v>
      </c>
      <c r="E4" s="340" t="str">
        <f>IMAGE("https://flagcdn.com/w320/kr.png")</f>
        <v/>
      </c>
      <c r="F4" s="341">
        <v>35384.0</v>
      </c>
      <c r="G4" s="342">
        <f t="shared" si="1"/>
        <v>29</v>
      </c>
      <c r="H4" s="343">
        <f t="shared" si="4"/>
        <v>6</v>
      </c>
      <c r="I4" s="343">
        <f>45+90+10+10+10+62</f>
        <v>227</v>
      </c>
      <c r="J4" s="343"/>
      <c r="K4" s="343"/>
      <c r="L4" s="343">
        <f>1+2</f>
        <v>3</v>
      </c>
      <c r="M4" s="343">
        <f>1</f>
        <v>1</v>
      </c>
      <c r="N4" s="343"/>
      <c r="O4" s="343"/>
      <c r="P4" s="343">
        <f t="shared" si="3"/>
        <v>0</v>
      </c>
      <c r="Q4" s="343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>
      <c r="A5" s="336">
        <v>4.0</v>
      </c>
      <c r="B5" s="337" t="s">
        <v>569</v>
      </c>
      <c r="C5" s="338" t="s">
        <v>70</v>
      </c>
      <c r="D5" s="339" t="s">
        <v>570</v>
      </c>
      <c r="E5" s="340" t="str">
        <f t="shared" ref="E5:E8" si="6">IMAGE("https://flagcdn.com/w320/de.png")</f>
        <v/>
      </c>
      <c r="F5" s="341">
        <v>35106.0</v>
      </c>
      <c r="G5" s="342">
        <f t="shared" si="1"/>
        <v>29</v>
      </c>
      <c r="H5" s="343">
        <f t="shared" ref="H5:H6" si="7">1+1+1+1+1+1+1</f>
        <v>7</v>
      </c>
      <c r="I5" s="343">
        <f>45+19+90+90+90+90+90</f>
        <v>514</v>
      </c>
      <c r="J5" s="343">
        <f t="shared" ref="J5:L5" si="5">1</f>
        <v>1</v>
      </c>
      <c r="K5" s="343">
        <f t="shared" si="5"/>
        <v>1</v>
      </c>
      <c r="L5" s="343">
        <f t="shared" si="5"/>
        <v>1</v>
      </c>
      <c r="M5" s="343"/>
      <c r="N5" s="343"/>
      <c r="O5" s="343"/>
      <c r="P5" s="343">
        <f t="shared" si="3"/>
        <v>2</v>
      </c>
      <c r="Q5" s="343"/>
    </row>
    <row r="6" ht="22.5" customHeight="1">
      <c r="A6" s="336">
        <v>6.0</v>
      </c>
      <c r="B6" s="337" t="s">
        <v>571</v>
      </c>
      <c r="C6" s="338" t="s">
        <v>79</v>
      </c>
      <c r="D6" s="339" t="s">
        <v>204</v>
      </c>
      <c r="E6" s="340" t="str">
        <f t="shared" si="6"/>
        <v/>
      </c>
      <c r="F6" s="341">
        <v>34738.0</v>
      </c>
      <c r="G6" s="342">
        <f t="shared" si="1"/>
        <v>30</v>
      </c>
      <c r="H6" s="343">
        <f t="shared" si="7"/>
        <v>7</v>
      </c>
      <c r="I6" s="343">
        <f>90+90+90+90+80+90+89</f>
        <v>619</v>
      </c>
      <c r="J6" s="343"/>
      <c r="K6" s="343"/>
      <c r="L6" s="343">
        <f>1</f>
        <v>1</v>
      </c>
      <c r="M6" s="343"/>
      <c r="N6" s="343"/>
      <c r="O6" s="343"/>
      <c r="P6" s="343">
        <f t="shared" si="3"/>
        <v>0</v>
      </c>
      <c r="Q6" s="343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ht="22.5" customHeight="1">
      <c r="A7" s="336">
        <v>7.0</v>
      </c>
      <c r="B7" s="337" t="s">
        <v>572</v>
      </c>
      <c r="C7" s="338" t="s">
        <v>79</v>
      </c>
      <c r="D7" s="339" t="s">
        <v>573</v>
      </c>
      <c r="E7" s="340" t="str">
        <f t="shared" si="6"/>
        <v/>
      </c>
      <c r="F7" s="341">
        <v>34894.0</v>
      </c>
      <c r="G7" s="342">
        <f t="shared" si="1"/>
        <v>30</v>
      </c>
      <c r="H7" s="343">
        <f t="shared" ref="H7:H8" si="8">1+1+1+1+1+1</f>
        <v>6</v>
      </c>
      <c r="I7" s="343">
        <f>89+45+45+71+87+1</f>
        <v>338</v>
      </c>
      <c r="J7" s="343">
        <f>1</f>
        <v>1</v>
      </c>
      <c r="K7" s="343">
        <f>1+1</f>
        <v>2</v>
      </c>
      <c r="L7" s="343"/>
      <c r="M7" s="343"/>
      <c r="N7" s="343"/>
      <c r="O7" s="343">
        <f>1</f>
        <v>1</v>
      </c>
      <c r="P7" s="343">
        <f t="shared" si="3"/>
        <v>3</v>
      </c>
      <c r="Q7" s="343"/>
    </row>
    <row r="8" ht="22.5" customHeight="1">
      <c r="A8" s="336">
        <v>8.0</v>
      </c>
      <c r="B8" s="337" t="s">
        <v>574</v>
      </c>
      <c r="C8" s="338" t="s">
        <v>79</v>
      </c>
      <c r="D8" s="339" t="s">
        <v>204</v>
      </c>
      <c r="E8" s="340" t="str">
        <f t="shared" si="6"/>
        <v/>
      </c>
      <c r="F8" s="341">
        <v>34736.0</v>
      </c>
      <c r="G8" s="342">
        <f t="shared" si="1"/>
        <v>30</v>
      </c>
      <c r="H8" s="343">
        <f t="shared" si="8"/>
        <v>6</v>
      </c>
      <c r="I8" s="343">
        <f>27+22+3+10+3+1</f>
        <v>66</v>
      </c>
      <c r="J8" s="343"/>
      <c r="K8" s="343"/>
      <c r="L8" s="343"/>
      <c r="M8" s="343"/>
      <c r="N8" s="343"/>
      <c r="O8" s="343"/>
      <c r="P8" s="343">
        <f t="shared" si="3"/>
        <v>0</v>
      </c>
      <c r="Q8" s="343"/>
    </row>
    <row r="9" ht="22.5" customHeight="1">
      <c r="A9" s="336">
        <v>9.0</v>
      </c>
      <c r="B9" s="337" t="s">
        <v>575</v>
      </c>
      <c r="C9" s="338" t="s">
        <v>82</v>
      </c>
      <c r="D9" s="339" t="s">
        <v>94</v>
      </c>
      <c r="E9" s="340" t="str">
        <f>IMAGE("https://flagcdn.com/w320/gb-eng.png")</f>
        <v/>
      </c>
      <c r="F9" s="341">
        <v>34178.0</v>
      </c>
      <c r="G9" s="342">
        <f t="shared" si="1"/>
        <v>32</v>
      </c>
      <c r="H9" s="343">
        <f>1+1+1+1+1+1+1</f>
        <v>7</v>
      </c>
      <c r="I9" s="343">
        <f>89+63+68+87+90+89+90</f>
        <v>576</v>
      </c>
      <c r="J9" s="343">
        <f>2+2+1+2</f>
        <v>7</v>
      </c>
      <c r="K9" s="343"/>
      <c r="L9" s="343"/>
      <c r="M9" s="343"/>
      <c r="N9" s="343"/>
      <c r="O9" s="343"/>
      <c r="P9" s="343">
        <f t="shared" si="3"/>
        <v>7</v>
      </c>
      <c r="Q9" s="343"/>
    </row>
    <row r="10" ht="22.5" customHeight="1">
      <c r="A10" s="336">
        <v>10.0</v>
      </c>
      <c r="B10" s="337" t="s">
        <v>576</v>
      </c>
      <c r="C10" s="338" t="s">
        <v>79</v>
      </c>
      <c r="D10" s="339" t="s">
        <v>577</v>
      </c>
      <c r="E10" s="340" t="str">
        <f>IMAGE("https://flagcdn.com/w320/de.png")</f>
        <v/>
      </c>
      <c r="F10" s="341">
        <v>37678.0</v>
      </c>
      <c r="G10" s="342">
        <f t="shared" si="1"/>
        <v>22</v>
      </c>
      <c r="H10" s="345">
        <v>0.0</v>
      </c>
      <c r="I10" s="345">
        <v>0.0</v>
      </c>
      <c r="J10" s="343"/>
      <c r="K10" s="343"/>
      <c r="L10" s="343"/>
      <c r="M10" s="343"/>
      <c r="N10" s="343"/>
      <c r="O10" s="343"/>
      <c r="P10" s="343">
        <f t="shared" si="3"/>
        <v>0</v>
      </c>
      <c r="Q10" s="343"/>
    </row>
    <row r="11" ht="22.5" customHeight="1">
      <c r="A11" s="336">
        <v>11.0</v>
      </c>
      <c r="B11" s="337" t="s">
        <v>578</v>
      </c>
      <c r="C11" s="338" t="s">
        <v>82</v>
      </c>
      <c r="D11" s="339" t="s">
        <v>579</v>
      </c>
      <c r="E11" s="340" t="str">
        <f>IMAGE("https://flagcdn.com/w320/sn.png")</f>
        <v/>
      </c>
      <c r="F11" s="341">
        <v>37062.0</v>
      </c>
      <c r="G11" s="342">
        <f t="shared" si="1"/>
        <v>24</v>
      </c>
      <c r="H11" s="343">
        <f t="shared" ref="H11:H12" si="9">1+1+1+1+1</f>
        <v>5</v>
      </c>
      <c r="I11" s="343">
        <f>1+90+22+19+1</f>
        <v>133</v>
      </c>
      <c r="J11" s="343">
        <f>1+1</f>
        <v>2</v>
      </c>
      <c r="K11" s="343">
        <f>2</f>
        <v>2</v>
      </c>
      <c r="L11" s="343"/>
      <c r="M11" s="343"/>
      <c r="N11" s="343"/>
      <c r="O11" s="343"/>
      <c r="P11" s="343">
        <f t="shared" si="3"/>
        <v>4</v>
      </c>
      <c r="Q11" s="343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ht="22.5" customHeight="1">
      <c r="A12" s="336">
        <v>14.0</v>
      </c>
      <c r="B12" s="337" t="s">
        <v>580</v>
      </c>
      <c r="C12" s="338" t="s">
        <v>82</v>
      </c>
      <c r="D12" s="339" t="s">
        <v>581</v>
      </c>
      <c r="E12" s="340" t="str">
        <f>IMAGE("https://flagcdn.com/w320/co.png")</f>
        <v/>
      </c>
      <c r="F12" s="341">
        <v>35443.0</v>
      </c>
      <c r="G12" s="342">
        <f t="shared" si="1"/>
        <v>29</v>
      </c>
      <c r="H12" s="343">
        <f t="shared" si="9"/>
        <v>5</v>
      </c>
      <c r="I12" s="343">
        <f>90+45+80+44+90</f>
        <v>349</v>
      </c>
      <c r="J12" s="343">
        <f>1+2</f>
        <v>3</v>
      </c>
      <c r="K12" s="343"/>
      <c r="L12" s="343"/>
      <c r="M12" s="343">
        <f>1</f>
        <v>1</v>
      </c>
      <c r="N12" s="343"/>
      <c r="O12" s="343"/>
      <c r="P12" s="343">
        <f t="shared" si="3"/>
        <v>3</v>
      </c>
      <c r="Q12" s="343"/>
    </row>
    <row r="13" ht="22.5" customHeight="1">
      <c r="A13" s="336">
        <v>17.0</v>
      </c>
      <c r="B13" s="337" t="s">
        <v>582</v>
      </c>
      <c r="C13" s="338" t="s">
        <v>82</v>
      </c>
      <c r="D13" s="339" t="s">
        <v>583</v>
      </c>
      <c r="E13" s="340" t="str">
        <f>IMAGE("https://flagcdn.com/w320/fr.png")</f>
        <v/>
      </c>
      <c r="F13" s="341">
        <v>37237.0</v>
      </c>
      <c r="G13" s="342">
        <f t="shared" si="1"/>
        <v>24</v>
      </c>
      <c r="H13" s="343">
        <f>1+1+1+1+1+1+1</f>
        <v>7</v>
      </c>
      <c r="I13" s="343">
        <f>90+71+90+80+90+90+89</f>
        <v>600</v>
      </c>
      <c r="J13" s="343">
        <f>1</f>
        <v>1</v>
      </c>
      <c r="K13" s="343">
        <f>2+1+1+1</f>
        <v>5</v>
      </c>
      <c r="L13" s="343">
        <f>1+1</f>
        <v>2</v>
      </c>
      <c r="M13" s="343"/>
      <c r="N13" s="343"/>
      <c r="O13" s="343"/>
      <c r="P13" s="343">
        <f t="shared" si="3"/>
        <v>6</v>
      </c>
      <c r="Q13" s="343"/>
    </row>
    <row r="14" ht="22.5" customHeight="1">
      <c r="A14" s="336">
        <v>19.0</v>
      </c>
      <c r="B14" s="337" t="s">
        <v>584</v>
      </c>
      <c r="C14" s="338" t="s">
        <v>70</v>
      </c>
      <c r="D14" s="339" t="s">
        <v>585</v>
      </c>
      <c r="E14" s="340" t="str">
        <f>IMAGE("https://flagcdn.com/w320/ca.png")</f>
        <v/>
      </c>
      <c r="F14" s="341">
        <v>36832.0</v>
      </c>
      <c r="G14" s="342">
        <f t="shared" si="1"/>
        <v>25</v>
      </c>
      <c r="H14" s="343">
        <f>1+1</f>
        <v>2</v>
      </c>
      <c r="I14" s="343">
        <f>3+24</f>
        <v>27</v>
      </c>
      <c r="J14" s="343"/>
      <c r="K14" s="343"/>
      <c r="L14" s="343"/>
      <c r="M14" s="343"/>
      <c r="N14" s="343"/>
      <c r="O14" s="343"/>
      <c r="P14" s="343">
        <f t="shared" si="3"/>
        <v>0</v>
      </c>
      <c r="Q14" s="343"/>
    </row>
    <row r="15" ht="22.5" customHeight="1">
      <c r="A15" s="336">
        <v>20.0</v>
      </c>
      <c r="B15" s="337" t="s">
        <v>586</v>
      </c>
      <c r="C15" s="338" t="s">
        <v>79</v>
      </c>
      <c r="D15" s="339" t="s">
        <v>204</v>
      </c>
      <c r="E15" s="340" t="str">
        <f>IMAGE("https://flagcdn.com/w320/de.png")</f>
        <v/>
      </c>
      <c r="F15" s="341">
        <v>38531.0</v>
      </c>
      <c r="G15" s="342">
        <f t="shared" si="1"/>
        <v>20</v>
      </c>
      <c r="H15" s="343">
        <f>1+1+1+1+1+1</f>
        <v>6</v>
      </c>
      <c r="I15" s="343">
        <f>1+8+22+45+19+90</f>
        <v>185</v>
      </c>
      <c r="J15" s="343"/>
      <c r="K15" s="343"/>
      <c r="L15" s="343">
        <f>1</f>
        <v>1</v>
      </c>
      <c r="M15" s="343"/>
      <c r="N15" s="343"/>
      <c r="O15" s="343"/>
      <c r="P15" s="343">
        <f t="shared" si="3"/>
        <v>0</v>
      </c>
      <c r="Q15" s="343"/>
    </row>
    <row r="16" ht="22.5" customHeight="1">
      <c r="A16" s="336">
        <v>21.0</v>
      </c>
      <c r="B16" s="337" t="s">
        <v>587</v>
      </c>
      <c r="C16" s="338" t="s">
        <v>70</v>
      </c>
      <c r="D16" s="339" t="s">
        <v>75</v>
      </c>
      <c r="E16" s="340" t="str">
        <f>IMAGE("https://flagcdn.com/w320/jp.png")</f>
        <v/>
      </c>
      <c r="F16" s="341">
        <v>36292.0</v>
      </c>
      <c r="G16" s="342">
        <f t="shared" si="1"/>
        <v>26</v>
      </c>
      <c r="H16" s="345">
        <f>1+1</f>
        <v>2</v>
      </c>
      <c r="I16" s="345">
        <f>3+24</f>
        <v>27</v>
      </c>
      <c r="J16" s="343"/>
      <c r="K16" s="343"/>
      <c r="L16" s="343"/>
      <c r="M16" s="343"/>
      <c r="N16" s="343"/>
      <c r="O16" s="343"/>
      <c r="P16" s="343">
        <f t="shared" si="3"/>
        <v>0</v>
      </c>
      <c r="Q16" s="343"/>
    </row>
    <row r="17" ht="22.5" customHeight="1">
      <c r="A17" s="336">
        <v>22.0</v>
      </c>
      <c r="B17" s="346" t="s">
        <v>588</v>
      </c>
      <c r="C17" s="338" t="s">
        <v>70</v>
      </c>
      <c r="D17" s="339" t="s">
        <v>589</v>
      </c>
      <c r="E17" s="340" t="str">
        <f>IMAGE("https://flagcdn.com/w320/pt.png")</f>
        <v/>
      </c>
      <c r="F17" s="341">
        <v>34325.0</v>
      </c>
      <c r="G17" s="342">
        <f t="shared" si="1"/>
        <v>32</v>
      </c>
      <c r="H17" s="343">
        <f>1+1+1+1+1</f>
        <v>5</v>
      </c>
      <c r="I17" s="343">
        <f>90+68+10+15+66</f>
        <v>249</v>
      </c>
      <c r="J17" s="343">
        <f>1</f>
        <v>1</v>
      </c>
      <c r="K17" s="343"/>
      <c r="L17" s="343"/>
      <c r="M17" s="343"/>
      <c r="N17" s="343"/>
      <c r="O17" s="343"/>
      <c r="P17" s="343">
        <f t="shared" si="3"/>
        <v>1</v>
      </c>
      <c r="Q17" s="343"/>
    </row>
    <row r="18" ht="22.5" customHeight="1">
      <c r="A18" s="336">
        <v>23.0</v>
      </c>
      <c r="B18" s="337" t="s">
        <v>590</v>
      </c>
      <c r="C18" s="338" t="s">
        <v>70</v>
      </c>
      <c r="D18" s="339" t="s">
        <v>398</v>
      </c>
      <c r="E18" s="340" t="str">
        <f>IMAGE("https://flagcdn.com/w320/fr.png")</f>
        <v/>
      </c>
      <c r="F18" s="341">
        <v>36782.0</v>
      </c>
      <c r="G18" s="342">
        <f t="shared" si="1"/>
        <v>25</v>
      </c>
      <c r="H18" s="343">
        <f>1+1</f>
        <v>2</v>
      </c>
      <c r="I18" s="343">
        <f>40+27</f>
        <v>67</v>
      </c>
      <c r="J18" s="343"/>
      <c r="K18" s="343"/>
      <c r="L18" s="343"/>
      <c r="M18" s="343"/>
      <c r="N18" s="343"/>
      <c r="O18" s="343"/>
      <c r="P18" s="343">
        <f t="shared" si="3"/>
        <v>0</v>
      </c>
      <c r="Q18" s="343"/>
    </row>
    <row r="19" ht="22.5" customHeight="1">
      <c r="A19" s="336">
        <v>26.0</v>
      </c>
      <c r="B19" s="337" t="s">
        <v>591</v>
      </c>
      <c r="C19" s="338" t="s">
        <v>67</v>
      </c>
      <c r="D19" s="339" t="s">
        <v>204</v>
      </c>
      <c r="E19" s="340" t="str">
        <f>IMAGE("https://flagcdn.com/w320/de.png")</f>
        <v/>
      </c>
      <c r="F19" s="341">
        <v>32358.0</v>
      </c>
      <c r="G19" s="342">
        <f t="shared" si="1"/>
        <v>37</v>
      </c>
      <c r="H19" s="345">
        <v>0.0</v>
      </c>
      <c r="I19" s="345">
        <v>0.0</v>
      </c>
      <c r="J19" s="343"/>
      <c r="K19" s="343"/>
      <c r="L19" s="343"/>
      <c r="M19" s="343"/>
      <c r="N19" s="343"/>
      <c r="O19" s="343"/>
      <c r="P19" s="343">
        <f t="shared" si="3"/>
        <v>0</v>
      </c>
      <c r="Q19" s="343"/>
    </row>
    <row r="20" ht="22.5" customHeight="1">
      <c r="A20" s="336">
        <v>27.0</v>
      </c>
      <c r="B20" s="337" t="s">
        <v>592</v>
      </c>
      <c r="C20" s="338" t="s">
        <v>79</v>
      </c>
      <c r="D20" s="339" t="s">
        <v>475</v>
      </c>
      <c r="E20" s="340" t="str">
        <f>IMAGE("https://flagcdn.com/w320/at.png")</f>
        <v/>
      </c>
      <c r="F20" s="341">
        <v>35577.0</v>
      </c>
      <c r="G20" s="342">
        <f t="shared" si="1"/>
        <v>28</v>
      </c>
      <c r="H20" s="343">
        <f>1+1+1+1+1+1</f>
        <v>6</v>
      </c>
      <c r="I20" s="343">
        <f>90+82+90+90+71+90</f>
        <v>513</v>
      </c>
      <c r="J20" s="343"/>
      <c r="K20" s="343">
        <f>2+1</f>
        <v>3</v>
      </c>
      <c r="L20" s="343">
        <f>1+1+1</f>
        <v>3</v>
      </c>
      <c r="M20" s="343"/>
      <c r="N20" s="343"/>
      <c r="O20" s="343"/>
      <c r="P20" s="343">
        <f t="shared" si="3"/>
        <v>3</v>
      </c>
      <c r="Q20" s="343"/>
    </row>
    <row r="21" ht="22.5" customHeight="1">
      <c r="A21" s="347">
        <v>30.0</v>
      </c>
      <c r="B21" s="348" t="s">
        <v>593</v>
      </c>
      <c r="C21" s="349" t="s">
        <v>70</v>
      </c>
      <c r="D21" s="350" t="s">
        <v>594</v>
      </c>
      <c r="E21" s="351" t="str">
        <f t="shared" ref="E21:E23" si="10">IMAGE("https://flagcdn.com/w320/de.png")</f>
        <v/>
      </c>
      <c r="F21" s="352">
        <v>39824.0</v>
      </c>
      <c r="G21" s="353">
        <f t="shared" si="1"/>
        <v>17</v>
      </c>
      <c r="H21" s="354">
        <v>0.0</v>
      </c>
      <c r="I21" s="354">
        <v>0.0</v>
      </c>
      <c r="J21" s="355"/>
      <c r="K21" s="355"/>
      <c r="L21" s="355"/>
      <c r="M21" s="355"/>
      <c r="N21" s="355"/>
      <c r="O21" s="355"/>
      <c r="P21" s="355">
        <f t="shared" si="3"/>
        <v>0</v>
      </c>
      <c r="Q21" s="35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 ht="22.5" customHeight="1">
      <c r="A22" s="347">
        <v>35.0</v>
      </c>
      <c r="B22" s="348" t="s">
        <v>595</v>
      </c>
      <c r="C22" s="349" t="s">
        <v>67</v>
      </c>
      <c r="D22" s="350" t="s">
        <v>204</v>
      </c>
      <c r="E22" s="351" t="str">
        <f t="shared" si="10"/>
        <v/>
      </c>
      <c r="F22" s="352">
        <v>38892.0</v>
      </c>
      <c r="G22" s="353">
        <f t="shared" si="1"/>
        <v>19</v>
      </c>
      <c r="H22" s="355"/>
      <c r="I22" s="355"/>
      <c r="J22" s="355"/>
      <c r="K22" s="355"/>
      <c r="L22" s="355"/>
      <c r="M22" s="355"/>
      <c r="N22" s="355"/>
      <c r="O22" s="355"/>
      <c r="P22" s="355">
        <f t="shared" si="3"/>
        <v>0</v>
      </c>
      <c r="Q22" s="355"/>
    </row>
    <row r="23" ht="22.5" customHeight="1">
      <c r="A23" s="347">
        <v>36.0</v>
      </c>
      <c r="B23" s="348" t="s">
        <v>596</v>
      </c>
      <c r="C23" s="349" t="s">
        <v>82</v>
      </c>
      <c r="D23" s="350" t="s">
        <v>597</v>
      </c>
      <c r="E23" s="351" t="str">
        <f t="shared" si="10"/>
        <v/>
      </c>
      <c r="F23" s="352">
        <v>39715.0</v>
      </c>
      <c r="G23" s="353">
        <f t="shared" si="1"/>
        <v>17</v>
      </c>
      <c r="H23" s="354">
        <f>1</f>
        <v>1</v>
      </c>
      <c r="I23" s="354">
        <f>10</f>
        <v>10</v>
      </c>
      <c r="J23" s="355"/>
      <c r="K23" s="355"/>
      <c r="L23" s="355"/>
      <c r="M23" s="355"/>
      <c r="N23" s="355"/>
      <c r="O23" s="355"/>
      <c r="P23" s="355">
        <f t="shared" si="3"/>
        <v>0</v>
      </c>
      <c r="Q23" s="355"/>
    </row>
    <row r="24" ht="22.5" customHeight="1">
      <c r="A24" s="347">
        <v>38.0</v>
      </c>
      <c r="B24" s="348" t="s">
        <v>598</v>
      </c>
      <c r="C24" s="349" t="s">
        <v>79</v>
      </c>
      <c r="D24" s="350" t="s">
        <v>599</v>
      </c>
      <c r="E24" s="351" t="str">
        <f>IMAGE("https://flagcdn.com/w320/pe.png")</f>
        <v/>
      </c>
      <c r="F24" s="352">
        <v>39182.0</v>
      </c>
      <c r="G24" s="353">
        <f t="shared" si="1"/>
        <v>18</v>
      </c>
      <c r="H24" s="355"/>
      <c r="I24" s="355"/>
      <c r="J24" s="355"/>
      <c r="K24" s="355"/>
      <c r="L24" s="355"/>
      <c r="M24" s="355"/>
      <c r="N24" s="355"/>
      <c r="O24" s="355"/>
      <c r="P24" s="355">
        <f t="shared" si="3"/>
        <v>0</v>
      </c>
      <c r="Q24" s="355"/>
    </row>
    <row r="25" ht="22.5" customHeight="1">
      <c r="A25" s="336">
        <v>40.0</v>
      </c>
      <c r="B25" s="337" t="s">
        <v>600</v>
      </c>
      <c r="C25" s="338" t="s">
        <v>67</v>
      </c>
      <c r="D25" s="339" t="s">
        <v>204</v>
      </c>
      <c r="E25" s="340" t="str">
        <f t="shared" ref="E25:E27" si="11">IMAGE("https://flagcdn.com/w320/de.png")</f>
        <v/>
      </c>
      <c r="F25" s="341">
        <v>37841.0</v>
      </c>
      <c r="G25" s="342">
        <f t="shared" si="1"/>
        <v>22</v>
      </c>
      <c r="H25" s="345">
        <v>0.0</v>
      </c>
      <c r="I25" s="345">
        <v>0.0</v>
      </c>
      <c r="J25" s="343"/>
      <c r="K25" s="343"/>
      <c r="L25" s="343"/>
      <c r="M25" s="343"/>
      <c r="N25" s="343"/>
      <c r="O25" s="343"/>
      <c r="P25" s="343">
        <f t="shared" si="3"/>
        <v>0</v>
      </c>
      <c r="Q25" s="343"/>
    </row>
    <row r="26" ht="22.5" customHeight="1">
      <c r="A26" s="347">
        <v>41.0</v>
      </c>
      <c r="B26" s="348" t="s">
        <v>601</v>
      </c>
      <c r="C26" s="349" t="s">
        <v>70</v>
      </c>
      <c r="D26" s="350" t="s">
        <v>602</v>
      </c>
      <c r="E26" s="351" t="str">
        <f t="shared" si="11"/>
        <v/>
      </c>
      <c r="F26" s="352">
        <v>38534.0</v>
      </c>
      <c r="G26" s="353">
        <f t="shared" si="1"/>
        <v>20</v>
      </c>
      <c r="H26" s="354">
        <v>0.0</v>
      </c>
      <c r="I26" s="354">
        <v>0.0</v>
      </c>
      <c r="J26" s="355"/>
      <c r="K26" s="355"/>
      <c r="L26" s="355"/>
      <c r="M26" s="355"/>
      <c r="N26" s="355"/>
      <c r="O26" s="355"/>
      <c r="P26" s="355">
        <f t="shared" si="3"/>
        <v>0</v>
      </c>
      <c r="Q26" s="355"/>
    </row>
    <row r="27" ht="22.5" customHeight="1">
      <c r="A27" s="347">
        <v>42.0</v>
      </c>
      <c r="B27" s="348" t="s">
        <v>603</v>
      </c>
      <c r="C27" s="349" t="s">
        <v>79</v>
      </c>
      <c r="D27" s="350" t="s">
        <v>204</v>
      </c>
      <c r="E27" s="351" t="str">
        <f t="shared" si="11"/>
        <v/>
      </c>
      <c r="F27" s="352">
        <v>39500.0</v>
      </c>
      <c r="G27" s="353">
        <f t="shared" si="1"/>
        <v>17</v>
      </c>
      <c r="H27" s="354">
        <f>1+1+1+1+1</f>
        <v>5</v>
      </c>
      <c r="I27" s="354">
        <f>19+68+80+75+66</f>
        <v>308</v>
      </c>
      <c r="J27" s="355">
        <f>1+1+1</f>
        <v>3</v>
      </c>
      <c r="K27" s="355"/>
      <c r="L27" s="355"/>
      <c r="M27" s="355"/>
      <c r="N27" s="355"/>
      <c r="O27" s="355"/>
      <c r="P27" s="355">
        <f t="shared" si="3"/>
        <v>3</v>
      </c>
      <c r="Q27" s="355"/>
    </row>
    <row r="28" ht="22.5" customHeight="1">
      <c r="A28" s="336">
        <v>44.0</v>
      </c>
      <c r="B28" s="337" t="s">
        <v>604</v>
      </c>
      <c r="C28" s="338" t="s">
        <v>70</v>
      </c>
      <c r="D28" s="339" t="s">
        <v>605</v>
      </c>
      <c r="E28" s="340" t="str">
        <f>IMAGE("https://flagcdn.com/w320/hr.png")</f>
        <v/>
      </c>
      <c r="F28" s="341">
        <v>36618.0</v>
      </c>
      <c r="G28" s="342">
        <f t="shared" si="1"/>
        <v>25</v>
      </c>
      <c r="H28" s="343">
        <f>1+1+1+1</f>
        <v>4</v>
      </c>
      <c r="I28" s="343">
        <f>50+90+90+87</f>
        <v>317</v>
      </c>
      <c r="J28" s="343"/>
      <c r="K28" s="343"/>
      <c r="L28" s="343">
        <f>1</f>
        <v>1</v>
      </c>
      <c r="M28" s="343"/>
      <c r="N28" s="343"/>
      <c r="O28" s="343"/>
      <c r="P28" s="343">
        <f t="shared" si="3"/>
        <v>0</v>
      </c>
      <c r="Q28" s="343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ht="22.5" customHeight="1">
      <c r="A29" s="336">
        <v>45.0</v>
      </c>
      <c r="B29" s="337" t="s">
        <v>606</v>
      </c>
      <c r="C29" s="338" t="s">
        <v>79</v>
      </c>
      <c r="D29" s="339" t="s">
        <v>607</v>
      </c>
      <c r="E29" s="340" t="str">
        <f t="shared" ref="E29:E30" si="12">IMAGE("https://flagcdn.com/w320/de.png")</f>
        <v/>
      </c>
      <c r="F29" s="341">
        <v>38110.0</v>
      </c>
      <c r="G29" s="342">
        <f t="shared" si="1"/>
        <v>21</v>
      </c>
      <c r="H29" s="343">
        <f>1+1+1+1+1+1+1</f>
        <v>7</v>
      </c>
      <c r="I29" s="343">
        <f>63+90+90+90+90+87+90</f>
        <v>600</v>
      </c>
      <c r="J29" s="343"/>
      <c r="K29" s="343"/>
      <c r="L29" s="343"/>
      <c r="M29" s="343"/>
      <c r="N29" s="343"/>
      <c r="O29" s="343"/>
      <c r="P29" s="343">
        <f t="shared" si="3"/>
        <v>0</v>
      </c>
      <c r="Q29" s="343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ht="22.5" customHeight="1">
      <c r="A30" s="347">
        <v>46.0</v>
      </c>
      <c r="B30" s="348" t="s">
        <v>608</v>
      </c>
      <c r="C30" s="349" t="s">
        <v>79</v>
      </c>
      <c r="D30" s="350" t="s">
        <v>204</v>
      </c>
      <c r="E30" s="351" t="str">
        <f t="shared" si="12"/>
        <v/>
      </c>
      <c r="F30" s="352">
        <v>39112.0</v>
      </c>
      <c r="G30" s="353">
        <f t="shared" si="1"/>
        <v>18</v>
      </c>
      <c r="H30" s="355"/>
      <c r="I30" s="355"/>
      <c r="J30" s="355"/>
      <c r="K30" s="355"/>
      <c r="L30" s="355"/>
      <c r="M30" s="355"/>
      <c r="N30" s="355"/>
      <c r="O30" s="355"/>
      <c r="P30" s="355">
        <f t="shared" si="3"/>
        <v>0</v>
      </c>
      <c r="Q30" s="35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ht="22.5" customHeight="1">
      <c r="A31" s="347">
        <v>47.0</v>
      </c>
      <c r="B31" s="356" t="s">
        <v>609</v>
      </c>
      <c r="C31" s="349" t="s">
        <v>79</v>
      </c>
      <c r="D31" s="350" t="s">
        <v>610</v>
      </c>
      <c r="E31" s="351" t="str">
        <f>IMAGE("https://flagcdn.com/w320/pt.png")</f>
        <v/>
      </c>
      <c r="F31" s="352">
        <v>39092.0</v>
      </c>
      <c r="G31" s="353">
        <f t="shared" si="1"/>
        <v>19</v>
      </c>
      <c r="H31" s="354">
        <v>0.0</v>
      </c>
      <c r="I31" s="354">
        <v>0.0</v>
      </c>
      <c r="J31" s="355"/>
      <c r="K31" s="355"/>
      <c r="L31" s="355"/>
      <c r="M31" s="355"/>
      <c r="N31" s="355"/>
      <c r="O31" s="355"/>
      <c r="P31" s="355">
        <f t="shared" si="3"/>
        <v>0</v>
      </c>
      <c r="Q31" s="35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ht="22.5" customHeight="1">
      <c r="A32" s="347">
        <v>48.0</v>
      </c>
      <c r="B32" s="348" t="s">
        <v>611</v>
      </c>
      <c r="C32" s="349" t="s">
        <v>67</v>
      </c>
      <c r="D32" s="350" t="s">
        <v>612</v>
      </c>
      <c r="E32" s="351" t="str">
        <f>IMAGE("https://flagcdn.com/w320/de.png")</f>
        <v/>
      </c>
      <c r="F32" s="352">
        <v>39142.0</v>
      </c>
      <c r="G32" s="353">
        <f t="shared" si="1"/>
        <v>18</v>
      </c>
      <c r="H32" s="354">
        <v>0.0</v>
      </c>
      <c r="I32" s="354">
        <v>0.0</v>
      </c>
      <c r="J32" s="355"/>
      <c r="K32" s="355"/>
      <c r="L32" s="355"/>
      <c r="M32" s="355"/>
      <c r="N32" s="355"/>
      <c r="O32" s="355"/>
      <c r="P32" s="355">
        <f t="shared" si="3"/>
        <v>0</v>
      </c>
      <c r="Q32" s="355"/>
    </row>
    <row r="33">
      <c r="A33" s="11"/>
      <c r="B33" s="18"/>
      <c r="C33" s="18"/>
      <c r="D33" s="64"/>
      <c r="E33" s="18"/>
      <c r="F33" s="66"/>
      <c r="G33" s="18"/>
      <c r="H33" s="11">
        <f>SUM(H2:H32)</f>
        <v>109</v>
      </c>
      <c r="I33" s="11">
        <f>SUM(I2:I32)+46+28</f>
        <v>6930</v>
      </c>
      <c r="J33" s="11">
        <f t="shared" ref="J33:Q33" si="13">SUM(J2:J32)</f>
        <v>19</v>
      </c>
      <c r="K33" s="11">
        <f t="shared" si="13"/>
        <v>13</v>
      </c>
      <c r="L33" s="11">
        <f t="shared" si="13"/>
        <v>14</v>
      </c>
      <c r="M33" s="11">
        <f t="shared" si="13"/>
        <v>2</v>
      </c>
      <c r="N33" s="11">
        <f t="shared" si="13"/>
        <v>2</v>
      </c>
      <c r="O33" s="11">
        <f t="shared" si="13"/>
        <v>1</v>
      </c>
      <c r="P33" s="11">
        <f t="shared" si="13"/>
        <v>32</v>
      </c>
      <c r="Q33" s="11">
        <f t="shared" si="13"/>
        <v>0</v>
      </c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ht="22.5" customHeight="1">
      <c r="A34" s="330" t="s">
        <v>150</v>
      </c>
      <c r="B34" s="331" t="s">
        <v>49</v>
      </c>
      <c r="C34" s="331" t="s">
        <v>265</v>
      </c>
      <c r="D34" s="357" t="s">
        <v>56</v>
      </c>
      <c r="E34" s="331" t="s">
        <v>57</v>
      </c>
      <c r="F34" s="331" t="s">
        <v>52</v>
      </c>
      <c r="G34" s="331" t="s">
        <v>53</v>
      </c>
      <c r="H34" s="358" t="s">
        <v>4</v>
      </c>
      <c r="I34" s="358" t="s">
        <v>5</v>
      </c>
      <c r="J34" s="358" t="s">
        <v>6</v>
      </c>
      <c r="K34" s="358" t="s">
        <v>7</v>
      </c>
      <c r="L34" s="358" t="s">
        <v>8</v>
      </c>
      <c r="M34" s="358" t="s">
        <v>9</v>
      </c>
      <c r="N34" s="358" t="s">
        <v>10</v>
      </c>
      <c r="O34" s="12"/>
      <c r="P34" s="12"/>
      <c r="Q34" s="12"/>
    </row>
    <row r="35" ht="22.5" customHeight="1">
      <c r="A35" s="359"/>
      <c r="B35" s="337" t="s">
        <v>613</v>
      </c>
      <c r="C35" s="337" t="s">
        <v>153</v>
      </c>
      <c r="D35" s="339" t="s">
        <v>614</v>
      </c>
      <c r="E35" s="340" t="str">
        <f>IMAGE("https://flagcdn.com/w320/be.png")</f>
        <v/>
      </c>
      <c r="F35" s="341">
        <v>31512.0</v>
      </c>
      <c r="G35" s="342">
        <f>DATEDIF(F35,TODAY(),"Y")</f>
        <v>39</v>
      </c>
      <c r="H35" s="360">
        <f>L35+M35+N35</f>
        <v>7</v>
      </c>
      <c r="I35" s="360">
        <f>(3*L35)+M35</f>
        <v>18</v>
      </c>
      <c r="J35" s="360">
        <f>3+5+4+2+1+3+2</f>
        <v>20</v>
      </c>
      <c r="K35" s="360">
        <f>1+1+1+3+1</f>
        <v>7</v>
      </c>
      <c r="L35" s="361">
        <f>1+1+1+1+1+1</f>
        <v>6</v>
      </c>
      <c r="M35" s="362">
        <f>0</f>
        <v>0</v>
      </c>
      <c r="N35" s="363">
        <f>1</f>
        <v>1</v>
      </c>
      <c r="O35" s="12"/>
      <c r="P35" s="12"/>
      <c r="Q35" s="12"/>
    </row>
    <row r="36">
      <c r="A36" s="11"/>
      <c r="B36" s="18"/>
      <c r="C36" s="18"/>
      <c r="D36" s="64"/>
      <c r="E36" s="18"/>
      <c r="F36" s="66"/>
      <c r="G36" s="18"/>
      <c r="H36" s="11">
        <f t="shared" ref="H36:N36" si="14">SUM(H35)</f>
        <v>7</v>
      </c>
      <c r="I36" s="11">
        <f t="shared" si="14"/>
        <v>18</v>
      </c>
      <c r="J36" s="11">
        <f t="shared" si="14"/>
        <v>20</v>
      </c>
      <c r="K36" s="11">
        <f t="shared" si="14"/>
        <v>7</v>
      </c>
      <c r="L36" s="11">
        <f t="shared" si="14"/>
        <v>6</v>
      </c>
      <c r="M36" s="11">
        <f t="shared" si="14"/>
        <v>0</v>
      </c>
      <c r="N36" s="11">
        <f t="shared" si="14"/>
        <v>1</v>
      </c>
      <c r="O36" s="11"/>
      <c r="P36" s="11"/>
      <c r="Q36" s="11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ht="22.5" customHeight="1">
      <c r="A37" s="330" t="s">
        <v>156</v>
      </c>
      <c r="B37" s="330" t="s">
        <v>157</v>
      </c>
      <c r="C37" s="330" t="s">
        <v>158</v>
      </c>
      <c r="D37" s="334" t="s">
        <v>615</v>
      </c>
      <c r="E37" s="330" t="s">
        <v>160</v>
      </c>
      <c r="F37" s="330" t="s">
        <v>161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22.5" customHeight="1">
      <c r="A38" s="86">
        <v>1.0</v>
      </c>
      <c r="B38" s="87" t="s">
        <v>13</v>
      </c>
      <c r="C38" s="87" t="s">
        <v>22</v>
      </c>
      <c r="D38" s="88" t="s">
        <v>616</v>
      </c>
      <c r="E38" s="89">
        <v>45717.0</v>
      </c>
      <c r="F38" s="87" t="s">
        <v>617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22.5" customHeight="1">
      <c r="A39" s="86">
        <v>2.0</v>
      </c>
      <c r="B39" s="87" t="s">
        <v>36</v>
      </c>
      <c r="C39" s="87" t="s">
        <v>13</v>
      </c>
      <c r="D39" s="88" t="s">
        <v>618</v>
      </c>
      <c r="E39" s="89">
        <v>45662.0</v>
      </c>
      <c r="F39" s="87" t="s">
        <v>619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22.5" customHeight="1">
      <c r="A40" s="86">
        <v>3.0</v>
      </c>
      <c r="B40" s="87" t="s">
        <v>13</v>
      </c>
      <c r="C40" s="87" t="s">
        <v>39</v>
      </c>
      <c r="D40" s="88" t="s">
        <v>620</v>
      </c>
      <c r="E40" s="161" t="s">
        <v>164</v>
      </c>
      <c r="F40" s="87" t="s">
        <v>617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22.5" customHeight="1">
      <c r="A41" s="86">
        <v>4.0</v>
      </c>
      <c r="B41" s="87" t="s">
        <v>15</v>
      </c>
      <c r="C41" s="87" t="s">
        <v>13</v>
      </c>
      <c r="D41" s="88" t="s">
        <v>621</v>
      </c>
      <c r="E41" s="89">
        <v>45659.0</v>
      </c>
      <c r="F41" s="87" t="s">
        <v>328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22.5" customHeight="1">
      <c r="A42" s="77">
        <v>5.0</v>
      </c>
      <c r="B42" s="78" t="s">
        <v>12</v>
      </c>
      <c r="C42" s="78" t="s">
        <v>13</v>
      </c>
      <c r="D42" s="83" t="s">
        <v>622</v>
      </c>
      <c r="E42" s="84">
        <v>45717.0</v>
      </c>
      <c r="F42" s="78" t="s">
        <v>272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22.5" customHeight="1">
      <c r="A43" s="364">
        <v>6.0</v>
      </c>
      <c r="B43" s="365" t="s">
        <v>13</v>
      </c>
      <c r="C43" s="365" t="s">
        <v>24</v>
      </c>
      <c r="D43" s="366" t="s">
        <v>623</v>
      </c>
      <c r="E43" s="367">
        <v>45717.0</v>
      </c>
      <c r="F43" s="365" t="s">
        <v>617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22.5" customHeight="1">
      <c r="A44" s="364">
        <v>7.0</v>
      </c>
      <c r="B44" s="365" t="s">
        <v>13</v>
      </c>
      <c r="C44" s="365" t="s">
        <v>37</v>
      </c>
      <c r="D44" s="366" t="s">
        <v>624</v>
      </c>
      <c r="E44" s="368" t="s">
        <v>271</v>
      </c>
      <c r="F44" s="365" t="s">
        <v>617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22.5" customHeight="1">
      <c r="A45" s="90">
        <v>8.0</v>
      </c>
      <c r="B45" s="91" t="s">
        <v>30</v>
      </c>
      <c r="C45" s="91" t="s">
        <v>13</v>
      </c>
      <c r="D45" s="92"/>
      <c r="E45" s="93"/>
      <c r="F45" s="94" t="s">
        <v>451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>
      <c r="A46" s="12"/>
      <c r="D46" s="95"/>
      <c r="F46" s="96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>
      <c r="A47" s="12"/>
      <c r="D47" s="95"/>
      <c r="F47" s="96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>
      <c r="A48" s="12"/>
      <c r="D48" s="95"/>
      <c r="F48" s="96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>
      <c r="A49" s="12"/>
      <c r="D49" s="95"/>
      <c r="F49" s="96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>
      <c r="A50" s="12"/>
      <c r="D50" s="95"/>
      <c r="F50" s="96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A51" s="12"/>
      <c r="D51" s="95"/>
      <c r="F51" s="96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A52" s="12"/>
      <c r="D52" s="95"/>
      <c r="F52" s="96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A53" s="12"/>
      <c r="D53" s="95"/>
      <c r="F53" s="96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A54" s="12"/>
      <c r="D54" s="95"/>
      <c r="F54" s="96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A55" s="12"/>
      <c r="D55" s="95"/>
      <c r="F55" s="96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A56" s="12"/>
      <c r="D56" s="95"/>
      <c r="F56" s="96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A57" s="12"/>
      <c r="D57" s="95"/>
      <c r="F57" s="96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A58" s="12"/>
      <c r="D58" s="95"/>
      <c r="F58" s="96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A59" s="12"/>
      <c r="D59" s="95"/>
      <c r="F59" s="96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A60" s="12"/>
      <c r="D60" s="95"/>
      <c r="F60" s="96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A61" s="12"/>
      <c r="D61" s="95"/>
      <c r="F61" s="96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A62" s="12"/>
      <c r="D62" s="95"/>
      <c r="F62" s="96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A63" s="12"/>
      <c r="D63" s="95"/>
      <c r="F63" s="96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A64" s="12"/>
      <c r="D64" s="95"/>
      <c r="F64" s="96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A65" s="12"/>
      <c r="D65" s="95"/>
      <c r="F65" s="96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A66" s="12"/>
      <c r="D66" s="95"/>
      <c r="F66" s="96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A67" s="12"/>
      <c r="D67" s="95"/>
      <c r="F67" s="96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A68" s="12"/>
      <c r="D68" s="95"/>
      <c r="F68" s="96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A69" s="12"/>
      <c r="D69" s="95"/>
      <c r="F69" s="96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A70" s="12"/>
      <c r="D70" s="95"/>
      <c r="F70" s="96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A71" s="12"/>
      <c r="D71" s="95"/>
      <c r="F71" s="96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A72" s="12"/>
      <c r="D72" s="95"/>
      <c r="F72" s="96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A73" s="12"/>
      <c r="D73" s="95"/>
      <c r="F73" s="96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A74" s="12"/>
      <c r="D74" s="95"/>
      <c r="F74" s="96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A75" s="12"/>
      <c r="D75" s="95"/>
      <c r="F75" s="96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A76" s="12"/>
      <c r="D76" s="95"/>
      <c r="F76" s="96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A77" s="12"/>
      <c r="D77" s="95"/>
      <c r="F77" s="96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A78" s="12"/>
      <c r="D78" s="95"/>
      <c r="F78" s="96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A79" s="12"/>
      <c r="D79" s="95"/>
      <c r="F79" s="96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A80" s="12"/>
      <c r="D80" s="95"/>
      <c r="F80" s="96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A81" s="12"/>
      <c r="D81" s="95"/>
      <c r="F81" s="96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A82" s="12"/>
      <c r="D82" s="95"/>
      <c r="F82" s="96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A83" s="12"/>
      <c r="D83" s="95"/>
      <c r="F83" s="96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A84" s="12"/>
      <c r="D84" s="95"/>
      <c r="F84" s="96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A85" s="12"/>
      <c r="D85" s="95"/>
      <c r="F85" s="96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A86" s="12"/>
      <c r="D86" s="95"/>
      <c r="F86" s="96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A87" s="12"/>
      <c r="D87" s="95"/>
      <c r="F87" s="96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A88" s="12"/>
      <c r="D88" s="95"/>
      <c r="F88" s="96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A89" s="12"/>
      <c r="D89" s="95"/>
      <c r="F89" s="96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A90" s="12"/>
      <c r="D90" s="95"/>
      <c r="F90" s="96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A91" s="12"/>
      <c r="D91" s="95"/>
      <c r="F91" s="96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A92" s="12"/>
      <c r="D92" s="95"/>
      <c r="F92" s="96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A93" s="12"/>
      <c r="D93" s="95"/>
      <c r="F93" s="96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A94" s="12"/>
      <c r="D94" s="95"/>
      <c r="F94" s="96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A95" s="12"/>
      <c r="D95" s="95"/>
      <c r="F95" s="96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A96" s="12"/>
      <c r="D96" s="95"/>
      <c r="F96" s="96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A97" s="12"/>
      <c r="D97" s="95"/>
      <c r="F97" s="96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A98" s="12"/>
      <c r="D98" s="95"/>
      <c r="F98" s="96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A99" s="12"/>
      <c r="D99" s="95"/>
      <c r="F99" s="96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A100" s="12"/>
      <c r="D100" s="95"/>
      <c r="F100" s="96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A101" s="12"/>
      <c r="D101" s="95"/>
      <c r="F101" s="96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A102" s="12"/>
      <c r="D102" s="95"/>
      <c r="F102" s="96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A103" s="12"/>
      <c r="D103" s="95"/>
      <c r="F103" s="96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12"/>
      <c r="D104" s="95"/>
      <c r="F104" s="96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12"/>
      <c r="D105" s="95"/>
      <c r="F105" s="96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12"/>
      <c r="D106" s="95"/>
      <c r="F106" s="96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12"/>
      <c r="D107" s="95"/>
      <c r="F107" s="96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A108" s="12"/>
      <c r="D108" s="95"/>
      <c r="F108" s="96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A109" s="12"/>
      <c r="D109" s="95"/>
      <c r="F109" s="96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A110" s="12"/>
      <c r="D110" s="95"/>
      <c r="F110" s="96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A111" s="12"/>
      <c r="D111" s="95"/>
      <c r="F111" s="96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A112" s="12"/>
      <c r="D112" s="95"/>
      <c r="F112" s="96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A113" s="12"/>
      <c r="D113" s="95"/>
      <c r="F113" s="96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A114" s="12"/>
      <c r="D114" s="95"/>
      <c r="F114" s="96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A115" s="12"/>
      <c r="D115" s="95"/>
      <c r="F115" s="96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A116" s="12"/>
      <c r="D116" s="95"/>
      <c r="F116" s="96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A117" s="12"/>
      <c r="D117" s="95"/>
      <c r="F117" s="96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A118" s="12"/>
      <c r="D118" s="95"/>
      <c r="F118" s="96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A119" s="12"/>
      <c r="D119" s="95"/>
      <c r="F119" s="96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A120" s="12"/>
      <c r="D120" s="95"/>
      <c r="F120" s="96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A121" s="12"/>
      <c r="D121" s="95"/>
      <c r="F121" s="96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A122" s="12"/>
      <c r="D122" s="95"/>
      <c r="F122" s="96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A123" s="12"/>
      <c r="D123" s="95"/>
      <c r="F123" s="96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A124" s="12"/>
      <c r="D124" s="95"/>
      <c r="F124" s="96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A125" s="12"/>
      <c r="D125" s="95"/>
      <c r="F125" s="96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A126" s="12"/>
      <c r="D126" s="95"/>
      <c r="F126" s="96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A127" s="12"/>
      <c r="D127" s="95"/>
      <c r="F127" s="96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A128" s="12"/>
      <c r="D128" s="95"/>
      <c r="F128" s="96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A129" s="12"/>
      <c r="D129" s="95"/>
      <c r="F129" s="96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A130" s="12"/>
      <c r="D130" s="95"/>
      <c r="F130" s="96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A131" s="12"/>
      <c r="D131" s="95"/>
      <c r="F131" s="96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A132" s="12"/>
      <c r="D132" s="95"/>
      <c r="F132" s="96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A133" s="12"/>
      <c r="D133" s="95"/>
      <c r="F133" s="96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A134" s="12"/>
      <c r="D134" s="95"/>
      <c r="F134" s="96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A135" s="12"/>
      <c r="D135" s="95"/>
      <c r="F135" s="96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A136" s="12"/>
      <c r="D136" s="95"/>
      <c r="F136" s="96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A137" s="12"/>
      <c r="D137" s="95"/>
      <c r="F137" s="96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A138" s="12"/>
      <c r="D138" s="95"/>
      <c r="F138" s="96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A139" s="12"/>
      <c r="D139" s="95"/>
      <c r="F139" s="96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A140" s="12"/>
      <c r="D140" s="95"/>
      <c r="F140" s="96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A141" s="12"/>
      <c r="D141" s="95"/>
      <c r="F141" s="96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A142" s="12"/>
      <c r="D142" s="95"/>
      <c r="F142" s="96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A143" s="12"/>
      <c r="D143" s="95"/>
      <c r="F143" s="96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A144" s="12"/>
      <c r="D144" s="95"/>
      <c r="F144" s="96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A145" s="12"/>
      <c r="D145" s="95"/>
      <c r="F145" s="96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A146" s="12"/>
      <c r="D146" s="95"/>
      <c r="F146" s="96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A147" s="12"/>
      <c r="D147" s="95"/>
      <c r="F147" s="96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A148" s="12"/>
      <c r="D148" s="95"/>
      <c r="F148" s="96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A149" s="12"/>
      <c r="D149" s="95"/>
      <c r="F149" s="96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A150" s="12"/>
      <c r="D150" s="95"/>
      <c r="F150" s="96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A151" s="12"/>
      <c r="D151" s="95"/>
      <c r="F151" s="96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A152" s="12"/>
      <c r="D152" s="95"/>
      <c r="F152" s="96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A153" s="12"/>
      <c r="D153" s="95"/>
      <c r="F153" s="96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A154" s="12"/>
      <c r="D154" s="95"/>
      <c r="F154" s="96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A155" s="12"/>
      <c r="D155" s="95"/>
      <c r="F155" s="96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A156" s="12"/>
      <c r="D156" s="95"/>
      <c r="F156" s="96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A157" s="12"/>
      <c r="D157" s="95"/>
      <c r="F157" s="96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A158" s="12"/>
      <c r="D158" s="95"/>
      <c r="F158" s="96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A159" s="12"/>
      <c r="D159" s="95"/>
      <c r="F159" s="96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A160" s="12"/>
      <c r="D160" s="95"/>
      <c r="F160" s="96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A161" s="12"/>
      <c r="D161" s="95"/>
      <c r="F161" s="96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A162" s="12"/>
      <c r="D162" s="95"/>
      <c r="F162" s="96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A163" s="12"/>
      <c r="D163" s="95"/>
      <c r="F163" s="96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A164" s="12"/>
      <c r="D164" s="95"/>
      <c r="F164" s="96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A165" s="12"/>
      <c r="D165" s="95"/>
      <c r="F165" s="96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A166" s="12"/>
      <c r="D166" s="95"/>
      <c r="F166" s="96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A167" s="12"/>
      <c r="D167" s="95"/>
      <c r="F167" s="96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A168" s="12"/>
      <c r="D168" s="95"/>
      <c r="F168" s="96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A169" s="12"/>
      <c r="D169" s="95"/>
      <c r="F169" s="96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A170" s="12"/>
      <c r="D170" s="95"/>
      <c r="F170" s="96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A171" s="12"/>
      <c r="D171" s="95"/>
      <c r="F171" s="96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A172" s="12"/>
      <c r="D172" s="95"/>
      <c r="F172" s="96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2"/>
      <c r="D173" s="95"/>
      <c r="F173" s="96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A174" s="12"/>
      <c r="D174" s="95"/>
      <c r="F174" s="96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A175" s="12"/>
      <c r="D175" s="95"/>
      <c r="F175" s="96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A176" s="12"/>
      <c r="D176" s="95"/>
      <c r="F176" s="96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A177" s="12"/>
      <c r="D177" s="95"/>
      <c r="F177" s="96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A178" s="12"/>
      <c r="D178" s="95"/>
      <c r="F178" s="96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A179" s="12"/>
      <c r="D179" s="95"/>
      <c r="F179" s="96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A180" s="12"/>
      <c r="D180" s="95"/>
      <c r="F180" s="96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A181" s="12"/>
      <c r="D181" s="95"/>
      <c r="F181" s="96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A182" s="12"/>
      <c r="D182" s="95"/>
      <c r="F182" s="96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A183" s="12"/>
      <c r="D183" s="95"/>
      <c r="F183" s="96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A184" s="12"/>
      <c r="D184" s="95"/>
      <c r="F184" s="96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A185" s="12"/>
      <c r="D185" s="95"/>
      <c r="F185" s="96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A186" s="12"/>
      <c r="D186" s="95"/>
      <c r="F186" s="96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A187" s="12"/>
      <c r="D187" s="95"/>
      <c r="F187" s="96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A188" s="12"/>
      <c r="D188" s="95"/>
      <c r="F188" s="96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A189" s="12"/>
      <c r="D189" s="95"/>
      <c r="F189" s="96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A190" s="12"/>
      <c r="D190" s="95"/>
      <c r="F190" s="96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A191" s="12"/>
      <c r="D191" s="95"/>
      <c r="F191" s="96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A192" s="12"/>
      <c r="D192" s="95"/>
      <c r="F192" s="96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A193" s="12"/>
      <c r="D193" s="95"/>
      <c r="F193" s="96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A194" s="12"/>
      <c r="D194" s="95"/>
      <c r="F194" s="96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A195" s="12"/>
      <c r="D195" s="95"/>
      <c r="F195" s="96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A196" s="12"/>
      <c r="D196" s="95"/>
      <c r="F196" s="96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A197" s="12"/>
      <c r="D197" s="95"/>
      <c r="F197" s="96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A198" s="12"/>
      <c r="D198" s="95"/>
      <c r="F198" s="96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A199" s="12"/>
      <c r="D199" s="95"/>
      <c r="F199" s="96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A200" s="12"/>
      <c r="D200" s="95"/>
      <c r="F200" s="96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A201" s="12"/>
      <c r="D201" s="95"/>
      <c r="F201" s="96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A202" s="12"/>
      <c r="D202" s="95"/>
      <c r="F202" s="96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A203" s="12"/>
      <c r="D203" s="95"/>
      <c r="F203" s="96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A204" s="12"/>
      <c r="D204" s="95"/>
      <c r="F204" s="96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A205" s="12"/>
      <c r="D205" s="95"/>
      <c r="F205" s="96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A206" s="12"/>
      <c r="D206" s="95"/>
      <c r="F206" s="96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A207" s="12"/>
      <c r="D207" s="95"/>
      <c r="F207" s="96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A208" s="12"/>
      <c r="D208" s="95"/>
      <c r="F208" s="96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A209" s="12"/>
      <c r="D209" s="95"/>
      <c r="F209" s="96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A210" s="12"/>
      <c r="D210" s="95"/>
      <c r="F210" s="96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A211" s="12"/>
      <c r="D211" s="95"/>
      <c r="F211" s="96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A212" s="12"/>
      <c r="D212" s="95"/>
      <c r="F212" s="96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A213" s="12"/>
      <c r="D213" s="95"/>
      <c r="F213" s="96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A214" s="12"/>
      <c r="D214" s="95"/>
      <c r="F214" s="96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A215" s="12"/>
      <c r="D215" s="95"/>
      <c r="F215" s="96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A216" s="12"/>
      <c r="D216" s="95"/>
      <c r="F216" s="96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A217" s="12"/>
      <c r="D217" s="95"/>
      <c r="F217" s="96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A218" s="12"/>
      <c r="D218" s="95"/>
      <c r="F218" s="96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A219" s="12"/>
      <c r="D219" s="95"/>
      <c r="F219" s="96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A220" s="12"/>
      <c r="D220" s="95"/>
      <c r="F220" s="96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A221" s="12"/>
      <c r="D221" s="95"/>
      <c r="F221" s="96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A222" s="12"/>
      <c r="D222" s="95"/>
      <c r="F222" s="96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A223" s="12"/>
      <c r="D223" s="95"/>
      <c r="F223" s="96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A224" s="12"/>
      <c r="D224" s="95"/>
      <c r="F224" s="96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A225" s="12"/>
      <c r="D225" s="95"/>
      <c r="F225" s="96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A226" s="12"/>
      <c r="D226" s="95"/>
      <c r="F226" s="96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A227" s="12"/>
      <c r="D227" s="95"/>
      <c r="F227" s="96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A228" s="12"/>
      <c r="D228" s="95"/>
      <c r="F228" s="96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A229" s="12"/>
      <c r="D229" s="95"/>
      <c r="F229" s="96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A230" s="12"/>
      <c r="D230" s="95"/>
      <c r="F230" s="96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A231" s="12"/>
      <c r="D231" s="95"/>
      <c r="F231" s="96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A232" s="12"/>
      <c r="D232" s="95"/>
      <c r="F232" s="96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A233" s="12"/>
      <c r="D233" s="95"/>
      <c r="F233" s="96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A234" s="12"/>
      <c r="D234" s="95"/>
      <c r="F234" s="96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A235" s="12"/>
      <c r="D235" s="95"/>
      <c r="F235" s="96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A236" s="12"/>
      <c r="D236" s="95"/>
      <c r="F236" s="96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A237" s="12"/>
      <c r="D237" s="95"/>
      <c r="F237" s="96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A238" s="12"/>
      <c r="D238" s="95"/>
      <c r="F238" s="96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A239" s="12"/>
      <c r="D239" s="95"/>
      <c r="F239" s="96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A240" s="12"/>
      <c r="D240" s="95"/>
      <c r="F240" s="96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A241" s="12"/>
      <c r="D241" s="95"/>
      <c r="F241" s="96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A242" s="12"/>
      <c r="D242" s="95"/>
      <c r="F242" s="96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A243" s="12"/>
      <c r="D243" s="95"/>
      <c r="F243" s="96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A244" s="12"/>
      <c r="D244" s="95"/>
      <c r="F244" s="96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A245" s="12"/>
      <c r="D245" s="95"/>
      <c r="F245" s="96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A246" s="12"/>
      <c r="D246" s="95"/>
      <c r="F246" s="96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A247" s="12"/>
      <c r="D247" s="95"/>
      <c r="F247" s="96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A248" s="12"/>
      <c r="D248" s="95"/>
      <c r="F248" s="96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A249" s="12"/>
      <c r="D249" s="95"/>
      <c r="F249" s="96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A250" s="12"/>
      <c r="D250" s="95"/>
      <c r="F250" s="96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A251" s="12"/>
      <c r="D251" s="95"/>
      <c r="F251" s="96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A252" s="12"/>
      <c r="D252" s="95"/>
      <c r="F252" s="96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A253" s="12"/>
      <c r="D253" s="95"/>
      <c r="F253" s="96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A254" s="12"/>
      <c r="D254" s="95"/>
      <c r="F254" s="96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A255" s="12"/>
      <c r="D255" s="95"/>
      <c r="F255" s="96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A256" s="12"/>
      <c r="D256" s="95"/>
      <c r="F256" s="96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A257" s="12"/>
      <c r="D257" s="95"/>
      <c r="F257" s="96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A258" s="12"/>
      <c r="D258" s="95"/>
      <c r="F258" s="96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A259" s="12"/>
      <c r="D259" s="95"/>
      <c r="F259" s="96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A260" s="12"/>
      <c r="D260" s="95"/>
      <c r="F260" s="96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A261" s="12"/>
      <c r="D261" s="95"/>
      <c r="F261" s="96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A262" s="12"/>
      <c r="D262" s="95"/>
      <c r="F262" s="96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A263" s="12"/>
      <c r="D263" s="95"/>
      <c r="F263" s="96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A264" s="12"/>
      <c r="D264" s="95"/>
      <c r="F264" s="96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A265" s="12"/>
      <c r="D265" s="95"/>
      <c r="F265" s="96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A266" s="12"/>
      <c r="D266" s="95"/>
      <c r="F266" s="96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A267" s="12"/>
      <c r="D267" s="95"/>
      <c r="F267" s="96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A268" s="12"/>
      <c r="D268" s="95"/>
      <c r="F268" s="96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A269" s="12"/>
      <c r="D269" s="95"/>
      <c r="F269" s="96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A270" s="12"/>
      <c r="D270" s="95"/>
      <c r="F270" s="96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A271" s="12"/>
      <c r="D271" s="95"/>
      <c r="F271" s="96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A272" s="12"/>
      <c r="D272" s="95"/>
      <c r="F272" s="96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A273" s="12"/>
      <c r="D273" s="95"/>
      <c r="F273" s="96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A274" s="12"/>
      <c r="D274" s="95"/>
      <c r="F274" s="96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A275" s="12"/>
      <c r="D275" s="95"/>
      <c r="F275" s="96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A276" s="12"/>
      <c r="D276" s="95"/>
      <c r="F276" s="96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A277" s="12"/>
      <c r="D277" s="95"/>
      <c r="F277" s="96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A278" s="12"/>
      <c r="D278" s="95"/>
      <c r="F278" s="96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A279" s="12"/>
      <c r="D279" s="95"/>
      <c r="F279" s="96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A280" s="12"/>
      <c r="D280" s="95"/>
      <c r="F280" s="96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A281" s="12"/>
      <c r="D281" s="95"/>
      <c r="F281" s="96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A282" s="12"/>
      <c r="D282" s="95"/>
      <c r="F282" s="96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A283" s="12"/>
      <c r="D283" s="95"/>
      <c r="F283" s="96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A284" s="12"/>
      <c r="D284" s="95"/>
      <c r="F284" s="96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A285" s="12"/>
      <c r="D285" s="95"/>
      <c r="F285" s="96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A286" s="12"/>
      <c r="D286" s="95"/>
      <c r="F286" s="96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A287" s="12"/>
      <c r="D287" s="95"/>
      <c r="F287" s="96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A288" s="12"/>
      <c r="D288" s="95"/>
      <c r="F288" s="96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A289" s="12"/>
      <c r="D289" s="95"/>
      <c r="F289" s="96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A290" s="12"/>
      <c r="D290" s="95"/>
      <c r="F290" s="96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A291" s="12"/>
      <c r="D291" s="95"/>
      <c r="F291" s="96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A292" s="12"/>
      <c r="D292" s="95"/>
      <c r="F292" s="96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A293" s="12"/>
      <c r="D293" s="95"/>
      <c r="F293" s="96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A294" s="12"/>
      <c r="D294" s="95"/>
      <c r="F294" s="96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A295" s="12"/>
      <c r="D295" s="95"/>
      <c r="F295" s="96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A296" s="12"/>
      <c r="D296" s="95"/>
      <c r="F296" s="96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A297" s="12"/>
      <c r="D297" s="95"/>
      <c r="F297" s="96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A298" s="12"/>
      <c r="D298" s="95"/>
      <c r="F298" s="96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A299" s="12"/>
      <c r="D299" s="95"/>
      <c r="F299" s="96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A300" s="12"/>
      <c r="D300" s="95"/>
      <c r="F300" s="96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A301" s="12"/>
      <c r="D301" s="95"/>
      <c r="F301" s="96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A302" s="12"/>
      <c r="D302" s="95"/>
      <c r="F302" s="96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A303" s="12"/>
      <c r="D303" s="95"/>
      <c r="F303" s="96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A304" s="12"/>
      <c r="D304" s="95"/>
      <c r="F304" s="96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A305" s="12"/>
      <c r="D305" s="95"/>
      <c r="F305" s="96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A306" s="12"/>
      <c r="D306" s="95"/>
      <c r="F306" s="96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A307" s="12"/>
      <c r="D307" s="95"/>
      <c r="F307" s="96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A308" s="12"/>
      <c r="D308" s="95"/>
      <c r="F308" s="96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A309" s="12"/>
      <c r="D309" s="95"/>
      <c r="F309" s="96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A310" s="12"/>
      <c r="D310" s="95"/>
      <c r="F310" s="96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A311" s="12"/>
      <c r="D311" s="95"/>
      <c r="F311" s="96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A312" s="12"/>
      <c r="D312" s="95"/>
      <c r="F312" s="96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A313" s="12"/>
      <c r="D313" s="95"/>
      <c r="F313" s="96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A314" s="12"/>
      <c r="D314" s="95"/>
      <c r="F314" s="96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A315" s="12"/>
      <c r="D315" s="95"/>
      <c r="F315" s="96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A316" s="12"/>
      <c r="D316" s="95"/>
      <c r="F316" s="96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A317" s="12"/>
      <c r="D317" s="95"/>
      <c r="F317" s="96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A318" s="12"/>
      <c r="D318" s="95"/>
      <c r="F318" s="96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A319" s="12"/>
      <c r="D319" s="95"/>
      <c r="F319" s="96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A320" s="12"/>
      <c r="D320" s="95"/>
      <c r="F320" s="96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A321" s="12"/>
      <c r="D321" s="95"/>
      <c r="F321" s="96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A322" s="12"/>
      <c r="D322" s="95"/>
      <c r="F322" s="96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A323" s="12"/>
      <c r="D323" s="95"/>
      <c r="F323" s="96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A324" s="12"/>
      <c r="D324" s="95"/>
      <c r="F324" s="96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A325" s="12"/>
      <c r="D325" s="95"/>
      <c r="F325" s="96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A326" s="12"/>
      <c r="D326" s="95"/>
      <c r="F326" s="96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A327" s="12"/>
      <c r="D327" s="95"/>
      <c r="F327" s="96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A328" s="12"/>
      <c r="D328" s="95"/>
      <c r="F328" s="96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A329" s="12"/>
      <c r="D329" s="95"/>
      <c r="F329" s="96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A330" s="12"/>
      <c r="D330" s="95"/>
      <c r="F330" s="96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A331" s="12"/>
      <c r="D331" s="95"/>
      <c r="F331" s="96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A332" s="12"/>
      <c r="D332" s="95"/>
      <c r="F332" s="96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A333" s="12"/>
      <c r="D333" s="95"/>
      <c r="F333" s="96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A334" s="12"/>
      <c r="D334" s="95"/>
      <c r="F334" s="96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A335" s="12"/>
      <c r="D335" s="95"/>
      <c r="F335" s="96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A336" s="12"/>
      <c r="D336" s="95"/>
      <c r="F336" s="96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A337" s="12"/>
      <c r="D337" s="95"/>
      <c r="F337" s="96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A338" s="12"/>
      <c r="D338" s="95"/>
      <c r="F338" s="96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A339" s="12"/>
      <c r="D339" s="95"/>
      <c r="F339" s="96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A340" s="12"/>
      <c r="D340" s="95"/>
      <c r="F340" s="96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A341" s="12"/>
      <c r="D341" s="95"/>
      <c r="F341" s="96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A342" s="12"/>
      <c r="D342" s="95"/>
      <c r="F342" s="96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A343" s="12"/>
      <c r="D343" s="95"/>
      <c r="F343" s="96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A344" s="12"/>
      <c r="D344" s="95"/>
      <c r="F344" s="96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A345" s="12"/>
      <c r="D345" s="95"/>
      <c r="F345" s="96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A346" s="12"/>
      <c r="D346" s="95"/>
      <c r="F346" s="96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A347" s="12"/>
      <c r="D347" s="95"/>
      <c r="F347" s="96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A348" s="12"/>
      <c r="D348" s="95"/>
      <c r="F348" s="96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A349" s="12"/>
      <c r="D349" s="95"/>
      <c r="F349" s="96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A350" s="12"/>
      <c r="D350" s="95"/>
      <c r="F350" s="96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A351" s="12"/>
      <c r="D351" s="95"/>
      <c r="F351" s="96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A352" s="12"/>
      <c r="D352" s="95"/>
      <c r="F352" s="96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A353" s="12"/>
      <c r="D353" s="95"/>
      <c r="F353" s="96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A354" s="12"/>
      <c r="D354" s="95"/>
      <c r="F354" s="96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A355" s="12"/>
      <c r="D355" s="95"/>
      <c r="F355" s="96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A356" s="12"/>
      <c r="D356" s="95"/>
      <c r="F356" s="96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A357" s="12"/>
      <c r="D357" s="95"/>
      <c r="F357" s="96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A358" s="12"/>
      <c r="D358" s="95"/>
      <c r="F358" s="96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A359" s="12"/>
      <c r="D359" s="95"/>
      <c r="F359" s="96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A360" s="12"/>
      <c r="D360" s="95"/>
      <c r="F360" s="96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A361" s="12"/>
      <c r="D361" s="95"/>
      <c r="F361" s="96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A362" s="12"/>
      <c r="D362" s="95"/>
      <c r="F362" s="96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A363" s="12"/>
      <c r="D363" s="95"/>
      <c r="F363" s="96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A364" s="12"/>
      <c r="D364" s="95"/>
      <c r="F364" s="96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A365" s="12"/>
      <c r="D365" s="95"/>
      <c r="F365" s="96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A366" s="12"/>
      <c r="D366" s="95"/>
      <c r="F366" s="96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A367" s="12"/>
      <c r="D367" s="95"/>
      <c r="F367" s="96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A368" s="12"/>
      <c r="D368" s="95"/>
      <c r="F368" s="96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A369" s="12"/>
      <c r="D369" s="95"/>
      <c r="F369" s="96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A370" s="12"/>
      <c r="D370" s="95"/>
      <c r="F370" s="96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A371" s="12"/>
      <c r="D371" s="95"/>
      <c r="F371" s="96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A372" s="12"/>
      <c r="D372" s="95"/>
      <c r="F372" s="96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A373" s="12"/>
      <c r="D373" s="95"/>
      <c r="F373" s="96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A374" s="12"/>
      <c r="D374" s="95"/>
      <c r="F374" s="96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A375" s="12"/>
      <c r="D375" s="95"/>
      <c r="F375" s="96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A376" s="12"/>
      <c r="D376" s="95"/>
      <c r="F376" s="96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A377" s="12"/>
      <c r="D377" s="95"/>
      <c r="F377" s="96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A378" s="12"/>
      <c r="D378" s="95"/>
      <c r="F378" s="96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A379" s="12"/>
      <c r="D379" s="95"/>
      <c r="F379" s="96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A380" s="12"/>
      <c r="D380" s="95"/>
      <c r="F380" s="96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A381" s="12"/>
      <c r="D381" s="95"/>
      <c r="F381" s="96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A382" s="12"/>
      <c r="D382" s="95"/>
      <c r="F382" s="96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A383" s="12"/>
      <c r="D383" s="95"/>
      <c r="F383" s="96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A384" s="12"/>
      <c r="D384" s="95"/>
      <c r="F384" s="96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A385" s="12"/>
      <c r="D385" s="95"/>
      <c r="F385" s="96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A386" s="12"/>
      <c r="D386" s="95"/>
      <c r="F386" s="96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A387" s="12"/>
      <c r="D387" s="95"/>
      <c r="F387" s="96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A388" s="12"/>
      <c r="D388" s="95"/>
      <c r="F388" s="96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A389" s="12"/>
      <c r="D389" s="95"/>
      <c r="F389" s="96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A390" s="12"/>
      <c r="D390" s="95"/>
      <c r="F390" s="96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A391" s="12"/>
      <c r="D391" s="95"/>
      <c r="F391" s="96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A392" s="12"/>
      <c r="D392" s="95"/>
      <c r="F392" s="96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A393" s="12"/>
      <c r="D393" s="95"/>
      <c r="F393" s="96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A394" s="12"/>
      <c r="D394" s="95"/>
      <c r="F394" s="96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A395" s="12"/>
      <c r="D395" s="95"/>
      <c r="F395" s="96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A396" s="12"/>
      <c r="D396" s="95"/>
      <c r="F396" s="96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A397" s="12"/>
      <c r="D397" s="95"/>
      <c r="F397" s="96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A398" s="12"/>
      <c r="D398" s="95"/>
      <c r="F398" s="96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A399" s="12"/>
      <c r="D399" s="95"/>
      <c r="F399" s="96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A400" s="12"/>
      <c r="D400" s="95"/>
      <c r="F400" s="96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A401" s="12"/>
      <c r="D401" s="95"/>
      <c r="F401" s="96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A402" s="12"/>
      <c r="D402" s="95"/>
      <c r="F402" s="96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A403" s="12"/>
      <c r="D403" s="95"/>
      <c r="F403" s="96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A404" s="12"/>
      <c r="D404" s="95"/>
      <c r="F404" s="96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A405" s="12"/>
      <c r="D405" s="95"/>
      <c r="F405" s="96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A406" s="12"/>
      <c r="D406" s="95"/>
      <c r="F406" s="96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A407" s="12"/>
      <c r="D407" s="95"/>
      <c r="F407" s="96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A408" s="12"/>
      <c r="D408" s="95"/>
      <c r="F408" s="96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A409" s="12"/>
      <c r="D409" s="95"/>
      <c r="F409" s="96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A410" s="12"/>
      <c r="D410" s="95"/>
      <c r="F410" s="96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A411" s="12"/>
      <c r="D411" s="95"/>
      <c r="F411" s="96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A412" s="12"/>
      <c r="D412" s="95"/>
      <c r="F412" s="96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A413" s="12"/>
      <c r="D413" s="95"/>
      <c r="F413" s="96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A414" s="12"/>
      <c r="D414" s="95"/>
      <c r="F414" s="96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A415" s="12"/>
      <c r="D415" s="95"/>
      <c r="F415" s="96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A416" s="12"/>
      <c r="D416" s="95"/>
      <c r="F416" s="96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A417" s="12"/>
      <c r="D417" s="95"/>
      <c r="F417" s="96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A418" s="12"/>
      <c r="D418" s="95"/>
      <c r="F418" s="96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A419" s="12"/>
      <c r="D419" s="95"/>
      <c r="F419" s="96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A420" s="12"/>
      <c r="D420" s="95"/>
      <c r="F420" s="96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A421" s="12"/>
      <c r="D421" s="95"/>
      <c r="F421" s="96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A422" s="12"/>
      <c r="D422" s="95"/>
      <c r="F422" s="96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A423" s="12"/>
      <c r="D423" s="95"/>
      <c r="F423" s="96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A424" s="12"/>
      <c r="D424" s="95"/>
      <c r="F424" s="96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A425" s="12"/>
      <c r="D425" s="95"/>
      <c r="F425" s="96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A426" s="12"/>
      <c r="D426" s="95"/>
      <c r="F426" s="96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A427" s="12"/>
      <c r="D427" s="95"/>
      <c r="F427" s="96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A428" s="12"/>
      <c r="D428" s="95"/>
      <c r="F428" s="96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A429" s="12"/>
      <c r="D429" s="95"/>
      <c r="F429" s="96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A430" s="12"/>
      <c r="D430" s="95"/>
      <c r="F430" s="96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A431" s="12"/>
      <c r="D431" s="95"/>
      <c r="F431" s="96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A432" s="12"/>
      <c r="D432" s="95"/>
      <c r="F432" s="96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A433" s="12"/>
      <c r="D433" s="95"/>
      <c r="F433" s="96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A434" s="12"/>
      <c r="D434" s="95"/>
      <c r="F434" s="96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A435" s="12"/>
      <c r="D435" s="95"/>
      <c r="F435" s="96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A436" s="12"/>
      <c r="D436" s="95"/>
      <c r="F436" s="96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A437" s="12"/>
      <c r="D437" s="95"/>
      <c r="F437" s="96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A438" s="12"/>
      <c r="D438" s="95"/>
      <c r="F438" s="96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A439" s="12"/>
      <c r="D439" s="95"/>
      <c r="F439" s="96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A440" s="12"/>
      <c r="D440" s="95"/>
      <c r="F440" s="96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A441" s="12"/>
      <c r="D441" s="95"/>
      <c r="F441" s="96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A442" s="12"/>
      <c r="D442" s="95"/>
      <c r="F442" s="96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A443" s="12"/>
      <c r="D443" s="95"/>
      <c r="F443" s="96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A444" s="12"/>
      <c r="D444" s="95"/>
      <c r="F444" s="96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A445" s="12"/>
      <c r="D445" s="95"/>
      <c r="F445" s="96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A446" s="12"/>
      <c r="D446" s="95"/>
      <c r="F446" s="96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A447" s="12"/>
      <c r="D447" s="95"/>
      <c r="F447" s="96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A448" s="12"/>
      <c r="D448" s="95"/>
      <c r="F448" s="96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A449" s="12"/>
      <c r="D449" s="95"/>
      <c r="F449" s="96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A450" s="12"/>
      <c r="D450" s="95"/>
      <c r="F450" s="96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A451" s="12"/>
      <c r="D451" s="95"/>
      <c r="F451" s="96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A452" s="12"/>
      <c r="D452" s="95"/>
      <c r="F452" s="96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A453" s="12"/>
      <c r="D453" s="95"/>
      <c r="F453" s="96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A454" s="12"/>
      <c r="D454" s="95"/>
      <c r="F454" s="96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A455" s="12"/>
      <c r="D455" s="95"/>
      <c r="F455" s="96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A456" s="12"/>
      <c r="D456" s="95"/>
      <c r="F456" s="96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A457" s="12"/>
      <c r="D457" s="95"/>
      <c r="F457" s="96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A458" s="12"/>
      <c r="D458" s="95"/>
      <c r="F458" s="96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A459" s="12"/>
      <c r="D459" s="95"/>
      <c r="F459" s="96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A460" s="12"/>
      <c r="D460" s="95"/>
      <c r="F460" s="96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A461" s="12"/>
      <c r="D461" s="95"/>
      <c r="F461" s="96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A462" s="12"/>
      <c r="D462" s="95"/>
      <c r="F462" s="96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A463" s="12"/>
      <c r="D463" s="95"/>
      <c r="F463" s="96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A464" s="12"/>
      <c r="D464" s="95"/>
      <c r="F464" s="96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A465" s="12"/>
      <c r="D465" s="95"/>
      <c r="F465" s="96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A466" s="12"/>
      <c r="D466" s="95"/>
      <c r="F466" s="96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A467" s="12"/>
      <c r="D467" s="95"/>
      <c r="F467" s="96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A468" s="12"/>
      <c r="D468" s="95"/>
      <c r="F468" s="96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A469" s="12"/>
      <c r="D469" s="95"/>
      <c r="F469" s="96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A470" s="12"/>
      <c r="D470" s="95"/>
      <c r="F470" s="96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A471" s="12"/>
      <c r="D471" s="95"/>
      <c r="F471" s="96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A472" s="12"/>
      <c r="D472" s="95"/>
      <c r="F472" s="96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A473" s="12"/>
      <c r="D473" s="95"/>
      <c r="F473" s="96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A474" s="12"/>
      <c r="D474" s="95"/>
      <c r="F474" s="96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A475" s="12"/>
      <c r="D475" s="95"/>
      <c r="F475" s="96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A476" s="12"/>
      <c r="D476" s="95"/>
      <c r="F476" s="96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A477" s="12"/>
      <c r="D477" s="95"/>
      <c r="F477" s="96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A478" s="12"/>
      <c r="D478" s="95"/>
      <c r="F478" s="96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A479" s="12"/>
      <c r="D479" s="95"/>
      <c r="F479" s="96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A480" s="12"/>
      <c r="D480" s="95"/>
      <c r="F480" s="96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A481" s="12"/>
      <c r="D481" s="95"/>
      <c r="F481" s="96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A482" s="12"/>
      <c r="D482" s="95"/>
      <c r="F482" s="96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A483" s="12"/>
      <c r="D483" s="95"/>
      <c r="F483" s="96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A484" s="12"/>
      <c r="D484" s="95"/>
      <c r="F484" s="96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A485" s="12"/>
      <c r="D485" s="95"/>
      <c r="F485" s="96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A486" s="12"/>
      <c r="D486" s="95"/>
      <c r="F486" s="96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A487" s="12"/>
      <c r="D487" s="95"/>
      <c r="F487" s="96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A488" s="12"/>
      <c r="D488" s="95"/>
      <c r="F488" s="96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A489" s="12"/>
      <c r="D489" s="95"/>
      <c r="F489" s="96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A490" s="12"/>
      <c r="D490" s="95"/>
      <c r="F490" s="96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A491" s="12"/>
      <c r="D491" s="95"/>
      <c r="F491" s="96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A492" s="12"/>
      <c r="D492" s="95"/>
      <c r="F492" s="96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A493" s="12"/>
      <c r="D493" s="95"/>
      <c r="F493" s="96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A494" s="12"/>
      <c r="D494" s="95"/>
      <c r="F494" s="96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A495" s="12"/>
      <c r="D495" s="95"/>
      <c r="F495" s="96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A496" s="12"/>
      <c r="D496" s="95"/>
      <c r="F496" s="96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A497" s="12"/>
      <c r="D497" s="95"/>
      <c r="F497" s="96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A498" s="12"/>
      <c r="D498" s="95"/>
      <c r="F498" s="96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A499" s="12"/>
      <c r="D499" s="95"/>
      <c r="F499" s="96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A500" s="12"/>
      <c r="D500" s="95"/>
      <c r="F500" s="96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A501" s="12"/>
      <c r="D501" s="95"/>
      <c r="F501" s="96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A502" s="12"/>
      <c r="D502" s="95"/>
      <c r="F502" s="96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A503" s="12"/>
      <c r="D503" s="95"/>
      <c r="F503" s="96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A504" s="12"/>
      <c r="D504" s="95"/>
      <c r="F504" s="96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A505" s="12"/>
      <c r="D505" s="95"/>
      <c r="F505" s="96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A506" s="12"/>
      <c r="D506" s="95"/>
      <c r="F506" s="96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A507" s="12"/>
      <c r="D507" s="95"/>
      <c r="F507" s="96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A508" s="12"/>
      <c r="D508" s="95"/>
      <c r="F508" s="96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A509" s="12"/>
      <c r="D509" s="95"/>
      <c r="F509" s="96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A510" s="12"/>
      <c r="D510" s="95"/>
      <c r="F510" s="96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A511" s="12"/>
      <c r="D511" s="95"/>
      <c r="F511" s="96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A512" s="12"/>
      <c r="D512" s="95"/>
      <c r="F512" s="96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A513" s="12"/>
      <c r="D513" s="95"/>
      <c r="F513" s="96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A514" s="12"/>
      <c r="D514" s="95"/>
      <c r="F514" s="96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A515" s="12"/>
      <c r="D515" s="95"/>
      <c r="F515" s="96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A516" s="12"/>
      <c r="D516" s="95"/>
      <c r="F516" s="96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A517" s="12"/>
      <c r="D517" s="95"/>
      <c r="F517" s="96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A518" s="12"/>
      <c r="D518" s="95"/>
      <c r="F518" s="96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A519" s="12"/>
      <c r="D519" s="95"/>
      <c r="F519" s="96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A520" s="12"/>
      <c r="D520" s="95"/>
      <c r="F520" s="96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A521" s="12"/>
      <c r="D521" s="95"/>
      <c r="F521" s="96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A522" s="12"/>
      <c r="D522" s="95"/>
      <c r="F522" s="96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A523" s="12"/>
      <c r="D523" s="95"/>
      <c r="F523" s="96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A524" s="12"/>
      <c r="D524" s="95"/>
      <c r="F524" s="96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A525" s="12"/>
      <c r="D525" s="95"/>
      <c r="F525" s="96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A526" s="12"/>
      <c r="D526" s="95"/>
      <c r="F526" s="96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A527" s="12"/>
      <c r="D527" s="95"/>
      <c r="F527" s="96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A528" s="12"/>
      <c r="D528" s="95"/>
      <c r="F528" s="96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A529" s="12"/>
      <c r="D529" s="95"/>
      <c r="F529" s="96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A530" s="12"/>
      <c r="D530" s="95"/>
      <c r="F530" s="96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A531" s="12"/>
      <c r="D531" s="95"/>
      <c r="F531" s="96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A532" s="12"/>
      <c r="D532" s="95"/>
      <c r="F532" s="96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A533" s="12"/>
      <c r="D533" s="95"/>
      <c r="F533" s="96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A534" s="12"/>
      <c r="D534" s="95"/>
      <c r="F534" s="96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A535" s="12"/>
      <c r="D535" s="95"/>
      <c r="F535" s="96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A536" s="12"/>
      <c r="D536" s="95"/>
      <c r="F536" s="96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A537" s="12"/>
      <c r="D537" s="95"/>
      <c r="F537" s="96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A538" s="12"/>
      <c r="D538" s="95"/>
      <c r="F538" s="96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A539" s="12"/>
      <c r="D539" s="95"/>
      <c r="F539" s="96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A540" s="12"/>
      <c r="D540" s="95"/>
      <c r="F540" s="96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A541" s="12"/>
      <c r="D541" s="95"/>
      <c r="F541" s="96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A542" s="12"/>
      <c r="D542" s="95"/>
      <c r="F542" s="96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A543" s="12"/>
      <c r="D543" s="95"/>
      <c r="F543" s="96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A544" s="12"/>
      <c r="D544" s="95"/>
      <c r="F544" s="96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A545" s="12"/>
      <c r="D545" s="95"/>
      <c r="F545" s="96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A546" s="12"/>
      <c r="D546" s="95"/>
      <c r="F546" s="96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A547" s="12"/>
      <c r="D547" s="95"/>
      <c r="F547" s="96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A548" s="12"/>
      <c r="D548" s="95"/>
      <c r="F548" s="96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A549" s="12"/>
      <c r="D549" s="95"/>
      <c r="F549" s="96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A550" s="12"/>
      <c r="D550" s="95"/>
      <c r="F550" s="96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A551" s="12"/>
      <c r="D551" s="95"/>
      <c r="F551" s="96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A552" s="12"/>
      <c r="D552" s="95"/>
      <c r="F552" s="96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A553" s="12"/>
      <c r="D553" s="95"/>
      <c r="F553" s="96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A554" s="12"/>
      <c r="D554" s="95"/>
      <c r="F554" s="96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A555" s="12"/>
      <c r="D555" s="95"/>
      <c r="F555" s="96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A556" s="12"/>
      <c r="D556" s="95"/>
      <c r="F556" s="96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A557" s="12"/>
      <c r="D557" s="95"/>
      <c r="F557" s="96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A558" s="12"/>
      <c r="D558" s="95"/>
      <c r="F558" s="96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A559" s="12"/>
      <c r="D559" s="95"/>
      <c r="F559" s="96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A560" s="12"/>
      <c r="D560" s="95"/>
      <c r="F560" s="96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A561" s="12"/>
      <c r="D561" s="95"/>
      <c r="F561" s="96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A562" s="12"/>
      <c r="D562" s="95"/>
      <c r="F562" s="96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A563" s="12"/>
      <c r="D563" s="95"/>
      <c r="F563" s="96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A564" s="12"/>
      <c r="D564" s="95"/>
      <c r="F564" s="96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A565" s="12"/>
      <c r="D565" s="95"/>
      <c r="F565" s="96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A566" s="12"/>
      <c r="D566" s="95"/>
      <c r="F566" s="96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A567" s="12"/>
      <c r="D567" s="95"/>
      <c r="F567" s="96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A568" s="12"/>
      <c r="D568" s="95"/>
      <c r="F568" s="96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A569" s="12"/>
      <c r="D569" s="95"/>
      <c r="F569" s="96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A570" s="12"/>
      <c r="D570" s="95"/>
      <c r="F570" s="96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A571" s="12"/>
      <c r="D571" s="95"/>
      <c r="F571" s="96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A572" s="12"/>
      <c r="D572" s="95"/>
      <c r="F572" s="96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A573" s="12"/>
      <c r="D573" s="95"/>
      <c r="F573" s="96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A574" s="12"/>
      <c r="D574" s="95"/>
      <c r="F574" s="96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A575" s="12"/>
      <c r="D575" s="95"/>
      <c r="F575" s="96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A576" s="12"/>
      <c r="D576" s="95"/>
      <c r="F576" s="96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A577" s="12"/>
      <c r="D577" s="95"/>
      <c r="F577" s="96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A578" s="12"/>
      <c r="D578" s="95"/>
      <c r="F578" s="96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A579" s="12"/>
      <c r="D579" s="95"/>
      <c r="F579" s="96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A580" s="12"/>
      <c r="D580" s="95"/>
      <c r="F580" s="96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A581" s="12"/>
      <c r="D581" s="95"/>
      <c r="F581" s="96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A582" s="12"/>
      <c r="D582" s="95"/>
      <c r="F582" s="96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A583" s="12"/>
      <c r="D583" s="95"/>
      <c r="F583" s="96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A584" s="12"/>
      <c r="D584" s="95"/>
      <c r="F584" s="96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A585" s="12"/>
      <c r="D585" s="95"/>
      <c r="F585" s="96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A586" s="12"/>
      <c r="D586" s="95"/>
      <c r="F586" s="96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A587" s="12"/>
      <c r="D587" s="95"/>
      <c r="F587" s="96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A588" s="12"/>
      <c r="D588" s="95"/>
      <c r="F588" s="96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A589" s="12"/>
      <c r="D589" s="95"/>
      <c r="F589" s="96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A590" s="12"/>
      <c r="D590" s="95"/>
      <c r="F590" s="96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A591" s="12"/>
      <c r="D591" s="95"/>
      <c r="F591" s="96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A592" s="12"/>
      <c r="D592" s="95"/>
      <c r="F592" s="96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A593" s="12"/>
      <c r="D593" s="95"/>
      <c r="F593" s="96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A594" s="12"/>
      <c r="D594" s="95"/>
      <c r="F594" s="96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A595" s="12"/>
      <c r="D595" s="95"/>
      <c r="F595" s="96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A596" s="12"/>
      <c r="D596" s="95"/>
      <c r="F596" s="96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A597" s="12"/>
      <c r="D597" s="95"/>
      <c r="F597" s="96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A598" s="12"/>
      <c r="D598" s="95"/>
      <c r="F598" s="96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A599" s="12"/>
      <c r="D599" s="95"/>
      <c r="F599" s="96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A600" s="12"/>
      <c r="D600" s="95"/>
      <c r="F600" s="96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A601" s="12"/>
      <c r="D601" s="95"/>
      <c r="F601" s="96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A602" s="12"/>
      <c r="D602" s="95"/>
      <c r="F602" s="96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A603" s="12"/>
      <c r="D603" s="95"/>
      <c r="F603" s="96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A604" s="12"/>
      <c r="D604" s="95"/>
      <c r="F604" s="96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A605" s="12"/>
      <c r="D605" s="95"/>
      <c r="F605" s="96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A606" s="12"/>
      <c r="D606" s="95"/>
      <c r="F606" s="96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A607" s="12"/>
      <c r="D607" s="95"/>
      <c r="F607" s="96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A608" s="12"/>
      <c r="D608" s="95"/>
      <c r="F608" s="96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A609" s="12"/>
      <c r="D609" s="95"/>
      <c r="F609" s="96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A610" s="12"/>
      <c r="D610" s="95"/>
      <c r="F610" s="96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A611" s="12"/>
      <c r="D611" s="95"/>
      <c r="F611" s="96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A612" s="12"/>
      <c r="D612" s="95"/>
      <c r="F612" s="96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A613" s="12"/>
      <c r="D613" s="95"/>
      <c r="F613" s="96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A614" s="12"/>
      <c r="D614" s="95"/>
      <c r="F614" s="96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A615" s="12"/>
      <c r="D615" s="95"/>
      <c r="F615" s="96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A616" s="12"/>
      <c r="D616" s="95"/>
      <c r="F616" s="96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A617" s="12"/>
      <c r="D617" s="95"/>
      <c r="F617" s="96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A618" s="12"/>
      <c r="D618" s="95"/>
      <c r="F618" s="96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A619" s="12"/>
      <c r="D619" s="95"/>
      <c r="F619" s="96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A620" s="12"/>
      <c r="D620" s="95"/>
      <c r="F620" s="96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A621" s="12"/>
      <c r="D621" s="95"/>
      <c r="F621" s="96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A622" s="12"/>
      <c r="D622" s="95"/>
      <c r="F622" s="96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A623" s="12"/>
      <c r="D623" s="95"/>
      <c r="F623" s="96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A624" s="12"/>
      <c r="D624" s="95"/>
      <c r="F624" s="96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A625" s="12"/>
      <c r="D625" s="95"/>
      <c r="F625" s="96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A626" s="12"/>
      <c r="D626" s="95"/>
      <c r="F626" s="96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A627" s="12"/>
      <c r="D627" s="95"/>
      <c r="F627" s="96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A628" s="12"/>
      <c r="D628" s="95"/>
      <c r="F628" s="96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A629" s="12"/>
      <c r="D629" s="95"/>
      <c r="F629" s="96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A630" s="12"/>
      <c r="D630" s="95"/>
      <c r="F630" s="96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A631" s="12"/>
      <c r="D631" s="95"/>
      <c r="F631" s="96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A632" s="12"/>
      <c r="D632" s="95"/>
      <c r="F632" s="96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A633" s="12"/>
      <c r="D633" s="95"/>
      <c r="F633" s="96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A634" s="12"/>
      <c r="D634" s="95"/>
      <c r="F634" s="96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A635" s="12"/>
      <c r="D635" s="95"/>
      <c r="F635" s="96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A636" s="12"/>
      <c r="D636" s="95"/>
      <c r="F636" s="96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A637" s="12"/>
      <c r="D637" s="95"/>
      <c r="F637" s="96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A638" s="12"/>
      <c r="D638" s="95"/>
      <c r="F638" s="96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A639" s="12"/>
      <c r="D639" s="95"/>
      <c r="F639" s="96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A640" s="12"/>
      <c r="D640" s="95"/>
      <c r="F640" s="96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A641" s="12"/>
      <c r="D641" s="95"/>
      <c r="F641" s="96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A642" s="12"/>
      <c r="D642" s="95"/>
      <c r="F642" s="96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A643" s="12"/>
      <c r="D643" s="95"/>
      <c r="F643" s="96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A644" s="12"/>
      <c r="D644" s="95"/>
      <c r="F644" s="96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A645" s="12"/>
      <c r="D645" s="95"/>
      <c r="F645" s="96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A646" s="12"/>
      <c r="D646" s="95"/>
      <c r="F646" s="96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A647" s="12"/>
      <c r="D647" s="95"/>
      <c r="F647" s="96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A648" s="12"/>
      <c r="D648" s="95"/>
      <c r="F648" s="96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A649" s="12"/>
      <c r="D649" s="95"/>
      <c r="F649" s="96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A650" s="12"/>
      <c r="D650" s="95"/>
      <c r="F650" s="96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A651" s="12"/>
      <c r="D651" s="95"/>
      <c r="F651" s="96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A652" s="12"/>
      <c r="D652" s="95"/>
      <c r="F652" s="96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A653" s="12"/>
      <c r="D653" s="95"/>
      <c r="F653" s="96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A654" s="12"/>
      <c r="D654" s="95"/>
      <c r="F654" s="96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A655" s="12"/>
      <c r="D655" s="95"/>
      <c r="F655" s="96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A656" s="12"/>
      <c r="D656" s="95"/>
      <c r="F656" s="96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A657" s="12"/>
      <c r="D657" s="95"/>
      <c r="F657" s="96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A658" s="12"/>
      <c r="D658" s="95"/>
      <c r="F658" s="96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A659" s="12"/>
      <c r="D659" s="95"/>
      <c r="F659" s="96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A660" s="12"/>
      <c r="D660" s="95"/>
      <c r="F660" s="96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A661" s="12"/>
      <c r="D661" s="95"/>
      <c r="F661" s="96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A662" s="12"/>
      <c r="D662" s="95"/>
      <c r="F662" s="96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A663" s="12"/>
      <c r="D663" s="95"/>
      <c r="F663" s="96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A664" s="12"/>
      <c r="D664" s="95"/>
      <c r="F664" s="96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A665" s="12"/>
      <c r="D665" s="95"/>
      <c r="F665" s="96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A666" s="12"/>
      <c r="D666" s="95"/>
      <c r="F666" s="96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A667" s="12"/>
      <c r="D667" s="95"/>
      <c r="F667" s="96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A668" s="12"/>
      <c r="D668" s="95"/>
      <c r="F668" s="96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A669" s="12"/>
      <c r="D669" s="95"/>
      <c r="F669" s="96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A670" s="12"/>
      <c r="D670" s="95"/>
      <c r="F670" s="96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A671" s="12"/>
      <c r="D671" s="95"/>
      <c r="F671" s="96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A672" s="12"/>
      <c r="D672" s="95"/>
      <c r="F672" s="96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A673" s="12"/>
      <c r="D673" s="95"/>
      <c r="F673" s="96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A674" s="12"/>
      <c r="D674" s="95"/>
      <c r="F674" s="96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A675" s="12"/>
      <c r="D675" s="95"/>
      <c r="F675" s="96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A676" s="12"/>
      <c r="D676" s="95"/>
      <c r="F676" s="96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A677" s="12"/>
      <c r="D677" s="95"/>
      <c r="F677" s="96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A678" s="12"/>
      <c r="D678" s="95"/>
      <c r="F678" s="96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A679" s="12"/>
      <c r="D679" s="95"/>
      <c r="F679" s="96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A680" s="12"/>
      <c r="D680" s="95"/>
      <c r="F680" s="96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A681" s="12"/>
      <c r="D681" s="95"/>
      <c r="F681" s="96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A682" s="12"/>
      <c r="D682" s="95"/>
      <c r="F682" s="96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A683" s="12"/>
      <c r="D683" s="95"/>
      <c r="F683" s="96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A684" s="12"/>
      <c r="D684" s="95"/>
      <c r="F684" s="96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A685" s="12"/>
      <c r="D685" s="95"/>
      <c r="F685" s="96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A686" s="12"/>
      <c r="D686" s="95"/>
      <c r="F686" s="96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A687" s="12"/>
      <c r="D687" s="95"/>
      <c r="F687" s="96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A688" s="12"/>
      <c r="D688" s="95"/>
      <c r="F688" s="96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A689" s="12"/>
      <c r="D689" s="95"/>
      <c r="F689" s="96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A690" s="12"/>
      <c r="D690" s="95"/>
      <c r="F690" s="96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A691" s="12"/>
      <c r="D691" s="95"/>
      <c r="F691" s="96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A692" s="12"/>
      <c r="D692" s="95"/>
      <c r="F692" s="96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A693" s="12"/>
      <c r="D693" s="95"/>
      <c r="F693" s="96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A694" s="12"/>
      <c r="D694" s="95"/>
      <c r="F694" s="96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A695" s="12"/>
      <c r="D695" s="95"/>
      <c r="F695" s="96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A696" s="12"/>
      <c r="D696" s="95"/>
      <c r="F696" s="96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A697" s="12"/>
      <c r="D697" s="95"/>
      <c r="F697" s="96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A698" s="12"/>
      <c r="D698" s="95"/>
      <c r="F698" s="96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A699" s="12"/>
      <c r="D699" s="95"/>
      <c r="F699" s="96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A700" s="12"/>
      <c r="D700" s="95"/>
      <c r="F700" s="96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A701" s="12"/>
      <c r="D701" s="95"/>
      <c r="F701" s="96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A702" s="12"/>
      <c r="D702" s="95"/>
      <c r="F702" s="96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A703" s="12"/>
      <c r="D703" s="95"/>
      <c r="F703" s="96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A704" s="12"/>
      <c r="D704" s="95"/>
      <c r="F704" s="96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A705" s="12"/>
      <c r="D705" s="95"/>
      <c r="F705" s="96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A706" s="12"/>
      <c r="D706" s="95"/>
      <c r="F706" s="96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A707" s="12"/>
      <c r="D707" s="95"/>
      <c r="F707" s="96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A708" s="12"/>
      <c r="D708" s="95"/>
      <c r="F708" s="96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A709" s="12"/>
      <c r="D709" s="95"/>
      <c r="F709" s="96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A710" s="12"/>
      <c r="D710" s="95"/>
      <c r="F710" s="96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A711" s="12"/>
      <c r="D711" s="95"/>
      <c r="F711" s="96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A712" s="12"/>
      <c r="D712" s="95"/>
      <c r="F712" s="96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A713" s="12"/>
      <c r="D713" s="95"/>
      <c r="F713" s="96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A714" s="12"/>
      <c r="D714" s="95"/>
      <c r="F714" s="96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A715" s="12"/>
      <c r="D715" s="95"/>
      <c r="F715" s="96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A716" s="12"/>
      <c r="D716" s="95"/>
      <c r="F716" s="96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A717" s="12"/>
      <c r="D717" s="95"/>
      <c r="F717" s="96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A718" s="12"/>
      <c r="D718" s="95"/>
      <c r="F718" s="96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A719" s="12"/>
      <c r="D719" s="95"/>
      <c r="F719" s="96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A720" s="12"/>
      <c r="D720" s="95"/>
      <c r="F720" s="96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A721" s="12"/>
      <c r="D721" s="95"/>
      <c r="F721" s="96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A722" s="12"/>
      <c r="D722" s="95"/>
      <c r="F722" s="96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A723" s="12"/>
      <c r="D723" s="95"/>
      <c r="F723" s="96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A724" s="12"/>
      <c r="D724" s="95"/>
      <c r="F724" s="96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A725" s="12"/>
      <c r="D725" s="95"/>
      <c r="F725" s="96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A726" s="12"/>
      <c r="D726" s="95"/>
      <c r="F726" s="96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A727" s="12"/>
      <c r="D727" s="95"/>
      <c r="F727" s="96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A728" s="12"/>
      <c r="D728" s="95"/>
      <c r="F728" s="96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A729" s="12"/>
      <c r="D729" s="95"/>
      <c r="F729" s="96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A730" s="12"/>
      <c r="D730" s="95"/>
      <c r="F730" s="96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A731" s="12"/>
      <c r="D731" s="95"/>
      <c r="F731" s="96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A732" s="12"/>
      <c r="D732" s="95"/>
      <c r="F732" s="96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A733" s="12"/>
      <c r="D733" s="95"/>
      <c r="F733" s="96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A734" s="12"/>
      <c r="D734" s="95"/>
      <c r="F734" s="96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A735" s="12"/>
      <c r="D735" s="95"/>
      <c r="F735" s="96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A736" s="12"/>
      <c r="D736" s="95"/>
      <c r="F736" s="96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A737" s="12"/>
      <c r="D737" s="95"/>
      <c r="F737" s="96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A738" s="12"/>
      <c r="D738" s="95"/>
      <c r="F738" s="96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A739" s="12"/>
      <c r="D739" s="95"/>
      <c r="F739" s="96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A740" s="12"/>
      <c r="D740" s="95"/>
      <c r="F740" s="96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A741" s="12"/>
      <c r="D741" s="95"/>
      <c r="F741" s="96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A742" s="12"/>
      <c r="D742" s="95"/>
      <c r="F742" s="96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A743" s="12"/>
      <c r="D743" s="95"/>
      <c r="F743" s="96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A744" s="12"/>
      <c r="D744" s="95"/>
      <c r="F744" s="96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A745" s="12"/>
      <c r="D745" s="95"/>
      <c r="F745" s="96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A746" s="12"/>
      <c r="D746" s="95"/>
      <c r="F746" s="96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A747" s="12"/>
      <c r="D747" s="95"/>
      <c r="F747" s="96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A748" s="12"/>
      <c r="D748" s="95"/>
      <c r="F748" s="96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A749" s="12"/>
      <c r="D749" s="95"/>
      <c r="F749" s="96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A750" s="12"/>
      <c r="D750" s="95"/>
      <c r="F750" s="96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A751" s="12"/>
      <c r="D751" s="95"/>
      <c r="F751" s="96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A752" s="12"/>
      <c r="D752" s="95"/>
      <c r="F752" s="96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A753" s="12"/>
      <c r="D753" s="95"/>
      <c r="F753" s="96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A754" s="12"/>
      <c r="D754" s="95"/>
      <c r="F754" s="96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A755" s="12"/>
      <c r="D755" s="95"/>
      <c r="F755" s="96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A756" s="12"/>
      <c r="D756" s="95"/>
      <c r="F756" s="96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A757" s="12"/>
      <c r="D757" s="95"/>
      <c r="F757" s="96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A758" s="12"/>
      <c r="D758" s="95"/>
      <c r="F758" s="96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A759" s="12"/>
      <c r="D759" s="95"/>
      <c r="F759" s="96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A760" s="12"/>
      <c r="D760" s="95"/>
      <c r="F760" s="96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A761" s="12"/>
      <c r="D761" s="95"/>
      <c r="F761" s="96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A762" s="12"/>
      <c r="D762" s="95"/>
      <c r="F762" s="96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A763" s="12"/>
      <c r="D763" s="95"/>
      <c r="F763" s="96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A764" s="12"/>
      <c r="D764" s="95"/>
      <c r="F764" s="96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A765" s="12"/>
      <c r="D765" s="95"/>
      <c r="F765" s="96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A766" s="12"/>
      <c r="D766" s="95"/>
      <c r="F766" s="96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A767" s="12"/>
      <c r="D767" s="95"/>
      <c r="F767" s="96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A768" s="12"/>
      <c r="D768" s="95"/>
      <c r="F768" s="96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A769" s="12"/>
      <c r="D769" s="95"/>
      <c r="F769" s="96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A770" s="12"/>
      <c r="D770" s="95"/>
      <c r="F770" s="96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A771" s="12"/>
      <c r="D771" s="95"/>
      <c r="F771" s="96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A772" s="12"/>
      <c r="D772" s="95"/>
      <c r="F772" s="96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A773" s="12"/>
      <c r="D773" s="95"/>
      <c r="F773" s="96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A774" s="12"/>
      <c r="D774" s="95"/>
      <c r="F774" s="96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A775" s="12"/>
      <c r="D775" s="95"/>
      <c r="F775" s="96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A776" s="12"/>
      <c r="D776" s="95"/>
      <c r="F776" s="96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A777" s="12"/>
      <c r="D777" s="95"/>
      <c r="F777" s="96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A778" s="12"/>
      <c r="D778" s="95"/>
      <c r="F778" s="96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A779" s="12"/>
      <c r="D779" s="95"/>
      <c r="F779" s="96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A780" s="12"/>
      <c r="D780" s="95"/>
      <c r="F780" s="96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A781" s="12"/>
      <c r="D781" s="95"/>
      <c r="F781" s="96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A782" s="12"/>
      <c r="D782" s="95"/>
      <c r="F782" s="96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A783" s="12"/>
      <c r="D783" s="95"/>
      <c r="F783" s="96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A784" s="12"/>
      <c r="D784" s="95"/>
      <c r="F784" s="96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A785" s="12"/>
      <c r="D785" s="95"/>
      <c r="F785" s="96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A786" s="12"/>
      <c r="D786" s="95"/>
      <c r="F786" s="96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A787" s="12"/>
      <c r="D787" s="95"/>
      <c r="F787" s="96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A788" s="12"/>
      <c r="D788" s="95"/>
      <c r="F788" s="96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A789" s="12"/>
      <c r="D789" s="95"/>
      <c r="F789" s="96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A790" s="12"/>
      <c r="D790" s="95"/>
      <c r="F790" s="96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A791" s="12"/>
      <c r="D791" s="95"/>
      <c r="F791" s="96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A792" s="12"/>
      <c r="D792" s="95"/>
      <c r="F792" s="96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A793" s="12"/>
      <c r="D793" s="95"/>
      <c r="F793" s="96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A794" s="12"/>
      <c r="D794" s="95"/>
      <c r="F794" s="96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A795" s="12"/>
      <c r="D795" s="95"/>
      <c r="F795" s="96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A796" s="12"/>
      <c r="D796" s="95"/>
      <c r="F796" s="96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A797" s="12"/>
      <c r="D797" s="95"/>
      <c r="F797" s="96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A798" s="12"/>
      <c r="D798" s="95"/>
      <c r="F798" s="96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A799" s="12"/>
      <c r="D799" s="95"/>
      <c r="F799" s="96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A800" s="12"/>
      <c r="D800" s="95"/>
      <c r="F800" s="96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A801" s="12"/>
      <c r="D801" s="95"/>
      <c r="F801" s="96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A802" s="12"/>
      <c r="D802" s="95"/>
      <c r="F802" s="96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A803" s="12"/>
      <c r="D803" s="95"/>
      <c r="F803" s="96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A804" s="12"/>
      <c r="D804" s="95"/>
      <c r="F804" s="96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A805" s="12"/>
      <c r="D805" s="95"/>
      <c r="F805" s="96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A806" s="12"/>
      <c r="D806" s="95"/>
      <c r="F806" s="96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A807" s="12"/>
      <c r="D807" s="95"/>
      <c r="F807" s="96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A808" s="12"/>
      <c r="D808" s="95"/>
      <c r="F808" s="96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A809" s="12"/>
      <c r="D809" s="95"/>
      <c r="F809" s="96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A810" s="12"/>
      <c r="D810" s="95"/>
      <c r="F810" s="96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A811" s="12"/>
      <c r="D811" s="95"/>
      <c r="F811" s="96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A812" s="12"/>
      <c r="D812" s="95"/>
      <c r="F812" s="96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A813" s="12"/>
      <c r="D813" s="95"/>
      <c r="F813" s="96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A814" s="12"/>
      <c r="D814" s="95"/>
      <c r="F814" s="96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A815" s="12"/>
      <c r="D815" s="95"/>
      <c r="F815" s="96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A816" s="12"/>
      <c r="D816" s="95"/>
      <c r="F816" s="96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A817" s="12"/>
      <c r="D817" s="95"/>
      <c r="F817" s="96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A818" s="12"/>
      <c r="D818" s="95"/>
      <c r="F818" s="96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A819" s="12"/>
      <c r="D819" s="95"/>
      <c r="F819" s="96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A820" s="12"/>
      <c r="D820" s="95"/>
      <c r="F820" s="96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A821" s="12"/>
      <c r="D821" s="95"/>
      <c r="F821" s="96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A822" s="12"/>
      <c r="D822" s="95"/>
      <c r="F822" s="96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A823" s="12"/>
      <c r="D823" s="95"/>
      <c r="F823" s="96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A824" s="12"/>
      <c r="D824" s="95"/>
      <c r="F824" s="96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A825" s="12"/>
      <c r="D825" s="95"/>
      <c r="F825" s="96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A826" s="12"/>
      <c r="D826" s="95"/>
      <c r="F826" s="96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A827" s="12"/>
      <c r="D827" s="95"/>
      <c r="F827" s="96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A828" s="12"/>
      <c r="D828" s="95"/>
      <c r="F828" s="96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A829" s="12"/>
      <c r="D829" s="95"/>
      <c r="F829" s="96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A830" s="12"/>
      <c r="D830" s="95"/>
      <c r="F830" s="96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A831" s="12"/>
      <c r="D831" s="95"/>
      <c r="F831" s="96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A832" s="12"/>
      <c r="D832" s="95"/>
      <c r="F832" s="96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A833" s="12"/>
      <c r="D833" s="95"/>
      <c r="F833" s="96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A834" s="12"/>
      <c r="D834" s="95"/>
      <c r="F834" s="96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A835" s="12"/>
      <c r="D835" s="95"/>
      <c r="F835" s="96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A836" s="12"/>
      <c r="D836" s="95"/>
      <c r="F836" s="96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A837" s="12"/>
      <c r="D837" s="95"/>
      <c r="F837" s="96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A838" s="12"/>
      <c r="D838" s="95"/>
      <c r="F838" s="96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A839" s="12"/>
      <c r="D839" s="95"/>
      <c r="F839" s="96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A840" s="12"/>
      <c r="D840" s="95"/>
      <c r="F840" s="96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A841" s="12"/>
      <c r="D841" s="95"/>
      <c r="F841" s="96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A842" s="12"/>
      <c r="D842" s="95"/>
      <c r="F842" s="96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A843" s="12"/>
      <c r="D843" s="95"/>
      <c r="F843" s="96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A844" s="12"/>
      <c r="D844" s="95"/>
      <c r="F844" s="96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A845" s="12"/>
      <c r="D845" s="95"/>
      <c r="F845" s="96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A846" s="12"/>
      <c r="D846" s="95"/>
      <c r="F846" s="96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A847" s="12"/>
      <c r="D847" s="95"/>
      <c r="F847" s="96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A848" s="12"/>
      <c r="D848" s="95"/>
      <c r="F848" s="96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A849" s="12"/>
      <c r="D849" s="95"/>
      <c r="F849" s="96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A850" s="12"/>
      <c r="D850" s="95"/>
      <c r="F850" s="96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A851" s="12"/>
      <c r="D851" s="95"/>
      <c r="F851" s="96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A852" s="12"/>
      <c r="D852" s="95"/>
      <c r="F852" s="96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A853" s="12"/>
      <c r="D853" s="95"/>
      <c r="F853" s="96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A854" s="12"/>
      <c r="D854" s="95"/>
      <c r="F854" s="96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A855" s="12"/>
      <c r="D855" s="95"/>
      <c r="F855" s="96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A856" s="12"/>
      <c r="D856" s="95"/>
      <c r="F856" s="96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A857" s="12"/>
      <c r="D857" s="95"/>
      <c r="F857" s="96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A858" s="12"/>
      <c r="D858" s="95"/>
      <c r="F858" s="96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A859" s="12"/>
      <c r="D859" s="95"/>
      <c r="F859" s="96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A860" s="12"/>
      <c r="D860" s="95"/>
      <c r="F860" s="96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A861" s="12"/>
      <c r="D861" s="95"/>
      <c r="F861" s="96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A862" s="12"/>
      <c r="D862" s="95"/>
      <c r="F862" s="96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A863" s="12"/>
      <c r="D863" s="95"/>
      <c r="F863" s="96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A864" s="12"/>
      <c r="D864" s="95"/>
      <c r="F864" s="96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A865" s="12"/>
      <c r="D865" s="95"/>
      <c r="F865" s="96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A866" s="12"/>
      <c r="D866" s="95"/>
      <c r="F866" s="96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A867" s="12"/>
      <c r="D867" s="95"/>
      <c r="F867" s="96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A868" s="12"/>
      <c r="D868" s="95"/>
      <c r="F868" s="96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A869" s="12"/>
      <c r="D869" s="95"/>
      <c r="F869" s="96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A870" s="12"/>
      <c r="D870" s="95"/>
      <c r="F870" s="96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A871" s="12"/>
      <c r="D871" s="95"/>
      <c r="F871" s="96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A872" s="12"/>
      <c r="D872" s="95"/>
      <c r="F872" s="96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A873" s="12"/>
      <c r="D873" s="95"/>
      <c r="F873" s="96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A874" s="12"/>
      <c r="D874" s="95"/>
      <c r="F874" s="96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A875" s="12"/>
      <c r="D875" s="95"/>
      <c r="F875" s="96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A876" s="12"/>
      <c r="D876" s="95"/>
      <c r="F876" s="96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A877" s="12"/>
      <c r="D877" s="95"/>
      <c r="F877" s="96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A878" s="12"/>
      <c r="D878" s="95"/>
      <c r="F878" s="96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A879" s="12"/>
      <c r="D879" s="95"/>
      <c r="F879" s="96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A880" s="12"/>
      <c r="D880" s="95"/>
      <c r="F880" s="96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A881" s="12"/>
      <c r="D881" s="95"/>
      <c r="F881" s="96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A882" s="12"/>
      <c r="D882" s="95"/>
      <c r="F882" s="96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A883" s="12"/>
      <c r="D883" s="95"/>
      <c r="F883" s="96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A884" s="12"/>
      <c r="D884" s="95"/>
      <c r="F884" s="96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A885" s="12"/>
      <c r="D885" s="95"/>
      <c r="F885" s="96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A886" s="12"/>
      <c r="D886" s="95"/>
      <c r="F886" s="96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A887" s="12"/>
      <c r="D887" s="95"/>
      <c r="F887" s="96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A888" s="12"/>
      <c r="D888" s="95"/>
      <c r="F888" s="96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A889" s="12"/>
      <c r="D889" s="95"/>
      <c r="F889" s="96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A890" s="12"/>
      <c r="D890" s="95"/>
      <c r="F890" s="96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A891" s="12"/>
      <c r="D891" s="95"/>
      <c r="F891" s="96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A892" s="12"/>
      <c r="D892" s="95"/>
      <c r="F892" s="96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A893" s="12"/>
      <c r="D893" s="95"/>
      <c r="F893" s="96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A894" s="12"/>
      <c r="D894" s="95"/>
      <c r="F894" s="96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A895" s="12"/>
      <c r="D895" s="95"/>
      <c r="F895" s="96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A896" s="12"/>
      <c r="D896" s="95"/>
      <c r="F896" s="96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A897" s="12"/>
      <c r="D897" s="95"/>
      <c r="F897" s="96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A898" s="12"/>
      <c r="D898" s="95"/>
      <c r="F898" s="96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A899" s="12"/>
      <c r="D899" s="95"/>
      <c r="F899" s="96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A900" s="12"/>
      <c r="D900" s="95"/>
      <c r="F900" s="96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A901" s="12"/>
      <c r="D901" s="95"/>
      <c r="F901" s="96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A902" s="12"/>
      <c r="D902" s="95"/>
      <c r="F902" s="96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A903" s="12"/>
      <c r="D903" s="95"/>
      <c r="F903" s="96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A904" s="12"/>
      <c r="D904" s="95"/>
      <c r="F904" s="96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A905" s="12"/>
      <c r="D905" s="95"/>
      <c r="F905" s="96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A906" s="12"/>
      <c r="D906" s="95"/>
      <c r="F906" s="96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A907" s="12"/>
      <c r="D907" s="95"/>
      <c r="F907" s="96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A908" s="12"/>
      <c r="D908" s="95"/>
      <c r="F908" s="96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A909" s="12"/>
      <c r="D909" s="95"/>
      <c r="F909" s="96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A910" s="12"/>
      <c r="D910" s="95"/>
      <c r="F910" s="96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A911" s="12"/>
      <c r="D911" s="95"/>
      <c r="F911" s="96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A912" s="12"/>
      <c r="D912" s="95"/>
      <c r="F912" s="96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A913" s="12"/>
      <c r="D913" s="95"/>
      <c r="F913" s="96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A914" s="12"/>
      <c r="D914" s="95"/>
      <c r="F914" s="96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A915" s="12"/>
      <c r="D915" s="95"/>
      <c r="F915" s="96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A916" s="12"/>
      <c r="D916" s="95"/>
      <c r="F916" s="96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A917" s="12"/>
      <c r="D917" s="95"/>
      <c r="F917" s="96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A918" s="12"/>
      <c r="D918" s="95"/>
      <c r="F918" s="96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A919" s="12"/>
      <c r="D919" s="95"/>
      <c r="F919" s="96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A920" s="12"/>
      <c r="D920" s="95"/>
      <c r="F920" s="96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A921" s="12"/>
      <c r="D921" s="95"/>
      <c r="F921" s="96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A922" s="12"/>
      <c r="D922" s="95"/>
      <c r="F922" s="96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A923" s="12"/>
      <c r="D923" s="95"/>
      <c r="F923" s="96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A924" s="12"/>
      <c r="D924" s="95"/>
      <c r="F924" s="96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A925" s="12"/>
      <c r="D925" s="95"/>
      <c r="F925" s="96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A926" s="12"/>
      <c r="D926" s="95"/>
      <c r="F926" s="96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A927" s="12"/>
      <c r="D927" s="95"/>
      <c r="F927" s="96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A928" s="12"/>
      <c r="D928" s="95"/>
      <c r="F928" s="96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A929" s="12"/>
      <c r="D929" s="95"/>
      <c r="F929" s="96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A930" s="12"/>
      <c r="D930" s="95"/>
      <c r="F930" s="96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A931" s="12"/>
      <c r="D931" s="95"/>
      <c r="F931" s="96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A932" s="12"/>
      <c r="D932" s="95"/>
      <c r="F932" s="96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A933" s="12"/>
      <c r="D933" s="95"/>
      <c r="F933" s="96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A934" s="12"/>
      <c r="D934" s="95"/>
      <c r="F934" s="96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A935" s="12"/>
      <c r="D935" s="95"/>
      <c r="F935" s="96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A936" s="12"/>
      <c r="D936" s="95"/>
      <c r="F936" s="96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A937" s="12"/>
      <c r="D937" s="95"/>
      <c r="F937" s="96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A938" s="12"/>
      <c r="D938" s="95"/>
      <c r="F938" s="96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A939" s="12"/>
      <c r="D939" s="95"/>
      <c r="F939" s="96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A940" s="12"/>
      <c r="D940" s="95"/>
      <c r="F940" s="96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A941" s="12"/>
      <c r="D941" s="95"/>
      <c r="F941" s="96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A942" s="12"/>
      <c r="D942" s="95"/>
      <c r="F942" s="96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A943" s="12"/>
      <c r="D943" s="95"/>
      <c r="F943" s="96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A944" s="12"/>
      <c r="D944" s="95"/>
      <c r="F944" s="96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A945" s="12"/>
      <c r="D945" s="95"/>
      <c r="F945" s="96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A946" s="12"/>
      <c r="D946" s="95"/>
      <c r="F946" s="96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A947" s="12"/>
      <c r="D947" s="95"/>
      <c r="F947" s="96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A948" s="12"/>
      <c r="D948" s="95"/>
      <c r="F948" s="96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A949" s="12"/>
      <c r="D949" s="95"/>
      <c r="F949" s="96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A950" s="12"/>
      <c r="D950" s="95"/>
      <c r="F950" s="96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A951" s="12"/>
      <c r="D951" s="95"/>
      <c r="F951" s="96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A952" s="12"/>
      <c r="D952" s="95"/>
      <c r="F952" s="96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A953" s="12"/>
      <c r="D953" s="95"/>
      <c r="F953" s="96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A954" s="12"/>
      <c r="D954" s="95"/>
      <c r="F954" s="96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A955" s="12"/>
      <c r="D955" s="95"/>
      <c r="F955" s="96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A956" s="12"/>
      <c r="D956" s="95"/>
      <c r="F956" s="96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A957" s="12"/>
      <c r="D957" s="95"/>
      <c r="F957" s="96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A958" s="12"/>
      <c r="D958" s="95"/>
      <c r="F958" s="96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A959" s="12"/>
      <c r="D959" s="95"/>
      <c r="F959" s="96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A960" s="12"/>
      <c r="D960" s="95"/>
      <c r="F960" s="96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A961" s="12"/>
      <c r="D961" s="95"/>
      <c r="F961" s="96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A962" s="12"/>
      <c r="D962" s="95"/>
      <c r="F962" s="96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A963" s="12"/>
      <c r="D963" s="95"/>
      <c r="F963" s="96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A964" s="12"/>
      <c r="D964" s="95"/>
      <c r="F964" s="96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A965" s="12"/>
      <c r="D965" s="95"/>
      <c r="F965" s="96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A966" s="12"/>
      <c r="D966" s="95"/>
      <c r="F966" s="96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A967" s="12"/>
      <c r="D967" s="95"/>
      <c r="F967" s="96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A968" s="12"/>
      <c r="D968" s="95"/>
      <c r="F968" s="96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A969" s="12"/>
      <c r="D969" s="95"/>
      <c r="F969" s="96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A970" s="12"/>
      <c r="D970" s="95"/>
      <c r="F970" s="96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A971" s="12"/>
      <c r="D971" s="95"/>
      <c r="F971" s="96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A972" s="12"/>
      <c r="D972" s="95"/>
      <c r="F972" s="96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A973" s="12"/>
      <c r="D973" s="95"/>
      <c r="F973" s="96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A974" s="12"/>
      <c r="D974" s="95"/>
      <c r="F974" s="96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A975" s="12"/>
      <c r="D975" s="95"/>
      <c r="F975" s="96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A976" s="12"/>
      <c r="D976" s="95"/>
      <c r="F976" s="96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A977" s="12"/>
      <c r="D977" s="95"/>
      <c r="F977" s="96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A978" s="12"/>
      <c r="D978" s="95"/>
      <c r="F978" s="96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A979" s="12"/>
      <c r="D979" s="95"/>
      <c r="F979" s="96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A980" s="12"/>
      <c r="D980" s="95"/>
      <c r="F980" s="96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A981" s="12"/>
      <c r="D981" s="95"/>
      <c r="F981" s="96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A982" s="12"/>
      <c r="D982" s="95"/>
      <c r="F982" s="96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A983" s="12"/>
      <c r="D983" s="95"/>
      <c r="F983" s="96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A984" s="12"/>
      <c r="D984" s="95"/>
      <c r="F984" s="96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A985" s="12"/>
      <c r="D985" s="95"/>
      <c r="F985" s="96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A986" s="12"/>
      <c r="D986" s="95"/>
      <c r="F986" s="96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A987" s="12"/>
      <c r="D987" s="95"/>
      <c r="F987" s="96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A988" s="12"/>
      <c r="D988" s="95"/>
      <c r="F988" s="96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A989" s="12"/>
      <c r="D989" s="95"/>
      <c r="F989" s="96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A990" s="12"/>
      <c r="D990" s="95"/>
      <c r="F990" s="96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A991" s="12"/>
      <c r="D991" s="95"/>
      <c r="F991" s="96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A992" s="12"/>
      <c r="D992" s="95"/>
      <c r="F992" s="96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A993" s="12"/>
      <c r="D993" s="95"/>
      <c r="F993" s="96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A994" s="12"/>
      <c r="D994" s="95"/>
      <c r="F994" s="96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A995" s="12"/>
      <c r="D995" s="95"/>
      <c r="F995" s="96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A996" s="12"/>
      <c r="D996" s="95"/>
      <c r="F996" s="96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A997" s="12"/>
      <c r="D997" s="95"/>
      <c r="F997" s="96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A998" s="12"/>
      <c r="D998" s="95"/>
      <c r="F998" s="96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A999" s="12"/>
      <c r="D999" s="95"/>
      <c r="F999" s="96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A1000" s="12"/>
      <c r="D1000" s="95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>
      <c r="A1001" s="12"/>
      <c r="D1001" s="95"/>
      <c r="F1001" s="96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>
      <c r="A1002" s="12"/>
      <c r="D1002" s="95"/>
      <c r="F1002" s="96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  <row r="1003">
      <c r="A1003" s="12"/>
      <c r="D1003" s="95"/>
      <c r="F1003" s="96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</row>
    <row r="1004">
      <c r="A1004" s="12"/>
      <c r="D1004" s="95"/>
      <c r="F1004" s="96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</row>
    <row r="1005">
      <c r="A1005" s="12"/>
      <c r="D1005" s="95"/>
      <c r="F1005" s="96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</row>
    <row r="1006">
      <c r="A1006" s="12"/>
      <c r="D1006" s="95"/>
      <c r="F1006" s="96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</row>
  </sheetData>
  <conditionalFormatting sqref="H2:Q32">
    <cfRule type="cellIs" dxfId="15" priority="1" operator="equal">
      <formula>0</formula>
    </cfRule>
  </conditionalFormatting>
  <conditionalFormatting sqref="H2:H32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2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2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2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2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2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2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Q2:Q32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2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Q6">
    <cfRule type="notContainsBlanks" dxfId="16" priority="11">
      <formula>LEN(TRIM(Q6))&gt;0</formula>
    </cfRule>
  </conditionalFormatting>
  <conditionalFormatting sqref="P2:P32">
    <cfRule type="colorScale" priority="1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8:C45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8:F45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5">
      <formula1>OR(NOT(ISERROR(DATEVALUE(F35))), AND(ISNUMBER(F35), LEFT(CELL("format", F35))="D"))</formula1>
    </dataValidation>
    <dataValidation type="list" allowBlank="1" showDropDown="1" sqref="C2:C32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0"/>
    <col customWidth="1" min="3" max="3" width="14.5"/>
    <col customWidth="1" min="4" max="4" width="38.25"/>
    <col customWidth="1" min="5" max="5" width="9.25"/>
    <col customWidth="1" min="6" max="6" width="29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13"/>
    <col customWidth="1" min="17" max="17" width="17.75"/>
  </cols>
  <sheetData>
    <row r="1" ht="22.5" customHeight="1">
      <c r="A1" s="369" t="s">
        <v>48</v>
      </c>
      <c r="B1" s="370" t="s">
        <v>49</v>
      </c>
      <c r="C1" s="370" t="s">
        <v>50</v>
      </c>
      <c r="D1" s="371" t="s">
        <v>56</v>
      </c>
      <c r="E1" s="372" t="s">
        <v>57</v>
      </c>
      <c r="F1" s="373" t="s">
        <v>52</v>
      </c>
      <c r="G1" s="374" t="s">
        <v>53</v>
      </c>
      <c r="H1" s="372" t="s">
        <v>4</v>
      </c>
      <c r="I1" s="372" t="s">
        <v>58</v>
      </c>
      <c r="J1" s="372" t="s">
        <v>59</v>
      </c>
      <c r="K1" s="372" t="s">
        <v>60</v>
      </c>
      <c r="L1" s="372" t="s">
        <v>61</v>
      </c>
      <c r="M1" s="372" t="s">
        <v>62</v>
      </c>
      <c r="N1" s="372" t="s">
        <v>63</v>
      </c>
      <c r="O1" s="375" t="s">
        <v>387</v>
      </c>
      <c r="P1" s="375" t="s">
        <v>64</v>
      </c>
      <c r="Q1" s="372" t="s">
        <v>65</v>
      </c>
    </row>
    <row r="2" ht="22.5" customHeight="1">
      <c r="A2" s="376">
        <v>1.0</v>
      </c>
      <c r="B2" s="377" t="s">
        <v>625</v>
      </c>
      <c r="C2" s="378" t="s">
        <v>67</v>
      </c>
      <c r="D2" s="379" t="s">
        <v>626</v>
      </c>
      <c r="E2" s="380" t="str">
        <f>IMAGE("https://flagcdn.com/w320/ua.png")</f>
        <v/>
      </c>
      <c r="F2" s="381">
        <v>37104.0</v>
      </c>
      <c r="G2" s="382">
        <f t="shared" ref="G2:G36" si="1">DATEDIF(F2,TODAY(),"Y")</f>
        <v>24</v>
      </c>
      <c r="H2" s="383">
        <f>1+1+1+1+1+1+1</f>
        <v>7</v>
      </c>
      <c r="I2" s="383">
        <f>90+90+90+90+90+90+90</f>
        <v>630</v>
      </c>
      <c r="J2" s="383"/>
      <c r="K2" s="383"/>
      <c r="L2" s="383"/>
      <c r="M2" s="383"/>
      <c r="N2" s="383">
        <f>1+1</f>
        <v>2</v>
      </c>
      <c r="O2" s="383"/>
      <c r="P2" s="383">
        <f t="shared" ref="P2:P36" si="3">J2+K2</f>
        <v>0</v>
      </c>
      <c r="Q2" s="383"/>
    </row>
    <row r="3" ht="22.5" customHeight="1">
      <c r="A3" s="376">
        <v>3.0</v>
      </c>
      <c r="B3" s="377" t="s">
        <v>627</v>
      </c>
      <c r="C3" s="378" t="s">
        <v>70</v>
      </c>
      <c r="D3" s="379" t="s">
        <v>83</v>
      </c>
      <c r="E3" s="380" t="str">
        <f>IMAGE("https://flagcdn.com/w320/es.png")</f>
        <v/>
      </c>
      <c r="F3" s="381">
        <v>38041.0</v>
      </c>
      <c r="G3" s="382">
        <f t="shared" si="1"/>
        <v>21</v>
      </c>
      <c r="H3" s="383">
        <f t="shared" ref="H3:I3" si="2">0</f>
        <v>0</v>
      </c>
      <c r="I3" s="383">
        <f t="shared" si="2"/>
        <v>0</v>
      </c>
      <c r="J3" s="383"/>
      <c r="K3" s="383"/>
      <c r="L3" s="383"/>
      <c r="M3" s="383"/>
      <c r="N3" s="383"/>
      <c r="O3" s="383"/>
      <c r="P3" s="383">
        <f t="shared" si="3"/>
        <v>0</v>
      </c>
      <c r="Q3" s="383"/>
    </row>
    <row r="4" ht="22.5" customHeight="1">
      <c r="A4" s="376">
        <v>4.0</v>
      </c>
      <c r="B4" s="384" t="s">
        <v>628</v>
      </c>
      <c r="C4" s="378" t="s">
        <v>70</v>
      </c>
      <c r="D4" s="379" t="s">
        <v>477</v>
      </c>
      <c r="E4" s="380" t="str">
        <f>IMAGE("https://flagcdn.com/w320/pt.png")</f>
        <v/>
      </c>
      <c r="F4" s="381">
        <v>37924.0</v>
      </c>
      <c r="G4" s="382">
        <f t="shared" si="1"/>
        <v>22</v>
      </c>
      <c r="H4" s="383">
        <f>1+1+1+1+1</f>
        <v>5</v>
      </c>
      <c r="I4" s="383">
        <f>90+72+90+90+15</f>
        <v>357</v>
      </c>
      <c r="J4" s="383"/>
      <c r="K4" s="383"/>
      <c r="L4" s="383"/>
      <c r="M4" s="383"/>
      <c r="N4" s="383"/>
      <c r="O4" s="383"/>
      <c r="P4" s="383">
        <f t="shared" si="3"/>
        <v>0</v>
      </c>
      <c r="Q4" s="383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>
      <c r="A5" s="376">
        <v>5.0</v>
      </c>
      <c r="B5" s="377" t="s">
        <v>629</v>
      </c>
      <c r="C5" s="378" t="s">
        <v>79</v>
      </c>
      <c r="D5" s="379" t="s">
        <v>403</v>
      </c>
      <c r="E5" s="380" t="str">
        <f>IMAGE("https://flagcdn.com/w320/ar.png")</f>
        <v/>
      </c>
      <c r="F5" s="381">
        <v>37033.0</v>
      </c>
      <c r="G5" s="382">
        <f t="shared" si="1"/>
        <v>24</v>
      </c>
      <c r="H5" s="383">
        <f>1+1+1+1+1+1+1</f>
        <v>7</v>
      </c>
      <c r="I5" s="383">
        <f>90+90+90+90+90+90+22</f>
        <v>562</v>
      </c>
      <c r="J5" s="383">
        <f>1</f>
        <v>1</v>
      </c>
      <c r="K5" s="383"/>
      <c r="L5" s="383">
        <f>1</f>
        <v>1</v>
      </c>
      <c r="M5" s="383"/>
      <c r="N5" s="383"/>
      <c r="O5" s="383"/>
      <c r="P5" s="383">
        <f t="shared" si="3"/>
        <v>1</v>
      </c>
      <c r="Q5" s="383"/>
    </row>
    <row r="6" ht="22.5" customHeight="1">
      <c r="A6" s="376">
        <v>6.0</v>
      </c>
      <c r="B6" s="385" t="s">
        <v>630</v>
      </c>
      <c r="C6" s="378" t="s">
        <v>70</v>
      </c>
      <c r="D6" s="379" t="s">
        <v>631</v>
      </c>
      <c r="E6" s="380" t="str">
        <f>IMAGE("https://flagcdn.com/w320/dk.png")</f>
        <v/>
      </c>
      <c r="F6" s="381">
        <v>35773.0</v>
      </c>
      <c r="G6" s="382">
        <f t="shared" si="1"/>
        <v>28</v>
      </c>
      <c r="H6" s="383"/>
      <c r="I6" s="383"/>
      <c r="J6" s="383"/>
      <c r="K6" s="383"/>
      <c r="L6" s="383"/>
      <c r="M6" s="383"/>
      <c r="N6" s="383"/>
      <c r="O6" s="383"/>
      <c r="P6" s="383">
        <f t="shared" si="3"/>
        <v>0</v>
      </c>
      <c r="Q6" s="383"/>
    </row>
    <row r="7" ht="22.5" customHeight="1">
      <c r="A7" s="376">
        <v>7.0</v>
      </c>
      <c r="B7" s="384" t="s">
        <v>632</v>
      </c>
      <c r="C7" s="378" t="s">
        <v>82</v>
      </c>
      <c r="D7" s="379" t="s">
        <v>633</v>
      </c>
      <c r="E7" s="380" t="str">
        <f>IMAGE("https://flagcdn.com/w320/pt.png")</f>
        <v/>
      </c>
      <c r="F7" s="381">
        <v>34631.0</v>
      </c>
      <c r="G7" s="382">
        <f t="shared" si="1"/>
        <v>31</v>
      </c>
      <c r="H7" s="386">
        <v>0.0</v>
      </c>
      <c r="I7" s="386">
        <v>0.0</v>
      </c>
      <c r="J7" s="383"/>
      <c r="K7" s="383"/>
      <c r="L7" s="383"/>
      <c r="M7" s="383"/>
      <c r="N7" s="383"/>
      <c r="O7" s="383"/>
      <c r="P7" s="383">
        <f t="shared" si="3"/>
        <v>0</v>
      </c>
      <c r="Q7" s="383"/>
    </row>
    <row r="8" ht="22.5" customHeight="1">
      <c r="A8" s="376">
        <v>8.0</v>
      </c>
      <c r="B8" s="377" t="s">
        <v>634</v>
      </c>
      <c r="C8" s="378" t="s">
        <v>79</v>
      </c>
      <c r="D8" s="379" t="s">
        <v>96</v>
      </c>
      <c r="E8" s="380" t="str">
        <f>IMAGE("https://flagcdn.com/w320/no.png")</f>
        <v/>
      </c>
      <c r="F8" s="381">
        <v>35043.0</v>
      </c>
      <c r="G8" s="382">
        <f t="shared" si="1"/>
        <v>30</v>
      </c>
      <c r="H8" s="383">
        <f>1+1+1+1+1+1+1</f>
        <v>7</v>
      </c>
      <c r="I8" s="383">
        <f>69+88+90+90+90+89+90</f>
        <v>606</v>
      </c>
      <c r="J8" s="383"/>
      <c r="K8" s="383">
        <f t="shared" ref="K8:L8" si="4">1</f>
        <v>1</v>
      </c>
      <c r="L8" s="383">
        <f t="shared" si="4"/>
        <v>1</v>
      </c>
      <c r="M8" s="383"/>
      <c r="N8" s="383"/>
      <c r="O8" s="383"/>
      <c r="P8" s="383">
        <f t="shared" si="3"/>
        <v>1</v>
      </c>
      <c r="Q8" s="383"/>
    </row>
    <row r="9" ht="22.5" customHeight="1">
      <c r="A9" s="376">
        <v>9.0</v>
      </c>
      <c r="B9" s="377" t="s">
        <v>635</v>
      </c>
      <c r="C9" s="378" t="s">
        <v>82</v>
      </c>
      <c r="D9" s="379" t="s">
        <v>111</v>
      </c>
      <c r="E9" s="380" t="str">
        <f>IMAGE("https://flagcdn.com/w320/hr.png")</f>
        <v/>
      </c>
      <c r="F9" s="381">
        <v>37895.0</v>
      </c>
      <c r="G9" s="382">
        <f t="shared" si="1"/>
        <v>22</v>
      </c>
      <c r="H9" s="383">
        <f>1+1+1+1+1</f>
        <v>5</v>
      </c>
      <c r="I9" s="383">
        <f>21+14+28+75+22</f>
        <v>160</v>
      </c>
      <c r="J9" s="383"/>
      <c r="K9" s="383"/>
      <c r="L9" s="383"/>
      <c r="M9" s="383"/>
      <c r="N9" s="383"/>
      <c r="O9" s="383"/>
      <c r="P9" s="383">
        <f t="shared" si="3"/>
        <v>0</v>
      </c>
      <c r="Q9" s="383"/>
    </row>
    <row r="10" ht="22.5" customHeight="1">
      <c r="A10" s="376">
        <v>10.0</v>
      </c>
      <c r="B10" s="377" t="s">
        <v>636</v>
      </c>
      <c r="C10" s="378" t="s">
        <v>79</v>
      </c>
      <c r="D10" s="379" t="s">
        <v>626</v>
      </c>
      <c r="E10" s="380" t="str">
        <f>IMAGE("https://flagcdn.com/w320/ua.png")</f>
        <v/>
      </c>
      <c r="F10" s="381">
        <v>37500.0</v>
      </c>
      <c r="G10" s="382">
        <f t="shared" si="1"/>
        <v>23</v>
      </c>
      <c r="H10" s="383">
        <f>1+1+1+1+1+1+1</f>
        <v>7</v>
      </c>
      <c r="I10" s="383">
        <f>90+76+90+68+80+75+68</f>
        <v>547</v>
      </c>
      <c r="J10" s="383"/>
      <c r="K10" s="383">
        <f>1</f>
        <v>1</v>
      </c>
      <c r="L10" s="383"/>
      <c r="M10" s="383"/>
      <c r="N10" s="383"/>
      <c r="O10" s="383"/>
      <c r="P10" s="383">
        <f t="shared" si="3"/>
        <v>1</v>
      </c>
      <c r="Q10" s="383"/>
    </row>
    <row r="11" ht="22.5" customHeight="1">
      <c r="A11" s="376">
        <v>11.0</v>
      </c>
      <c r="B11" s="377" t="s">
        <v>637</v>
      </c>
      <c r="C11" s="378" t="s">
        <v>82</v>
      </c>
      <c r="D11" s="379" t="s">
        <v>638</v>
      </c>
      <c r="E11" s="387" t="str">
        <f>IMAGE("https://flagcdn.com/w320/be.png")</f>
        <v/>
      </c>
      <c r="F11" s="381">
        <v>35697.0</v>
      </c>
      <c r="G11" s="382">
        <f t="shared" si="1"/>
        <v>28</v>
      </c>
      <c r="H11" s="383">
        <f>1+1+1</f>
        <v>3</v>
      </c>
      <c r="I11" s="383">
        <f>76+90+90</f>
        <v>256</v>
      </c>
      <c r="J11" s="383"/>
      <c r="K11" s="383"/>
      <c r="L11" s="383">
        <f>1+1</f>
        <v>2</v>
      </c>
      <c r="M11" s="383"/>
      <c r="N11" s="383"/>
      <c r="O11" s="383"/>
      <c r="P11" s="383">
        <f t="shared" si="3"/>
        <v>0</v>
      </c>
      <c r="Q11" s="383"/>
    </row>
    <row r="12" ht="22.5" customHeight="1">
      <c r="A12" s="376">
        <v>14.0</v>
      </c>
      <c r="B12" s="377" t="s">
        <v>639</v>
      </c>
      <c r="C12" s="378" t="s">
        <v>82</v>
      </c>
      <c r="D12" s="379" t="s">
        <v>640</v>
      </c>
      <c r="E12" s="380" t="str">
        <f>IMAGE("https://flagcdn.com/w320/gr.png")</f>
        <v/>
      </c>
      <c r="F12" s="381">
        <v>36120.0</v>
      </c>
      <c r="G12" s="382">
        <f t="shared" si="1"/>
        <v>27</v>
      </c>
      <c r="H12" s="383">
        <f>1+1+1+1+1+1+1</f>
        <v>7</v>
      </c>
      <c r="I12" s="383">
        <f>78+90+90+90+89+15+90</f>
        <v>542</v>
      </c>
      <c r="J12" s="383">
        <f>1</f>
        <v>1</v>
      </c>
      <c r="K12" s="383"/>
      <c r="L12" s="383"/>
      <c r="M12" s="383"/>
      <c r="N12" s="383"/>
      <c r="O12" s="383"/>
      <c r="P12" s="383">
        <f t="shared" si="3"/>
        <v>1</v>
      </c>
      <c r="Q12" s="383"/>
    </row>
    <row r="13" ht="22.5" customHeight="1">
      <c r="A13" s="376">
        <v>16.0</v>
      </c>
      <c r="B13" s="384" t="s">
        <v>641</v>
      </c>
      <c r="C13" s="378" t="s">
        <v>79</v>
      </c>
      <c r="D13" s="379" t="s">
        <v>477</v>
      </c>
      <c r="E13" s="380" t="str">
        <f>IMAGE("https://flagcdn.com/w320/pt.png")</f>
        <v/>
      </c>
      <c r="F13" s="381">
        <v>37054.0</v>
      </c>
      <c r="G13" s="382">
        <f t="shared" si="1"/>
        <v>24</v>
      </c>
      <c r="H13" s="383">
        <f t="shared" ref="H13:I13" si="5">1</f>
        <v>1</v>
      </c>
      <c r="I13" s="383">
        <f t="shared" si="5"/>
        <v>1</v>
      </c>
      <c r="J13" s="383"/>
      <c r="K13" s="383"/>
      <c r="L13" s="383"/>
      <c r="M13" s="383"/>
      <c r="N13" s="383"/>
      <c r="O13" s="383"/>
      <c r="P13" s="383">
        <f t="shared" si="3"/>
        <v>0</v>
      </c>
      <c r="Q13" s="383"/>
    </row>
    <row r="14" ht="22.5" customHeight="1">
      <c r="A14" s="376">
        <v>17.0</v>
      </c>
      <c r="B14" s="377" t="s">
        <v>642</v>
      </c>
      <c r="C14" s="378" t="s">
        <v>70</v>
      </c>
      <c r="D14" s="379" t="s">
        <v>643</v>
      </c>
      <c r="E14" s="380" t="str">
        <f>IMAGE("https://flagcdn.com/w320/ba.png")</f>
        <v/>
      </c>
      <c r="F14" s="381">
        <v>37486.0</v>
      </c>
      <c r="G14" s="382">
        <f t="shared" si="1"/>
        <v>23</v>
      </c>
      <c r="H14" s="383">
        <f>1+1+1+1+1+1+1</f>
        <v>7</v>
      </c>
      <c r="I14" s="383">
        <f>90+90+62+22+90+90+90</f>
        <v>534</v>
      </c>
      <c r="J14" s="383"/>
      <c r="K14" s="383"/>
      <c r="L14" s="383">
        <f>1</f>
        <v>1</v>
      </c>
      <c r="M14" s="383"/>
      <c r="N14" s="383"/>
      <c r="O14" s="383"/>
      <c r="P14" s="383">
        <f t="shared" si="3"/>
        <v>0</v>
      </c>
      <c r="Q14" s="383"/>
    </row>
    <row r="15" ht="22.5" customHeight="1">
      <c r="A15" s="376">
        <v>18.0</v>
      </c>
      <c r="B15" s="377" t="s">
        <v>644</v>
      </c>
      <c r="C15" s="378" t="s">
        <v>79</v>
      </c>
      <c r="D15" s="379" t="s">
        <v>645</v>
      </c>
      <c r="E15" s="380" t="str">
        <f>IMAGE("https://flagcdn.com/w320/lu.png")</f>
        <v/>
      </c>
      <c r="F15" s="381">
        <v>36528.0</v>
      </c>
      <c r="G15" s="382">
        <f t="shared" si="1"/>
        <v>26</v>
      </c>
      <c r="H15" s="383">
        <f t="shared" ref="H15:H16" si="6">1+1+1+1+1+1</f>
        <v>6</v>
      </c>
      <c r="I15" s="383">
        <f>12+14+68+89+89+90</f>
        <v>362</v>
      </c>
      <c r="J15" s="383">
        <f>1+1</f>
        <v>2</v>
      </c>
      <c r="K15" s="383"/>
      <c r="L15" s="383"/>
      <c r="M15" s="383"/>
      <c r="N15" s="383"/>
      <c r="O15" s="383"/>
      <c r="P15" s="383">
        <f t="shared" si="3"/>
        <v>2</v>
      </c>
      <c r="Q15" s="383"/>
    </row>
    <row r="16" ht="22.5" customHeight="1">
      <c r="A16" s="376">
        <v>20.0</v>
      </c>
      <c r="B16" s="377" t="s">
        <v>646</v>
      </c>
      <c r="C16" s="378" t="s">
        <v>79</v>
      </c>
      <c r="D16" s="379" t="s">
        <v>581</v>
      </c>
      <c r="E16" s="380" t="str">
        <f>IMAGE("https://flagcdn.com/w320/co.png")</f>
        <v/>
      </c>
      <c r="F16" s="381">
        <v>36679.0</v>
      </c>
      <c r="G16" s="382">
        <f t="shared" si="1"/>
        <v>25</v>
      </c>
      <c r="H16" s="383">
        <f t="shared" si="6"/>
        <v>6</v>
      </c>
      <c r="I16" s="386">
        <f>78+76+90+90+90+90</f>
        <v>514</v>
      </c>
      <c r="J16" s="383">
        <f>1</f>
        <v>1</v>
      </c>
      <c r="K16" s="383">
        <f>1+1</f>
        <v>2</v>
      </c>
      <c r="L16" s="383">
        <f>1</f>
        <v>1</v>
      </c>
      <c r="M16" s="383"/>
      <c r="N16" s="383"/>
      <c r="O16" s="383">
        <f>1</f>
        <v>1</v>
      </c>
      <c r="P16" s="383">
        <f t="shared" si="3"/>
        <v>3</v>
      </c>
      <c r="Q16" s="383"/>
    </row>
    <row r="17" ht="22.5" customHeight="1">
      <c r="A17" s="376">
        <v>21.0</v>
      </c>
      <c r="B17" s="377" t="s">
        <v>647</v>
      </c>
      <c r="C17" s="378" t="s">
        <v>82</v>
      </c>
      <c r="D17" s="379" t="s">
        <v>96</v>
      </c>
      <c r="E17" s="380" t="str">
        <f>IMAGE("https://flagcdn.com/w320/no.png")</f>
        <v/>
      </c>
      <c r="F17" s="381">
        <v>38139.0</v>
      </c>
      <c r="G17" s="382">
        <f t="shared" si="1"/>
        <v>21</v>
      </c>
      <c r="H17" s="383">
        <f>1+1+1+1</f>
        <v>4</v>
      </c>
      <c r="I17" s="383">
        <f>69+14+22+68</f>
        <v>173</v>
      </c>
      <c r="J17" s="383"/>
      <c r="K17" s="383"/>
      <c r="L17" s="383"/>
      <c r="M17" s="383"/>
      <c r="N17" s="383"/>
      <c r="O17" s="383"/>
      <c r="P17" s="383">
        <f t="shared" si="3"/>
        <v>0</v>
      </c>
      <c r="Q17" s="383"/>
    </row>
    <row r="18" ht="22.5" customHeight="1">
      <c r="A18" s="376">
        <v>24.0</v>
      </c>
      <c r="B18" s="384" t="s">
        <v>648</v>
      </c>
      <c r="C18" s="378" t="s">
        <v>67</v>
      </c>
      <c r="D18" s="379" t="s">
        <v>649</v>
      </c>
      <c r="E18" s="380" t="str">
        <f>IMAGE("https://flagcdn.com/w320/pt.png")</f>
        <v/>
      </c>
      <c r="F18" s="381">
        <v>37422.0</v>
      </c>
      <c r="G18" s="382">
        <f t="shared" si="1"/>
        <v>23</v>
      </c>
      <c r="H18" s="383">
        <f t="shared" ref="H18:I18" si="7">0</f>
        <v>0</v>
      </c>
      <c r="I18" s="383">
        <f t="shared" si="7"/>
        <v>0</v>
      </c>
      <c r="J18" s="383"/>
      <c r="K18" s="383"/>
      <c r="L18" s="383"/>
      <c r="M18" s="383"/>
      <c r="N18" s="383"/>
      <c r="O18" s="383"/>
      <c r="P18" s="383">
        <f t="shared" si="3"/>
        <v>0</v>
      </c>
      <c r="Q18" s="383"/>
    </row>
    <row r="19" ht="22.5" customHeight="1">
      <c r="A19" s="376">
        <v>25.0</v>
      </c>
      <c r="B19" s="377" t="s">
        <v>650</v>
      </c>
      <c r="C19" s="378" t="s">
        <v>82</v>
      </c>
      <c r="D19" s="379" t="s">
        <v>651</v>
      </c>
      <c r="E19" s="380" t="str">
        <f>IMAGE("https://flagcdn.com/w320/ar.png")</f>
        <v/>
      </c>
      <c r="F19" s="381">
        <v>38748.0</v>
      </c>
      <c r="G19" s="382">
        <f t="shared" si="1"/>
        <v>19</v>
      </c>
      <c r="H19" s="383">
        <f>1+1+1</f>
        <v>3</v>
      </c>
      <c r="I19" s="383">
        <f>21+22+76</f>
        <v>119</v>
      </c>
      <c r="J19" s="383"/>
      <c r="K19" s="383"/>
      <c r="L19" s="383"/>
      <c r="M19" s="383"/>
      <c r="N19" s="383"/>
      <c r="O19" s="383"/>
      <c r="P19" s="383">
        <f t="shared" si="3"/>
        <v>0</v>
      </c>
      <c r="Q19" s="383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ht="22.5" customHeight="1">
      <c r="A20" s="376">
        <v>26.0</v>
      </c>
      <c r="B20" s="377" t="s">
        <v>652</v>
      </c>
      <c r="C20" s="378" t="s">
        <v>70</v>
      </c>
      <c r="D20" s="379" t="s">
        <v>481</v>
      </c>
      <c r="E20" s="380" t="str">
        <f>IMAGE("https://flagcdn.com/w320/se.png")</f>
        <v/>
      </c>
      <c r="F20" s="381">
        <v>37684.0</v>
      </c>
      <c r="G20" s="382">
        <f t="shared" si="1"/>
        <v>22</v>
      </c>
      <c r="H20" s="383">
        <f>1+1+1+1+1+1</f>
        <v>6</v>
      </c>
      <c r="I20" s="383">
        <f>90+90+68+90+90+90</f>
        <v>518</v>
      </c>
      <c r="J20" s="383">
        <f>1</f>
        <v>1</v>
      </c>
      <c r="K20" s="383"/>
      <c r="L20" s="383">
        <f>1</f>
        <v>1</v>
      </c>
      <c r="M20" s="383"/>
      <c r="N20" s="383"/>
      <c r="O20" s="383"/>
      <c r="P20" s="383">
        <f t="shared" si="3"/>
        <v>1</v>
      </c>
      <c r="Q20" s="383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ht="22.5" customHeight="1">
      <c r="A21" s="376">
        <v>30.0</v>
      </c>
      <c r="B21" s="377" t="s">
        <v>653</v>
      </c>
      <c r="C21" s="378" t="s">
        <v>70</v>
      </c>
      <c r="D21" s="379" t="s">
        <v>403</v>
      </c>
      <c r="E21" s="380" t="str">
        <f>IMAGE("https://flagcdn.com/w320/ar.png")</f>
        <v/>
      </c>
      <c r="F21" s="381">
        <v>32185.0</v>
      </c>
      <c r="G21" s="382">
        <f t="shared" si="1"/>
        <v>37</v>
      </c>
      <c r="H21" s="383">
        <f>1+1+1+1+1+1+1</f>
        <v>7</v>
      </c>
      <c r="I21" s="383">
        <f>90+90+90+90+90+90+90</f>
        <v>630</v>
      </c>
      <c r="J21" s="383"/>
      <c r="K21" s="383"/>
      <c r="L21" s="383">
        <f>1+1</f>
        <v>2</v>
      </c>
      <c r="M21" s="383"/>
      <c r="N21" s="383"/>
      <c r="O21" s="383"/>
      <c r="P21" s="383">
        <f t="shared" si="3"/>
        <v>0</v>
      </c>
      <c r="Q21" s="383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 ht="22.5" customHeight="1">
      <c r="A22" s="376">
        <v>39.0</v>
      </c>
      <c r="B22" s="384" t="s">
        <v>654</v>
      </c>
      <c r="C22" s="378" t="s">
        <v>82</v>
      </c>
      <c r="D22" s="379" t="s">
        <v>477</v>
      </c>
      <c r="E22" s="380" t="str">
        <f t="shared" ref="E22:E28" si="8">IMAGE("https://flagcdn.com/w320/pt.png")</f>
        <v/>
      </c>
      <c r="F22" s="381">
        <v>37275.0</v>
      </c>
      <c r="G22" s="382">
        <f t="shared" si="1"/>
        <v>24</v>
      </c>
      <c r="H22" s="383">
        <f>1+1</f>
        <v>2</v>
      </c>
      <c r="I22" s="383">
        <f>12+2</f>
        <v>14</v>
      </c>
      <c r="J22" s="383"/>
      <c r="K22" s="383"/>
      <c r="L22" s="383"/>
      <c r="M22" s="383"/>
      <c r="N22" s="383"/>
      <c r="O22" s="383"/>
      <c r="P22" s="383">
        <f t="shared" si="3"/>
        <v>0</v>
      </c>
      <c r="Q22" s="383"/>
    </row>
    <row r="23" ht="22.5" customHeight="1">
      <c r="A23" s="376">
        <v>44.0</v>
      </c>
      <c r="B23" s="384" t="s">
        <v>655</v>
      </c>
      <c r="C23" s="378" t="s">
        <v>70</v>
      </c>
      <c r="D23" s="379" t="s">
        <v>477</v>
      </c>
      <c r="E23" s="380" t="str">
        <f t="shared" si="8"/>
        <v/>
      </c>
      <c r="F23" s="381">
        <v>37392.0</v>
      </c>
      <c r="G23" s="382">
        <f t="shared" si="1"/>
        <v>23</v>
      </c>
      <c r="H23" s="383">
        <f>1+1+1+1+1+1</f>
        <v>6</v>
      </c>
      <c r="I23" s="383">
        <f>18+90+90+10+90+90</f>
        <v>388</v>
      </c>
      <c r="J23" s="383"/>
      <c r="K23" s="383"/>
      <c r="L23" s="383">
        <f>1</f>
        <v>1</v>
      </c>
      <c r="M23" s="383"/>
      <c r="N23" s="383"/>
      <c r="O23" s="383"/>
      <c r="P23" s="383">
        <f t="shared" si="3"/>
        <v>0</v>
      </c>
      <c r="Q23" s="383"/>
    </row>
    <row r="24" ht="22.5" customHeight="1">
      <c r="A24" s="388">
        <v>50.0</v>
      </c>
      <c r="B24" s="389" t="s">
        <v>656</v>
      </c>
      <c r="C24" s="390" t="s">
        <v>67</v>
      </c>
      <c r="D24" s="391" t="s">
        <v>477</v>
      </c>
      <c r="E24" s="392" t="str">
        <f t="shared" si="8"/>
        <v/>
      </c>
      <c r="F24" s="393">
        <v>39123.0</v>
      </c>
      <c r="G24" s="394">
        <f t="shared" si="1"/>
        <v>18</v>
      </c>
      <c r="H24" s="395">
        <v>0.0</v>
      </c>
      <c r="I24" s="395">
        <v>0.0</v>
      </c>
      <c r="J24" s="396"/>
      <c r="K24" s="396"/>
      <c r="L24" s="396"/>
      <c r="M24" s="396"/>
      <c r="N24" s="396"/>
      <c r="O24" s="396"/>
      <c r="P24" s="396">
        <f t="shared" si="3"/>
        <v>0</v>
      </c>
      <c r="Q24" s="396"/>
    </row>
    <row r="25" ht="22.5" customHeight="1">
      <c r="A25" s="388">
        <v>58.0</v>
      </c>
      <c r="B25" s="389" t="s">
        <v>657</v>
      </c>
      <c r="C25" s="390" t="s">
        <v>70</v>
      </c>
      <c r="D25" s="391" t="s">
        <v>658</v>
      </c>
      <c r="E25" s="392" t="str">
        <f t="shared" si="8"/>
        <v/>
      </c>
      <c r="F25" s="393">
        <v>39531.0</v>
      </c>
      <c r="G25" s="394">
        <f t="shared" si="1"/>
        <v>17</v>
      </c>
      <c r="H25" s="395">
        <v>0.0</v>
      </c>
      <c r="I25" s="395">
        <v>0.0</v>
      </c>
      <c r="J25" s="396"/>
      <c r="K25" s="396"/>
      <c r="L25" s="396"/>
      <c r="M25" s="396"/>
      <c r="N25" s="396"/>
      <c r="O25" s="396"/>
      <c r="P25" s="396">
        <f t="shared" si="3"/>
        <v>0</v>
      </c>
      <c r="Q25" s="396"/>
    </row>
    <row r="26" ht="22.5" customHeight="1">
      <c r="A26" s="388">
        <v>60.0</v>
      </c>
      <c r="B26" s="389" t="s">
        <v>659</v>
      </c>
      <c r="C26" s="390" t="s">
        <v>79</v>
      </c>
      <c r="D26" s="391" t="s">
        <v>477</v>
      </c>
      <c r="E26" s="392" t="str">
        <f t="shared" si="8"/>
        <v/>
      </c>
      <c r="F26" s="393">
        <v>38062.0</v>
      </c>
      <c r="G26" s="394">
        <f t="shared" si="1"/>
        <v>21</v>
      </c>
      <c r="H26" s="396"/>
      <c r="I26" s="396"/>
      <c r="J26" s="396"/>
      <c r="K26" s="396"/>
      <c r="L26" s="396"/>
      <c r="M26" s="396"/>
      <c r="N26" s="396"/>
      <c r="O26" s="396"/>
      <c r="P26" s="396">
        <f t="shared" si="3"/>
        <v>0</v>
      </c>
      <c r="Q26" s="396"/>
    </row>
    <row r="27" ht="22.5" customHeight="1">
      <c r="A27" s="388">
        <v>62.0</v>
      </c>
      <c r="B27" s="389" t="s">
        <v>660</v>
      </c>
      <c r="C27" s="390" t="s">
        <v>70</v>
      </c>
      <c r="D27" s="391" t="s">
        <v>477</v>
      </c>
      <c r="E27" s="392" t="str">
        <f t="shared" si="8"/>
        <v/>
      </c>
      <c r="F27" s="393">
        <v>39191.0</v>
      </c>
      <c r="G27" s="394">
        <f t="shared" si="1"/>
        <v>18</v>
      </c>
      <c r="H27" s="396">
        <f t="shared" ref="H27:I27" si="9">1</f>
        <v>1</v>
      </c>
      <c r="I27" s="396">
        <f t="shared" si="9"/>
        <v>1</v>
      </c>
      <c r="J27" s="396"/>
      <c r="K27" s="396"/>
      <c r="L27" s="396"/>
      <c r="M27" s="396"/>
      <c r="N27" s="396"/>
      <c r="O27" s="396"/>
      <c r="P27" s="396">
        <f t="shared" si="3"/>
        <v>0</v>
      </c>
      <c r="Q27" s="396"/>
    </row>
    <row r="28" ht="22.5" customHeight="1">
      <c r="A28" s="388">
        <v>64.0</v>
      </c>
      <c r="B28" s="389" t="s">
        <v>661</v>
      </c>
      <c r="C28" s="390" t="s">
        <v>70</v>
      </c>
      <c r="D28" s="391" t="s">
        <v>477</v>
      </c>
      <c r="E28" s="392" t="str">
        <f t="shared" si="8"/>
        <v/>
      </c>
      <c r="F28" s="393">
        <v>38902.0</v>
      </c>
      <c r="G28" s="394">
        <f t="shared" si="1"/>
        <v>19</v>
      </c>
      <c r="H28" s="396">
        <f t="shared" ref="H28:I28" si="10">0</f>
        <v>0</v>
      </c>
      <c r="I28" s="396">
        <f t="shared" si="10"/>
        <v>0</v>
      </c>
      <c r="J28" s="396"/>
      <c r="K28" s="396"/>
      <c r="L28" s="396"/>
      <c r="M28" s="396"/>
      <c r="N28" s="396"/>
      <c r="O28" s="396"/>
      <c r="P28" s="396">
        <f t="shared" si="3"/>
        <v>0</v>
      </c>
      <c r="Q28" s="396"/>
    </row>
    <row r="29" ht="22.5" customHeight="1">
      <c r="A29" s="388">
        <v>66.0</v>
      </c>
      <c r="B29" s="397" t="s">
        <v>662</v>
      </c>
      <c r="C29" s="390" t="s">
        <v>70</v>
      </c>
      <c r="D29" s="391" t="s">
        <v>663</v>
      </c>
      <c r="E29" s="392" t="str">
        <f>IMAGE("https://flagcdn.com/w320/us.png")</f>
        <v/>
      </c>
      <c r="F29" s="393">
        <v>38474.0</v>
      </c>
      <c r="G29" s="394">
        <f t="shared" si="1"/>
        <v>20</v>
      </c>
      <c r="H29" s="395">
        <v>0.0</v>
      </c>
      <c r="I29" s="395">
        <v>0.0</v>
      </c>
      <c r="J29" s="396"/>
      <c r="K29" s="396"/>
      <c r="L29" s="396"/>
      <c r="M29" s="396"/>
      <c r="N29" s="396"/>
      <c r="O29" s="396"/>
      <c r="P29" s="396">
        <f t="shared" si="3"/>
        <v>0</v>
      </c>
      <c r="Q29" s="396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ht="22.5" customHeight="1">
      <c r="A30" s="388">
        <v>67.0</v>
      </c>
      <c r="B30" s="389" t="s">
        <v>664</v>
      </c>
      <c r="C30" s="390" t="s">
        <v>82</v>
      </c>
      <c r="D30" s="391" t="s">
        <v>477</v>
      </c>
      <c r="E30" s="392" t="str">
        <f t="shared" ref="E30:E36" si="12">IMAGE("https://flagcdn.com/w320/pt.png")</f>
        <v/>
      </c>
      <c r="F30" s="393">
        <v>38355.0</v>
      </c>
      <c r="G30" s="394">
        <f t="shared" si="1"/>
        <v>21</v>
      </c>
      <c r="H30" s="395">
        <f t="shared" ref="H30:I30" si="11">1</f>
        <v>1</v>
      </c>
      <c r="I30" s="395">
        <f t="shared" si="11"/>
        <v>1</v>
      </c>
      <c r="J30" s="396"/>
      <c r="K30" s="396"/>
      <c r="L30" s="396"/>
      <c r="M30" s="396"/>
      <c r="N30" s="396"/>
      <c r="O30" s="396"/>
      <c r="P30" s="396">
        <f t="shared" si="3"/>
        <v>0</v>
      </c>
      <c r="Q30" s="396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ht="22.5" customHeight="1">
      <c r="A31" s="388">
        <v>68.0</v>
      </c>
      <c r="B31" s="389" t="s">
        <v>665</v>
      </c>
      <c r="C31" s="390" t="s">
        <v>79</v>
      </c>
      <c r="D31" s="391" t="s">
        <v>477</v>
      </c>
      <c r="E31" s="392" t="str">
        <f t="shared" si="12"/>
        <v/>
      </c>
      <c r="F31" s="393">
        <v>38529.0</v>
      </c>
      <c r="G31" s="394">
        <f t="shared" si="1"/>
        <v>20</v>
      </c>
      <c r="H31" s="395">
        <v>0.0</v>
      </c>
      <c r="I31" s="395">
        <v>0.0</v>
      </c>
      <c r="J31" s="396"/>
      <c r="K31" s="396"/>
      <c r="L31" s="396"/>
      <c r="M31" s="396"/>
      <c r="N31" s="396"/>
      <c r="O31" s="396"/>
      <c r="P31" s="396">
        <f t="shared" si="3"/>
        <v>0</v>
      </c>
      <c r="Q31" s="396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ht="22.5" customHeight="1">
      <c r="A32" s="388">
        <v>71.0</v>
      </c>
      <c r="B32" s="389" t="s">
        <v>666</v>
      </c>
      <c r="C32" s="390" t="s">
        <v>70</v>
      </c>
      <c r="D32" s="391" t="s">
        <v>477</v>
      </c>
      <c r="E32" s="392" t="str">
        <f t="shared" si="12"/>
        <v/>
      </c>
      <c r="F32" s="393">
        <v>38623.0</v>
      </c>
      <c r="G32" s="394">
        <f t="shared" si="1"/>
        <v>20</v>
      </c>
      <c r="H32" s="396">
        <f t="shared" ref="H32:I32" si="13">0</f>
        <v>0</v>
      </c>
      <c r="I32" s="396">
        <f t="shared" si="13"/>
        <v>0</v>
      </c>
      <c r="J32" s="396"/>
      <c r="K32" s="396"/>
      <c r="L32" s="396"/>
      <c r="M32" s="396"/>
      <c r="N32" s="396"/>
      <c r="O32" s="396"/>
      <c r="P32" s="396">
        <f t="shared" si="3"/>
        <v>0</v>
      </c>
      <c r="Q32" s="396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ht="22.5" customHeight="1">
      <c r="A33" s="388">
        <v>84.0</v>
      </c>
      <c r="B33" s="389" t="s">
        <v>667</v>
      </c>
      <c r="C33" s="390" t="s">
        <v>79</v>
      </c>
      <c r="D33" s="391" t="s">
        <v>477</v>
      </c>
      <c r="E33" s="392" t="str">
        <f t="shared" si="12"/>
        <v/>
      </c>
      <c r="F33" s="393">
        <v>38492.0</v>
      </c>
      <c r="G33" s="394">
        <f t="shared" si="1"/>
        <v>20</v>
      </c>
      <c r="H33" s="396">
        <f>1</f>
        <v>1</v>
      </c>
      <c r="I33" s="396">
        <f>14</f>
        <v>14</v>
      </c>
      <c r="J33" s="396"/>
      <c r="K33" s="396"/>
      <c r="L33" s="396"/>
      <c r="M33" s="396"/>
      <c r="N33" s="396"/>
      <c r="O33" s="396"/>
      <c r="P33" s="396">
        <f t="shared" si="3"/>
        <v>0</v>
      </c>
      <c r="Q33" s="396"/>
    </row>
    <row r="34" ht="22.5" customHeight="1">
      <c r="A34" s="388">
        <v>86.0</v>
      </c>
      <c r="B34" s="389" t="s">
        <v>668</v>
      </c>
      <c r="C34" s="390" t="s">
        <v>79</v>
      </c>
      <c r="D34" s="391" t="s">
        <v>477</v>
      </c>
      <c r="E34" s="392" t="str">
        <f t="shared" si="12"/>
        <v/>
      </c>
      <c r="F34" s="393">
        <v>38072.0</v>
      </c>
      <c r="G34" s="394">
        <f t="shared" si="1"/>
        <v>21</v>
      </c>
      <c r="H34" s="395">
        <f t="shared" ref="H34:I34" si="14">0</f>
        <v>0</v>
      </c>
      <c r="I34" s="396">
        <f t="shared" si="14"/>
        <v>0</v>
      </c>
      <c r="J34" s="396"/>
      <c r="K34" s="396"/>
      <c r="L34" s="396"/>
      <c r="M34" s="396"/>
      <c r="N34" s="396"/>
      <c r="O34" s="396"/>
      <c r="P34" s="396">
        <f t="shared" si="3"/>
        <v>0</v>
      </c>
      <c r="Q34" s="396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ht="22.5" customHeight="1">
      <c r="A35" s="388">
        <v>88.0</v>
      </c>
      <c r="B35" s="389" t="s">
        <v>669</v>
      </c>
      <c r="C35" s="390" t="s">
        <v>79</v>
      </c>
      <c r="D35" s="391" t="s">
        <v>477</v>
      </c>
      <c r="E35" s="392" t="str">
        <f t="shared" si="12"/>
        <v/>
      </c>
      <c r="F35" s="393">
        <v>38946.0</v>
      </c>
      <c r="G35" s="394">
        <f t="shared" si="1"/>
        <v>19</v>
      </c>
      <c r="H35" s="395">
        <f t="shared" ref="H35:I35" si="15">1</f>
        <v>1</v>
      </c>
      <c r="I35" s="396">
        <f t="shared" si="15"/>
        <v>1</v>
      </c>
      <c r="J35" s="396"/>
      <c r="K35" s="396"/>
      <c r="L35" s="396"/>
      <c r="M35" s="396"/>
      <c r="N35" s="396"/>
      <c r="O35" s="396"/>
      <c r="P35" s="396">
        <f t="shared" si="3"/>
        <v>0</v>
      </c>
      <c r="Q35" s="396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ht="22.5" customHeight="1">
      <c r="A36" s="388">
        <v>90.0</v>
      </c>
      <c r="B36" s="389" t="s">
        <v>670</v>
      </c>
      <c r="C36" s="390" t="s">
        <v>82</v>
      </c>
      <c r="D36" s="391" t="s">
        <v>671</v>
      </c>
      <c r="E36" s="392" t="str">
        <f t="shared" si="12"/>
        <v/>
      </c>
      <c r="F36" s="393">
        <v>38365.0</v>
      </c>
      <c r="G36" s="394">
        <f t="shared" si="1"/>
        <v>21</v>
      </c>
      <c r="H36" s="395">
        <f t="shared" ref="H36:I36" si="16">0</f>
        <v>0</v>
      </c>
      <c r="I36" s="396">
        <f t="shared" si="16"/>
        <v>0</v>
      </c>
      <c r="J36" s="396"/>
      <c r="K36" s="396"/>
      <c r="L36" s="396"/>
      <c r="M36" s="396"/>
      <c r="N36" s="396"/>
      <c r="O36" s="396"/>
      <c r="P36" s="396">
        <f t="shared" si="3"/>
        <v>0</v>
      </c>
      <c r="Q36" s="396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11"/>
      <c r="B37" s="18"/>
      <c r="C37" s="18"/>
      <c r="D37" s="64"/>
      <c r="E37" s="65"/>
      <c r="F37" s="398"/>
      <c r="G37" s="399"/>
      <c r="H37" s="11">
        <f t="shared" ref="H37:Q37" si="17">SUM(H2:H36)</f>
        <v>100</v>
      </c>
      <c r="I37" s="11">
        <f t="shared" si="17"/>
        <v>6930</v>
      </c>
      <c r="J37" s="11">
        <f t="shared" si="17"/>
        <v>6</v>
      </c>
      <c r="K37" s="11">
        <f t="shared" si="17"/>
        <v>4</v>
      </c>
      <c r="L37" s="11">
        <f t="shared" si="17"/>
        <v>10</v>
      </c>
      <c r="M37" s="11">
        <f t="shared" si="17"/>
        <v>0</v>
      </c>
      <c r="N37" s="11">
        <f t="shared" si="17"/>
        <v>2</v>
      </c>
      <c r="O37" s="11">
        <f t="shared" si="17"/>
        <v>1</v>
      </c>
      <c r="P37" s="11">
        <f t="shared" si="17"/>
        <v>10</v>
      </c>
      <c r="Q37" s="11">
        <f t="shared" si="17"/>
        <v>0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ht="22.5" customHeight="1">
      <c r="A38" s="369" t="s">
        <v>150</v>
      </c>
      <c r="B38" s="370" t="s">
        <v>49</v>
      </c>
      <c r="C38" s="370" t="s">
        <v>265</v>
      </c>
      <c r="D38" s="400" t="s">
        <v>56</v>
      </c>
      <c r="E38" s="370" t="s">
        <v>57</v>
      </c>
      <c r="F38" s="370" t="s">
        <v>52</v>
      </c>
      <c r="G38" s="401" t="s">
        <v>53</v>
      </c>
      <c r="H38" s="370" t="s">
        <v>4</v>
      </c>
      <c r="I38" s="370" t="s">
        <v>5</v>
      </c>
      <c r="J38" s="370" t="s">
        <v>6</v>
      </c>
      <c r="K38" s="370" t="s">
        <v>7</v>
      </c>
      <c r="L38" s="370" t="s">
        <v>8</v>
      </c>
      <c r="M38" s="370" t="s">
        <v>9</v>
      </c>
      <c r="N38" s="370" t="s">
        <v>10</v>
      </c>
      <c r="O38" s="12"/>
      <c r="P38" s="12"/>
      <c r="Q38" s="12"/>
    </row>
    <row r="39" ht="22.5" customHeight="1">
      <c r="A39" s="402"/>
      <c r="B39" s="384" t="s">
        <v>672</v>
      </c>
      <c r="C39" s="377" t="s">
        <v>153</v>
      </c>
      <c r="D39" s="379" t="s">
        <v>477</v>
      </c>
      <c r="E39" s="387" t="str">
        <f t="shared" ref="E39:E40" si="19">IMAGE("https://flagcdn.com/w320/pt.png")</f>
        <v/>
      </c>
      <c r="F39" s="403">
        <v>28232.0</v>
      </c>
      <c r="G39" s="382">
        <f t="shared" ref="G39:G40" si="20">DATEDIF(F39,TODAY(),"Y")</f>
        <v>48</v>
      </c>
      <c r="H39" s="404">
        <f t="shared" ref="H39:H40" si="21">L39+M39+N39</f>
        <v>1</v>
      </c>
      <c r="I39" s="404">
        <f t="shared" ref="I39:I40" si="22">(3*L39)+M39</f>
        <v>0</v>
      </c>
      <c r="J39" s="404">
        <f>2</f>
        <v>2</v>
      </c>
      <c r="K39" s="404">
        <f>3</f>
        <v>3</v>
      </c>
      <c r="L39" s="405">
        <f t="shared" ref="L39:M39" si="18">0</f>
        <v>0</v>
      </c>
      <c r="M39" s="406">
        <f t="shared" si="18"/>
        <v>0</v>
      </c>
      <c r="N39" s="407">
        <f>1</f>
        <v>1</v>
      </c>
      <c r="O39" s="12"/>
      <c r="P39" s="12"/>
      <c r="Q39" s="12"/>
    </row>
    <row r="40" ht="22.5" customHeight="1">
      <c r="A40" s="402"/>
      <c r="B40" s="384" t="s">
        <v>673</v>
      </c>
      <c r="C40" s="377" t="s">
        <v>153</v>
      </c>
      <c r="D40" s="379" t="s">
        <v>477</v>
      </c>
      <c r="E40" s="387" t="str">
        <f t="shared" si="19"/>
        <v/>
      </c>
      <c r="F40" s="403">
        <v>23037.0</v>
      </c>
      <c r="G40" s="382">
        <f t="shared" si="20"/>
        <v>63</v>
      </c>
      <c r="H40" s="404">
        <f t="shared" si="21"/>
        <v>6</v>
      </c>
      <c r="I40" s="404">
        <f t="shared" si="22"/>
        <v>6</v>
      </c>
      <c r="J40" s="404">
        <f>2+2</f>
        <v>4</v>
      </c>
      <c r="K40" s="404">
        <f>1+3+1+2</f>
        <v>7</v>
      </c>
      <c r="L40" s="405">
        <f>1+1</f>
        <v>2</v>
      </c>
      <c r="M40" s="406">
        <f>0</f>
        <v>0</v>
      </c>
      <c r="N40" s="407">
        <f>1+1+1+1</f>
        <v>4</v>
      </c>
      <c r="O40" s="12"/>
      <c r="P40" s="12"/>
      <c r="Q40" s="12"/>
    </row>
    <row r="41">
      <c r="A41" s="11"/>
      <c r="B41" s="18"/>
      <c r="C41" s="18"/>
      <c r="D41" s="64"/>
      <c r="E41" s="65"/>
      <c r="F41" s="398"/>
      <c r="G41" s="399"/>
      <c r="H41" s="11">
        <f>SUM(trenerBenfica[mecze])</f>
        <v>7</v>
      </c>
      <c r="I41" s="11">
        <f>SUM(trenerBenfica[punkty])</f>
        <v>6</v>
      </c>
      <c r="J41" s="11">
        <f>SUM(trenerBenfica[strzelone])</f>
        <v>6</v>
      </c>
      <c r="K41" s="11">
        <f>SUM(trenerBenfica[stracone])</f>
        <v>10</v>
      </c>
      <c r="L41" s="11">
        <f>SUM(trenerBenfica[wygrane])</f>
        <v>2</v>
      </c>
      <c r="M41" s="11">
        <f>SUM(trenerBenfica[remisy])</f>
        <v>0</v>
      </c>
      <c r="N41" s="11">
        <f>SUM(trenerBenfica[porażki])</f>
        <v>5</v>
      </c>
      <c r="O41" s="11"/>
      <c r="P41" s="11"/>
      <c r="Q41" s="11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ht="22.5" customHeight="1">
      <c r="A42" s="369" t="s">
        <v>156</v>
      </c>
      <c r="B42" s="372" t="s">
        <v>157</v>
      </c>
      <c r="C42" s="372" t="s">
        <v>158</v>
      </c>
      <c r="D42" s="408" t="s">
        <v>674</v>
      </c>
      <c r="E42" s="372" t="s">
        <v>160</v>
      </c>
      <c r="F42" s="372" t="s">
        <v>161</v>
      </c>
      <c r="G42" s="409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22.5" customHeight="1">
      <c r="A43" s="77">
        <v>1.0</v>
      </c>
      <c r="B43" s="78" t="s">
        <v>42</v>
      </c>
      <c r="C43" s="78" t="s">
        <v>32</v>
      </c>
      <c r="D43" s="83" t="s">
        <v>675</v>
      </c>
      <c r="E43" s="84">
        <v>45691.0</v>
      </c>
      <c r="F43" s="78" t="s">
        <v>676</v>
      </c>
      <c r="G43" s="409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22.5" customHeight="1">
      <c r="A44" s="77">
        <v>2.0</v>
      </c>
      <c r="B44" s="78" t="s">
        <v>22</v>
      </c>
      <c r="C44" s="78" t="s">
        <v>42</v>
      </c>
      <c r="D44" s="79"/>
      <c r="E44" s="80" t="s">
        <v>677</v>
      </c>
      <c r="F44" s="78" t="s">
        <v>167</v>
      </c>
      <c r="G44" s="409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22.5" customHeight="1">
      <c r="A45" s="77">
        <v>3.0</v>
      </c>
      <c r="B45" s="78" t="s">
        <v>26</v>
      </c>
      <c r="C45" s="78" t="s">
        <v>42</v>
      </c>
      <c r="D45" s="79"/>
      <c r="E45" s="80" t="s">
        <v>560</v>
      </c>
      <c r="F45" s="78" t="s">
        <v>385</v>
      </c>
      <c r="G45" s="409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22.5" customHeight="1">
      <c r="A46" s="77">
        <v>4.0</v>
      </c>
      <c r="B46" s="78" t="s">
        <v>42</v>
      </c>
      <c r="C46" s="78" t="s">
        <v>31</v>
      </c>
      <c r="D46" s="79"/>
      <c r="E46" s="80" t="s">
        <v>333</v>
      </c>
      <c r="F46" s="78" t="s">
        <v>676</v>
      </c>
      <c r="G46" s="409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22.5" customHeight="1">
      <c r="A47" s="86">
        <v>5.0</v>
      </c>
      <c r="B47" s="87" t="s">
        <v>43</v>
      </c>
      <c r="C47" s="87" t="s">
        <v>42</v>
      </c>
      <c r="D47" s="88" t="s">
        <v>678</v>
      </c>
      <c r="E47" s="161" t="s">
        <v>162</v>
      </c>
      <c r="F47" s="87" t="s">
        <v>163</v>
      </c>
      <c r="G47" s="409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ht="22.5" customHeight="1">
      <c r="A48" s="86">
        <v>6.0</v>
      </c>
      <c r="B48" s="87" t="s">
        <v>42</v>
      </c>
      <c r="C48" s="87" t="s">
        <v>33</v>
      </c>
      <c r="D48" s="88" t="s">
        <v>679</v>
      </c>
      <c r="E48" s="161" t="s">
        <v>271</v>
      </c>
      <c r="F48" s="87" t="s">
        <v>676</v>
      </c>
      <c r="G48" s="409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ht="22.5" customHeight="1">
      <c r="A49" s="77">
        <v>7.0</v>
      </c>
      <c r="B49" s="78" t="s">
        <v>35</v>
      </c>
      <c r="C49" s="78" t="s">
        <v>42</v>
      </c>
      <c r="D49" s="79"/>
      <c r="E49" s="80" t="s">
        <v>271</v>
      </c>
      <c r="F49" s="78" t="s">
        <v>502</v>
      </c>
      <c r="G49" s="409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ht="22.5" customHeight="1">
      <c r="A50" s="90">
        <v>8.0</v>
      </c>
      <c r="B50" s="91" t="s">
        <v>42</v>
      </c>
      <c r="C50" s="91" t="s">
        <v>17</v>
      </c>
      <c r="D50" s="92"/>
      <c r="E50" s="93"/>
      <c r="F50" s="94" t="s">
        <v>676</v>
      </c>
      <c r="G50" s="409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A51" s="12"/>
      <c r="D51" s="95"/>
      <c r="E51" s="14"/>
      <c r="F51" s="410"/>
      <c r="G51" s="409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A52" s="12"/>
      <c r="D52" s="95"/>
      <c r="E52" s="14"/>
      <c r="F52" s="410"/>
      <c r="G52" s="409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A53" s="12"/>
      <c r="D53" s="95"/>
      <c r="E53" s="14"/>
      <c r="F53" s="410"/>
      <c r="G53" s="409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A54" s="12"/>
      <c r="D54" s="95"/>
      <c r="E54" s="14"/>
      <c r="F54" s="410"/>
      <c r="G54" s="409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A55" s="12"/>
      <c r="D55" s="95"/>
      <c r="E55" s="14"/>
      <c r="F55" s="410"/>
      <c r="G55" s="409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A56" s="12"/>
      <c r="D56" s="95"/>
      <c r="E56" s="14"/>
      <c r="F56" s="410"/>
      <c r="G56" s="409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A57" s="12"/>
      <c r="D57" s="95"/>
      <c r="E57" s="14"/>
      <c r="F57" s="410"/>
      <c r="G57" s="409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A58" s="12"/>
      <c r="D58" s="95"/>
      <c r="E58" s="14"/>
      <c r="F58" s="410"/>
      <c r="G58" s="409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A59" s="12"/>
      <c r="D59" s="95"/>
      <c r="E59" s="14"/>
      <c r="F59" s="410"/>
      <c r="G59" s="409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A60" s="12"/>
      <c r="D60" s="95"/>
      <c r="E60" s="14"/>
      <c r="F60" s="410"/>
      <c r="G60" s="409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A61" s="12"/>
      <c r="D61" s="95"/>
      <c r="E61" s="14"/>
      <c r="F61" s="410"/>
      <c r="G61" s="409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A62" s="12"/>
      <c r="D62" s="95"/>
      <c r="E62" s="14"/>
      <c r="F62" s="410"/>
      <c r="G62" s="409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A63" s="12"/>
      <c r="D63" s="95"/>
      <c r="E63" s="14"/>
      <c r="F63" s="410"/>
      <c r="G63" s="409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A64" s="12"/>
      <c r="D64" s="95"/>
      <c r="E64" s="14"/>
      <c r="F64" s="410"/>
      <c r="G64" s="409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A65" s="12"/>
      <c r="D65" s="95"/>
      <c r="E65" s="14"/>
      <c r="F65" s="410"/>
      <c r="G65" s="409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A66" s="12"/>
      <c r="D66" s="95"/>
      <c r="E66" s="14"/>
      <c r="F66" s="410"/>
      <c r="G66" s="409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A67" s="12"/>
      <c r="D67" s="95"/>
      <c r="E67" s="14"/>
      <c r="F67" s="410"/>
      <c r="G67" s="409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A68" s="12"/>
      <c r="D68" s="95"/>
      <c r="E68" s="14"/>
      <c r="F68" s="410"/>
      <c r="G68" s="409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A69" s="12"/>
      <c r="D69" s="95"/>
      <c r="E69" s="14"/>
      <c r="F69" s="410"/>
      <c r="G69" s="409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A70" s="12"/>
      <c r="D70" s="95"/>
      <c r="E70" s="14"/>
      <c r="F70" s="410"/>
      <c r="G70" s="409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A71" s="12"/>
      <c r="D71" s="95"/>
      <c r="E71" s="14"/>
      <c r="F71" s="410"/>
      <c r="G71" s="409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A72" s="12"/>
      <c r="D72" s="95"/>
      <c r="E72" s="14"/>
      <c r="F72" s="410"/>
      <c r="G72" s="409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A73" s="12"/>
      <c r="D73" s="95"/>
      <c r="E73" s="14"/>
      <c r="F73" s="410"/>
      <c r="G73" s="409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A74" s="12"/>
      <c r="D74" s="95"/>
      <c r="E74" s="14"/>
      <c r="F74" s="410"/>
      <c r="G74" s="409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A75" s="12"/>
      <c r="D75" s="95"/>
      <c r="E75" s="14"/>
      <c r="F75" s="410"/>
      <c r="G75" s="409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A76" s="12"/>
      <c r="D76" s="95"/>
      <c r="E76" s="14"/>
      <c r="F76" s="410"/>
      <c r="G76" s="409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A77" s="12"/>
      <c r="D77" s="95"/>
      <c r="E77" s="14"/>
      <c r="F77" s="410"/>
      <c r="G77" s="409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A78" s="12"/>
      <c r="D78" s="95"/>
      <c r="E78" s="14"/>
      <c r="F78" s="410"/>
      <c r="G78" s="409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A79" s="12"/>
      <c r="D79" s="95"/>
      <c r="E79" s="14"/>
      <c r="F79" s="410"/>
      <c r="G79" s="409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A80" s="12"/>
      <c r="D80" s="95"/>
      <c r="E80" s="14"/>
      <c r="F80" s="410"/>
      <c r="G80" s="409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A81" s="12"/>
      <c r="D81" s="95"/>
      <c r="E81" s="14"/>
      <c r="F81" s="410"/>
      <c r="G81" s="409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A82" s="12"/>
      <c r="D82" s="95"/>
      <c r="E82" s="14"/>
      <c r="F82" s="410"/>
      <c r="G82" s="409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A83" s="12"/>
      <c r="D83" s="95"/>
      <c r="E83" s="14"/>
      <c r="F83" s="410"/>
      <c r="G83" s="409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A84" s="12"/>
      <c r="D84" s="95"/>
      <c r="E84" s="14"/>
      <c r="F84" s="410"/>
      <c r="G84" s="409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A85" s="12"/>
      <c r="D85" s="95"/>
      <c r="E85" s="14"/>
      <c r="F85" s="410"/>
      <c r="G85" s="409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A86" s="12"/>
      <c r="D86" s="95"/>
      <c r="E86" s="14"/>
      <c r="F86" s="410"/>
      <c r="G86" s="409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A87" s="12"/>
      <c r="D87" s="95"/>
      <c r="E87" s="14"/>
      <c r="F87" s="410"/>
      <c r="G87" s="409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A88" s="12"/>
      <c r="D88" s="95"/>
      <c r="E88" s="14"/>
      <c r="F88" s="410"/>
      <c r="G88" s="409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A89" s="12"/>
      <c r="D89" s="95"/>
      <c r="E89" s="14"/>
      <c r="F89" s="410"/>
      <c r="G89" s="409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A90" s="12"/>
      <c r="D90" s="95"/>
      <c r="E90" s="14"/>
      <c r="F90" s="410"/>
      <c r="G90" s="409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A91" s="12"/>
      <c r="D91" s="95"/>
      <c r="E91" s="14"/>
      <c r="F91" s="410"/>
      <c r="G91" s="409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A92" s="12"/>
      <c r="D92" s="95"/>
      <c r="E92" s="14"/>
      <c r="F92" s="410"/>
      <c r="G92" s="409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A93" s="12"/>
      <c r="D93" s="95"/>
      <c r="E93" s="14"/>
      <c r="F93" s="410"/>
      <c r="G93" s="409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A94" s="12"/>
      <c r="D94" s="95"/>
      <c r="E94" s="14"/>
      <c r="F94" s="410"/>
      <c r="G94" s="409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A95" s="12"/>
      <c r="D95" s="95"/>
      <c r="E95" s="14"/>
      <c r="F95" s="410"/>
      <c r="G95" s="409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A96" s="12"/>
      <c r="D96" s="95"/>
      <c r="E96" s="14"/>
      <c r="F96" s="410"/>
      <c r="G96" s="409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A97" s="12"/>
      <c r="D97" s="95"/>
      <c r="E97" s="14"/>
      <c r="F97" s="410"/>
      <c r="G97" s="409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A98" s="12"/>
      <c r="D98" s="95"/>
      <c r="E98" s="14"/>
      <c r="F98" s="410"/>
      <c r="G98" s="409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A99" s="12"/>
      <c r="D99" s="95"/>
      <c r="E99" s="14"/>
      <c r="F99" s="410"/>
      <c r="G99" s="409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A100" s="12"/>
      <c r="D100" s="95"/>
      <c r="E100" s="14"/>
      <c r="F100" s="410"/>
      <c r="G100" s="409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A101" s="12"/>
      <c r="D101" s="95"/>
      <c r="E101" s="14"/>
      <c r="F101" s="410"/>
      <c r="G101" s="409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A102" s="12"/>
      <c r="D102" s="95"/>
      <c r="E102" s="14"/>
      <c r="F102" s="410"/>
      <c r="G102" s="409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A103" s="12"/>
      <c r="D103" s="95"/>
      <c r="E103" s="14"/>
      <c r="F103" s="410"/>
      <c r="G103" s="409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12"/>
      <c r="D104" s="95"/>
      <c r="E104" s="14"/>
      <c r="F104" s="410"/>
      <c r="G104" s="409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12"/>
      <c r="D105" s="95"/>
      <c r="E105" s="14"/>
      <c r="F105" s="410"/>
      <c r="G105" s="409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12"/>
      <c r="D106" s="95"/>
      <c r="E106" s="14"/>
      <c r="F106" s="410"/>
      <c r="G106" s="409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12"/>
      <c r="D107" s="95"/>
      <c r="E107" s="14"/>
      <c r="F107" s="410"/>
      <c r="G107" s="409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A108" s="12"/>
      <c r="D108" s="95"/>
      <c r="E108" s="14"/>
      <c r="F108" s="410"/>
      <c r="G108" s="409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A109" s="12"/>
      <c r="D109" s="95"/>
      <c r="E109" s="14"/>
      <c r="F109" s="410"/>
      <c r="G109" s="409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A110" s="12"/>
      <c r="D110" s="95"/>
      <c r="E110" s="14"/>
      <c r="F110" s="410"/>
      <c r="G110" s="409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A111" s="12"/>
      <c r="D111" s="95"/>
      <c r="E111" s="14"/>
      <c r="F111" s="410"/>
      <c r="G111" s="409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A112" s="12"/>
      <c r="D112" s="95"/>
      <c r="E112" s="14"/>
      <c r="F112" s="410"/>
      <c r="G112" s="409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A113" s="12"/>
      <c r="D113" s="95"/>
      <c r="E113" s="14"/>
      <c r="F113" s="410"/>
      <c r="G113" s="409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A114" s="12"/>
      <c r="D114" s="95"/>
      <c r="E114" s="14"/>
      <c r="F114" s="410"/>
      <c r="G114" s="409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A115" s="12"/>
      <c r="D115" s="95"/>
      <c r="E115" s="14"/>
      <c r="F115" s="410"/>
      <c r="G115" s="409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A116" s="12"/>
      <c r="D116" s="95"/>
      <c r="E116" s="14"/>
      <c r="F116" s="410"/>
      <c r="G116" s="409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A117" s="12"/>
      <c r="D117" s="95"/>
      <c r="E117" s="14"/>
      <c r="F117" s="410"/>
      <c r="G117" s="409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A118" s="12"/>
      <c r="D118" s="95"/>
      <c r="E118" s="14"/>
      <c r="F118" s="410"/>
      <c r="G118" s="409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A119" s="12"/>
      <c r="D119" s="95"/>
      <c r="E119" s="14"/>
      <c r="F119" s="410"/>
      <c r="G119" s="409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A120" s="12"/>
      <c r="D120" s="95"/>
      <c r="E120" s="14"/>
      <c r="F120" s="410"/>
      <c r="G120" s="409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A121" s="12"/>
      <c r="D121" s="95"/>
      <c r="E121" s="14"/>
      <c r="F121" s="410"/>
      <c r="G121" s="409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A122" s="12"/>
      <c r="D122" s="95"/>
      <c r="E122" s="14"/>
      <c r="F122" s="410"/>
      <c r="G122" s="409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A123" s="12"/>
      <c r="D123" s="95"/>
      <c r="E123" s="14"/>
      <c r="F123" s="410"/>
      <c r="G123" s="409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A124" s="12"/>
      <c r="D124" s="95"/>
      <c r="E124" s="14"/>
      <c r="F124" s="410"/>
      <c r="G124" s="409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A125" s="12"/>
      <c r="D125" s="95"/>
      <c r="E125" s="14"/>
      <c r="F125" s="410"/>
      <c r="G125" s="409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A126" s="12"/>
      <c r="D126" s="95"/>
      <c r="E126" s="14"/>
      <c r="F126" s="410"/>
      <c r="G126" s="409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A127" s="12"/>
      <c r="D127" s="95"/>
      <c r="E127" s="14"/>
      <c r="F127" s="410"/>
      <c r="G127" s="409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A128" s="12"/>
      <c r="D128" s="95"/>
      <c r="E128" s="14"/>
      <c r="F128" s="410"/>
      <c r="G128" s="409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A129" s="12"/>
      <c r="D129" s="95"/>
      <c r="E129" s="14"/>
      <c r="F129" s="410"/>
      <c r="G129" s="409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A130" s="12"/>
      <c r="D130" s="95"/>
      <c r="E130" s="14"/>
      <c r="F130" s="410"/>
      <c r="G130" s="409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A131" s="12"/>
      <c r="D131" s="95"/>
      <c r="E131" s="14"/>
      <c r="F131" s="410"/>
      <c r="G131" s="409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A132" s="12"/>
      <c r="D132" s="95"/>
      <c r="E132" s="14"/>
      <c r="F132" s="410"/>
      <c r="G132" s="409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A133" s="12"/>
      <c r="D133" s="95"/>
      <c r="E133" s="14"/>
      <c r="F133" s="410"/>
      <c r="G133" s="409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A134" s="12"/>
      <c r="D134" s="95"/>
      <c r="E134" s="14"/>
      <c r="F134" s="410"/>
      <c r="G134" s="409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A135" s="12"/>
      <c r="D135" s="95"/>
      <c r="E135" s="14"/>
      <c r="F135" s="410"/>
      <c r="G135" s="409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A136" s="12"/>
      <c r="D136" s="95"/>
      <c r="E136" s="14"/>
      <c r="F136" s="410"/>
      <c r="G136" s="409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A137" s="12"/>
      <c r="D137" s="95"/>
      <c r="E137" s="14"/>
      <c r="F137" s="410"/>
      <c r="G137" s="409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A138" s="12"/>
      <c r="D138" s="95"/>
      <c r="E138" s="14"/>
      <c r="F138" s="410"/>
      <c r="G138" s="409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A139" s="12"/>
      <c r="D139" s="95"/>
      <c r="E139" s="14"/>
      <c r="F139" s="410"/>
      <c r="G139" s="409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A140" s="12"/>
      <c r="D140" s="95"/>
      <c r="E140" s="14"/>
      <c r="F140" s="410"/>
      <c r="G140" s="409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A141" s="12"/>
      <c r="D141" s="95"/>
      <c r="E141" s="14"/>
      <c r="F141" s="410"/>
      <c r="G141" s="409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A142" s="12"/>
      <c r="D142" s="95"/>
      <c r="E142" s="14"/>
      <c r="F142" s="410"/>
      <c r="G142" s="409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A143" s="12"/>
      <c r="D143" s="95"/>
      <c r="E143" s="14"/>
      <c r="F143" s="410"/>
      <c r="G143" s="409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A144" s="12"/>
      <c r="D144" s="95"/>
      <c r="E144" s="14"/>
      <c r="F144" s="410"/>
      <c r="G144" s="409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A145" s="12"/>
      <c r="D145" s="95"/>
      <c r="E145" s="14"/>
      <c r="F145" s="410"/>
      <c r="G145" s="409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A146" s="12"/>
      <c r="D146" s="95"/>
      <c r="E146" s="14"/>
      <c r="F146" s="410"/>
      <c r="G146" s="409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A147" s="12"/>
      <c r="D147" s="95"/>
      <c r="E147" s="14"/>
      <c r="F147" s="410"/>
      <c r="G147" s="409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A148" s="12"/>
      <c r="D148" s="95"/>
      <c r="E148" s="14"/>
      <c r="F148" s="410"/>
      <c r="G148" s="409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A149" s="12"/>
      <c r="D149" s="95"/>
      <c r="E149" s="14"/>
      <c r="F149" s="410"/>
      <c r="G149" s="409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A150" s="12"/>
      <c r="D150" s="95"/>
      <c r="E150" s="14"/>
      <c r="F150" s="410"/>
      <c r="G150" s="409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A151" s="12"/>
      <c r="D151" s="95"/>
      <c r="E151" s="14"/>
      <c r="F151" s="410"/>
      <c r="G151" s="409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A152" s="12"/>
      <c r="D152" s="95"/>
      <c r="E152" s="14"/>
      <c r="F152" s="410"/>
      <c r="G152" s="409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A153" s="12"/>
      <c r="D153" s="95"/>
      <c r="E153" s="14"/>
      <c r="F153" s="410"/>
      <c r="G153" s="409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A154" s="12"/>
      <c r="D154" s="95"/>
      <c r="E154" s="14"/>
      <c r="F154" s="410"/>
      <c r="G154" s="409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A155" s="12"/>
      <c r="D155" s="95"/>
      <c r="E155" s="14"/>
      <c r="F155" s="410"/>
      <c r="G155" s="409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A156" s="12"/>
      <c r="D156" s="95"/>
      <c r="E156" s="14"/>
      <c r="F156" s="410"/>
      <c r="G156" s="409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A157" s="12"/>
      <c r="D157" s="95"/>
      <c r="E157" s="14"/>
      <c r="F157" s="410"/>
      <c r="G157" s="409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A158" s="12"/>
      <c r="D158" s="95"/>
      <c r="E158" s="14"/>
      <c r="F158" s="410"/>
      <c r="G158" s="409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A159" s="12"/>
      <c r="D159" s="95"/>
      <c r="E159" s="14"/>
      <c r="F159" s="410"/>
      <c r="G159" s="409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A160" s="12"/>
      <c r="D160" s="95"/>
      <c r="E160" s="14"/>
      <c r="F160" s="410"/>
      <c r="G160" s="409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A161" s="12"/>
      <c r="D161" s="95"/>
      <c r="E161" s="14"/>
      <c r="F161" s="410"/>
      <c r="G161" s="409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A162" s="12"/>
      <c r="D162" s="95"/>
      <c r="E162" s="14"/>
      <c r="F162" s="410"/>
      <c r="G162" s="409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A163" s="12"/>
      <c r="D163" s="95"/>
      <c r="E163" s="14"/>
      <c r="F163" s="410"/>
      <c r="G163" s="409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A164" s="12"/>
      <c r="D164" s="95"/>
      <c r="E164" s="14"/>
      <c r="F164" s="410"/>
      <c r="G164" s="409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A165" s="12"/>
      <c r="D165" s="95"/>
      <c r="E165" s="14"/>
      <c r="F165" s="410"/>
      <c r="G165" s="409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A166" s="12"/>
      <c r="D166" s="95"/>
      <c r="E166" s="14"/>
      <c r="F166" s="410"/>
      <c r="G166" s="409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A167" s="12"/>
      <c r="D167" s="95"/>
      <c r="E167" s="14"/>
      <c r="F167" s="410"/>
      <c r="G167" s="409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A168" s="12"/>
      <c r="D168" s="95"/>
      <c r="E168" s="14"/>
      <c r="F168" s="410"/>
      <c r="G168" s="409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A169" s="12"/>
      <c r="D169" s="95"/>
      <c r="E169" s="14"/>
      <c r="F169" s="410"/>
      <c r="G169" s="409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A170" s="12"/>
      <c r="D170" s="95"/>
      <c r="E170" s="14"/>
      <c r="F170" s="410"/>
      <c r="G170" s="409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A171" s="12"/>
      <c r="D171" s="95"/>
      <c r="E171" s="14"/>
      <c r="F171" s="410"/>
      <c r="G171" s="409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A172" s="12"/>
      <c r="D172" s="95"/>
      <c r="E172" s="14"/>
      <c r="F172" s="410"/>
      <c r="G172" s="409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2"/>
      <c r="D173" s="95"/>
      <c r="E173" s="14"/>
      <c r="F173" s="410"/>
      <c r="G173" s="409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A174" s="12"/>
      <c r="D174" s="95"/>
      <c r="E174" s="14"/>
      <c r="F174" s="410"/>
      <c r="G174" s="409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A175" s="12"/>
      <c r="D175" s="95"/>
      <c r="E175" s="14"/>
      <c r="F175" s="410"/>
      <c r="G175" s="409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A176" s="12"/>
      <c r="D176" s="95"/>
      <c r="E176" s="14"/>
      <c r="F176" s="410"/>
      <c r="G176" s="409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A177" s="12"/>
      <c r="D177" s="95"/>
      <c r="E177" s="14"/>
      <c r="F177" s="410"/>
      <c r="G177" s="409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A178" s="12"/>
      <c r="D178" s="95"/>
      <c r="E178" s="14"/>
      <c r="F178" s="410"/>
      <c r="G178" s="409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A179" s="12"/>
      <c r="D179" s="95"/>
      <c r="E179" s="14"/>
      <c r="F179" s="410"/>
      <c r="G179" s="409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A180" s="12"/>
      <c r="D180" s="95"/>
      <c r="E180" s="14"/>
      <c r="F180" s="410"/>
      <c r="G180" s="409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A181" s="12"/>
      <c r="D181" s="95"/>
      <c r="E181" s="14"/>
      <c r="F181" s="410"/>
      <c r="G181" s="409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A182" s="12"/>
      <c r="D182" s="95"/>
      <c r="E182" s="14"/>
      <c r="F182" s="410"/>
      <c r="G182" s="409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A183" s="12"/>
      <c r="D183" s="95"/>
      <c r="E183" s="14"/>
      <c r="F183" s="410"/>
      <c r="G183" s="409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A184" s="12"/>
      <c r="D184" s="95"/>
      <c r="E184" s="14"/>
      <c r="F184" s="410"/>
      <c r="G184" s="409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A185" s="12"/>
      <c r="D185" s="95"/>
      <c r="E185" s="14"/>
      <c r="F185" s="410"/>
      <c r="G185" s="409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A186" s="12"/>
      <c r="D186" s="95"/>
      <c r="E186" s="14"/>
      <c r="F186" s="410"/>
      <c r="G186" s="409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A187" s="12"/>
      <c r="D187" s="95"/>
      <c r="E187" s="14"/>
      <c r="F187" s="410"/>
      <c r="G187" s="409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A188" s="12"/>
      <c r="D188" s="95"/>
      <c r="E188" s="14"/>
      <c r="F188" s="410"/>
      <c r="G188" s="409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A189" s="12"/>
      <c r="D189" s="95"/>
      <c r="E189" s="14"/>
      <c r="F189" s="410"/>
      <c r="G189" s="409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A190" s="12"/>
      <c r="D190" s="95"/>
      <c r="E190" s="14"/>
      <c r="F190" s="410"/>
      <c r="G190" s="409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A191" s="12"/>
      <c r="D191" s="95"/>
      <c r="E191" s="14"/>
      <c r="F191" s="410"/>
      <c r="G191" s="409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A192" s="12"/>
      <c r="D192" s="95"/>
      <c r="E192" s="14"/>
      <c r="F192" s="410"/>
      <c r="G192" s="409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A193" s="12"/>
      <c r="D193" s="95"/>
      <c r="E193" s="14"/>
      <c r="F193" s="410"/>
      <c r="G193" s="409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A194" s="12"/>
      <c r="D194" s="95"/>
      <c r="E194" s="14"/>
      <c r="F194" s="410"/>
      <c r="G194" s="409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A195" s="12"/>
      <c r="D195" s="95"/>
      <c r="E195" s="14"/>
      <c r="F195" s="410"/>
      <c r="G195" s="409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A196" s="12"/>
      <c r="D196" s="95"/>
      <c r="E196" s="14"/>
      <c r="F196" s="410"/>
      <c r="G196" s="409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A197" s="12"/>
      <c r="D197" s="95"/>
      <c r="E197" s="14"/>
      <c r="F197" s="410"/>
      <c r="G197" s="409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A198" s="12"/>
      <c r="D198" s="95"/>
      <c r="E198" s="14"/>
      <c r="F198" s="410"/>
      <c r="G198" s="409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A199" s="12"/>
      <c r="D199" s="95"/>
      <c r="E199" s="14"/>
      <c r="F199" s="410"/>
      <c r="G199" s="409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A200" s="12"/>
      <c r="D200" s="95"/>
      <c r="E200" s="14"/>
      <c r="F200" s="410"/>
      <c r="G200" s="409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A201" s="12"/>
      <c r="D201" s="95"/>
      <c r="E201" s="14"/>
      <c r="F201" s="410"/>
      <c r="G201" s="409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A202" s="12"/>
      <c r="D202" s="95"/>
      <c r="E202" s="14"/>
      <c r="F202" s="410"/>
      <c r="G202" s="409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A203" s="12"/>
      <c r="D203" s="95"/>
      <c r="E203" s="14"/>
      <c r="F203" s="410"/>
      <c r="G203" s="409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A204" s="12"/>
      <c r="D204" s="95"/>
      <c r="E204" s="14"/>
      <c r="F204" s="410"/>
      <c r="G204" s="409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A205" s="12"/>
      <c r="D205" s="95"/>
      <c r="E205" s="14"/>
      <c r="F205" s="410"/>
      <c r="G205" s="409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A206" s="12"/>
      <c r="D206" s="95"/>
      <c r="E206" s="14"/>
      <c r="F206" s="410"/>
      <c r="G206" s="409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A207" s="12"/>
      <c r="D207" s="95"/>
      <c r="E207" s="14"/>
      <c r="F207" s="410"/>
      <c r="G207" s="409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A208" s="12"/>
      <c r="D208" s="95"/>
      <c r="E208" s="14"/>
      <c r="F208" s="410"/>
      <c r="G208" s="409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A209" s="12"/>
      <c r="D209" s="95"/>
      <c r="E209" s="14"/>
      <c r="F209" s="410"/>
      <c r="G209" s="409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A210" s="12"/>
      <c r="D210" s="95"/>
      <c r="E210" s="14"/>
      <c r="F210" s="410"/>
      <c r="G210" s="409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A211" s="12"/>
      <c r="D211" s="95"/>
      <c r="E211" s="14"/>
      <c r="F211" s="410"/>
      <c r="G211" s="409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A212" s="12"/>
      <c r="D212" s="95"/>
      <c r="E212" s="14"/>
      <c r="F212" s="410"/>
      <c r="G212" s="409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A213" s="12"/>
      <c r="D213" s="95"/>
      <c r="E213" s="14"/>
      <c r="F213" s="410"/>
      <c r="G213" s="409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A214" s="12"/>
      <c r="D214" s="95"/>
      <c r="E214" s="14"/>
      <c r="F214" s="410"/>
      <c r="G214" s="409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A215" s="12"/>
      <c r="D215" s="95"/>
      <c r="E215" s="14"/>
      <c r="F215" s="410"/>
      <c r="G215" s="409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A216" s="12"/>
      <c r="D216" s="95"/>
      <c r="E216" s="14"/>
      <c r="F216" s="410"/>
      <c r="G216" s="409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A217" s="12"/>
      <c r="D217" s="95"/>
      <c r="E217" s="14"/>
      <c r="F217" s="410"/>
      <c r="G217" s="409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A218" s="12"/>
      <c r="D218" s="95"/>
      <c r="E218" s="14"/>
      <c r="F218" s="410"/>
      <c r="G218" s="409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A219" s="12"/>
      <c r="D219" s="95"/>
      <c r="E219" s="14"/>
      <c r="F219" s="410"/>
      <c r="G219" s="409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A220" s="12"/>
      <c r="D220" s="95"/>
      <c r="E220" s="14"/>
      <c r="F220" s="410"/>
      <c r="G220" s="409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A221" s="12"/>
      <c r="D221" s="95"/>
      <c r="E221" s="14"/>
      <c r="F221" s="410"/>
      <c r="G221" s="409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A222" s="12"/>
      <c r="D222" s="95"/>
      <c r="E222" s="14"/>
      <c r="F222" s="410"/>
      <c r="G222" s="409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A223" s="12"/>
      <c r="D223" s="95"/>
      <c r="E223" s="14"/>
      <c r="F223" s="410"/>
      <c r="G223" s="409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A224" s="12"/>
      <c r="D224" s="95"/>
      <c r="E224" s="14"/>
      <c r="F224" s="410"/>
      <c r="G224" s="409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A225" s="12"/>
      <c r="D225" s="95"/>
      <c r="E225" s="14"/>
      <c r="F225" s="410"/>
      <c r="G225" s="409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A226" s="12"/>
      <c r="D226" s="95"/>
      <c r="E226" s="14"/>
      <c r="F226" s="410"/>
      <c r="G226" s="409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A227" s="12"/>
      <c r="D227" s="95"/>
      <c r="E227" s="14"/>
      <c r="F227" s="410"/>
      <c r="G227" s="409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A228" s="12"/>
      <c r="D228" s="95"/>
      <c r="E228" s="14"/>
      <c r="F228" s="410"/>
      <c r="G228" s="409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A229" s="12"/>
      <c r="D229" s="95"/>
      <c r="E229" s="14"/>
      <c r="F229" s="410"/>
      <c r="G229" s="409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A230" s="12"/>
      <c r="D230" s="95"/>
      <c r="E230" s="14"/>
      <c r="F230" s="410"/>
      <c r="G230" s="409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A231" s="12"/>
      <c r="D231" s="95"/>
      <c r="E231" s="14"/>
      <c r="F231" s="410"/>
      <c r="G231" s="409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A232" s="12"/>
      <c r="D232" s="95"/>
      <c r="E232" s="14"/>
      <c r="F232" s="410"/>
      <c r="G232" s="409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A233" s="12"/>
      <c r="D233" s="95"/>
      <c r="E233" s="14"/>
      <c r="F233" s="410"/>
      <c r="G233" s="409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A234" s="12"/>
      <c r="D234" s="95"/>
      <c r="E234" s="14"/>
      <c r="F234" s="410"/>
      <c r="G234" s="409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A235" s="12"/>
      <c r="D235" s="95"/>
      <c r="E235" s="14"/>
      <c r="F235" s="410"/>
      <c r="G235" s="409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A236" s="12"/>
      <c r="D236" s="95"/>
      <c r="E236" s="14"/>
      <c r="F236" s="410"/>
      <c r="G236" s="409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A237" s="12"/>
      <c r="D237" s="95"/>
      <c r="E237" s="14"/>
      <c r="F237" s="410"/>
      <c r="G237" s="409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A238" s="12"/>
      <c r="D238" s="95"/>
      <c r="E238" s="14"/>
      <c r="F238" s="410"/>
      <c r="G238" s="409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A239" s="12"/>
      <c r="D239" s="95"/>
      <c r="E239" s="14"/>
      <c r="F239" s="410"/>
      <c r="G239" s="409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A240" s="12"/>
      <c r="D240" s="95"/>
      <c r="E240" s="14"/>
      <c r="F240" s="410"/>
      <c r="G240" s="409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A241" s="12"/>
      <c r="D241" s="95"/>
      <c r="E241" s="14"/>
      <c r="F241" s="410"/>
      <c r="G241" s="409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A242" s="12"/>
      <c r="D242" s="95"/>
      <c r="E242" s="14"/>
      <c r="F242" s="410"/>
      <c r="G242" s="409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A243" s="12"/>
      <c r="D243" s="95"/>
      <c r="E243" s="14"/>
      <c r="F243" s="410"/>
      <c r="G243" s="409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A244" s="12"/>
      <c r="D244" s="95"/>
      <c r="E244" s="14"/>
      <c r="F244" s="410"/>
      <c r="G244" s="409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A245" s="12"/>
      <c r="D245" s="95"/>
      <c r="E245" s="14"/>
      <c r="F245" s="410"/>
      <c r="G245" s="409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A246" s="12"/>
      <c r="D246" s="95"/>
      <c r="E246" s="14"/>
      <c r="F246" s="410"/>
      <c r="G246" s="409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A247" s="12"/>
      <c r="D247" s="95"/>
      <c r="E247" s="14"/>
      <c r="F247" s="410"/>
      <c r="G247" s="409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A248" s="12"/>
      <c r="D248" s="95"/>
      <c r="E248" s="14"/>
      <c r="F248" s="410"/>
      <c r="G248" s="409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A249" s="12"/>
      <c r="D249" s="95"/>
      <c r="E249" s="14"/>
      <c r="F249" s="410"/>
      <c r="G249" s="409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A250" s="12"/>
      <c r="D250" s="95"/>
      <c r="E250" s="14"/>
      <c r="F250" s="410"/>
      <c r="G250" s="409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A251" s="12"/>
      <c r="D251" s="95"/>
      <c r="E251" s="14"/>
      <c r="F251" s="410"/>
      <c r="G251" s="409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A252" s="12"/>
      <c r="D252" s="95"/>
      <c r="E252" s="14"/>
      <c r="F252" s="410"/>
      <c r="G252" s="409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A253" s="12"/>
      <c r="D253" s="95"/>
      <c r="E253" s="14"/>
      <c r="F253" s="410"/>
      <c r="G253" s="409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A254" s="12"/>
      <c r="D254" s="95"/>
      <c r="E254" s="14"/>
      <c r="F254" s="410"/>
      <c r="G254" s="409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A255" s="12"/>
      <c r="D255" s="95"/>
      <c r="E255" s="14"/>
      <c r="F255" s="410"/>
      <c r="G255" s="409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A256" s="12"/>
      <c r="D256" s="95"/>
      <c r="E256" s="14"/>
      <c r="F256" s="410"/>
      <c r="G256" s="409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A257" s="12"/>
      <c r="D257" s="95"/>
      <c r="E257" s="14"/>
      <c r="F257" s="410"/>
      <c r="G257" s="409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A258" s="12"/>
      <c r="D258" s="95"/>
      <c r="E258" s="14"/>
      <c r="F258" s="410"/>
      <c r="G258" s="409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A259" s="12"/>
      <c r="D259" s="95"/>
      <c r="E259" s="14"/>
      <c r="F259" s="410"/>
      <c r="G259" s="409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A260" s="12"/>
      <c r="D260" s="95"/>
      <c r="E260" s="14"/>
      <c r="F260" s="410"/>
      <c r="G260" s="409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A261" s="12"/>
      <c r="D261" s="95"/>
      <c r="E261" s="14"/>
      <c r="F261" s="410"/>
      <c r="G261" s="409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A262" s="12"/>
      <c r="D262" s="95"/>
      <c r="E262" s="14"/>
      <c r="F262" s="410"/>
      <c r="G262" s="409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A263" s="12"/>
      <c r="D263" s="95"/>
      <c r="E263" s="14"/>
      <c r="F263" s="410"/>
      <c r="G263" s="409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A264" s="12"/>
      <c r="D264" s="95"/>
      <c r="E264" s="14"/>
      <c r="F264" s="410"/>
      <c r="G264" s="409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A265" s="12"/>
      <c r="D265" s="95"/>
      <c r="E265" s="14"/>
      <c r="F265" s="410"/>
      <c r="G265" s="409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A266" s="12"/>
      <c r="D266" s="95"/>
      <c r="E266" s="14"/>
      <c r="F266" s="410"/>
      <c r="G266" s="409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A267" s="12"/>
      <c r="D267" s="95"/>
      <c r="E267" s="14"/>
      <c r="F267" s="410"/>
      <c r="G267" s="409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A268" s="12"/>
      <c r="D268" s="95"/>
      <c r="E268" s="14"/>
      <c r="F268" s="410"/>
      <c r="G268" s="409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A269" s="12"/>
      <c r="D269" s="95"/>
      <c r="E269" s="14"/>
      <c r="F269" s="410"/>
      <c r="G269" s="409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A270" s="12"/>
      <c r="D270" s="95"/>
      <c r="E270" s="14"/>
      <c r="F270" s="410"/>
      <c r="G270" s="409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A271" s="12"/>
      <c r="D271" s="95"/>
      <c r="E271" s="14"/>
      <c r="F271" s="410"/>
      <c r="G271" s="409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A272" s="12"/>
      <c r="D272" s="95"/>
      <c r="E272" s="14"/>
      <c r="F272" s="410"/>
      <c r="G272" s="409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A273" s="12"/>
      <c r="D273" s="95"/>
      <c r="E273" s="14"/>
      <c r="F273" s="410"/>
      <c r="G273" s="409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A274" s="12"/>
      <c r="D274" s="95"/>
      <c r="E274" s="14"/>
      <c r="F274" s="410"/>
      <c r="G274" s="409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A275" s="12"/>
      <c r="D275" s="95"/>
      <c r="E275" s="14"/>
      <c r="F275" s="410"/>
      <c r="G275" s="409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A276" s="12"/>
      <c r="D276" s="95"/>
      <c r="E276" s="14"/>
      <c r="F276" s="410"/>
      <c r="G276" s="409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A277" s="12"/>
      <c r="D277" s="95"/>
      <c r="E277" s="14"/>
      <c r="F277" s="410"/>
      <c r="G277" s="409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A278" s="12"/>
      <c r="D278" s="95"/>
      <c r="E278" s="14"/>
      <c r="F278" s="410"/>
      <c r="G278" s="409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A279" s="12"/>
      <c r="D279" s="95"/>
      <c r="E279" s="14"/>
      <c r="F279" s="410"/>
      <c r="G279" s="409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A280" s="12"/>
      <c r="D280" s="95"/>
      <c r="E280" s="14"/>
      <c r="F280" s="410"/>
      <c r="G280" s="409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A281" s="12"/>
      <c r="D281" s="95"/>
      <c r="E281" s="14"/>
      <c r="F281" s="410"/>
      <c r="G281" s="409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A282" s="12"/>
      <c r="D282" s="95"/>
      <c r="E282" s="14"/>
      <c r="F282" s="410"/>
      <c r="G282" s="409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A283" s="12"/>
      <c r="D283" s="95"/>
      <c r="E283" s="14"/>
      <c r="F283" s="410"/>
      <c r="G283" s="409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A284" s="12"/>
      <c r="D284" s="95"/>
      <c r="E284" s="14"/>
      <c r="F284" s="410"/>
      <c r="G284" s="409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A285" s="12"/>
      <c r="D285" s="95"/>
      <c r="E285" s="14"/>
      <c r="F285" s="410"/>
      <c r="G285" s="409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A286" s="12"/>
      <c r="D286" s="95"/>
      <c r="E286" s="14"/>
      <c r="F286" s="410"/>
      <c r="G286" s="409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A287" s="12"/>
      <c r="D287" s="95"/>
      <c r="E287" s="14"/>
      <c r="F287" s="410"/>
      <c r="G287" s="409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A288" s="12"/>
      <c r="D288" s="95"/>
      <c r="E288" s="14"/>
      <c r="F288" s="410"/>
      <c r="G288" s="409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A289" s="12"/>
      <c r="D289" s="95"/>
      <c r="E289" s="14"/>
      <c r="F289" s="410"/>
      <c r="G289" s="409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A290" s="12"/>
      <c r="D290" s="95"/>
      <c r="E290" s="14"/>
      <c r="F290" s="410"/>
      <c r="G290" s="409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A291" s="12"/>
      <c r="D291" s="95"/>
      <c r="E291" s="14"/>
      <c r="F291" s="410"/>
      <c r="G291" s="409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A292" s="12"/>
      <c r="D292" s="95"/>
      <c r="E292" s="14"/>
      <c r="F292" s="410"/>
      <c r="G292" s="409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A293" s="12"/>
      <c r="D293" s="95"/>
      <c r="E293" s="14"/>
      <c r="F293" s="410"/>
      <c r="G293" s="409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A294" s="12"/>
      <c r="D294" s="95"/>
      <c r="E294" s="14"/>
      <c r="F294" s="410"/>
      <c r="G294" s="409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A295" s="12"/>
      <c r="D295" s="95"/>
      <c r="E295" s="14"/>
      <c r="F295" s="410"/>
      <c r="G295" s="409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A296" s="12"/>
      <c r="D296" s="95"/>
      <c r="E296" s="14"/>
      <c r="F296" s="410"/>
      <c r="G296" s="409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A297" s="12"/>
      <c r="D297" s="95"/>
      <c r="E297" s="14"/>
      <c r="F297" s="410"/>
      <c r="G297" s="409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A298" s="12"/>
      <c r="D298" s="95"/>
      <c r="E298" s="14"/>
      <c r="F298" s="410"/>
      <c r="G298" s="409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A299" s="12"/>
      <c r="D299" s="95"/>
      <c r="E299" s="14"/>
      <c r="F299" s="410"/>
      <c r="G299" s="409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A300" s="12"/>
      <c r="D300" s="95"/>
      <c r="E300" s="14"/>
      <c r="F300" s="410"/>
      <c r="G300" s="409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A301" s="12"/>
      <c r="D301" s="95"/>
      <c r="E301" s="14"/>
      <c r="F301" s="410"/>
      <c r="G301" s="409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A302" s="12"/>
      <c r="D302" s="95"/>
      <c r="E302" s="14"/>
      <c r="F302" s="410"/>
      <c r="G302" s="409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A303" s="12"/>
      <c r="D303" s="95"/>
      <c r="E303" s="14"/>
      <c r="F303" s="410"/>
      <c r="G303" s="409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A304" s="12"/>
      <c r="D304" s="95"/>
      <c r="E304" s="14"/>
      <c r="F304" s="410"/>
      <c r="G304" s="409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A305" s="12"/>
      <c r="D305" s="95"/>
      <c r="E305" s="14"/>
      <c r="F305" s="410"/>
      <c r="G305" s="409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A306" s="12"/>
      <c r="D306" s="95"/>
      <c r="E306" s="14"/>
      <c r="F306" s="410"/>
      <c r="G306" s="409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A307" s="12"/>
      <c r="D307" s="95"/>
      <c r="E307" s="14"/>
      <c r="F307" s="410"/>
      <c r="G307" s="409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A308" s="12"/>
      <c r="D308" s="95"/>
      <c r="E308" s="14"/>
      <c r="F308" s="410"/>
      <c r="G308" s="409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A309" s="12"/>
      <c r="D309" s="95"/>
      <c r="E309" s="14"/>
      <c r="F309" s="410"/>
      <c r="G309" s="409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A310" s="12"/>
      <c r="D310" s="95"/>
      <c r="E310" s="14"/>
      <c r="F310" s="410"/>
      <c r="G310" s="409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A311" s="12"/>
      <c r="D311" s="95"/>
      <c r="E311" s="14"/>
      <c r="F311" s="410"/>
      <c r="G311" s="409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A312" s="12"/>
      <c r="D312" s="95"/>
      <c r="E312" s="14"/>
      <c r="F312" s="410"/>
      <c r="G312" s="409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A313" s="12"/>
      <c r="D313" s="95"/>
      <c r="E313" s="14"/>
      <c r="F313" s="410"/>
      <c r="G313" s="409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A314" s="12"/>
      <c r="D314" s="95"/>
      <c r="E314" s="14"/>
      <c r="F314" s="410"/>
      <c r="G314" s="409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A315" s="12"/>
      <c r="D315" s="95"/>
      <c r="E315" s="14"/>
      <c r="F315" s="410"/>
      <c r="G315" s="409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A316" s="12"/>
      <c r="D316" s="95"/>
      <c r="E316" s="14"/>
      <c r="F316" s="410"/>
      <c r="G316" s="409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A317" s="12"/>
      <c r="D317" s="95"/>
      <c r="E317" s="14"/>
      <c r="F317" s="410"/>
      <c r="G317" s="409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A318" s="12"/>
      <c r="D318" s="95"/>
      <c r="E318" s="14"/>
      <c r="F318" s="410"/>
      <c r="G318" s="409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A319" s="12"/>
      <c r="D319" s="95"/>
      <c r="E319" s="14"/>
      <c r="F319" s="410"/>
      <c r="G319" s="409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A320" s="12"/>
      <c r="D320" s="95"/>
      <c r="E320" s="14"/>
      <c r="F320" s="410"/>
      <c r="G320" s="409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A321" s="12"/>
      <c r="D321" s="95"/>
      <c r="E321" s="14"/>
      <c r="F321" s="410"/>
      <c r="G321" s="409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A322" s="12"/>
      <c r="D322" s="95"/>
      <c r="E322" s="14"/>
      <c r="F322" s="410"/>
      <c r="G322" s="409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A323" s="12"/>
      <c r="D323" s="95"/>
      <c r="E323" s="14"/>
      <c r="F323" s="410"/>
      <c r="G323" s="409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A324" s="12"/>
      <c r="D324" s="95"/>
      <c r="E324" s="14"/>
      <c r="F324" s="410"/>
      <c r="G324" s="409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A325" s="12"/>
      <c r="D325" s="95"/>
      <c r="E325" s="14"/>
      <c r="F325" s="410"/>
      <c r="G325" s="409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A326" s="12"/>
      <c r="D326" s="95"/>
      <c r="E326" s="14"/>
      <c r="F326" s="410"/>
      <c r="G326" s="409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A327" s="12"/>
      <c r="D327" s="95"/>
      <c r="E327" s="14"/>
      <c r="F327" s="410"/>
      <c r="G327" s="409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A328" s="12"/>
      <c r="D328" s="95"/>
      <c r="E328" s="14"/>
      <c r="F328" s="410"/>
      <c r="G328" s="409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A329" s="12"/>
      <c r="D329" s="95"/>
      <c r="E329" s="14"/>
      <c r="F329" s="410"/>
      <c r="G329" s="409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A330" s="12"/>
      <c r="D330" s="95"/>
      <c r="E330" s="14"/>
      <c r="F330" s="410"/>
      <c r="G330" s="409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A331" s="12"/>
      <c r="D331" s="95"/>
      <c r="E331" s="14"/>
      <c r="F331" s="410"/>
      <c r="G331" s="409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A332" s="12"/>
      <c r="D332" s="95"/>
      <c r="E332" s="14"/>
      <c r="F332" s="410"/>
      <c r="G332" s="409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A333" s="12"/>
      <c r="D333" s="95"/>
      <c r="E333" s="14"/>
      <c r="F333" s="410"/>
      <c r="G333" s="409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A334" s="12"/>
      <c r="D334" s="95"/>
      <c r="E334" s="14"/>
      <c r="F334" s="410"/>
      <c r="G334" s="409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A335" s="12"/>
      <c r="D335" s="95"/>
      <c r="E335" s="14"/>
      <c r="F335" s="410"/>
      <c r="G335" s="409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A336" s="12"/>
      <c r="D336" s="95"/>
      <c r="E336" s="14"/>
      <c r="F336" s="410"/>
      <c r="G336" s="409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A337" s="12"/>
      <c r="D337" s="95"/>
      <c r="E337" s="14"/>
      <c r="F337" s="410"/>
      <c r="G337" s="409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A338" s="12"/>
      <c r="D338" s="95"/>
      <c r="E338" s="14"/>
      <c r="F338" s="410"/>
      <c r="G338" s="409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A339" s="12"/>
      <c r="D339" s="95"/>
      <c r="E339" s="14"/>
      <c r="F339" s="410"/>
      <c r="G339" s="409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A340" s="12"/>
      <c r="D340" s="95"/>
      <c r="E340" s="14"/>
      <c r="F340" s="410"/>
      <c r="G340" s="409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A341" s="12"/>
      <c r="D341" s="95"/>
      <c r="E341" s="14"/>
      <c r="F341" s="410"/>
      <c r="G341" s="409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A342" s="12"/>
      <c r="D342" s="95"/>
      <c r="E342" s="14"/>
      <c r="F342" s="410"/>
      <c r="G342" s="409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A343" s="12"/>
      <c r="D343" s="95"/>
      <c r="E343" s="14"/>
      <c r="F343" s="410"/>
      <c r="G343" s="409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A344" s="12"/>
      <c r="D344" s="95"/>
      <c r="E344" s="14"/>
      <c r="F344" s="410"/>
      <c r="G344" s="409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A345" s="12"/>
      <c r="D345" s="95"/>
      <c r="E345" s="14"/>
      <c r="F345" s="410"/>
      <c r="G345" s="409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A346" s="12"/>
      <c r="D346" s="95"/>
      <c r="E346" s="14"/>
      <c r="F346" s="410"/>
      <c r="G346" s="409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A347" s="12"/>
      <c r="D347" s="95"/>
      <c r="E347" s="14"/>
      <c r="F347" s="410"/>
      <c r="G347" s="409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A348" s="12"/>
      <c r="D348" s="95"/>
      <c r="E348" s="14"/>
      <c r="F348" s="410"/>
      <c r="G348" s="409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A349" s="12"/>
      <c r="D349" s="95"/>
      <c r="E349" s="14"/>
      <c r="F349" s="410"/>
      <c r="G349" s="409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A350" s="12"/>
      <c r="D350" s="95"/>
      <c r="E350" s="14"/>
      <c r="F350" s="410"/>
      <c r="G350" s="409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A351" s="12"/>
      <c r="D351" s="95"/>
      <c r="E351" s="14"/>
      <c r="F351" s="410"/>
      <c r="G351" s="409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A352" s="12"/>
      <c r="D352" s="95"/>
      <c r="E352" s="14"/>
      <c r="F352" s="410"/>
      <c r="G352" s="409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A353" s="12"/>
      <c r="D353" s="95"/>
      <c r="E353" s="14"/>
      <c r="F353" s="410"/>
      <c r="G353" s="409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A354" s="12"/>
      <c r="D354" s="95"/>
      <c r="E354" s="14"/>
      <c r="F354" s="410"/>
      <c r="G354" s="409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A355" s="12"/>
      <c r="D355" s="95"/>
      <c r="E355" s="14"/>
      <c r="F355" s="410"/>
      <c r="G355" s="409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A356" s="12"/>
      <c r="D356" s="95"/>
      <c r="E356" s="14"/>
      <c r="F356" s="410"/>
      <c r="G356" s="409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A357" s="12"/>
      <c r="D357" s="95"/>
      <c r="E357" s="14"/>
      <c r="F357" s="410"/>
      <c r="G357" s="409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A358" s="12"/>
      <c r="D358" s="95"/>
      <c r="E358" s="14"/>
      <c r="F358" s="410"/>
      <c r="G358" s="409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A359" s="12"/>
      <c r="D359" s="95"/>
      <c r="E359" s="14"/>
      <c r="F359" s="410"/>
      <c r="G359" s="409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A360" s="12"/>
      <c r="D360" s="95"/>
      <c r="E360" s="14"/>
      <c r="F360" s="410"/>
      <c r="G360" s="409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A361" s="12"/>
      <c r="D361" s="95"/>
      <c r="E361" s="14"/>
      <c r="F361" s="410"/>
      <c r="G361" s="409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A362" s="12"/>
      <c r="D362" s="95"/>
      <c r="E362" s="14"/>
      <c r="F362" s="410"/>
      <c r="G362" s="409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A363" s="12"/>
      <c r="D363" s="95"/>
      <c r="E363" s="14"/>
      <c r="F363" s="410"/>
      <c r="G363" s="409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A364" s="12"/>
      <c r="D364" s="95"/>
      <c r="E364" s="14"/>
      <c r="F364" s="410"/>
      <c r="G364" s="409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A365" s="12"/>
      <c r="D365" s="95"/>
      <c r="E365" s="14"/>
      <c r="F365" s="410"/>
      <c r="G365" s="409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A366" s="12"/>
      <c r="D366" s="95"/>
      <c r="E366" s="14"/>
      <c r="F366" s="410"/>
      <c r="G366" s="409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A367" s="12"/>
      <c r="D367" s="95"/>
      <c r="E367" s="14"/>
      <c r="F367" s="410"/>
      <c r="G367" s="409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A368" s="12"/>
      <c r="D368" s="95"/>
      <c r="E368" s="14"/>
      <c r="F368" s="410"/>
      <c r="G368" s="409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A369" s="12"/>
      <c r="D369" s="95"/>
      <c r="E369" s="14"/>
      <c r="F369" s="410"/>
      <c r="G369" s="409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A370" s="12"/>
      <c r="D370" s="95"/>
      <c r="E370" s="14"/>
      <c r="F370" s="410"/>
      <c r="G370" s="409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A371" s="12"/>
      <c r="D371" s="95"/>
      <c r="E371" s="14"/>
      <c r="F371" s="410"/>
      <c r="G371" s="409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A372" s="12"/>
      <c r="D372" s="95"/>
      <c r="E372" s="14"/>
      <c r="F372" s="410"/>
      <c r="G372" s="409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A373" s="12"/>
      <c r="D373" s="95"/>
      <c r="E373" s="14"/>
      <c r="F373" s="410"/>
      <c r="G373" s="409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A374" s="12"/>
      <c r="D374" s="95"/>
      <c r="E374" s="14"/>
      <c r="F374" s="410"/>
      <c r="G374" s="409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A375" s="12"/>
      <c r="D375" s="95"/>
      <c r="E375" s="14"/>
      <c r="F375" s="410"/>
      <c r="G375" s="409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A376" s="12"/>
      <c r="D376" s="95"/>
      <c r="E376" s="14"/>
      <c r="F376" s="410"/>
      <c r="G376" s="409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A377" s="12"/>
      <c r="D377" s="95"/>
      <c r="E377" s="14"/>
      <c r="F377" s="410"/>
      <c r="G377" s="409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A378" s="12"/>
      <c r="D378" s="95"/>
      <c r="E378" s="14"/>
      <c r="F378" s="410"/>
      <c r="G378" s="409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A379" s="12"/>
      <c r="D379" s="95"/>
      <c r="E379" s="14"/>
      <c r="F379" s="410"/>
      <c r="G379" s="409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A380" s="12"/>
      <c r="D380" s="95"/>
      <c r="E380" s="14"/>
      <c r="F380" s="410"/>
      <c r="G380" s="409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A381" s="12"/>
      <c r="D381" s="95"/>
      <c r="E381" s="14"/>
      <c r="F381" s="410"/>
      <c r="G381" s="409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A382" s="12"/>
      <c r="D382" s="95"/>
      <c r="E382" s="14"/>
      <c r="F382" s="410"/>
      <c r="G382" s="409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A383" s="12"/>
      <c r="D383" s="95"/>
      <c r="E383" s="14"/>
      <c r="F383" s="410"/>
      <c r="G383" s="409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A384" s="12"/>
      <c r="D384" s="95"/>
      <c r="E384" s="14"/>
      <c r="F384" s="410"/>
      <c r="G384" s="409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A385" s="12"/>
      <c r="D385" s="95"/>
      <c r="E385" s="14"/>
      <c r="F385" s="410"/>
      <c r="G385" s="409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A386" s="12"/>
      <c r="D386" s="95"/>
      <c r="E386" s="14"/>
      <c r="F386" s="410"/>
      <c r="G386" s="409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A387" s="12"/>
      <c r="D387" s="95"/>
      <c r="E387" s="14"/>
      <c r="F387" s="410"/>
      <c r="G387" s="409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A388" s="12"/>
      <c r="D388" s="95"/>
      <c r="E388" s="14"/>
      <c r="F388" s="410"/>
      <c r="G388" s="409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A389" s="12"/>
      <c r="D389" s="95"/>
      <c r="E389" s="14"/>
      <c r="F389" s="410"/>
      <c r="G389" s="409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A390" s="12"/>
      <c r="D390" s="95"/>
      <c r="E390" s="14"/>
      <c r="F390" s="410"/>
      <c r="G390" s="409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A391" s="12"/>
      <c r="D391" s="95"/>
      <c r="E391" s="14"/>
      <c r="F391" s="410"/>
      <c r="G391" s="409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A392" s="12"/>
      <c r="D392" s="95"/>
      <c r="E392" s="14"/>
      <c r="F392" s="410"/>
      <c r="G392" s="409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A393" s="12"/>
      <c r="D393" s="95"/>
      <c r="E393" s="14"/>
      <c r="F393" s="410"/>
      <c r="G393" s="409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A394" s="12"/>
      <c r="D394" s="95"/>
      <c r="E394" s="14"/>
      <c r="F394" s="410"/>
      <c r="G394" s="409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A395" s="12"/>
      <c r="D395" s="95"/>
      <c r="E395" s="14"/>
      <c r="F395" s="410"/>
      <c r="G395" s="409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A396" s="12"/>
      <c r="D396" s="95"/>
      <c r="E396" s="14"/>
      <c r="F396" s="410"/>
      <c r="G396" s="409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A397" s="12"/>
      <c r="D397" s="95"/>
      <c r="E397" s="14"/>
      <c r="F397" s="410"/>
      <c r="G397" s="409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A398" s="12"/>
      <c r="D398" s="95"/>
      <c r="E398" s="14"/>
      <c r="F398" s="410"/>
      <c r="G398" s="409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A399" s="12"/>
      <c r="D399" s="95"/>
      <c r="E399" s="14"/>
      <c r="F399" s="410"/>
      <c r="G399" s="409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A400" s="12"/>
      <c r="D400" s="95"/>
      <c r="E400" s="14"/>
      <c r="F400" s="410"/>
      <c r="G400" s="409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A401" s="12"/>
      <c r="D401" s="95"/>
      <c r="E401" s="14"/>
      <c r="F401" s="410"/>
      <c r="G401" s="409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A402" s="12"/>
      <c r="D402" s="95"/>
      <c r="E402" s="14"/>
      <c r="F402" s="410"/>
      <c r="G402" s="409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A403" s="12"/>
      <c r="D403" s="95"/>
      <c r="E403" s="14"/>
      <c r="F403" s="410"/>
      <c r="G403" s="409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A404" s="12"/>
      <c r="D404" s="95"/>
      <c r="E404" s="14"/>
      <c r="F404" s="410"/>
      <c r="G404" s="409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A405" s="12"/>
      <c r="D405" s="95"/>
      <c r="E405" s="14"/>
      <c r="F405" s="410"/>
      <c r="G405" s="409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A406" s="12"/>
      <c r="D406" s="95"/>
      <c r="E406" s="14"/>
      <c r="F406" s="410"/>
      <c r="G406" s="409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A407" s="12"/>
      <c r="D407" s="95"/>
      <c r="E407" s="14"/>
      <c r="F407" s="410"/>
      <c r="G407" s="409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A408" s="12"/>
      <c r="D408" s="95"/>
      <c r="E408" s="14"/>
      <c r="F408" s="410"/>
      <c r="G408" s="409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A409" s="12"/>
      <c r="D409" s="95"/>
      <c r="E409" s="14"/>
      <c r="F409" s="410"/>
      <c r="G409" s="409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A410" s="12"/>
      <c r="D410" s="95"/>
      <c r="E410" s="14"/>
      <c r="F410" s="410"/>
      <c r="G410" s="409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A411" s="12"/>
      <c r="D411" s="95"/>
      <c r="E411" s="14"/>
      <c r="F411" s="410"/>
      <c r="G411" s="409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A412" s="12"/>
      <c r="D412" s="95"/>
      <c r="E412" s="14"/>
      <c r="F412" s="410"/>
      <c r="G412" s="409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A413" s="12"/>
      <c r="D413" s="95"/>
      <c r="E413" s="14"/>
      <c r="F413" s="410"/>
      <c r="G413" s="409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A414" s="12"/>
      <c r="D414" s="95"/>
      <c r="E414" s="14"/>
      <c r="F414" s="410"/>
      <c r="G414" s="409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A415" s="12"/>
      <c r="D415" s="95"/>
      <c r="E415" s="14"/>
      <c r="F415" s="410"/>
      <c r="G415" s="409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A416" s="12"/>
      <c r="D416" s="95"/>
      <c r="E416" s="14"/>
      <c r="F416" s="410"/>
      <c r="G416" s="409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A417" s="12"/>
      <c r="D417" s="95"/>
      <c r="E417" s="14"/>
      <c r="F417" s="410"/>
      <c r="G417" s="409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A418" s="12"/>
      <c r="D418" s="95"/>
      <c r="E418" s="14"/>
      <c r="F418" s="410"/>
      <c r="G418" s="409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A419" s="12"/>
      <c r="D419" s="95"/>
      <c r="E419" s="14"/>
      <c r="F419" s="410"/>
      <c r="G419" s="409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A420" s="12"/>
      <c r="D420" s="95"/>
      <c r="E420" s="14"/>
      <c r="F420" s="410"/>
      <c r="G420" s="409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A421" s="12"/>
      <c r="D421" s="95"/>
      <c r="E421" s="14"/>
      <c r="F421" s="410"/>
      <c r="G421" s="409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A422" s="12"/>
      <c r="D422" s="95"/>
      <c r="E422" s="14"/>
      <c r="F422" s="410"/>
      <c r="G422" s="409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A423" s="12"/>
      <c r="D423" s="95"/>
      <c r="E423" s="14"/>
      <c r="F423" s="410"/>
      <c r="G423" s="409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A424" s="12"/>
      <c r="D424" s="95"/>
      <c r="E424" s="14"/>
      <c r="F424" s="410"/>
      <c r="G424" s="409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A425" s="12"/>
      <c r="D425" s="95"/>
      <c r="E425" s="14"/>
      <c r="F425" s="410"/>
      <c r="G425" s="409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A426" s="12"/>
      <c r="D426" s="95"/>
      <c r="E426" s="14"/>
      <c r="F426" s="410"/>
      <c r="G426" s="409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A427" s="12"/>
      <c r="D427" s="95"/>
      <c r="E427" s="14"/>
      <c r="F427" s="410"/>
      <c r="G427" s="409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A428" s="12"/>
      <c r="D428" s="95"/>
      <c r="E428" s="14"/>
      <c r="F428" s="410"/>
      <c r="G428" s="409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A429" s="12"/>
      <c r="D429" s="95"/>
      <c r="E429" s="14"/>
      <c r="F429" s="410"/>
      <c r="G429" s="409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A430" s="12"/>
      <c r="D430" s="95"/>
      <c r="E430" s="14"/>
      <c r="F430" s="410"/>
      <c r="G430" s="409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A431" s="12"/>
      <c r="D431" s="95"/>
      <c r="E431" s="14"/>
      <c r="F431" s="410"/>
      <c r="G431" s="409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A432" s="12"/>
      <c r="D432" s="95"/>
      <c r="E432" s="14"/>
      <c r="F432" s="410"/>
      <c r="G432" s="409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A433" s="12"/>
      <c r="D433" s="95"/>
      <c r="E433" s="14"/>
      <c r="F433" s="410"/>
      <c r="G433" s="409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A434" s="12"/>
      <c r="D434" s="95"/>
      <c r="E434" s="14"/>
      <c r="F434" s="410"/>
      <c r="G434" s="409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A435" s="12"/>
      <c r="D435" s="95"/>
      <c r="E435" s="14"/>
      <c r="F435" s="410"/>
      <c r="G435" s="409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A436" s="12"/>
      <c r="D436" s="95"/>
      <c r="E436" s="14"/>
      <c r="F436" s="410"/>
      <c r="G436" s="409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A437" s="12"/>
      <c r="D437" s="95"/>
      <c r="E437" s="14"/>
      <c r="F437" s="410"/>
      <c r="G437" s="409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A438" s="12"/>
      <c r="D438" s="95"/>
      <c r="E438" s="14"/>
      <c r="F438" s="410"/>
      <c r="G438" s="409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A439" s="12"/>
      <c r="D439" s="95"/>
      <c r="E439" s="14"/>
      <c r="F439" s="410"/>
      <c r="G439" s="409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A440" s="12"/>
      <c r="D440" s="95"/>
      <c r="E440" s="14"/>
      <c r="F440" s="410"/>
      <c r="G440" s="409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A441" s="12"/>
      <c r="D441" s="95"/>
      <c r="E441" s="14"/>
      <c r="F441" s="410"/>
      <c r="G441" s="409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A442" s="12"/>
      <c r="D442" s="95"/>
      <c r="E442" s="14"/>
      <c r="F442" s="410"/>
      <c r="G442" s="409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A443" s="12"/>
      <c r="D443" s="95"/>
      <c r="E443" s="14"/>
      <c r="F443" s="410"/>
      <c r="G443" s="409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A444" s="12"/>
      <c r="D444" s="95"/>
      <c r="E444" s="14"/>
      <c r="F444" s="410"/>
      <c r="G444" s="409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A445" s="12"/>
      <c r="D445" s="95"/>
      <c r="E445" s="14"/>
      <c r="F445" s="410"/>
      <c r="G445" s="409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A446" s="12"/>
      <c r="D446" s="95"/>
      <c r="E446" s="14"/>
      <c r="F446" s="410"/>
      <c r="G446" s="409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A447" s="12"/>
      <c r="D447" s="95"/>
      <c r="E447" s="14"/>
      <c r="F447" s="410"/>
      <c r="G447" s="409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A448" s="12"/>
      <c r="D448" s="95"/>
      <c r="E448" s="14"/>
      <c r="F448" s="410"/>
      <c r="G448" s="409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A449" s="12"/>
      <c r="D449" s="95"/>
      <c r="E449" s="14"/>
      <c r="F449" s="410"/>
      <c r="G449" s="409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A450" s="12"/>
      <c r="D450" s="95"/>
      <c r="E450" s="14"/>
      <c r="F450" s="410"/>
      <c r="G450" s="409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A451" s="12"/>
      <c r="D451" s="95"/>
      <c r="E451" s="14"/>
      <c r="F451" s="410"/>
      <c r="G451" s="409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A452" s="12"/>
      <c r="D452" s="95"/>
      <c r="E452" s="14"/>
      <c r="F452" s="410"/>
      <c r="G452" s="409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A453" s="12"/>
      <c r="D453" s="95"/>
      <c r="E453" s="14"/>
      <c r="F453" s="410"/>
      <c r="G453" s="409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A454" s="12"/>
      <c r="D454" s="95"/>
      <c r="E454" s="14"/>
      <c r="F454" s="410"/>
      <c r="G454" s="409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A455" s="12"/>
      <c r="D455" s="95"/>
      <c r="E455" s="14"/>
      <c r="F455" s="410"/>
      <c r="G455" s="409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A456" s="12"/>
      <c r="D456" s="95"/>
      <c r="E456" s="14"/>
      <c r="F456" s="410"/>
      <c r="G456" s="409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A457" s="12"/>
      <c r="D457" s="95"/>
      <c r="E457" s="14"/>
      <c r="F457" s="410"/>
      <c r="G457" s="409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A458" s="12"/>
      <c r="D458" s="95"/>
      <c r="E458" s="14"/>
      <c r="F458" s="410"/>
      <c r="G458" s="409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A459" s="12"/>
      <c r="D459" s="95"/>
      <c r="E459" s="14"/>
      <c r="F459" s="410"/>
      <c r="G459" s="409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A460" s="12"/>
      <c r="D460" s="95"/>
      <c r="E460" s="14"/>
      <c r="F460" s="410"/>
      <c r="G460" s="409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A461" s="12"/>
      <c r="D461" s="95"/>
      <c r="E461" s="14"/>
      <c r="F461" s="410"/>
      <c r="G461" s="409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A462" s="12"/>
      <c r="D462" s="95"/>
      <c r="E462" s="14"/>
      <c r="F462" s="410"/>
      <c r="G462" s="409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A463" s="12"/>
      <c r="D463" s="95"/>
      <c r="E463" s="14"/>
      <c r="F463" s="410"/>
      <c r="G463" s="409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A464" s="12"/>
      <c r="D464" s="95"/>
      <c r="E464" s="14"/>
      <c r="F464" s="410"/>
      <c r="G464" s="409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A465" s="12"/>
      <c r="D465" s="95"/>
      <c r="E465" s="14"/>
      <c r="F465" s="410"/>
      <c r="G465" s="409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A466" s="12"/>
      <c r="D466" s="95"/>
      <c r="E466" s="14"/>
      <c r="F466" s="410"/>
      <c r="G466" s="409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A467" s="12"/>
      <c r="D467" s="95"/>
      <c r="E467" s="14"/>
      <c r="F467" s="410"/>
      <c r="G467" s="409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A468" s="12"/>
      <c r="D468" s="95"/>
      <c r="E468" s="14"/>
      <c r="F468" s="410"/>
      <c r="G468" s="409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A469" s="12"/>
      <c r="D469" s="95"/>
      <c r="E469" s="14"/>
      <c r="F469" s="410"/>
      <c r="G469" s="409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A470" s="12"/>
      <c r="D470" s="95"/>
      <c r="E470" s="14"/>
      <c r="F470" s="410"/>
      <c r="G470" s="409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A471" s="12"/>
      <c r="D471" s="95"/>
      <c r="E471" s="14"/>
      <c r="F471" s="410"/>
      <c r="G471" s="409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A472" s="12"/>
      <c r="D472" s="95"/>
      <c r="E472" s="14"/>
      <c r="F472" s="410"/>
      <c r="G472" s="409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A473" s="12"/>
      <c r="D473" s="95"/>
      <c r="E473" s="14"/>
      <c r="F473" s="410"/>
      <c r="G473" s="409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A474" s="12"/>
      <c r="D474" s="95"/>
      <c r="E474" s="14"/>
      <c r="F474" s="410"/>
      <c r="G474" s="409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A475" s="12"/>
      <c r="D475" s="95"/>
      <c r="E475" s="14"/>
      <c r="F475" s="410"/>
      <c r="G475" s="409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A476" s="12"/>
      <c r="D476" s="95"/>
      <c r="E476" s="14"/>
      <c r="F476" s="410"/>
      <c r="G476" s="409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A477" s="12"/>
      <c r="D477" s="95"/>
      <c r="E477" s="14"/>
      <c r="F477" s="410"/>
      <c r="G477" s="409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A478" s="12"/>
      <c r="D478" s="95"/>
      <c r="E478" s="14"/>
      <c r="F478" s="410"/>
      <c r="G478" s="409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A479" s="12"/>
      <c r="D479" s="95"/>
      <c r="E479" s="14"/>
      <c r="F479" s="410"/>
      <c r="G479" s="409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A480" s="12"/>
      <c r="D480" s="95"/>
      <c r="E480" s="14"/>
      <c r="F480" s="410"/>
      <c r="G480" s="409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A481" s="12"/>
      <c r="D481" s="95"/>
      <c r="E481" s="14"/>
      <c r="F481" s="410"/>
      <c r="G481" s="409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A482" s="12"/>
      <c r="D482" s="95"/>
      <c r="E482" s="14"/>
      <c r="F482" s="410"/>
      <c r="G482" s="409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A483" s="12"/>
      <c r="D483" s="95"/>
      <c r="E483" s="14"/>
      <c r="F483" s="410"/>
      <c r="G483" s="409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A484" s="12"/>
      <c r="D484" s="95"/>
      <c r="E484" s="14"/>
      <c r="F484" s="410"/>
      <c r="G484" s="409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A485" s="12"/>
      <c r="D485" s="95"/>
      <c r="E485" s="14"/>
      <c r="F485" s="410"/>
      <c r="G485" s="409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A486" s="12"/>
      <c r="D486" s="95"/>
      <c r="E486" s="14"/>
      <c r="F486" s="410"/>
      <c r="G486" s="409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A487" s="12"/>
      <c r="D487" s="95"/>
      <c r="E487" s="14"/>
      <c r="F487" s="410"/>
      <c r="G487" s="409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A488" s="12"/>
      <c r="D488" s="95"/>
      <c r="E488" s="14"/>
      <c r="F488" s="410"/>
      <c r="G488" s="409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A489" s="12"/>
      <c r="D489" s="95"/>
      <c r="E489" s="14"/>
      <c r="F489" s="410"/>
      <c r="G489" s="409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A490" s="12"/>
      <c r="D490" s="95"/>
      <c r="E490" s="14"/>
      <c r="F490" s="410"/>
      <c r="G490" s="409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A491" s="12"/>
      <c r="D491" s="95"/>
      <c r="E491" s="14"/>
      <c r="F491" s="410"/>
      <c r="G491" s="409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A492" s="12"/>
      <c r="D492" s="95"/>
      <c r="E492" s="14"/>
      <c r="F492" s="410"/>
      <c r="G492" s="409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A493" s="12"/>
      <c r="D493" s="95"/>
      <c r="E493" s="14"/>
      <c r="F493" s="410"/>
      <c r="G493" s="409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A494" s="12"/>
      <c r="D494" s="95"/>
      <c r="E494" s="14"/>
      <c r="F494" s="410"/>
      <c r="G494" s="409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A495" s="12"/>
      <c r="D495" s="95"/>
      <c r="E495" s="14"/>
      <c r="F495" s="410"/>
      <c r="G495" s="409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A496" s="12"/>
      <c r="D496" s="95"/>
      <c r="E496" s="14"/>
      <c r="F496" s="410"/>
      <c r="G496" s="409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A497" s="12"/>
      <c r="D497" s="95"/>
      <c r="E497" s="14"/>
      <c r="F497" s="410"/>
      <c r="G497" s="409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A498" s="12"/>
      <c r="D498" s="95"/>
      <c r="E498" s="14"/>
      <c r="F498" s="410"/>
      <c r="G498" s="409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A499" s="12"/>
      <c r="D499" s="95"/>
      <c r="E499" s="14"/>
      <c r="F499" s="410"/>
      <c r="G499" s="409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A500" s="12"/>
      <c r="D500" s="95"/>
      <c r="E500" s="14"/>
      <c r="F500" s="410"/>
      <c r="G500" s="409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A501" s="12"/>
      <c r="D501" s="95"/>
      <c r="E501" s="14"/>
      <c r="F501" s="410"/>
      <c r="G501" s="409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A502" s="12"/>
      <c r="D502" s="95"/>
      <c r="E502" s="14"/>
      <c r="F502" s="410"/>
      <c r="G502" s="409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A503" s="12"/>
      <c r="D503" s="95"/>
      <c r="E503" s="14"/>
      <c r="F503" s="410"/>
      <c r="G503" s="409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A504" s="12"/>
      <c r="D504" s="95"/>
      <c r="E504" s="14"/>
      <c r="F504" s="410"/>
      <c r="G504" s="409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A505" s="12"/>
      <c r="D505" s="95"/>
      <c r="E505" s="14"/>
      <c r="F505" s="410"/>
      <c r="G505" s="409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A506" s="12"/>
      <c r="D506" s="95"/>
      <c r="E506" s="14"/>
      <c r="F506" s="410"/>
      <c r="G506" s="409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A507" s="12"/>
      <c r="D507" s="95"/>
      <c r="E507" s="14"/>
      <c r="F507" s="410"/>
      <c r="G507" s="409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A508" s="12"/>
      <c r="D508" s="95"/>
      <c r="E508" s="14"/>
      <c r="F508" s="410"/>
      <c r="G508" s="409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A509" s="12"/>
      <c r="D509" s="95"/>
      <c r="E509" s="14"/>
      <c r="F509" s="410"/>
      <c r="G509" s="409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A510" s="12"/>
      <c r="D510" s="95"/>
      <c r="E510" s="14"/>
      <c r="F510" s="410"/>
      <c r="G510" s="409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A511" s="12"/>
      <c r="D511" s="95"/>
      <c r="E511" s="14"/>
      <c r="F511" s="410"/>
      <c r="G511" s="409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A512" s="12"/>
      <c r="D512" s="95"/>
      <c r="E512" s="14"/>
      <c r="F512" s="410"/>
      <c r="G512" s="409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A513" s="12"/>
      <c r="D513" s="95"/>
      <c r="E513" s="14"/>
      <c r="F513" s="410"/>
      <c r="G513" s="409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A514" s="12"/>
      <c r="D514" s="95"/>
      <c r="E514" s="14"/>
      <c r="F514" s="410"/>
      <c r="G514" s="409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A515" s="12"/>
      <c r="D515" s="95"/>
      <c r="E515" s="14"/>
      <c r="F515" s="410"/>
      <c r="G515" s="409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A516" s="12"/>
      <c r="D516" s="95"/>
      <c r="E516" s="14"/>
      <c r="F516" s="410"/>
      <c r="G516" s="409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A517" s="12"/>
      <c r="D517" s="95"/>
      <c r="E517" s="14"/>
      <c r="F517" s="410"/>
      <c r="G517" s="409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A518" s="12"/>
      <c r="D518" s="95"/>
      <c r="E518" s="14"/>
      <c r="F518" s="410"/>
      <c r="G518" s="409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A519" s="12"/>
      <c r="D519" s="95"/>
      <c r="E519" s="14"/>
      <c r="F519" s="410"/>
      <c r="G519" s="409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A520" s="12"/>
      <c r="D520" s="95"/>
      <c r="E520" s="14"/>
      <c r="F520" s="410"/>
      <c r="G520" s="409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A521" s="12"/>
      <c r="D521" s="95"/>
      <c r="E521" s="14"/>
      <c r="F521" s="410"/>
      <c r="G521" s="409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A522" s="12"/>
      <c r="D522" s="95"/>
      <c r="E522" s="14"/>
      <c r="F522" s="410"/>
      <c r="G522" s="409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A523" s="12"/>
      <c r="D523" s="95"/>
      <c r="E523" s="14"/>
      <c r="F523" s="410"/>
      <c r="G523" s="409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A524" s="12"/>
      <c r="D524" s="95"/>
      <c r="E524" s="14"/>
      <c r="F524" s="410"/>
      <c r="G524" s="409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A525" s="12"/>
      <c r="D525" s="95"/>
      <c r="E525" s="14"/>
      <c r="F525" s="410"/>
      <c r="G525" s="409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A526" s="12"/>
      <c r="D526" s="95"/>
      <c r="E526" s="14"/>
      <c r="F526" s="410"/>
      <c r="G526" s="409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A527" s="12"/>
      <c r="D527" s="95"/>
      <c r="E527" s="14"/>
      <c r="F527" s="410"/>
      <c r="G527" s="409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A528" s="12"/>
      <c r="D528" s="95"/>
      <c r="E528" s="14"/>
      <c r="F528" s="410"/>
      <c r="G528" s="409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A529" s="12"/>
      <c r="D529" s="95"/>
      <c r="E529" s="14"/>
      <c r="F529" s="410"/>
      <c r="G529" s="409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A530" s="12"/>
      <c r="D530" s="95"/>
      <c r="E530" s="14"/>
      <c r="F530" s="410"/>
      <c r="G530" s="409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A531" s="12"/>
      <c r="D531" s="95"/>
      <c r="E531" s="14"/>
      <c r="F531" s="410"/>
      <c r="G531" s="409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A532" s="12"/>
      <c r="D532" s="95"/>
      <c r="E532" s="14"/>
      <c r="F532" s="410"/>
      <c r="G532" s="409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A533" s="12"/>
      <c r="D533" s="95"/>
      <c r="E533" s="14"/>
      <c r="F533" s="410"/>
      <c r="G533" s="409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A534" s="12"/>
      <c r="D534" s="95"/>
      <c r="E534" s="14"/>
      <c r="F534" s="410"/>
      <c r="G534" s="409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A535" s="12"/>
      <c r="D535" s="95"/>
      <c r="E535" s="14"/>
      <c r="F535" s="410"/>
      <c r="G535" s="409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A536" s="12"/>
      <c r="D536" s="95"/>
      <c r="E536" s="14"/>
      <c r="F536" s="410"/>
      <c r="G536" s="409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A537" s="12"/>
      <c r="D537" s="95"/>
      <c r="E537" s="14"/>
      <c r="F537" s="410"/>
      <c r="G537" s="409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A538" s="12"/>
      <c r="D538" s="95"/>
      <c r="E538" s="14"/>
      <c r="F538" s="410"/>
      <c r="G538" s="409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A539" s="12"/>
      <c r="D539" s="95"/>
      <c r="E539" s="14"/>
      <c r="F539" s="410"/>
      <c r="G539" s="409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A540" s="12"/>
      <c r="D540" s="95"/>
      <c r="E540" s="14"/>
      <c r="F540" s="410"/>
      <c r="G540" s="409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A541" s="12"/>
      <c r="D541" s="95"/>
      <c r="E541" s="14"/>
      <c r="F541" s="410"/>
      <c r="G541" s="409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A542" s="12"/>
      <c r="D542" s="95"/>
      <c r="E542" s="14"/>
      <c r="F542" s="410"/>
      <c r="G542" s="409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A543" s="12"/>
      <c r="D543" s="95"/>
      <c r="E543" s="14"/>
      <c r="F543" s="410"/>
      <c r="G543" s="409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A544" s="12"/>
      <c r="D544" s="95"/>
      <c r="E544" s="14"/>
      <c r="F544" s="410"/>
      <c r="G544" s="409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A545" s="12"/>
      <c r="D545" s="95"/>
      <c r="E545" s="14"/>
      <c r="F545" s="410"/>
      <c r="G545" s="409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A546" s="12"/>
      <c r="D546" s="95"/>
      <c r="E546" s="14"/>
      <c r="F546" s="410"/>
      <c r="G546" s="409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A547" s="12"/>
      <c r="D547" s="95"/>
      <c r="E547" s="14"/>
      <c r="F547" s="410"/>
      <c r="G547" s="409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A548" s="12"/>
      <c r="D548" s="95"/>
      <c r="E548" s="14"/>
      <c r="F548" s="410"/>
      <c r="G548" s="409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A549" s="12"/>
      <c r="D549" s="95"/>
      <c r="E549" s="14"/>
      <c r="F549" s="410"/>
      <c r="G549" s="409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A550" s="12"/>
      <c r="D550" s="95"/>
      <c r="E550" s="14"/>
      <c r="F550" s="410"/>
      <c r="G550" s="409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A551" s="12"/>
      <c r="D551" s="95"/>
      <c r="E551" s="14"/>
      <c r="F551" s="410"/>
      <c r="G551" s="409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A552" s="12"/>
      <c r="D552" s="95"/>
      <c r="E552" s="14"/>
      <c r="F552" s="410"/>
      <c r="G552" s="409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A553" s="12"/>
      <c r="D553" s="95"/>
      <c r="E553" s="14"/>
      <c r="F553" s="410"/>
      <c r="G553" s="409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A554" s="12"/>
      <c r="D554" s="95"/>
      <c r="E554" s="14"/>
      <c r="F554" s="410"/>
      <c r="G554" s="409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A555" s="12"/>
      <c r="D555" s="95"/>
      <c r="E555" s="14"/>
      <c r="F555" s="410"/>
      <c r="G555" s="409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A556" s="12"/>
      <c r="D556" s="95"/>
      <c r="E556" s="14"/>
      <c r="F556" s="410"/>
      <c r="G556" s="409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A557" s="12"/>
      <c r="D557" s="95"/>
      <c r="E557" s="14"/>
      <c r="F557" s="410"/>
      <c r="G557" s="409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A558" s="12"/>
      <c r="D558" s="95"/>
      <c r="E558" s="14"/>
      <c r="F558" s="410"/>
      <c r="G558" s="409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A559" s="12"/>
      <c r="D559" s="95"/>
      <c r="E559" s="14"/>
      <c r="F559" s="410"/>
      <c r="G559" s="409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A560" s="12"/>
      <c r="D560" s="95"/>
      <c r="E560" s="14"/>
      <c r="F560" s="410"/>
      <c r="G560" s="409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A561" s="12"/>
      <c r="D561" s="95"/>
      <c r="E561" s="14"/>
      <c r="F561" s="410"/>
      <c r="G561" s="409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A562" s="12"/>
      <c r="D562" s="95"/>
      <c r="E562" s="14"/>
      <c r="F562" s="410"/>
      <c r="G562" s="409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A563" s="12"/>
      <c r="D563" s="95"/>
      <c r="E563" s="14"/>
      <c r="F563" s="410"/>
      <c r="G563" s="409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A564" s="12"/>
      <c r="D564" s="95"/>
      <c r="E564" s="14"/>
      <c r="F564" s="410"/>
      <c r="G564" s="409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A565" s="12"/>
      <c r="D565" s="95"/>
      <c r="E565" s="14"/>
      <c r="F565" s="410"/>
      <c r="G565" s="409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A566" s="12"/>
      <c r="D566" s="95"/>
      <c r="E566" s="14"/>
      <c r="F566" s="410"/>
      <c r="G566" s="409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A567" s="12"/>
      <c r="D567" s="95"/>
      <c r="E567" s="14"/>
      <c r="F567" s="410"/>
      <c r="G567" s="409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A568" s="12"/>
      <c r="D568" s="95"/>
      <c r="E568" s="14"/>
      <c r="F568" s="410"/>
      <c r="G568" s="409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A569" s="12"/>
      <c r="D569" s="95"/>
      <c r="E569" s="14"/>
      <c r="F569" s="410"/>
      <c r="G569" s="409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A570" s="12"/>
      <c r="D570" s="95"/>
      <c r="E570" s="14"/>
      <c r="F570" s="410"/>
      <c r="G570" s="409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A571" s="12"/>
      <c r="D571" s="95"/>
      <c r="E571" s="14"/>
      <c r="F571" s="410"/>
      <c r="G571" s="409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A572" s="12"/>
      <c r="D572" s="95"/>
      <c r="E572" s="14"/>
      <c r="F572" s="410"/>
      <c r="G572" s="409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A573" s="12"/>
      <c r="D573" s="95"/>
      <c r="E573" s="14"/>
      <c r="F573" s="410"/>
      <c r="G573" s="409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A574" s="12"/>
      <c r="D574" s="95"/>
      <c r="E574" s="14"/>
      <c r="F574" s="410"/>
      <c r="G574" s="409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A575" s="12"/>
      <c r="D575" s="95"/>
      <c r="E575" s="14"/>
      <c r="F575" s="410"/>
      <c r="G575" s="409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A576" s="12"/>
      <c r="D576" s="95"/>
      <c r="E576" s="14"/>
      <c r="F576" s="410"/>
      <c r="G576" s="409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A577" s="12"/>
      <c r="D577" s="95"/>
      <c r="E577" s="14"/>
      <c r="F577" s="410"/>
      <c r="G577" s="409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A578" s="12"/>
      <c r="D578" s="95"/>
      <c r="E578" s="14"/>
      <c r="F578" s="410"/>
      <c r="G578" s="409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A579" s="12"/>
      <c r="D579" s="95"/>
      <c r="E579" s="14"/>
      <c r="F579" s="410"/>
      <c r="G579" s="409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A580" s="12"/>
      <c r="D580" s="95"/>
      <c r="E580" s="14"/>
      <c r="F580" s="410"/>
      <c r="G580" s="409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A581" s="12"/>
      <c r="D581" s="95"/>
      <c r="E581" s="14"/>
      <c r="F581" s="410"/>
      <c r="G581" s="409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A582" s="12"/>
      <c r="D582" s="95"/>
      <c r="E582" s="14"/>
      <c r="F582" s="410"/>
      <c r="G582" s="409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A583" s="12"/>
      <c r="D583" s="95"/>
      <c r="E583" s="14"/>
      <c r="F583" s="410"/>
      <c r="G583" s="409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A584" s="12"/>
      <c r="D584" s="95"/>
      <c r="E584" s="14"/>
      <c r="F584" s="410"/>
      <c r="G584" s="409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A585" s="12"/>
      <c r="D585" s="95"/>
      <c r="E585" s="14"/>
      <c r="F585" s="410"/>
      <c r="G585" s="409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A586" s="12"/>
      <c r="D586" s="95"/>
      <c r="E586" s="14"/>
      <c r="F586" s="410"/>
      <c r="G586" s="409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A587" s="12"/>
      <c r="D587" s="95"/>
      <c r="E587" s="14"/>
      <c r="F587" s="410"/>
      <c r="G587" s="409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A588" s="12"/>
      <c r="D588" s="95"/>
      <c r="E588" s="14"/>
      <c r="F588" s="410"/>
      <c r="G588" s="409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A589" s="12"/>
      <c r="D589" s="95"/>
      <c r="E589" s="14"/>
      <c r="F589" s="410"/>
      <c r="G589" s="409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A590" s="12"/>
      <c r="D590" s="95"/>
      <c r="E590" s="14"/>
      <c r="F590" s="410"/>
      <c r="G590" s="409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A591" s="12"/>
      <c r="D591" s="95"/>
      <c r="E591" s="14"/>
      <c r="F591" s="410"/>
      <c r="G591" s="409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A592" s="12"/>
      <c r="D592" s="95"/>
      <c r="E592" s="14"/>
      <c r="F592" s="410"/>
      <c r="G592" s="409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A593" s="12"/>
      <c r="D593" s="95"/>
      <c r="E593" s="14"/>
      <c r="F593" s="410"/>
      <c r="G593" s="409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A594" s="12"/>
      <c r="D594" s="95"/>
      <c r="E594" s="14"/>
      <c r="F594" s="410"/>
      <c r="G594" s="409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A595" s="12"/>
      <c r="D595" s="95"/>
      <c r="E595" s="14"/>
      <c r="F595" s="410"/>
      <c r="G595" s="409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A596" s="12"/>
      <c r="D596" s="95"/>
      <c r="E596" s="14"/>
      <c r="F596" s="410"/>
      <c r="G596" s="409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A597" s="12"/>
      <c r="D597" s="95"/>
      <c r="E597" s="14"/>
      <c r="F597" s="410"/>
      <c r="G597" s="409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A598" s="12"/>
      <c r="D598" s="95"/>
      <c r="E598" s="14"/>
      <c r="F598" s="410"/>
      <c r="G598" s="409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A599" s="12"/>
      <c r="D599" s="95"/>
      <c r="E599" s="14"/>
      <c r="F599" s="410"/>
      <c r="G599" s="409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A600" s="12"/>
      <c r="D600" s="95"/>
      <c r="E600" s="14"/>
      <c r="F600" s="410"/>
      <c r="G600" s="409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A601" s="12"/>
      <c r="D601" s="95"/>
      <c r="E601" s="14"/>
      <c r="F601" s="410"/>
      <c r="G601" s="409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A602" s="12"/>
      <c r="D602" s="95"/>
      <c r="E602" s="14"/>
      <c r="F602" s="410"/>
      <c r="G602" s="409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A603" s="12"/>
      <c r="D603" s="95"/>
      <c r="E603" s="14"/>
      <c r="F603" s="410"/>
      <c r="G603" s="409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A604" s="12"/>
      <c r="D604" s="95"/>
      <c r="E604" s="14"/>
      <c r="F604" s="410"/>
      <c r="G604" s="409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A605" s="12"/>
      <c r="D605" s="95"/>
      <c r="E605" s="14"/>
      <c r="F605" s="410"/>
      <c r="G605" s="409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A606" s="12"/>
      <c r="D606" s="95"/>
      <c r="E606" s="14"/>
      <c r="F606" s="410"/>
      <c r="G606" s="409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A607" s="12"/>
      <c r="D607" s="95"/>
      <c r="E607" s="14"/>
      <c r="F607" s="410"/>
      <c r="G607" s="409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A608" s="12"/>
      <c r="D608" s="95"/>
      <c r="E608" s="14"/>
      <c r="F608" s="410"/>
      <c r="G608" s="409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A609" s="12"/>
      <c r="D609" s="95"/>
      <c r="E609" s="14"/>
      <c r="F609" s="410"/>
      <c r="G609" s="409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A610" s="12"/>
      <c r="D610" s="95"/>
      <c r="E610" s="14"/>
      <c r="F610" s="410"/>
      <c r="G610" s="409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A611" s="12"/>
      <c r="D611" s="95"/>
      <c r="E611" s="14"/>
      <c r="F611" s="410"/>
      <c r="G611" s="409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A612" s="12"/>
      <c r="D612" s="95"/>
      <c r="E612" s="14"/>
      <c r="F612" s="410"/>
      <c r="G612" s="409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A613" s="12"/>
      <c r="D613" s="95"/>
      <c r="E613" s="14"/>
      <c r="F613" s="410"/>
      <c r="G613" s="409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A614" s="12"/>
      <c r="D614" s="95"/>
      <c r="E614" s="14"/>
      <c r="F614" s="410"/>
      <c r="G614" s="409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A615" s="12"/>
      <c r="D615" s="95"/>
      <c r="E615" s="14"/>
      <c r="F615" s="410"/>
      <c r="G615" s="409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A616" s="12"/>
      <c r="D616" s="95"/>
      <c r="E616" s="14"/>
      <c r="F616" s="410"/>
      <c r="G616" s="409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A617" s="12"/>
      <c r="D617" s="95"/>
      <c r="E617" s="14"/>
      <c r="F617" s="410"/>
      <c r="G617" s="409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A618" s="12"/>
      <c r="D618" s="95"/>
      <c r="E618" s="14"/>
      <c r="F618" s="410"/>
      <c r="G618" s="409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A619" s="12"/>
      <c r="D619" s="95"/>
      <c r="E619" s="14"/>
      <c r="F619" s="410"/>
      <c r="G619" s="409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A620" s="12"/>
      <c r="D620" s="95"/>
      <c r="E620" s="14"/>
      <c r="F620" s="410"/>
      <c r="G620" s="409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A621" s="12"/>
      <c r="D621" s="95"/>
      <c r="E621" s="14"/>
      <c r="F621" s="410"/>
      <c r="G621" s="409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A622" s="12"/>
      <c r="D622" s="95"/>
      <c r="E622" s="14"/>
      <c r="F622" s="410"/>
      <c r="G622" s="409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A623" s="12"/>
      <c r="D623" s="95"/>
      <c r="E623" s="14"/>
      <c r="F623" s="410"/>
      <c r="G623" s="409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A624" s="12"/>
      <c r="D624" s="95"/>
      <c r="E624" s="14"/>
      <c r="F624" s="410"/>
      <c r="G624" s="409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A625" s="12"/>
      <c r="D625" s="95"/>
      <c r="E625" s="14"/>
      <c r="F625" s="410"/>
      <c r="G625" s="409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A626" s="12"/>
      <c r="D626" s="95"/>
      <c r="E626" s="14"/>
      <c r="F626" s="410"/>
      <c r="G626" s="409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A627" s="12"/>
      <c r="D627" s="95"/>
      <c r="E627" s="14"/>
      <c r="F627" s="410"/>
      <c r="G627" s="409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A628" s="12"/>
      <c r="D628" s="95"/>
      <c r="E628" s="14"/>
      <c r="F628" s="410"/>
      <c r="G628" s="409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A629" s="12"/>
      <c r="D629" s="95"/>
      <c r="E629" s="14"/>
      <c r="F629" s="410"/>
      <c r="G629" s="409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A630" s="12"/>
      <c r="D630" s="95"/>
      <c r="E630" s="14"/>
      <c r="F630" s="410"/>
      <c r="G630" s="409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A631" s="12"/>
      <c r="D631" s="95"/>
      <c r="E631" s="14"/>
      <c r="F631" s="410"/>
      <c r="G631" s="409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A632" s="12"/>
      <c r="D632" s="95"/>
      <c r="E632" s="14"/>
      <c r="F632" s="410"/>
      <c r="G632" s="409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A633" s="12"/>
      <c r="D633" s="95"/>
      <c r="E633" s="14"/>
      <c r="F633" s="410"/>
      <c r="G633" s="409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A634" s="12"/>
      <c r="D634" s="95"/>
      <c r="E634" s="14"/>
      <c r="F634" s="410"/>
      <c r="G634" s="409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A635" s="12"/>
      <c r="D635" s="95"/>
      <c r="E635" s="14"/>
      <c r="F635" s="410"/>
      <c r="G635" s="409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A636" s="12"/>
      <c r="D636" s="95"/>
      <c r="E636" s="14"/>
      <c r="F636" s="410"/>
      <c r="G636" s="409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A637" s="12"/>
      <c r="D637" s="95"/>
      <c r="E637" s="14"/>
      <c r="F637" s="410"/>
      <c r="G637" s="409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A638" s="12"/>
      <c r="D638" s="95"/>
      <c r="E638" s="14"/>
      <c r="F638" s="410"/>
      <c r="G638" s="409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A639" s="12"/>
      <c r="D639" s="95"/>
      <c r="E639" s="14"/>
      <c r="F639" s="410"/>
      <c r="G639" s="409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A640" s="12"/>
      <c r="D640" s="95"/>
      <c r="E640" s="14"/>
      <c r="F640" s="410"/>
      <c r="G640" s="409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A641" s="12"/>
      <c r="D641" s="95"/>
      <c r="E641" s="14"/>
      <c r="F641" s="410"/>
      <c r="G641" s="409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A642" s="12"/>
      <c r="D642" s="95"/>
      <c r="E642" s="14"/>
      <c r="F642" s="410"/>
      <c r="G642" s="409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A643" s="12"/>
      <c r="D643" s="95"/>
      <c r="E643" s="14"/>
      <c r="F643" s="410"/>
      <c r="G643" s="409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A644" s="12"/>
      <c r="D644" s="95"/>
      <c r="E644" s="14"/>
      <c r="F644" s="410"/>
      <c r="G644" s="409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A645" s="12"/>
      <c r="D645" s="95"/>
      <c r="E645" s="14"/>
      <c r="F645" s="410"/>
      <c r="G645" s="409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A646" s="12"/>
      <c r="D646" s="95"/>
      <c r="E646" s="14"/>
      <c r="F646" s="410"/>
      <c r="G646" s="409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A647" s="12"/>
      <c r="D647" s="95"/>
      <c r="E647" s="14"/>
      <c r="F647" s="410"/>
      <c r="G647" s="409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A648" s="12"/>
      <c r="D648" s="95"/>
      <c r="E648" s="14"/>
      <c r="F648" s="410"/>
      <c r="G648" s="409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A649" s="12"/>
      <c r="D649" s="95"/>
      <c r="E649" s="14"/>
      <c r="F649" s="410"/>
      <c r="G649" s="409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A650" s="12"/>
      <c r="D650" s="95"/>
      <c r="E650" s="14"/>
      <c r="F650" s="410"/>
      <c r="G650" s="409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A651" s="12"/>
      <c r="D651" s="95"/>
      <c r="E651" s="14"/>
      <c r="F651" s="410"/>
      <c r="G651" s="409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A652" s="12"/>
      <c r="D652" s="95"/>
      <c r="E652" s="14"/>
      <c r="F652" s="410"/>
      <c r="G652" s="409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A653" s="12"/>
      <c r="D653" s="95"/>
      <c r="E653" s="14"/>
      <c r="F653" s="410"/>
      <c r="G653" s="409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A654" s="12"/>
      <c r="D654" s="95"/>
      <c r="E654" s="14"/>
      <c r="F654" s="410"/>
      <c r="G654" s="409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A655" s="12"/>
      <c r="D655" s="95"/>
      <c r="E655" s="14"/>
      <c r="F655" s="410"/>
      <c r="G655" s="409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A656" s="12"/>
      <c r="D656" s="95"/>
      <c r="E656" s="14"/>
      <c r="F656" s="410"/>
      <c r="G656" s="409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A657" s="12"/>
      <c r="D657" s="95"/>
      <c r="E657" s="14"/>
      <c r="F657" s="410"/>
      <c r="G657" s="409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A658" s="12"/>
      <c r="D658" s="95"/>
      <c r="E658" s="14"/>
      <c r="F658" s="410"/>
      <c r="G658" s="409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A659" s="12"/>
      <c r="D659" s="95"/>
      <c r="E659" s="14"/>
      <c r="F659" s="410"/>
      <c r="G659" s="409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A660" s="12"/>
      <c r="D660" s="95"/>
      <c r="E660" s="14"/>
      <c r="F660" s="410"/>
      <c r="G660" s="409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A661" s="12"/>
      <c r="D661" s="95"/>
      <c r="E661" s="14"/>
      <c r="F661" s="410"/>
      <c r="G661" s="409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A662" s="12"/>
      <c r="D662" s="95"/>
      <c r="E662" s="14"/>
      <c r="F662" s="410"/>
      <c r="G662" s="409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A663" s="12"/>
      <c r="D663" s="95"/>
      <c r="E663" s="14"/>
      <c r="F663" s="410"/>
      <c r="G663" s="409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A664" s="12"/>
      <c r="D664" s="95"/>
      <c r="E664" s="14"/>
      <c r="F664" s="410"/>
      <c r="G664" s="409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A665" s="12"/>
      <c r="D665" s="95"/>
      <c r="E665" s="14"/>
      <c r="F665" s="410"/>
      <c r="G665" s="409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A666" s="12"/>
      <c r="D666" s="95"/>
      <c r="E666" s="14"/>
      <c r="F666" s="410"/>
      <c r="G666" s="409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A667" s="12"/>
      <c r="D667" s="95"/>
      <c r="E667" s="14"/>
      <c r="F667" s="410"/>
      <c r="G667" s="409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A668" s="12"/>
      <c r="D668" s="95"/>
      <c r="E668" s="14"/>
      <c r="F668" s="410"/>
      <c r="G668" s="409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A669" s="12"/>
      <c r="D669" s="95"/>
      <c r="E669" s="14"/>
      <c r="F669" s="410"/>
      <c r="G669" s="409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A670" s="12"/>
      <c r="D670" s="95"/>
      <c r="E670" s="14"/>
      <c r="F670" s="410"/>
      <c r="G670" s="409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A671" s="12"/>
      <c r="D671" s="95"/>
      <c r="E671" s="14"/>
      <c r="F671" s="410"/>
      <c r="G671" s="409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A672" s="12"/>
      <c r="D672" s="95"/>
      <c r="E672" s="14"/>
      <c r="F672" s="410"/>
      <c r="G672" s="409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A673" s="12"/>
      <c r="D673" s="95"/>
      <c r="E673" s="14"/>
      <c r="F673" s="410"/>
      <c r="G673" s="409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A674" s="12"/>
      <c r="D674" s="95"/>
      <c r="E674" s="14"/>
      <c r="F674" s="410"/>
      <c r="G674" s="409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A675" s="12"/>
      <c r="D675" s="95"/>
      <c r="E675" s="14"/>
      <c r="F675" s="410"/>
      <c r="G675" s="409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A676" s="12"/>
      <c r="D676" s="95"/>
      <c r="E676" s="14"/>
      <c r="F676" s="410"/>
      <c r="G676" s="409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A677" s="12"/>
      <c r="D677" s="95"/>
      <c r="E677" s="14"/>
      <c r="F677" s="410"/>
      <c r="G677" s="409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A678" s="12"/>
      <c r="D678" s="95"/>
      <c r="E678" s="14"/>
      <c r="F678" s="410"/>
      <c r="G678" s="409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A679" s="12"/>
      <c r="D679" s="95"/>
      <c r="E679" s="14"/>
      <c r="F679" s="410"/>
      <c r="G679" s="409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A680" s="12"/>
      <c r="D680" s="95"/>
      <c r="E680" s="14"/>
      <c r="F680" s="410"/>
      <c r="G680" s="409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A681" s="12"/>
      <c r="D681" s="95"/>
      <c r="E681" s="14"/>
      <c r="F681" s="410"/>
      <c r="G681" s="409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A682" s="12"/>
      <c r="D682" s="95"/>
      <c r="E682" s="14"/>
      <c r="F682" s="410"/>
      <c r="G682" s="409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A683" s="12"/>
      <c r="D683" s="95"/>
      <c r="E683" s="14"/>
      <c r="F683" s="410"/>
      <c r="G683" s="409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A684" s="12"/>
      <c r="D684" s="95"/>
      <c r="E684" s="14"/>
      <c r="F684" s="410"/>
      <c r="G684" s="409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A685" s="12"/>
      <c r="D685" s="95"/>
      <c r="E685" s="14"/>
      <c r="F685" s="410"/>
      <c r="G685" s="409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A686" s="12"/>
      <c r="D686" s="95"/>
      <c r="E686" s="14"/>
      <c r="F686" s="410"/>
      <c r="G686" s="409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A687" s="12"/>
      <c r="D687" s="95"/>
      <c r="E687" s="14"/>
      <c r="F687" s="410"/>
      <c r="G687" s="409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A688" s="12"/>
      <c r="D688" s="95"/>
      <c r="E688" s="14"/>
      <c r="F688" s="410"/>
      <c r="G688" s="409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A689" s="12"/>
      <c r="D689" s="95"/>
      <c r="E689" s="14"/>
      <c r="F689" s="410"/>
      <c r="G689" s="409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A690" s="12"/>
      <c r="D690" s="95"/>
      <c r="E690" s="14"/>
      <c r="F690" s="410"/>
      <c r="G690" s="409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A691" s="12"/>
      <c r="D691" s="95"/>
      <c r="E691" s="14"/>
      <c r="F691" s="410"/>
      <c r="G691" s="409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A692" s="12"/>
      <c r="D692" s="95"/>
      <c r="E692" s="14"/>
      <c r="F692" s="410"/>
      <c r="G692" s="409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A693" s="12"/>
      <c r="D693" s="95"/>
      <c r="E693" s="14"/>
      <c r="F693" s="410"/>
      <c r="G693" s="409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A694" s="12"/>
      <c r="D694" s="95"/>
      <c r="E694" s="14"/>
      <c r="F694" s="410"/>
      <c r="G694" s="409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A695" s="12"/>
      <c r="D695" s="95"/>
      <c r="E695" s="14"/>
      <c r="F695" s="410"/>
      <c r="G695" s="409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A696" s="12"/>
      <c r="D696" s="95"/>
      <c r="E696" s="14"/>
      <c r="F696" s="410"/>
      <c r="G696" s="409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A697" s="12"/>
      <c r="D697" s="95"/>
      <c r="E697" s="14"/>
      <c r="F697" s="410"/>
      <c r="G697" s="409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A698" s="12"/>
      <c r="D698" s="95"/>
      <c r="E698" s="14"/>
      <c r="F698" s="410"/>
      <c r="G698" s="409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A699" s="12"/>
      <c r="D699" s="95"/>
      <c r="E699" s="14"/>
      <c r="F699" s="410"/>
      <c r="G699" s="409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A700" s="12"/>
      <c r="D700" s="95"/>
      <c r="E700" s="14"/>
      <c r="F700" s="410"/>
      <c r="G700" s="409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A701" s="12"/>
      <c r="D701" s="95"/>
      <c r="E701" s="14"/>
      <c r="F701" s="410"/>
      <c r="G701" s="409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A702" s="12"/>
      <c r="D702" s="95"/>
      <c r="E702" s="14"/>
      <c r="F702" s="410"/>
      <c r="G702" s="409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A703" s="12"/>
      <c r="D703" s="95"/>
      <c r="E703" s="14"/>
      <c r="F703" s="410"/>
      <c r="G703" s="409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A704" s="12"/>
      <c r="D704" s="95"/>
      <c r="E704" s="14"/>
      <c r="F704" s="410"/>
      <c r="G704" s="409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A705" s="12"/>
      <c r="D705" s="95"/>
      <c r="E705" s="14"/>
      <c r="F705" s="410"/>
      <c r="G705" s="409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A706" s="12"/>
      <c r="D706" s="95"/>
      <c r="E706" s="14"/>
      <c r="F706" s="410"/>
      <c r="G706" s="409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A707" s="12"/>
      <c r="D707" s="95"/>
      <c r="E707" s="14"/>
      <c r="F707" s="410"/>
      <c r="G707" s="409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A708" s="12"/>
      <c r="D708" s="95"/>
      <c r="E708" s="14"/>
      <c r="F708" s="410"/>
      <c r="G708" s="409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A709" s="12"/>
      <c r="D709" s="95"/>
      <c r="E709" s="14"/>
      <c r="F709" s="410"/>
      <c r="G709" s="409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A710" s="12"/>
      <c r="D710" s="95"/>
      <c r="E710" s="14"/>
      <c r="F710" s="410"/>
      <c r="G710" s="409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A711" s="12"/>
      <c r="D711" s="95"/>
      <c r="E711" s="14"/>
      <c r="F711" s="410"/>
      <c r="G711" s="409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A712" s="12"/>
      <c r="D712" s="95"/>
      <c r="E712" s="14"/>
      <c r="F712" s="410"/>
      <c r="G712" s="409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A713" s="12"/>
      <c r="D713" s="95"/>
      <c r="E713" s="14"/>
      <c r="F713" s="410"/>
      <c r="G713" s="409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A714" s="12"/>
      <c r="D714" s="95"/>
      <c r="E714" s="14"/>
      <c r="F714" s="410"/>
      <c r="G714" s="409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A715" s="12"/>
      <c r="D715" s="95"/>
      <c r="E715" s="14"/>
      <c r="F715" s="410"/>
      <c r="G715" s="409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A716" s="12"/>
      <c r="D716" s="95"/>
      <c r="E716" s="14"/>
      <c r="F716" s="410"/>
      <c r="G716" s="409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A717" s="12"/>
      <c r="D717" s="95"/>
      <c r="E717" s="14"/>
      <c r="F717" s="410"/>
      <c r="G717" s="409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A718" s="12"/>
      <c r="D718" s="95"/>
      <c r="E718" s="14"/>
      <c r="F718" s="410"/>
      <c r="G718" s="409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A719" s="12"/>
      <c r="D719" s="95"/>
      <c r="E719" s="14"/>
      <c r="F719" s="410"/>
      <c r="G719" s="409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A720" s="12"/>
      <c r="D720" s="95"/>
      <c r="E720" s="14"/>
      <c r="F720" s="410"/>
      <c r="G720" s="409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A721" s="12"/>
      <c r="D721" s="95"/>
      <c r="E721" s="14"/>
      <c r="F721" s="410"/>
      <c r="G721" s="409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A722" s="12"/>
      <c r="D722" s="95"/>
      <c r="E722" s="14"/>
      <c r="F722" s="410"/>
      <c r="G722" s="409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A723" s="12"/>
      <c r="D723" s="95"/>
      <c r="E723" s="14"/>
      <c r="F723" s="410"/>
      <c r="G723" s="409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A724" s="12"/>
      <c r="D724" s="95"/>
      <c r="E724" s="14"/>
      <c r="F724" s="410"/>
      <c r="G724" s="409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A725" s="12"/>
      <c r="D725" s="95"/>
      <c r="E725" s="14"/>
      <c r="F725" s="410"/>
      <c r="G725" s="409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A726" s="12"/>
      <c r="D726" s="95"/>
      <c r="E726" s="14"/>
      <c r="F726" s="410"/>
      <c r="G726" s="409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A727" s="12"/>
      <c r="D727" s="95"/>
      <c r="E727" s="14"/>
      <c r="F727" s="410"/>
      <c r="G727" s="409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A728" s="12"/>
      <c r="D728" s="95"/>
      <c r="E728" s="14"/>
      <c r="F728" s="410"/>
      <c r="G728" s="409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A729" s="12"/>
      <c r="D729" s="95"/>
      <c r="E729" s="14"/>
      <c r="F729" s="410"/>
      <c r="G729" s="409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A730" s="12"/>
      <c r="D730" s="95"/>
      <c r="E730" s="14"/>
      <c r="F730" s="410"/>
      <c r="G730" s="409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A731" s="12"/>
      <c r="D731" s="95"/>
      <c r="E731" s="14"/>
      <c r="F731" s="410"/>
      <c r="G731" s="409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A732" s="12"/>
      <c r="D732" s="95"/>
      <c r="E732" s="14"/>
      <c r="F732" s="410"/>
      <c r="G732" s="409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A733" s="12"/>
      <c r="D733" s="95"/>
      <c r="E733" s="14"/>
      <c r="F733" s="410"/>
      <c r="G733" s="409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A734" s="12"/>
      <c r="D734" s="95"/>
      <c r="E734" s="14"/>
      <c r="F734" s="410"/>
      <c r="G734" s="409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A735" s="12"/>
      <c r="D735" s="95"/>
      <c r="E735" s="14"/>
      <c r="F735" s="410"/>
      <c r="G735" s="409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A736" s="12"/>
      <c r="D736" s="95"/>
      <c r="E736" s="14"/>
      <c r="F736" s="410"/>
      <c r="G736" s="409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A737" s="12"/>
      <c r="D737" s="95"/>
      <c r="E737" s="14"/>
      <c r="F737" s="410"/>
      <c r="G737" s="409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A738" s="12"/>
      <c r="D738" s="95"/>
      <c r="E738" s="14"/>
      <c r="F738" s="410"/>
      <c r="G738" s="409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A739" s="12"/>
      <c r="D739" s="95"/>
      <c r="E739" s="14"/>
      <c r="F739" s="410"/>
      <c r="G739" s="409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A740" s="12"/>
      <c r="D740" s="95"/>
      <c r="E740" s="14"/>
      <c r="F740" s="410"/>
      <c r="G740" s="409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A741" s="12"/>
      <c r="D741" s="95"/>
      <c r="E741" s="14"/>
      <c r="F741" s="410"/>
      <c r="G741" s="409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A742" s="12"/>
      <c r="D742" s="95"/>
      <c r="E742" s="14"/>
      <c r="F742" s="410"/>
      <c r="G742" s="409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A743" s="12"/>
      <c r="D743" s="95"/>
      <c r="E743" s="14"/>
      <c r="F743" s="410"/>
      <c r="G743" s="409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A744" s="12"/>
      <c r="D744" s="95"/>
      <c r="E744" s="14"/>
      <c r="F744" s="410"/>
      <c r="G744" s="409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A745" s="12"/>
      <c r="D745" s="95"/>
      <c r="E745" s="14"/>
      <c r="F745" s="410"/>
      <c r="G745" s="409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A746" s="12"/>
      <c r="D746" s="95"/>
      <c r="E746" s="14"/>
      <c r="F746" s="410"/>
      <c r="G746" s="409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A747" s="12"/>
      <c r="D747" s="95"/>
      <c r="E747" s="14"/>
      <c r="F747" s="410"/>
      <c r="G747" s="409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A748" s="12"/>
      <c r="D748" s="95"/>
      <c r="E748" s="14"/>
      <c r="F748" s="410"/>
      <c r="G748" s="409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A749" s="12"/>
      <c r="D749" s="95"/>
      <c r="E749" s="14"/>
      <c r="F749" s="410"/>
      <c r="G749" s="409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A750" s="12"/>
      <c r="D750" s="95"/>
      <c r="E750" s="14"/>
      <c r="F750" s="410"/>
      <c r="G750" s="409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A751" s="12"/>
      <c r="D751" s="95"/>
      <c r="E751" s="14"/>
      <c r="F751" s="410"/>
      <c r="G751" s="409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A752" s="12"/>
      <c r="D752" s="95"/>
      <c r="E752" s="14"/>
      <c r="F752" s="410"/>
      <c r="G752" s="409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A753" s="12"/>
      <c r="D753" s="95"/>
      <c r="E753" s="14"/>
      <c r="F753" s="410"/>
      <c r="G753" s="409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A754" s="12"/>
      <c r="D754" s="95"/>
      <c r="E754" s="14"/>
      <c r="F754" s="410"/>
      <c r="G754" s="409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A755" s="12"/>
      <c r="D755" s="95"/>
      <c r="E755" s="14"/>
      <c r="F755" s="410"/>
      <c r="G755" s="409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A756" s="12"/>
      <c r="D756" s="95"/>
      <c r="E756" s="14"/>
      <c r="F756" s="410"/>
      <c r="G756" s="409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A757" s="12"/>
      <c r="D757" s="95"/>
      <c r="E757" s="14"/>
      <c r="F757" s="410"/>
      <c r="G757" s="409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A758" s="12"/>
      <c r="D758" s="95"/>
      <c r="E758" s="14"/>
      <c r="F758" s="410"/>
      <c r="G758" s="409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A759" s="12"/>
      <c r="D759" s="95"/>
      <c r="E759" s="14"/>
      <c r="F759" s="410"/>
      <c r="G759" s="409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A760" s="12"/>
      <c r="D760" s="95"/>
      <c r="E760" s="14"/>
      <c r="F760" s="410"/>
      <c r="G760" s="409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A761" s="12"/>
      <c r="D761" s="95"/>
      <c r="E761" s="14"/>
      <c r="F761" s="410"/>
      <c r="G761" s="409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A762" s="12"/>
      <c r="D762" s="95"/>
      <c r="E762" s="14"/>
      <c r="F762" s="410"/>
      <c r="G762" s="409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A763" s="12"/>
      <c r="D763" s="95"/>
      <c r="E763" s="14"/>
      <c r="F763" s="410"/>
      <c r="G763" s="409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A764" s="12"/>
      <c r="D764" s="95"/>
      <c r="E764" s="14"/>
      <c r="F764" s="410"/>
      <c r="G764" s="409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A765" s="12"/>
      <c r="D765" s="95"/>
      <c r="E765" s="14"/>
      <c r="F765" s="410"/>
      <c r="G765" s="409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A766" s="12"/>
      <c r="D766" s="95"/>
      <c r="E766" s="14"/>
      <c r="F766" s="410"/>
      <c r="G766" s="409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A767" s="12"/>
      <c r="D767" s="95"/>
      <c r="E767" s="14"/>
      <c r="F767" s="410"/>
      <c r="G767" s="409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A768" s="12"/>
      <c r="D768" s="95"/>
      <c r="E768" s="14"/>
      <c r="F768" s="410"/>
      <c r="G768" s="409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A769" s="12"/>
      <c r="D769" s="95"/>
      <c r="E769" s="14"/>
      <c r="F769" s="410"/>
      <c r="G769" s="409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A770" s="12"/>
      <c r="D770" s="95"/>
      <c r="E770" s="14"/>
      <c r="F770" s="410"/>
      <c r="G770" s="409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A771" s="12"/>
      <c r="D771" s="95"/>
      <c r="E771" s="14"/>
      <c r="F771" s="410"/>
      <c r="G771" s="409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A772" s="12"/>
      <c r="D772" s="95"/>
      <c r="E772" s="14"/>
      <c r="F772" s="410"/>
      <c r="G772" s="409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A773" s="12"/>
      <c r="D773" s="95"/>
      <c r="E773" s="14"/>
      <c r="F773" s="410"/>
      <c r="G773" s="409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A774" s="12"/>
      <c r="D774" s="95"/>
      <c r="E774" s="14"/>
      <c r="F774" s="410"/>
      <c r="G774" s="409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A775" s="12"/>
      <c r="D775" s="95"/>
      <c r="E775" s="14"/>
      <c r="F775" s="410"/>
      <c r="G775" s="409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A776" s="12"/>
      <c r="D776" s="95"/>
      <c r="E776" s="14"/>
      <c r="F776" s="410"/>
      <c r="G776" s="409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A777" s="12"/>
      <c r="D777" s="95"/>
      <c r="E777" s="14"/>
      <c r="F777" s="410"/>
      <c r="G777" s="409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A778" s="12"/>
      <c r="D778" s="95"/>
      <c r="E778" s="14"/>
      <c r="F778" s="410"/>
      <c r="G778" s="409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A779" s="12"/>
      <c r="D779" s="95"/>
      <c r="E779" s="14"/>
      <c r="F779" s="410"/>
      <c r="G779" s="409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A780" s="12"/>
      <c r="D780" s="95"/>
      <c r="E780" s="14"/>
      <c r="F780" s="410"/>
      <c r="G780" s="409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A781" s="12"/>
      <c r="D781" s="95"/>
      <c r="E781" s="14"/>
      <c r="F781" s="410"/>
      <c r="G781" s="409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A782" s="12"/>
      <c r="D782" s="95"/>
      <c r="E782" s="14"/>
      <c r="F782" s="410"/>
      <c r="G782" s="409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A783" s="12"/>
      <c r="D783" s="95"/>
      <c r="E783" s="14"/>
      <c r="F783" s="410"/>
      <c r="G783" s="409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A784" s="12"/>
      <c r="D784" s="95"/>
      <c r="E784" s="14"/>
      <c r="F784" s="410"/>
      <c r="G784" s="409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A785" s="12"/>
      <c r="D785" s="95"/>
      <c r="E785" s="14"/>
      <c r="F785" s="410"/>
      <c r="G785" s="409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A786" s="12"/>
      <c r="D786" s="95"/>
      <c r="E786" s="14"/>
      <c r="F786" s="410"/>
      <c r="G786" s="409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A787" s="12"/>
      <c r="D787" s="95"/>
      <c r="E787" s="14"/>
      <c r="F787" s="410"/>
      <c r="G787" s="409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A788" s="12"/>
      <c r="D788" s="95"/>
      <c r="E788" s="14"/>
      <c r="F788" s="410"/>
      <c r="G788" s="409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A789" s="12"/>
      <c r="D789" s="95"/>
      <c r="E789" s="14"/>
      <c r="F789" s="410"/>
      <c r="G789" s="409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A790" s="12"/>
      <c r="D790" s="95"/>
      <c r="E790" s="14"/>
      <c r="F790" s="410"/>
      <c r="G790" s="409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A791" s="12"/>
      <c r="D791" s="95"/>
      <c r="E791" s="14"/>
      <c r="F791" s="410"/>
      <c r="G791" s="409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A792" s="12"/>
      <c r="D792" s="95"/>
      <c r="E792" s="14"/>
      <c r="F792" s="410"/>
      <c r="G792" s="409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A793" s="12"/>
      <c r="D793" s="95"/>
      <c r="E793" s="14"/>
      <c r="F793" s="410"/>
      <c r="G793" s="409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A794" s="12"/>
      <c r="D794" s="95"/>
      <c r="E794" s="14"/>
      <c r="F794" s="410"/>
      <c r="G794" s="409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A795" s="12"/>
      <c r="D795" s="95"/>
      <c r="E795" s="14"/>
      <c r="F795" s="410"/>
      <c r="G795" s="409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A796" s="12"/>
      <c r="D796" s="95"/>
      <c r="E796" s="14"/>
      <c r="F796" s="410"/>
      <c r="G796" s="409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A797" s="12"/>
      <c r="D797" s="95"/>
      <c r="E797" s="14"/>
      <c r="F797" s="410"/>
      <c r="G797" s="409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A798" s="12"/>
      <c r="D798" s="95"/>
      <c r="E798" s="14"/>
      <c r="F798" s="410"/>
      <c r="G798" s="409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A799" s="12"/>
      <c r="D799" s="95"/>
      <c r="E799" s="14"/>
      <c r="F799" s="410"/>
      <c r="G799" s="409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A800" s="12"/>
      <c r="D800" s="95"/>
      <c r="E800" s="14"/>
      <c r="F800" s="410"/>
      <c r="G800" s="409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A801" s="12"/>
      <c r="D801" s="95"/>
      <c r="E801" s="14"/>
      <c r="F801" s="410"/>
      <c r="G801" s="409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A802" s="12"/>
      <c r="D802" s="95"/>
      <c r="E802" s="14"/>
      <c r="F802" s="410"/>
      <c r="G802" s="409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A803" s="12"/>
      <c r="D803" s="95"/>
      <c r="E803" s="14"/>
      <c r="F803" s="410"/>
      <c r="G803" s="409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A804" s="12"/>
      <c r="D804" s="95"/>
      <c r="E804" s="14"/>
      <c r="F804" s="410"/>
      <c r="G804" s="409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A805" s="12"/>
      <c r="D805" s="95"/>
      <c r="E805" s="14"/>
      <c r="F805" s="410"/>
      <c r="G805" s="409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A806" s="12"/>
      <c r="D806" s="95"/>
      <c r="E806" s="14"/>
      <c r="F806" s="410"/>
      <c r="G806" s="409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A807" s="12"/>
      <c r="D807" s="95"/>
      <c r="E807" s="14"/>
      <c r="F807" s="410"/>
      <c r="G807" s="409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A808" s="12"/>
      <c r="D808" s="95"/>
      <c r="E808" s="14"/>
      <c r="F808" s="410"/>
      <c r="G808" s="409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A809" s="12"/>
      <c r="D809" s="95"/>
      <c r="E809" s="14"/>
      <c r="F809" s="410"/>
      <c r="G809" s="409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A810" s="12"/>
      <c r="D810" s="95"/>
      <c r="E810" s="14"/>
      <c r="F810" s="410"/>
      <c r="G810" s="409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A811" s="12"/>
      <c r="D811" s="95"/>
      <c r="E811" s="14"/>
      <c r="F811" s="410"/>
      <c r="G811" s="409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A812" s="12"/>
      <c r="D812" s="95"/>
      <c r="E812" s="14"/>
      <c r="F812" s="410"/>
      <c r="G812" s="409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A813" s="12"/>
      <c r="D813" s="95"/>
      <c r="E813" s="14"/>
      <c r="F813" s="410"/>
      <c r="G813" s="409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A814" s="12"/>
      <c r="D814" s="95"/>
      <c r="E814" s="14"/>
      <c r="F814" s="410"/>
      <c r="G814" s="409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A815" s="12"/>
      <c r="D815" s="95"/>
      <c r="E815" s="14"/>
      <c r="F815" s="410"/>
      <c r="G815" s="409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A816" s="12"/>
      <c r="D816" s="95"/>
      <c r="E816" s="14"/>
      <c r="F816" s="410"/>
      <c r="G816" s="409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A817" s="12"/>
      <c r="D817" s="95"/>
      <c r="E817" s="14"/>
      <c r="F817" s="410"/>
      <c r="G817" s="409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A818" s="12"/>
      <c r="D818" s="95"/>
      <c r="E818" s="14"/>
      <c r="F818" s="410"/>
      <c r="G818" s="409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A819" s="12"/>
      <c r="D819" s="95"/>
      <c r="E819" s="14"/>
      <c r="F819" s="410"/>
      <c r="G819" s="409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A820" s="12"/>
      <c r="D820" s="95"/>
      <c r="E820" s="14"/>
      <c r="F820" s="410"/>
      <c r="G820" s="409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A821" s="12"/>
      <c r="D821" s="95"/>
      <c r="E821" s="14"/>
      <c r="F821" s="410"/>
      <c r="G821" s="409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A822" s="12"/>
      <c r="D822" s="95"/>
      <c r="E822" s="14"/>
      <c r="F822" s="410"/>
      <c r="G822" s="409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A823" s="12"/>
      <c r="D823" s="95"/>
      <c r="E823" s="14"/>
      <c r="F823" s="410"/>
      <c r="G823" s="409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A824" s="12"/>
      <c r="D824" s="95"/>
      <c r="E824" s="14"/>
      <c r="F824" s="410"/>
      <c r="G824" s="409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A825" s="12"/>
      <c r="D825" s="95"/>
      <c r="E825" s="14"/>
      <c r="F825" s="410"/>
      <c r="G825" s="409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A826" s="12"/>
      <c r="D826" s="95"/>
      <c r="E826" s="14"/>
      <c r="F826" s="410"/>
      <c r="G826" s="409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A827" s="12"/>
      <c r="D827" s="95"/>
      <c r="E827" s="14"/>
      <c r="F827" s="410"/>
      <c r="G827" s="409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A828" s="12"/>
      <c r="D828" s="95"/>
      <c r="E828" s="14"/>
      <c r="F828" s="410"/>
      <c r="G828" s="409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A829" s="12"/>
      <c r="D829" s="95"/>
      <c r="E829" s="14"/>
      <c r="F829" s="410"/>
      <c r="G829" s="409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A830" s="12"/>
      <c r="D830" s="95"/>
      <c r="E830" s="14"/>
      <c r="F830" s="410"/>
      <c r="G830" s="409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A831" s="12"/>
      <c r="D831" s="95"/>
      <c r="E831" s="14"/>
      <c r="F831" s="410"/>
      <c r="G831" s="409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A832" s="12"/>
      <c r="D832" s="95"/>
      <c r="E832" s="14"/>
      <c r="F832" s="410"/>
      <c r="G832" s="409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A833" s="12"/>
      <c r="D833" s="95"/>
      <c r="E833" s="14"/>
      <c r="F833" s="410"/>
      <c r="G833" s="409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A834" s="12"/>
      <c r="D834" s="95"/>
      <c r="E834" s="14"/>
      <c r="F834" s="410"/>
      <c r="G834" s="409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A835" s="12"/>
      <c r="D835" s="95"/>
      <c r="E835" s="14"/>
      <c r="F835" s="410"/>
      <c r="G835" s="409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A836" s="12"/>
      <c r="D836" s="95"/>
      <c r="E836" s="14"/>
      <c r="F836" s="410"/>
      <c r="G836" s="409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A837" s="12"/>
      <c r="D837" s="95"/>
      <c r="E837" s="14"/>
      <c r="F837" s="410"/>
      <c r="G837" s="409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A838" s="12"/>
      <c r="D838" s="95"/>
      <c r="E838" s="14"/>
      <c r="F838" s="410"/>
      <c r="G838" s="409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A839" s="12"/>
      <c r="D839" s="95"/>
      <c r="E839" s="14"/>
      <c r="F839" s="410"/>
      <c r="G839" s="409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A840" s="12"/>
      <c r="D840" s="95"/>
      <c r="E840" s="14"/>
      <c r="F840" s="410"/>
      <c r="G840" s="409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A841" s="12"/>
      <c r="D841" s="95"/>
      <c r="E841" s="14"/>
      <c r="F841" s="410"/>
      <c r="G841" s="409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A842" s="12"/>
      <c r="D842" s="95"/>
      <c r="E842" s="14"/>
      <c r="F842" s="410"/>
      <c r="G842" s="409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A843" s="12"/>
      <c r="D843" s="95"/>
      <c r="E843" s="14"/>
      <c r="F843" s="410"/>
      <c r="G843" s="409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A844" s="12"/>
      <c r="D844" s="95"/>
      <c r="E844" s="14"/>
      <c r="F844" s="410"/>
      <c r="G844" s="409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A845" s="12"/>
      <c r="D845" s="95"/>
      <c r="E845" s="14"/>
      <c r="F845" s="410"/>
      <c r="G845" s="409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A846" s="12"/>
      <c r="D846" s="95"/>
      <c r="E846" s="14"/>
      <c r="F846" s="410"/>
      <c r="G846" s="409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A847" s="12"/>
      <c r="D847" s="95"/>
      <c r="E847" s="14"/>
      <c r="F847" s="410"/>
      <c r="G847" s="409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A848" s="12"/>
      <c r="D848" s="95"/>
      <c r="E848" s="14"/>
      <c r="F848" s="410"/>
      <c r="G848" s="409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A849" s="12"/>
      <c r="D849" s="95"/>
      <c r="E849" s="14"/>
      <c r="F849" s="410"/>
      <c r="G849" s="409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A850" s="12"/>
      <c r="D850" s="95"/>
      <c r="E850" s="14"/>
      <c r="F850" s="410"/>
      <c r="G850" s="409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A851" s="12"/>
      <c r="D851" s="95"/>
      <c r="E851" s="14"/>
      <c r="F851" s="410"/>
      <c r="G851" s="409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A852" s="12"/>
      <c r="D852" s="95"/>
      <c r="E852" s="14"/>
      <c r="F852" s="410"/>
      <c r="G852" s="409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A853" s="12"/>
      <c r="D853" s="95"/>
      <c r="E853" s="14"/>
      <c r="F853" s="410"/>
      <c r="G853" s="409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A854" s="12"/>
      <c r="D854" s="95"/>
      <c r="E854" s="14"/>
      <c r="F854" s="410"/>
      <c r="G854" s="409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A855" s="12"/>
      <c r="D855" s="95"/>
      <c r="E855" s="14"/>
      <c r="F855" s="410"/>
      <c r="G855" s="409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A856" s="12"/>
      <c r="D856" s="95"/>
      <c r="E856" s="14"/>
      <c r="F856" s="410"/>
      <c r="G856" s="409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A857" s="12"/>
      <c r="D857" s="95"/>
      <c r="E857" s="14"/>
      <c r="F857" s="410"/>
      <c r="G857" s="409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A858" s="12"/>
      <c r="D858" s="95"/>
      <c r="E858" s="14"/>
      <c r="F858" s="410"/>
      <c r="G858" s="409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A859" s="12"/>
      <c r="D859" s="95"/>
      <c r="E859" s="14"/>
      <c r="F859" s="410"/>
      <c r="G859" s="409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A860" s="12"/>
      <c r="D860" s="95"/>
      <c r="E860" s="14"/>
      <c r="F860" s="410"/>
      <c r="G860" s="409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A861" s="12"/>
      <c r="D861" s="95"/>
      <c r="E861" s="14"/>
      <c r="F861" s="410"/>
      <c r="G861" s="409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A862" s="12"/>
      <c r="D862" s="95"/>
      <c r="E862" s="14"/>
      <c r="F862" s="410"/>
      <c r="G862" s="409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A863" s="12"/>
      <c r="D863" s="95"/>
      <c r="E863" s="14"/>
      <c r="F863" s="410"/>
      <c r="G863" s="409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A864" s="12"/>
      <c r="D864" s="95"/>
      <c r="E864" s="14"/>
      <c r="F864" s="410"/>
      <c r="G864" s="409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A865" s="12"/>
      <c r="D865" s="95"/>
      <c r="E865" s="14"/>
      <c r="F865" s="410"/>
      <c r="G865" s="409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A866" s="12"/>
      <c r="D866" s="95"/>
      <c r="E866" s="14"/>
      <c r="F866" s="410"/>
      <c r="G866" s="409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A867" s="12"/>
      <c r="D867" s="95"/>
      <c r="E867" s="14"/>
      <c r="F867" s="410"/>
      <c r="G867" s="409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A868" s="12"/>
      <c r="D868" s="95"/>
      <c r="E868" s="14"/>
      <c r="F868" s="410"/>
      <c r="G868" s="409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A869" s="12"/>
      <c r="D869" s="95"/>
      <c r="E869" s="14"/>
      <c r="F869" s="410"/>
      <c r="G869" s="409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A870" s="12"/>
      <c r="D870" s="95"/>
      <c r="E870" s="14"/>
      <c r="F870" s="410"/>
      <c r="G870" s="409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A871" s="12"/>
      <c r="D871" s="95"/>
      <c r="E871" s="14"/>
      <c r="F871" s="410"/>
      <c r="G871" s="409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A872" s="12"/>
      <c r="D872" s="95"/>
      <c r="E872" s="14"/>
      <c r="F872" s="410"/>
      <c r="G872" s="409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A873" s="12"/>
      <c r="D873" s="95"/>
      <c r="E873" s="14"/>
      <c r="F873" s="410"/>
      <c r="G873" s="409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A874" s="12"/>
      <c r="D874" s="95"/>
      <c r="E874" s="14"/>
      <c r="F874" s="410"/>
      <c r="G874" s="409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A875" s="12"/>
      <c r="D875" s="95"/>
      <c r="E875" s="14"/>
      <c r="F875" s="410"/>
      <c r="G875" s="409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A876" s="12"/>
      <c r="D876" s="95"/>
      <c r="E876" s="14"/>
      <c r="F876" s="410"/>
      <c r="G876" s="409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A877" s="12"/>
      <c r="D877" s="95"/>
      <c r="E877" s="14"/>
      <c r="F877" s="410"/>
      <c r="G877" s="409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A878" s="12"/>
      <c r="D878" s="95"/>
      <c r="E878" s="14"/>
      <c r="F878" s="410"/>
      <c r="G878" s="409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A879" s="12"/>
      <c r="D879" s="95"/>
      <c r="E879" s="14"/>
      <c r="F879" s="410"/>
      <c r="G879" s="409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A880" s="12"/>
      <c r="D880" s="95"/>
      <c r="E880" s="14"/>
      <c r="F880" s="410"/>
      <c r="G880" s="409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A881" s="12"/>
      <c r="D881" s="95"/>
      <c r="E881" s="14"/>
      <c r="F881" s="410"/>
      <c r="G881" s="409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A882" s="12"/>
      <c r="D882" s="95"/>
      <c r="E882" s="14"/>
      <c r="F882" s="410"/>
      <c r="G882" s="409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A883" s="12"/>
      <c r="D883" s="95"/>
      <c r="E883" s="14"/>
      <c r="F883" s="410"/>
      <c r="G883" s="409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A884" s="12"/>
      <c r="D884" s="95"/>
      <c r="E884" s="14"/>
      <c r="F884" s="410"/>
      <c r="G884" s="409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A885" s="12"/>
      <c r="D885" s="95"/>
      <c r="E885" s="14"/>
      <c r="F885" s="410"/>
      <c r="G885" s="409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A886" s="12"/>
      <c r="D886" s="95"/>
      <c r="E886" s="14"/>
      <c r="F886" s="410"/>
      <c r="G886" s="409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A887" s="12"/>
      <c r="D887" s="95"/>
      <c r="E887" s="14"/>
      <c r="F887" s="410"/>
      <c r="G887" s="409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A888" s="12"/>
      <c r="D888" s="95"/>
      <c r="E888" s="14"/>
      <c r="F888" s="410"/>
      <c r="G888" s="409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A889" s="12"/>
      <c r="D889" s="95"/>
      <c r="E889" s="14"/>
      <c r="F889" s="410"/>
      <c r="G889" s="409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A890" s="12"/>
      <c r="D890" s="95"/>
      <c r="E890" s="14"/>
      <c r="F890" s="410"/>
      <c r="G890" s="409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A891" s="12"/>
      <c r="D891" s="95"/>
      <c r="E891" s="14"/>
      <c r="F891" s="410"/>
      <c r="G891" s="409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A892" s="12"/>
      <c r="D892" s="95"/>
      <c r="E892" s="14"/>
      <c r="F892" s="410"/>
      <c r="G892" s="409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A893" s="12"/>
      <c r="D893" s="95"/>
      <c r="E893" s="14"/>
      <c r="F893" s="410"/>
      <c r="G893" s="409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A894" s="12"/>
      <c r="D894" s="95"/>
      <c r="E894" s="14"/>
      <c r="F894" s="410"/>
      <c r="G894" s="409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A895" s="12"/>
      <c r="D895" s="95"/>
      <c r="E895" s="14"/>
      <c r="F895" s="410"/>
      <c r="G895" s="409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A896" s="12"/>
      <c r="D896" s="95"/>
      <c r="E896" s="14"/>
      <c r="F896" s="410"/>
      <c r="G896" s="409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A897" s="12"/>
      <c r="D897" s="95"/>
      <c r="E897" s="14"/>
      <c r="F897" s="410"/>
      <c r="G897" s="409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A898" s="12"/>
      <c r="D898" s="95"/>
      <c r="E898" s="14"/>
      <c r="F898" s="410"/>
      <c r="G898" s="409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A899" s="12"/>
      <c r="D899" s="95"/>
      <c r="E899" s="14"/>
      <c r="F899" s="410"/>
      <c r="G899" s="409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A900" s="12"/>
      <c r="D900" s="95"/>
      <c r="E900" s="14"/>
      <c r="F900" s="410"/>
      <c r="G900" s="409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A901" s="12"/>
      <c r="D901" s="95"/>
      <c r="E901" s="14"/>
      <c r="F901" s="410"/>
      <c r="G901" s="409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A902" s="12"/>
      <c r="D902" s="95"/>
      <c r="E902" s="14"/>
      <c r="F902" s="410"/>
      <c r="G902" s="409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A903" s="12"/>
      <c r="D903" s="95"/>
      <c r="E903" s="14"/>
      <c r="F903" s="410"/>
      <c r="G903" s="409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A904" s="12"/>
      <c r="D904" s="95"/>
      <c r="E904" s="14"/>
      <c r="F904" s="410"/>
      <c r="G904" s="409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A905" s="12"/>
      <c r="D905" s="95"/>
      <c r="E905" s="14"/>
      <c r="F905" s="410"/>
      <c r="G905" s="409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A906" s="12"/>
      <c r="D906" s="95"/>
      <c r="E906" s="14"/>
      <c r="F906" s="410"/>
      <c r="G906" s="409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A907" s="12"/>
      <c r="D907" s="95"/>
      <c r="E907" s="14"/>
      <c r="F907" s="410"/>
      <c r="G907" s="409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A908" s="12"/>
      <c r="D908" s="95"/>
      <c r="E908" s="14"/>
      <c r="F908" s="410"/>
      <c r="G908" s="409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A909" s="12"/>
      <c r="D909" s="95"/>
      <c r="E909" s="14"/>
      <c r="F909" s="410"/>
      <c r="G909" s="409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A910" s="12"/>
      <c r="D910" s="95"/>
      <c r="E910" s="14"/>
      <c r="F910" s="410"/>
      <c r="G910" s="409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A911" s="12"/>
      <c r="D911" s="95"/>
      <c r="E911" s="14"/>
      <c r="F911" s="410"/>
      <c r="G911" s="409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A912" s="12"/>
      <c r="D912" s="95"/>
      <c r="E912" s="14"/>
      <c r="F912" s="410"/>
      <c r="G912" s="409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A913" s="12"/>
      <c r="D913" s="95"/>
      <c r="E913" s="14"/>
      <c r="F913" s="410"/>
      <c r="G913" s="409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A914" s="12"/>
      <c r="D914" s="95"/>
      <c r="E914" s="14"/>
      <c r="F914" s="410"/>
      <c r="G914" s="409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A915" s="12"/>
      <c r="D915" s="95"/>
      <c r="E915" s="14"/>
      <c r="F915" s="410"/>
      <c r="G915" s="409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A916" s="12"/>
      <c r="D916" s="95"/>
      <c r="E916" s="14"/>
      <c r="F916" s="410"/>
      <c r="G916" s="409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A917" s="12"/>
      <c r="D917" s="95"/>
      <c r="E917" s="14"/>
      <c r="F917" s="410"/>
      <c r="G917" s="409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A918" s="12"/>
      <c r="D918" s="95"/>
      <c r="E918" s="14"/>
      <c r="F918" s="410"/>
      <c r="G918" s="409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A919" s="12"/>
      <c r="D919" s="95"/>
      <c r="E919" s="14"/>
      <c r="F919" s="410"/>
      <c r="G919" s="409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A920" s="12"/>
      <c r="D920" s="95"/>
      <c r="E920" s="14"/>
      <c r="F920" s="410"/>
      <c r="G920" s="409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A921" s="12"/>
      <c r="D921" s="95"/>
      <c r="E921" s="14"/>
      <c r="F921" s="410"/>
      <c r="G921" s="409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A922" s="12"/>
      <c r="D922" s="95"/>
      <c r="E922" s="14"/>
      <c r="F922" s="410"/>
      <c r="G922" s="409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A923" s="12"/>
      <c r="D923" s="95"/>
      <c r="E923" s="14"/>
      <c r="F923" s="410"/>
      <c r="G923" s="409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A924" s="12"/>
      <c r="D924" s="95"/>
      <c r="E924" s="14"/>
      <c r="F924" s="410"/>
      <c r="G924" s="409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A925" s="12"/>
      <c r="D925" s="95"/>
      <c r="E925" s="14"/>
      <c r="F925" s="410"/>
      <c r="G925" s="409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A926" s="12"/>
      <c r="D926" s="95"/>
      <c r="E926" s="14"/>
      <c r="F926" s="410"/>
      <c r="G926" s="409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A927" s="12"/>
      <c r="D927" s="95"/>
      <c r="E927" s="14"/>
      <c r="F927" s="410"/>
      <c r="G927" s="409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A928" s="12"/>
      <c r="D928" s="95"/>
      <c r="E928" s="14"/>
      <c r="F928" s="410"/>
      <c r="G928" s="409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A929" s="12"/>
      <c r="D929" s="95"/>
      <c r="E929" s="14"/>
      <c r="F929" s="410"/>
      <c r="G929" s="409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A930" s="12"/>
      <c r="D930" s="95"/>
      <c r="E930" s="14"/>
      <c r="F930" s="410"/>
      <c r="G930" s="409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A931" s="12"/>
      <c r="D931" s="95"/>
      <c r="E931" s="14"/>
      <c r="F931" s="410"/>
      <c r="G931" s="409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A932" s="12"/>
      <c r="D932" s="95"/>
      <c r="E932" s="14"/>
      <c r="F932" s="410"/>
      <c r="G932" s="409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A933" s="12"/>
      <c r="D933" s="95"/>
      <c r="E933" s="14"/>
      <c r="F933" s="410"/>
      <c r="G933" s="409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A934" s="12"/>
      <c r="D934" s="95"/>
      <c r="E934" s="14"/>
      <c r="F934" s="410"/>
      <c r="G934" s="409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A935" s="12"/>
      <c r="D935" s="95"/>
      <c r="E935" s="14"/>
      <c r="F935" s="410"/>
      <c r="G935" s="409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A936" s="12"/>
      <c r="D936" s="95"/>
      <c r="E936" s="14"/>
      <c r="F936" s="410"/>
      <c r="G936" s="409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A937" s="12"/>
      <c r="D937" s="95"/>
      <c r="E937" s="14"/>
      <c r="F937" s="410"/>
      <c r="G937" s="409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A938" s="12"/>
      <c r="D938" s="95"/>
      <c r="E938" s="14"/>
      <c r="F938" s="410"/>
      <c r="G938" s="409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A939" s="12"/>
      <c r="D939" s="95"/>
      <c r="E939" s="14"/>
      <c r="F939" s="410"/>
      <c r="G939" s="409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A940" s="12"/>
      <c r="D940" s="95"/>
      <c r="E940" s="14"/>
      <c r="F940" s="410"/>
      <c r="G940" s="409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A941" s="12"/>
      <c r="D941" s="95"/>
      <c r="E941" s="14"/>
      <c r="F941" s="410"/>
      <c r="G941" s="409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A942" s="12"/>
      <c r="D942" s="95"/>
      <c r="E942" s="14"/>
      <c r="F942" s="410"/>
      <c r="G942" s="409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A943" s="12"/>
      <c r="D943" s="95"/>
      <c r="E943" s="14"/>
      <c r="F943" s="410"/>
      <c r="G943" s="409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A944" s="12"/>
      <c r="D944" s="95"/>
      <c r="E944" s="14"/>
      <c r="F944" s="410"/>
      <c r="G944" s="409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A945" s="12"/>
      <c r="D945" s="95"/>
      <c r="E945" s="14"/>
      <c r="F945" s="410"/>
      <c r="G945" s="409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A946" s="12"/>
      <c r="D946" s="95"/>
      <c r="E946" s="14"/>
      <c r="F946" s="410"/>
      <c r="G946" s="409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A947" s="12"/>
      <c r="D947" s="95"/>
      <c r="E947" s="14"/>
      <c r="F947" s="410"/>
      <c r="G947" s="409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A948" s="12"/>
      <c r="D948" s="95"/>
      <c r="E948" s="14"/>
      <c r="F948" s="410"/>
      <c r="G948" s="409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A949" s="12"/>
      <c r="D949" s="95"/>
      <c r="E949" s="14"/>
      <c r="F949" s="410"/>
      <c r="G949" s="409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A950" s="12"/>
      <c r="D950" s="95"/>
      <c r="E950" s="14"/>
      <c r="F950" s="410"/>
      <c r="G950" s="409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A951" s="12"/>
      <c r="D951" s="95"/>
      <c r="E951" s="14"/>
      <c r="F951" s="410"/>
      <c r="G951" s="409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A952" s="12"/>
      <c r="D952" s="95"/>
      <c r="E952" s="14"/>
      <c r="F952" s="410"/>
      <c r="G952" s="409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A953" s="12"/>
      <c r="D953" s="95"/>
      <c r="E953" s="14"/>
      <c r="F953" s="410"/>
      <c r="G953" s="409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A954" s="12"/>
      <c r="D954" s="95"/>
      <c r="E954" s="14"/>
      <c r="F954" s="410"/>
      <c r="G954" s="409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A955" s="12"/>
      <c r="D955" s="95"/>
      <c r="E955" s="14"/>
      <c r="F955" s="410"/>
      <c r="G955" s="409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A956" s="12"/>
      <c r="D956" s="95"/>
      <c r="E956" s="14"/>
      <c r="F956" s="410"/>
      <c r="G956" s="409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A957" s="12"/>
      <c r="D957" s="95"/>
      <c r="E957" s="14"/>
      <c r="F957" s="410"/>
      <c r="G957" s="409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A958" s="12"/>
      <c r="D958" s="95"/>
      <c r="E958" s="14"/>
      <c r="F958" s="410"/>
      <c r="G958" s="409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A959" s="12"/>
      <c r="D959" s="95"/>
      <c r="E959" s="14"/>
      <c r="F959" s="410"/>
      <c r="G959" s="409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A960" s="12"/>
      <c r="D960" s="95"/>
      <c r="E960" s="14"/>
      <c r="F960" s="410"/>
      <c r="G960" s="409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A961" s="12"/>
      <c r="D961" s="95"/>
      <c r="E961" s="14"/>
      <c r="F961" s="410"/>
      <c r="G961" s="409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A962" s="12"/>
      <c r="D962" s="95"/>
      <c r="E962" s="14"/>
      <c r="F962" s="410"/>
      <c r="G962" s="409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A963" s="12"/>
      <c r="D963" s="95"/>
      <c r="E963" s="14"/>
      <c r="F963" s="410"/>
      <c r="G963" s="409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A964" s="12"/>
      <c r="D964" s="95"/>
      <c r="E964" s="14"/>
      <c r="F964" s="410"/>
      <c r="G964" s="409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A965" s="12"/>
      <c r="D965" s="95"/>
      <c r="E965" s="14"/>
      <c r="F965" s="410"/>
      <c r="G965" s="409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A966" s="12"/>
      <c r="D966" s="95"/>
      <c r="E966" s="14"/>
      <c r="F966" s="410"/>
      <c r="G966" s="409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A967" s="12"/>
      <c r="D967" s="95"/>
      <c r="E967" s="14"/>
      <c r="F967" s="410"/>
      <c r="G967" s="409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A968" s="12"/>
      <c r="D968" s="95"/>
      <c r="E968" s="14"/>
      <c r="F968" s="410"/>
      <c r="G968" s="409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A969" s="12"/>
      <c r="D969" s="95"/>
      <c r="E969" s="14"/>
      <c r="F969" s="410"/>
      <c r="G969" s="409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A970" s="12"/>
      <c r="D970" s="95"/>
      <c r="E970" s="14"/>
      <c r="F970" s="410"/>
      <c r="G970" s="409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A971" s="12"/>
      <c r="D971" s="95"/>
      <c r="E971" s="14"/>
      <c r="F971" s="410"/>
      <c r="G971" s="409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A972" s="12"/>
      <c r="D972" s="95"/>
      <c r="E972" s="14"/>
      <c r="F972" s="410"/>
      <c r="G972" s="409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A973" s="12"/>
      <c r="D973" s="95"/>
      <c r="E973" s="14"/>
      <c r="F973" s="410"/>
      <c r="G973" s="409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A974" s="12"/>
      <c r="D974" s="95"/>
      <c r="E974" s="14"/>
      <c r="F974" s="410"/>
      <c r="G974" s="409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A975" s="12"/>
      <c r="D975" s="95"/>
      <c r="E975" s="14"/>
      <c r="F975" s="410"/>
      <c r="G975" s="409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A976" s="12"/>
      <c r="D976" s="95"/>
      <c r="E976" s="14"/>
      <c r="F976" s="410"/>
      <c r="G976" s="409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A977" s="12"/>
      <c r="D977" s="95"/>
      <c r="E977" s="14"/>
      <c r="F977" s="410"/>
      <c r="G977" s="409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A978" s="12"/>
      <c r="D978" s="95"/>
      <c r="E978" s="14"/>
      <c r="F978" s="410"/>
      <c r="G978" s="409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A979" s="12"/>
      <c r="D979" s="95"/>
      <c r="E979" s="14"/>
      <c r="F979" s="410"/>
      <c r="G979" s="409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A980" s="12"/>
      <c r="D980" s="95"/>
      <c r="E980" s="14"/>
      <c r="F980" s="410"/>
      <c r="G980" s="409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A981" s="12"/>
      <c r="D981" s="95"/>
      <c r="E981" s="14"/>
      <c r="F981" s="410"/>
      <c r="G981" s="409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A982" s="12"/>
      <c r="D982" s="95"/>
      <c r="E982" s="14"/>
      <c r="F982" s="410"/>
      <c r="G982" s="409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A983" s="12"/>
      <c r="D983" s="95"/>
      <c r="E983" s="14"/>
      <c r="F983" s="410"/>
      <c r="G983" s="409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A984" s="12"/>
      <c r="D984" s="95"/>
      <c r="E984" s="14"/>
      <c r="F984" s="410"/>
      <c r="G984" s="409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A985" s="12"/>
      <c r="D985" s="95"/>
      <c r="E985" s="14"/>
      <c r="F985" s="410"/>
      <c r="G985" s="409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A986" s="12"/>
      <c r="D986" s="95"/>
      <c r="E986" s="14"/>
      <c r="F986" s="410"/>
      <c r="G986" s="409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A987" s="12"/>
      <c r="D987" s="95"/>
      <c r="E987" s="14"/>
      <c r="F987" s="410"/>
      <c r="G987" s="409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A988" s="12"/>
      <c r="D988" s="95"/>
      <c r="E988" s="14"/>
      <c r="F988" s="410"/>
      <c r="G988" s="409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A989" s="12"/>
      <c r="D989" s="95"/>
      <c r="E989" s="14"/>
      <c r="F989" s="410"/>
      <c r="G989" s="409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A990" s="12"/>
      <c r="D990" s="95"/>
      <c r="E990" s="14"/>
      <c r="F990" s="410"/>
      <c r="G990" s="409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A991" s="12"/>
      <c r="D991" s="95"/>
      <c r="E991" s="14"/>
      <c r="F991" s="410"/>
      <c r="G991" s="409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A992" s="12"/>
      <c r="D992" s="95"/>
      <c r="E992" s="14"/>
      <c r="F992" s="410"/>
      <c r="G992" s="409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A993" s="12"/>
      <c r="D993" s="95"/>
      <c r="E993" s="14"/>
      <c r="F993" s="410"/>
      <c r="G993" s="409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A994" s="12"/>
      <c r="D994" s="95"/>
      <c r="E994" s="14"/>
      <c r="F994" s="410"/>
      <c r="G994" s="409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A995" s="12"/>
      <c r="D995" s="95"/>
      <c r="E995" s="14"/>
      <c r="F995" s="410"/>
      <c r="G995" s="409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A996" s="12"/>
      <c r="D996" s="95"/>
      <c r="E996" s="14"/>
      <c r="F996" s="410"/>
      <c r="G996" s="409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A997" s="12"/>
      <c r="D997" s="95"/>
      <c r="E997" s="14"/>
      <c r="F997" s="410"/>
      <c r="G997" s="409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A998" s="12"/>
      <c r="D998" s="95"/>
      <c r="E998" s="14"/>
      <c r="F998" s="410"/>
      <c r="G998" s="409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A999" s="12"/>
      <c r="D999" s="95"/>
      <c r="E999" s="14"/>
      <c r="F999" s="410"/>
      <c r="G999" s="409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A1000" s="12"/>
      <c r="D1000" s="95"/>
      <c r="E1000" s="14"/>
      <c r="F1000" s="410"/>
      <c r="G1000" s="409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>
      <c r="A1001" s="12"/>
      <c r="D1001" s="95"/>
      <c r="E1001" s="14"/>
      <c r="F1001" s="410"/>
      <c r="G1001" s="409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>
      <c r="A1002" s="12"/>
      <c r="D1002" s="95"/>
      <c r="E1002" s="14"/>
      <c r="F1002" s="410"/>
      <c r="G1002" s="409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  <row r="1003">
      <c r="A1003" s="12"/>
      <c r="D1003" s="95"/>
      <c r="E1003" s="14"/>
      <c r="F1003" s="410"/>
      <c r="G1003" s="409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</row>
    <row r="1004">
      <c r="A1004" s="12"/>
      <c r="D1004" s="95"/>
      <c r="E1004" s="14"/>
      <c r="F1004" s="410"/>
      <c r="G1004" s="409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</row>
    <row r="1005">
      <c r="A1005" s="12"/>
      <c r="D1005" s="95"/>
      <c r="E1005" s="14"/>
      <c r="F1005" s="410"/>
      <c r="G1005" s="409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</row>
    <row r="1006">
      <c r="A1006" s="12"/>
      <c r="D1006" s="95"/>
      <c r="E1006" s="14"/>
      <c r="F1006" s="410"/>
      <c r="G1006" s="409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</row>
    <row r="1007">
      <c r="A1007" s="12"/>
      <c r="D1007" s="95"/>
      <c r="E1007" s="14"/>
      <c r="F1007" s="410"/>
      <c r="G1007" s="409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</row>
    <row r="1008">
      <c r="A1008" s="12"/>
      <c r="D1008" s="95"/>
      <c r="E1008" s="14"/>
      <c r="F1008" s="410"/>
      <c r="G1008" s="409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</row>
  </sheetData>
  <conditionalFormatting sqref="H2:Q36">
    <cfRule type="cellIs" dxfId="17" priority="1" operator="equal">
      <formula>0</formula>
    </cfRule>
  </conditionalFormatting>
  <conditionalFormatting sqref="P2:Q36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36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36">
    <cfRule type="colorScale" priority="4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36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36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6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6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H2:H36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6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43:C50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3:F50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9:F40">
      <formula1>OR(NOT(ISERROR(DATEVALUE(F39))), AND(ISNUMBER(F39), LEFT(CELL("format", F39))="D"))</formula1>
    </dataValidation>
    <dataValidation type="list" allowBlank="1" showDropDown="1" sqref="C2:C36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22.5"/>
    <col customWidth="1" min="3" max="3" width="15.5"/>
    <col customWidth="1" min="4" max="4" width="40.13"/>
    <col customWidth="1" min="5" max="5" width="9.25"/>
    <col customWidth="1" min="6" max="6" width="25.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13"/>
    <col customWidth="1" min="17" max="17" width="17.75"/>
  </cols>
  <sheetData>
    <row r="1" ht="22.5" customHeight="1">
      <c r="A1" s="411" t="s">
        <v>48</v>
      </c>
      <c r="B1" s="412" t="s">
        <v>49</v>
      </c>
      <c r="C1" s="412" t="s">
        <v>50</v>
      </c>
      <c r="D1" s="413" t="s">
        <v>56</v>
      </c>
      <c r="E1" s="411" t="s">
        <v>57</v>
      </c>
      <c r="F1" s="414" t="s">
        <v>52</v>
      </c>
      <c r="G1" s="415" t="s">
        <v>53</v>
      </c>
      <c r="H1" s="411" t="s">
        <v>4</v>
      </c>
      <c r="I1" s="411" t="s">
        <v>58</v>
      </c>
      <c r="J1" s="411" t="s">
        <v>59</v>
      </c>
      <c r="K1" s="411" t="s">
        <v>60</v>
      </c>
      <c r="L1" s="411" t="s">
        <v>61</v>
      </c>
      <c r="M1" s="411" t="s">
        <v>62</v>
      </c>
      <c r="N1" s="411" t="s">
        <v>63</v>
      </c>
      <c r="O1" s="416" t="s">
        <v>387</v>
      </c>
      <c r="P1" s="416" t="s">
        <v>64</v>
      </c>
      <c r="Q1" s="411" t="s">
        <v>65</v>
      </c>
    </row>
    <row r="2" ht="22.5" customHeight="1">
      <c r="A2" s="417">
        <v>1.0</v>
      </c>
      <c r="B2" s="418" t="s">
        <v>680</v>
      </c>
      <c r="C2" s="419" t="s">
        <v>67</v>
      </c>
      <c r="D2" s="420" t="s">
        <v>96</v>
      </c>
      <c r="E2" s="421" t="str">
        <f>IMAGE("https://flagcdn.com/w320/no.png")</f>
        <v/>
      </c>
      <c r="F2" s="422">
        <v>36300.0</v>
      </c>
      <c r="G2" s="423">
        <f t="shared" ref="G2:G33" si="1">DATEDIF(F2,TODAY(),"Y")</f>
        <v>26</v>
      </c>
      <c r="H2" s="418">
        <v>0.0</v>
      </c>
      <c r="I2" s="418">
        <v>0.0</v>
      </c>
      <c r="J2" s="424"/>
      <c r="K2" s="424"/>
      <c r="L2" s="424"/>
      <c r="M2" s="424"/>
      <c r="N2" s="424"/>
      <c r="O2" s="424"/>
      <c r="P2" s="424">
        <f t="shared" ref="P2:P33" si="2">J2+K2</f>
        <v>0</v>
      </c>
      <c r="Q2" s="424"/>
    </row>
    <row r="3" ht="22.5" customHeight="1">
      <c r="A3" s="417">
        <v>2.0</v>
      </c>
      <c r="B3" s="418" t="s">
        <v>681</v>
      </c>
      <c r="C3" s="419" t="s">
        <v>70</v>
      </c>
      <c r="D3" s="420" t="s">
        <v>73</v>
      </c>
      <c r="E3" s="421" t="str">
        <f>IMAGE("https://flagcdn.com/w320/dk.png")</f>
        <v/>
      </c>
      <c r="F3" s="422">
        <v>38381.0</v>
      </c>
      <c r="G3" s="423">
        <f t="shared" si="1"/>
        <v>20</v>
      </c>
      <c r="H3" s="425">
        <f>1+1+1+1</f>
        <v>4</v>
      </c>
      <c r="I3" s="425">
        <f>6+22+5+23</f>
        <v>56</v>
      </c>
      <c r="J3" s="425"/>
      <c r="K3" s="425"/>
      <c r="L3" s="425"/>
      <c r="M3" s="425"/>
      <c r="N3" s="425"/>
      <c r="O3" s="425"/>
      <c r="P3" s="425">
        <f t="shared" si="2"/>
        <v>0</v>
      </c>
      <c r="Q3" s="425"/>
    </row>
    <row r="4" ht="22.5" customHeight="1">
      <c r="A4" s="417">
        <v>4.0</v>
      </c>
      <c r="B4" s="418" t="s">
        <v>682</v>
      </c>
      <c r="C4" s="419" t="s">
        <v>70</v>
      </c>
      <c r="D4" s="420" t="s">
        <v>96</v>
      </c>
      <c r="E4" s="421" t="str">
        <f t="shared" ref="E4:E8" si="3">IMAGE("https://flagcdn.com/w320/no.png")</f>
        <v/>
      </c>
      <c r="F4" s="422">
        <v>36148.0</v>
      </c>
      <c r="G4" s="423">
        <f t="shared" si="1"/>
        <v>27</v>
      </c>
      <c r="H4" s="425">
        <f>1+1+1+1+1+1+1</f>
        <v>7</v>
      </c>
      <c r="I4" s="425">
        <f>90+90+90+90+90+90+90</f>
        <v>630</v>
      </c>
      <c r="J4" s="425"/>
      <c r="K4" s="425"/>
      <c r="L4" s="425">
        <f t="shared" ref="L4:L5" si="4">1</f>
        <v>1</v>
      </c>
      <c r="M4" s="425"/>
      <c r="N4" s="425"/>
      <c r="O4" s="425"/>
      <c r="P4" s="425">
        <f t="shared" si="2"/>
        <v>0</v>
      </c>
      <c r="Q4" s="42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>
      <c r="A5" s="417">
        <v>5.0</v>
      </c>
      <c r="B5" s="418" t="s">
        <v>683</v>
      </c>
      <c r="C5" s="419" t="s">
        <v>70</v>
      </c>
      <c r="D5" s="420" t="s">
        <v>96</v>
      </c>
      <c r="E5" s="421" t="str">
        <f t="shared" si="3"/>
        <v/>
      </c>
      <c r="F5" s="422">
        <v>35157.0</v>
      </c>
      <c r="G5" s="423">
        <f t="shared" si="1"/>
        <v>29</v>
      </c>
      <c r="H5" s="425">
        <f>1+1+1+1+1</f>
        <v>5</v>
      </c>
      <c r="I5" s="425">
        <f>84+89+68+60+67</f>
        <v>368</v>
      </c>
      <c r="J5" s="425">
        <f>1</f>
        <v>1</v>
      </c>
      <c r="K5" s="425"/>
      <c r="L5" s="425">
        <f t="shared" si="4"/>
        <v>1</v>
      </c>
      <c r="M5" s="425"/>
      <c r="N5" s="425"/>
      <c r="O5" s="425"/>
      <c r="P5" s="425">
        <f t="shared" si="2"/>
        <v>1</v>
      </c>
      <c r="Q5" s="42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22.5" customHeight="1">
      <c r="A6" s="417">
        <v>6.0</v>
      </c>
      <c r="B6" s="418" t="s">
        <v>684</v>
      </c>
      <c r="C6" s="419" t="s">
        <v>70</v>
      </c>
      <c r="D6" s="420" t="s">
        <v>96</v>
      </c>
      <c r="E6" s="421" t="str">
        <f t="shared" si="3"/>
        <v/>
      </c>
      <c r="F6" s="422">
        <v>35157.0</v>
      </c>
      <c r="G6" s="423">
        <f t="shared" si="1"/>
        <v>29</v>
      </c>
      <c r="H6" s="425">
        <f>1+1+1+1</f>
        <v>4</v>
      </c>
      <c r="I6" s="425">
        <f>64+4+35+90</f>
        <v>193</v>
      </c>
      <c r="J6" s="425"/>
      <c r="K6" s="425"/>
      <c r="L6" s="425"/>
      <c r="M6" s="425">
        <f>1</f>
        <v>1</v>
      </c>
      <c r="N6" s="425"/>
      <c r="O6" s="425">
        <f>1</f>
        <v>1</v>
      </c>
      <c r="P6" s="425">
        <f t="shared" si="2"/>
        <v>0</v>
      </c>
      <c r="Q6" s="425"/>
    </row>
    <row r="7" ht="22.5" customHeight="1">
      <c r="A7" s="417">
        <v>7.0</v>
      </c>
      <c r="B7" s="418" t="s">
        <v>685</v>
      </c>
      <c r="C7" s="419" t="s">
        <v>79</v>
      </c>
      <c r="D7" s="420" t="s">
        <v>96</v>
      </c>
      <c r="E7" s="421" t="str">
        <f t="shared" si="3"/>
        <v/>
      </c>
      <c r="F7" s="422">
        <v>35758.0</v>
      </c>
      <c r="G7" s="423">
        <f t="shared" si="1"/>
        <v>28</v>
      </c>
      <c r="H7" s="425">
        <f>1+1+1+1+1+1+1</f>
        <v>7</v>
      </c>
      <c r="I7" s="425">
        <f>90+90+90+90+90+90+90</f>
        <v>630</v>
      </c>
      <c r="J7" s="425"/>
      <c r="K7" s="425">
        <f>1</f>
        <v>1</v>
      </c>
      <c r="L7" s="425">
        <f t="shared" ref="L7:L8" si="5">1+1</f>
        <v>2</v>
      </c>
      <c r="M7" s="425"/>
      <c r="N7" s="425"/>
      <c r="O7" s="425"/>
      <c r="P7" s="425">
        <f t="shared" si="2"/>
        <v>1</v>
      </c>
      <c r="Q7" s="425"/>
    </row>
    <row r="8" ht="22.5" customHeight="1">
      <c r="A8" s="417">
        <v>8.0</v>
      </c>
      <c r="B8" s="418" t="s">
        <v>686</v>
      </c>
      <c r="C8" s="419" t="s">
        <v>79</v>
      </c>
      <c r="D8" s="420" t="s">
        <v>96</v>
      </c>
      <c r="E8" s="421" t="str">
        <f t="shared" si="3"/>
        <v/>
      </c>
      <c r="F8" s="422">
        <v>37782.0</v>
      </c>
      <c r="G8" s="423">
        <f t="shared" si="1"/>
        <v>22</v>
      </c>
      <c r="H8" s="425">
        <f>1+1+1+1+1+1</f>
        <v>6</v>
      </c>
      <c r="I8" s="425">
        <f>73+79+90+90+30+15</f>
        <v>377</v>
      </c>
      <c r="J8" s="425"/>
      <c r="K8" s="425"/>
      <c r="L8" s="425">
        <f t="shared" si="5"/>
        <v>2</v>
      </c>
      <c r="M8" s="425"/>
      <c r="N8" s="425"/>
      <c r="O8" s="425"/>
      <c r="P8" s="425">
        <f t="shared" si="2"/>
        <v>0</v>
      </c>
      <c r="Q8" s="425"/>
    </row>
    <row r="9" ht="22.5" customHeight="1">
      <c r="A9" s="417">
        <v>9.0</v>
      </c>
      <c r="B9" s="418" t="s">
        <v>687</v>
      </c>
      <c r="C9" s="419" t="s">
        <v>82</v>
      </c>
      <c r="D9" s="420" t="s">
        <v>73</v>
      </c>
      <c r="E9" s="421" t="str">
        <f>IMAGE("https://flagcdn.com/w320/dk.png")</f>
        <v/>
      </c>
      <c r="F9" s="422">
        <v>36866.0</v>
      </c>
      <c r="G9" s="423">
        <f t="shared" si="1"/>
        <v>25</v>
      </c>
      <c r="H9" s="425">
        <f t="shared" ref="H9:H10" si="6">1+1+1+1+1+1+1</f>
        <v>7</v>
      </c>
      <c r="I9" s="425">
        <f>73+79+68+72+86+67+75</f>
        <v>520</v>
      </c>
      <c r="J9" s="425">
        <f>2</f>
        <v>2</v>
      </c>
      <c r="K9" s="425">
        <f>1</f>
        <v>1</v>
      </c>
      <c r="L9" s="425"/>
      <c r="M9" s="425"/>
      <c r="N9" s="425"/>
      <c r="O9" s="425"/>
      <c r="P9" s="425">
        <f t="shared" si="2"/>
        <v>3</v>
      </c>
      <c r="Q9" s="425"/>
    </row>
    <row r="10" ht="22.5" customHeight="1">
      <c r="A10" s="417">
        <v>10.0</v>
      </c>
      <c r="B10" s="418" t="s">
        <v>688</v>
      </c>
      <c r="C10" s="419" t="s">
        <v>82</v>
      </c>
      <c r="D10" s="420" t="s">
        <v>96</v>
      </c>
      <c r="E10" s="421" t="str">
        <f t="shared" ref="E10:E11" si="7">IMAGE("https://flagcdn.com/w320/no.png")</f>
        <v/>
      </c>
      <c r="F10" s="422">
        <v>36445.0</v>
      </c>
      <c r="G10" s="423">
        <f t="shared" si="1"/>
        <v>26</v>
      </c>
      <c r="H10" s="425">
        <f t="shared" si="6"/>
        <v>7</v>
      </c>
      <c r="I10" s="425">
        <f>90+90+90+85+14+90+90</f>
        <v>549</v>
      </c>
      <c r="J10" s="425">
        <f>2+1+1</f>
        <v>4</v>
      </c>
      <c r="K10" s="425"/>
      <c r="L10" s="425"/>
      <c r="M10" s="425"/>
      <c r="N10" s="425"/>
      <c r="O10" s="425"/>
      <c r="P10" s="425">
        <f t="shared" si="2"/>
        <v>4</v>
      </c>
      <c r="Q10" s="425"/>
    </row>
    <row r="11" ht="22.5" customHeight="1">
      <c r="A11" s="417">
        <v>11.0</v>
      </c>
      <c r="B11" s="418" t="s">
        <v>689</v>
      </c>
      <c r="C11" s="419" t="s">
        <v>82</v>
      </c>
      <c r="D11" s="420" t="s">
        <v>96</v>
      </c>
      <c r="E11" s="421" t="str">
        <f t="shared" si="7"/>
        <v/>
      </c>
      <c r="F11" s="422">
        <v>36689.0</v>
      </c>
      <c r="G11" s="423">
        <f t="shared" si="1"/>
        <v>25</v>
      </c>
      <c r="H11" s="425">
        <f>1+1+1+1+1</f>
        <v>5</v>
      </c>
      <c r="I11" s="425">
        <f>11+18+76+67+75</f>
        <v>247</v>
      </c>
      <c r="J11" s="425">
        <f>1</f>
        <v>1</v>
      </c>
      <c r="K11" s="425">
        <f>2</f>
        <v>2</v>
      </c>
      <c r="L11" s="425"/>
      <c r="M11" s="425"/>
      <c r="N11" s="425"/>
      <c r="O11" s="425"/>
      <c r="P11" s="425">
        <f t="shared" si="2"/>
        <v>3</v>
      </c>
      <c r="Q11" s="425"/>
    </row>
    <row r="12" ht="22.5" customHeight="1">
      <c r="A12" s="417">
        <v>12.0</v>
      </c>
      <c r="B12" s="418" t="s">
        <v>690</v>
      </c>
      <c r="C12" s="419" t="s">
        <v>67</v>
      </c>
      <c r="D12" s="420" t="s">
        <v>691</v>
      </c>
      <c r="E12" s="421" t="str">
        <f>IMAGE("https://flagcdn.com/w320/ru.png")</f>
        <v/>
      </c>
      <c r="F12" s="422">
        <v>34891.0</v>
      </c>
      <c r="G12" s="423">
        <f t="shared" si="1"/>
        <v>30</v>
      </c>
      <c r="H12" s="425">
        <f>1+1+1+1+1+1+1</f>
        <v>7</v>
      </c>
      <c r="I12" s="425">
        <f>90+90+90+90+90+90+90</f>
        <v>630</v>
      </c>
      <c r="J12" s="425"/>
      <c r="K12" s="425"/>
      <c r="L12" s="425"/>
      <c r="M12" s="425"/>
      <c r="N12" s="425"/>
      <c r="O12" s="425"/>
      <c r="P12" s="425">
        <f t="shared" si="2"/>
        <v>0</v>
      </c>
      <c r="Q12" s="425"/>
    </row>
    <row r="13" ht="22.5" customHeight="1">
      <c r="A13" s="417">
        <v>14.0</v>
      </c>
      <c r="B13" s="418" t="s">
        <v>692</v>
      </c>
      <c r="C13" s="419" t="s">
        <v>79</v>
      </c>
      <c r="D13" s="420" t="s">
        <v>96</v>
      </c>
      <c r="E13" s="421" t="str">
        <f t="shared" ref="E13:E19" si="8">IMAGE("https://flagcdn.com/w320/no.png")</f>
        <v/>
      </c>
      <c r="F13" s="422">
        <v>33918.0</v>
      </c>
      <c r="G13" s="423">
        <f t="shared" si="1"/>
        <v>33</v>
      </c>
      <c r="H13" s="426">
        <f>1+1</f>
        <v>2</v>
      </c>
      <c r="I13" s="426">
        <f>45+15</f>
        <v>60</v>
      </c>
      <c r="J13" s="425"/>
      <c r="K13" s="425"/>
      <c r="L13" s="425"/>
      <c r="M13" s="425"/>
      <c r="N13" s="425"/>
      <c r="O13" s="425"/>
      <c r="P13" s="425">
        <f t="shared" si="2"/>
        <v>0</v>
      </c>
      <c r="Q13" s="425"/>
    </row>
    <row r="14" ht="22.5" customHeight="1">
      <c r="A14" s="417">
        <v>15.0</v>
      </c>
      <c r="B14" s="418" t="s">
        <v>693</v>
      </c>
      <c r="C14" s="419" t="s">
        <v>70</v>
      </c>
      <c r="D14" s="420" t="s">
        <v>96</v>
      </c>
      <c r="E14" s="421" t="str">
        <f t="shared" si="8"/>
        <v/>
      </c>
      <c r="F14" s="422">
        <v>36028.0</v>
      </c>
      <c r="G14" s="423">
        <f t="shared" si="1"/>
        <v>27</v>
      </c>
      <c r="H14" s="425">
        <f>1+1+1+1+1</f>
        <v>5</v>
      </c>
      <c r="I14" s="425">
        <f>90+80+85+90+90</f>
        <v>435</v>
      </c>
      <c r="J14" s="425"/>
      <c r="K14" s="425">
        <f t="shared" ref="K14:L14" si="9">1</f>
        <v>1</v>
      </c>
      <c r="L14" s="425">
        <f t="shared" si="9"/>
        <v>1</v>
      </c>
      <c r="M14" s="425"/>
      <c r="N14" s="425"/>
      <c r="O14" s="425"/>
      <c r="P14" s="425">
        <f t="shared" si="2"/>
        <v>1</v>
      </c>
      <c r="Q14" s="425"/>
    </row>
    <row r="15" ht="22.5" customHeight="1">
      <c r="A15" s="417">
        <v>17.0</v>
      </c>
      <c r="B15" s="418" t="s">
        <v>694</v>
      </c>
      <c r="C15" s="419" t="s">
        <v>82</v>
      </c>
      <c r="D15" s="420" t="s">
        <v>96</v>
      </c>
      <c r="E15" s="421" t="str">
        <f t="shared" si="8"/>
        <v/>
      </c>
      <c r="F15" s="422">
        <v>36277.0</v>
      </c>
      <c r="G15" s="423">
        <f t="shared" si="1"/>
        <v>26</v>
      </c>
      <c r="H15" s="425"/>
      <c r="I15" s="425"/>
      <c r="J15" s="425"/>
      <c r="K15" s="425"/>
      <c r="L15" s="425"/>
      <c r="M15" s="425"/>
      <c r="N15" s="425"/>
      <c r="O15" s="425"/>
      <c r="P15" s="425">
        <f t="shared" si="2"/>
        <v>0</v>
      </c>
      <c r="Q15" s="425"/>
    </row>
    <row r="16" ht="22.5" customHeight="1">
      <c r="A16" s="417">
        <v>18.0</v>
      </c>
      <c r="B16" s="418" t="s">
        <v>695</v>
      </c>
      <c r="C16" s="419" t="s">
        <v>70</v>
      </c>
      <c r="D16" s="420" t="s">
        <v>96</v>
      </c>
      <c r="E16" s="421" t="str">
        <f t="shared" si="8"/>
        <v/>
      </c>
      <c r="F16" s="422">
        <v>33587.0</v>
      </c>
      <c r="G16" s="423">
        <f t="shared" si="1"/>
        <v>34</v>
      </c>
      <c r="H16" s="426">
        <f>1+1</f>
        <v>2</v>
      </c>
      <c r="I16" s="426">
        <f>45+30</f>
        <v>75</v>
      </c>
      <c r="J16" s="425"/>
      <c r="K16" s="425"/>
      <c r="L16" s="425"/>
      <c r="M16" s="425"/>
      <c r="N16" s="425"/>
      <c r="O16" s="425"/>
      <c r="P16" s="425">
        <f t="shared" si="2"/>
        <v>0</v>
      </c>
      <c r="Q16" s="425"/>
    </row>
    <row r="17" ht="22.5" customHeight="1">
      <c r="A17" s="417">
        <v>19.0</v>
      </c>
      <c r="B17" s="418" t="s">
        <v>696</v>
      </c>
      <c r="C17" s="419" t="s">
        <v>79</v>
      </c>
      <c r="D17" s="420" t="s">
        <v>96</v>
      </c>
      <c r="E17" s="421" t="str">
        <f t="shared" si="8"/>
        <v/>
      </c>
      <c r="F17" s="422">
        <v>35447.0</v>
      </c>
      <c r="G17" s="423">
        <f t="shared" si="1"/>
        <v>29</v>
      </c>
      <c r="H17" s="425">
        <f t="shared" ref="H17:H19" si="10">1+1+1+1+1+1+1</f>
        <v>7</v>
      </c>
      <c r="I17" s="425">
        <f>17+90+68+72+90+45+81</f>
        <v>463</v>
      </c>
      <c r="J17" s="425">
        <f>1+1</f>
        <v>2</v>
      </c>
      <c r="K17" s="425">
        <f>1</f>
        <v>1</v>
      </c>
      <c r="L17" s="425"/>
      <c r="M17" s="425"/>
      <c r="N17" s="425"/>
      <c r="O17" s="425"/>
      <c r="P17" s="425">
        <f t="shared" si="2"/>
        <v>3</v>
      </c>
      <c r="Q17" s="425"/>
    </row>
    <row r="18" ht="22.5" customHeight="1">
      <c r="A18" s="417">
        <v>20.0</v>
      </c>
      <c r="B18" s="418" t="s">
        <v>697</v>
      </c>
      <c r="C18" s="419" t="s">
        <v>70</v>
      </c>
      <c r="D18" s="420" t="s">
        <v>96</v>
      </c>
      <c r="E18" s="421" t="str">
        <f t="shared" si="8"/>
        <v/>
      </c>
      <c r="F18" s="422">
        <v>37850.0</v>
      </c>
      <c r="G18" s="423">
        <f t="shared" si="1"/>
        <v>22</v>
      </c>
      <c r="H18" s="425">
        <f t="shared" si="10"/>
        <v>7</v>
      </c>
      <c r="I18" s="425">
        <f>90+90+90+90+90+90+90</f>
        <v>630</v>
      </c>
      <c r="J18" s="425"/>
      <c r="K18" s="425"/>
      <c r="L18" s="425"/>
      <c r="M18" s="425"/>
      <c r="N18" s="425"/>
      <c r="O18" s="425"/>
      <c r="P18" s="425">
        <f t="shared" si="2"/>
        <v>0</v>
      </c>
      <c r="Q18" s="425"/>
    </row>
    <row r="19" ht="22.5" customHeight="1">
      <c r="A19" s="417">
        <v>21.0</v>
      </c>
      <c r="B19" s="418" t="s">
        <v>698</v>
      </c>
      <c r="C19" s="419" t="s">
        <v>82</v>
      </c>
      <c r="D19" s="420" t="s">
        <v>96</v>
      </c>
      <c r="E19" s="421" t="str">
        <f t="shared" si="8"/>
        <v/>
      </c>
      <c r="F19" s="422">
        <v>35869.0</v>
      </c>
      <c r="G19" s="423">
        <f t="shared" si="1"/>
        <v>27</v>
      </c>
      <c r="H19" s="425">
        <f t="shared" si="10"/>
        <v>7</v>
      </c>
      <c r="I19" s="425">
        <f>17+11+22+18+4+23+15</f>
        <v>110</v>
      </c>
      <c r="J19" s="425">
        <f>1</f>
        <v>1</v>
      </c>
      <c r="K19" s="425"/>
      <c r="L19" s="425"/>
      <c r="M19" s="425"/>
      <c r="N19" s="425"/>
      <c r="O19" s="425"/>
      <c r="P19" s="425">
        <f t="shared" si="2"/>
        <v>1</v>
      </c>
      <c r="Q19" s="425"/>
    </row>
    <row r="20" ht="22.5" customHeight="1">
      <c r="A20" s="417">
        <v>22.0</v>
      </c>
      <c r="B20" s="418" t="s">
        <v>699</v>
      </c>
      <c r="C20" s="419" t="s">
        <v>79</v>
      </c>
      <c r="D20" s="420" t="s">
        <v>73</v>
      </c>
      <c r="E20" s="421" t="str">
        <f>IMAGE("https://flagcdn.com/w320/dk.png")</f>
        <v/>
      </c>
      <c r="F20" s="422">
        <v>36813.0</v>
      </c>
      <c r="G20" s="423">
        <f t="shared" si="1"/>
        <v>25</v>
      </c>
      <c r="H20" s="426">
        <f>1+1+1</f>
        <v>3</v>
      </c>
      <c r="I20" s="426">
        <f>1+3+9</f>
        <v>13</v>
      </c>
      <c r="J20" s="425"/>
      <c r="K20" s="425"/>
      <c r="L20" s="425"/>
      <c r="M20" s="425"/>
      <c r="N20" s="425"/>
      <c r="O20" s="425"/>
      <c r="P20" s="425">
        <f t="shared" si="2"/>
        <v>0</v>
      </c>
      <c r="Q20" s="425"/>
    </row>
    <row r="21" ht="22.5" customHeight="1">
      <c r="A21" s="417">
        <v>23.0</v>
      </c>
      <c r="B21" s="418" t="s">
        <v>700</v>
      </c>
      <c r="C21" s="419" t="s">
        <v>79</v>
      </c>
      <c r="D21" s="420" t="s">
        <v>96</v>
      </c>
      <c r="E21" s="421" t="str">
        <f t="shared" ref="E21:E29" si="11">IMAGE("https://flagcdn.com/w320/no.png")</f>
        <v/>
      </c>
      <c r="F21" s="422">
        <v>38295.0</v>
      </c>
      <c r="G21" s="423">
        <f t="shared" si="1"/>
        <v>21</v>
      </c>
      <c r="H21" s="425">
        <f>1</f>
        <v>1</v>
      </c>
      <c r="I21" s="425">
        <f>26</f>
        <v>26</v>
      </c>
      <c r="J21" s="425"/>
      <c r="K21" s="425"/>
      <c r="L21" s="425"/>
      <c r="M21" s="425"/>
      <c r="N21" s="425"/>
      <c r="O21" s="425"/>
      <c r="P21" s="425">
        <f t="shared" si="2"/>
        <v>0</v>
      </c>
      <c r="Q21" s="425"/>
    </row>
    <row r="22" ht="22.5" customHeight="1">
      <c r="A22" s="417">
        <v>24.0</v>
      </c>
      <c r="B22" s="418" t="s">
        <v>701</v>
      </c>
      <c r="C22" s="419" t="s">
        <v>82</v>
      </c>
      <c r="D22" s="420" t="s">
        <v>702</v>
      </c>
      <c r="E22" s="421" t="str">
        <f t="shared" si="11"/>
        <v/>
      </c>
      <c r="F22" s="422">
        <v>38291.0</v>
      </c>
      <c r="G22" s="423">
        <f t="shared" si="1"/>
        <v>21</v>
      </c>
      <c r="H22" s="425">
        <f>1+1</f>
        <v>2</v>
      </c>
      <c r="I22" s="425">
        <f>45+22</f>
        <v>67</v>
      </c>
      <c r="J22" s="425">
        <f>1</f>
        <v>1</v>
      </c>
      <c r="K22" s="425"/>
      <c r="L22" s="425"/>
      <c r="M22" s="425"/>
      <c r="N22" s="425"/>
      <c r="O22" s="425"/>
      <c r="P22" s="425">
        <f t="shared" si="2"/>
        <v>1</v>
      </c>
      <c r="Q22" s="425"/>
    </row>
    <row r="23" ht="22.5" customHeight="1">
      <c r="A23" s="417">
        <v>25.0</v>
      </c>
      <c r="B23" s="418" t="s">
        <v>703</v>
      </c>
      <c r="C23" s="419" t="s">
        <v>82</v>
      </c>
      <c r="D23" s="420" t="s">
        <v>96</v>
      </c>
      <c r="E23" s="421" t="str">
        <f t="shared" si="11"/>
        <v/>
      </c>
      <c r="F23" s="422">
        <v>37153.0</v>
      </c>
      <c r="G23" s="423">
        <f t="shared" si="1"/>
        <v>24</v>
      </c>
      <c r="H23" s="426">
        <f>1+1+1+1+1</f>
        <v>5</v>
      </c>
      <c r="I23" s="426">
        <f>10+5+60+81+9</f>
        <v>165</v>
      </c>
      <c r="J23" s="425"/>
      <c r="K23" s="425"/>
      <c r="L23" s="425"/>
      <c r="M23" s="425"/>
      <c r="N23" s="425"/>
      <c r="O23" s="425"/>
      <c r="P23" s="425">
        <f t="shared" si="2"/>
        <v>0</v>
      </c>
      <c r="Q23" s="425"/>
    </row>
    <row r="24" ht="22.5" customHeight="1">
      <c r="A24" s="417">
        <v>26.0</v>
      </c>
      <c r="B24" s="418" t="s">
        <v>704</v>
      </c>
      <c r="C24" s="419" t="s">
        <v>79</v>
      </c>
      <c r="D24" s="420" t="s">
        <v>96</v>
      </c>
      <c r="E24" s="421" t="str">
        <f t="shared" si="11"/>
        <v/>
      </c>
      <c r="F24" s="422">
        <v>36570.0</v>
      </c>
      <c r="G24" s="423">
        <f t="shared" si="1"/>
        <v>25</v>
      </c>
      <c r="H24" s="425">
        <f>1+1+1+1+1+1+1</f>
        <v>7</v>
      </c>
      <c r="I24" s="425">
        <f>90+86+87+90+76+90+75</f>
        <v>594</v>
      </c>
      <c r="J24" s="425"/>
      <c r="K24" s="425">
        <f>2+1</f>
        <v>3</v>
      </c>
      <c r="L24" s="425"/>
      <c r="M24" s="425"/>
      <c r="N24" s="425"/>
      <c r="O24" s="425"/>
      <c r="P24" s="425">
        <f t="shared" si="2"/>
        <v>3</v>
      </c>
      <c r="Q24" s="425"/>
    </row>
    <row r="25" ht="22.5" customHeight="1">
      <c r="A25" s="417">
        <v>30.0</v>
      </c>
      <c r="B25" s="418" t="s">
        <v>705</v>
      </c>
      <c r="C25" s="419" t="s">
        <v>82</v>
      </c>
      <c r="D25" s="420" t="s">
        <v>73</v>
      </c>
      <c r="E25" s="421" t="str">
        <f t="shared" si="11"/>
        <v/>
      </c>
      <c r="F25" s="422">
        <v>36789.0</v>
      </c>
      <c r="G25" s="423">
        <f t="shared" si="1"/>
        <v>25</v>
      </c>
      <c r="H25" s="425">
        <f>1+1+1</f>
        <v>3</v>
      </c>
      <c r="I25" s="425">
        <f>45+14+23</f>
        <v>82</v>
      </c>
      <c r="J25" s="425"/>
      <c r="K25" s="425"/>
      <c r="L25" s="425"/>
      <c r="M25" s="425"/>
      <c r="N25" s="425"/>
      <c r="O25" s="425"/>
      <c r="P25" s="425">
        <f t="shared" si="2"/>
        <v>0</v>
      </c>
      <c r="Q25" s="425"/>
    </row>
    <row r="26" ht="22.5" customHeight="1">
      <c r="A26" s="427">
        <v>40.0</v>
      </c>
      <c r="B26" s="428" t="s">
        <v>706</v>
      </c>
      <c r="C26" s="429" t="s">
        <v>79</v>
      </c>
      <c r="D26" s="430" t="s">
        <v>96</v>
      </c>
      <c r="E26" s="431" t="str">
        <f t="shared" si="11"/>
        <v/>
      </c>
      <c r="F26" s="432">
        <v>39205.0</v>
      </c>
      <c r="G26" s="433">
        <f t="shared" si="1"/>
        <v>18</v>
      </c>
      <c r="H26" s="434"/>
      <c r="I26" s="434"/>
      <c r="J26" s="434"/>
      <c r="K26" s="434"/>
      <c r="L26" s="434"/>
      <c r="M26" s="434"/>
      <c r="N26" s="434"/>
      <c r="O26" s="434"/>
      <c r="P26" s="434">
        <f t="shared" si="2"/>
        <v>0</v>
      </c>
      <c r="Q26" s="434"/>
    </row>
    <row r="27" ht="22.5" customHeight="1">
      <c r="A27" s="427">
        <v>41.0</v>
      </c>
      <c r="B27" s="428" t="s">
        <v>707</v>
      </c>
      <c r="C27" s="429" t="s">
        <v>79</v>
      </c>
      <c r="D27" s="430" t="s">
        <v>96</v>
      </c>
      <c r="E27" s="431" t="str">
        <f t="shared" si="11"/>
        <v/>
      </c>
      <c r="F27" s="432">
        <v>38983.0</v>
      </c>
      <c r="G27" s="433">
        <f t="shared" si="1"/>
        <v>19</v>
      </c>
      <c r="H27" s="434"/>
      <c r="I27" s="434"/>
      <c r="J27" s="434"/>
      <c r="K27" s="434"/>
      <c r="L27" s="434"/>
      <c r="M27" s="434"/>
      <c r="N27" s="434"/>
      <c r="O27" s="434"/>
      <c r="P27" s="434">
        <f t="shared" si="2"/>
        <v>0</v>
      </c>
      <c r="Q27" s="434"/>
    </row>
    <row r="28" ht="22.5" customHeight="1">
      <c r="A28" s="427">
        <v>31.0</v>
      </c>
      <c r="B28" s="428" t="s">
        <v>708</v>
      </c>
      <c r="C28" s="429" t="s">
        <v>82</v>
      </c>
      <c r="D28" s="430" t="s">
        <v>96</v>
      </c>
      <c r="E28" s="431" t="str">
        <f t="shared" si="11"/>
        <v/>
      </c>
      <c r="F28" s="432">
        <v>39617.0</v>
      </c>
      <c r="G28" s="433">
        <f t="shared" si="1"/>
        <v>17</v>
      </c>
      <c r="H28" s="435">
        <v>0.0</v>
      </c>
      <c r="I28" s="435">
        <v>0.0</v>
      </c>
      <c r="J28" s="434"/>
      <c r="K28" s="434"/>
      <c r="L28" s="434"/>
      <c r="M28" s="434"/>
      <c r="N28" s="434"/>
      <c r="O28" s="434"/>
      <c r="P28" s="434">
        <f t="shared" si="2"/>
        <v>0</v>
      </c>
      <c r="Q28" s="434"/>
    </row>
    <row r="29" ht="22.5" customHeight="1">
      <c r="A29" s="427">
        <v>42.0</v>
      </c>
      <c r="B29" s="428" t="s">
        <v>709</v>
      </c>
      <c r="C29" s="429" t="s">
        <v>70</v>
      </c>
      <c r="D29" s="430" t="s">
        <v>96</v>
      </c>
      <c r="E29" s="431" t="str">
        <f t="shared" si="11"/>
        <v/>
      </c>
      <c r="F29" s="432">
        <v>38880.0</v>
      </c>
      <c r="G29" s="433">
        <f t="shared" si="1"/>
        <v>19</v>
      </c>
      <c r="H29" s="434"/>
      <c r="I29" s="434"/>
      <c r="J29" s="434"/>
      <c r="K29" s="434"/>
      <c r="L29" s="434"/>
      <c r="M29" s="434"/>
      <c r="N29" s="434"/>
      <c r="O29" s="434"/>
      <c r="P29" s="434">
        <f t="shared" si="2"/>
        <v>0</v>
      </c>
      <c r="Q29" s="434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ht="22.5" customHeight="1">
      <c r="A30" s="427">
        <v>43.0</v>
      </c>
      <c r="B30" s="428" t="s">
        <v>710</v>
      </c>
      <c r="C30" s="429" t="s">
        <v>82</v>
      </c>
      <c r="D30" s="430" t="s">
        <v>711</v>
      </c>
      <c r="E30" s="431" t="str">
        <f>IMAGE("https://flagcdn.com/w320/pl.png")</f>
        <v/>
      </c>
      <c r="F30" s="432">
        <v>39562.0</v>
      </c>
      <c r="G30" s="433">
        <f t="shared" si="1"/>
        <v>17</v>
      </c>
      <c r="H30" s="434"/>
      <c r="I30" s="434"/>
      <c r="J30" s="434"/>
      <c r="K30" s="434"/>
      <c r="L30" s="434"/>
      <c r="M30" s="434"/>
      <c r="N30" s="434"/>
      <c r="O30" s="434"/>
      <c r="P30" s="434">
        <f t="shared" si="2"/>
        <v>0</v>
      </c>
      <c r="Q30" s="434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ht="22.5" customHeight="1">
      <c r="A31" s="427">
        <v>44.0</v>
      </c>
      <c r="B31" s="428" t="s">
        <v>712</v>
      </c>
      <c r="C31" s="429" t="s">
        <v>67</v>
      </c>
      <c r="D31" s="430" t="s">
        <v>96</v>
      </c>
      <c r="E31" s="431" t="str">
        <f t="shared" ref="E31:E32" si="12">IMAGE("https://flagcdn.com/w320/no.png")</f>
        <v/>
      </c>
      <c r="F31" s="432">
        <v>38413.0</v>
      </c>
      <c r="G31" s="433">
        <f t="shared" si="1"/>
        <v>20</v>
      </c>
      <c r="H31" s="435">
        <v>0.0</v>
      </c>
      <c r="I31" s="435">
        <v>0.0</v>
      </c>
      <c r="J31" s="434"/>
      <c r="K31" s="434"/>
      <c r="L31" s="434"/>
      <c r="M31" s="434"/>
      <c r="N31" s="434"/>
      <c r="O31" s="434"/>
      <c r="P31" s="434">
        <f t="shared" si="2"/>
        <v>0</v>
      </c>
      <c r="Q31" s="434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ht="22.5" customHeight="1">
      <c r="A32" s="427">
        <v>45.0</v>
      </c>
      <c r="B32" s="428" t="s">
        <v>713</v>
      </c>
      <c r="C32" s="429" t="s">
        <v>67</v>
      </c>
      <c r="D32" s="430" t="s">
        <v>96</v>
      </c>
      <c r="E32" s="431" t="str">
        <f t="shared" si="12"/>
        <v/>
      </c>
      <c r="F32" s="432">
        <v>39090.0</v>
      </c>
      <c r="G32" s="433">
        <f t="shared" si="1"/>
        <v>19</v>
      </c>
      <c r="H32" s="435">
        <v>0.0</v>
      </c>
      <c r="I32" s="435">
        <v>0.0</v>
      </c>
      <c r="J32" s="434"/>
      <c r="K32" s="434"/>
      <c r="L32" s="434"/>
      <c r="M32" s="434"/>
      <c r="N32" s="434"/>
      <c r="O32" s="434"/>
      <c r="P32" s="434">
        <f t="shared" si="2"/>
        <v>0</v>
      </c>
      <c r="Q32" s="434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ht="22.5" customHeight="1">
      <c r="A33" s="417">
        <v>77.0</v>
      </c>
      <c r="B33" s="418" t="s">
        <v>714</v>
      </c>
      <c r="C33" s="419" t="s">
        <v>82</v>
      </c>
      <c r="D33" s="420" t="s">
        <v>73</v>
      </c>
      <c r="E33" s="421" t="str">
        <f>IMAGE("https://flagcdn.com/w320/dk.png")</f>
        <v/>
      </c>
      <c r="F33" s="422">
        <v>39838.0</v>
      </c>
      <c r="G33" s="423">
        <f t="shared" si="1"/>
        <v>17</v>
      </c>
      <c r="H33" s="426">
        <v>0.0</v>
      </c>
      <c r="I33" s="426">
        <v>0.0</v>
      </c>
      <c r="J33" s="425"/>
      <c r="K33" s="425"/>
      <c r="L33" s="425"/>
      <c r="M33" s="425"/>
      <c r="N33" s="425"/>
      <c r="O33" s="425"/>
      <c r="P33" s="425">
        <f t="shared" si="2"/>
        <v>0</v>
      </c>
      <c r="Q33" s="425"/>
    </row>
    <row r="34">
      <c r="A34" s="11"/>
      <c r="B34" s="18"/>
      <c r="C34" s="18"/>
      <c r="D34" s="64"/>
      <c r="E34" s="65"/>
      <c r="F34" s="66"/>
      <c r="G34" s="18"/>
      <c r="H34" s="73">
        <f>SUM(H2:H33)</f>
        <v>110</v>
      </c>
      <c r="I34" s="73">
        <f>SUM(I2:I33)+10</f>
        <v>6930</v>
      </c>
      <c r="J34" s="73">
        <f t="shared" ref="J34:Q34" si="13">SUM(J2:J33)</f>
        <v>12</v>
      </c>
      <c r="K34" s="73">
        <f t="shared" si="13"/>
        <v>9</v>
      </c>
      <c r="L34" s="73">
        <f t="shared" si="13"/>
        <v>7</v>
      </c>
      <c r="M34" s="73">
        <f t="shared" si="13"/>
        <v>1</v>
      </c>
      <c r="N34" s="73">
        <f t="shared" si="13"/>
        <v>0</v>
      </c>
      <c r="O34" s="73">
        <f t="shared" si="13"/>
        <v>1</v>
      </c>
      <c r="P34" s="73">
        <f t="shared" si="13"/>
        <v>21</v>
      </c>
      <c r="Q34" s="73">
        <f t="shared" si="13"/>
        <v>0</v>
      </c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ht="22.5" customHeight="1">
      <c r="A35" s="411" t="s">
        <v>150</v>
      </c>
      <c r="B35" s="412" t="s">
        <v>49</v>
      </c>
      <c r="C35" s="412" t="s">
        <v>265</v>
      </c>
      <c r="D35" s="436" t="s">
        <v>56</v>
      </c>
      <c r="E35" s="412" t="s">
        <v>57</v>
      </c>
      <c r="F35" s="412" t="s">
        <v>52</v>
      </c>
      <c r="G35" s="412" t="s">
        <v>53</v>
      </c>
      <c r="H35" s="412" t="s">
        <v>4</v>
      </c>
      <c r="I35" s="412" t="s">
        <v>5</v>
      </c>
      <c r="J35" s="412" t="s">
        <v>6</v>
      </c>
      <c r="K35" s="412" t="s">
        <v>7</v>
      </c>
      <c r="L35" s="412" t="s">
        <v>8</v>
      </c>
      <c r="M35" s="412" t="s">
        <v>9</v>
      </c>
      <c r="N35" s="412" t="s">
        <v>10</v>
      </c>
    </row>
    <row r="36" ht="22.5" customHeight="1">
      <c r="A36" s="424"/>
      <c r="B36" s="418" t="s">
        <v>715</v>
      </c>
      <c r="C36" s="418" t="s">
        <v>153</v>
      </c>
      <c r="D36" s="420" t="s">
        <v>96</v>
      </c>
      <c r="E36" s="421" t="str">
        <f>IMAGE("https://flagcdn.com/w320/no.png")</f>
        <v/>
      </c>
      <c r="F36" s="422">
        <v>25113.0</v>
      </c>
      <c r="G36" s="423">
        <f>DATEDIF(F36,TODAY(),"Y")</f>
        <v>57</v>
      </c>
      <c r="H36" s="437">
        <f>L36+M36+N36</f>
        <v>7</v>
      </c>
      <c r="I36" s="437">
        <f>(3*L36)+M36</f>
        <v>6</v>
      </c>
      <c r="J36" s="437">
        <f>2+2+1+2+2+3</f>
        <v>12</v>
      </c>
      <c r="K36" s="437">
        <f>2+2+3+1+3+2+1</f>
        <v>14</v>
      </c>
      <c r="L36" s="438">
        <f>1</f>
        <v>1</v>
      </c>
      <c r="M36" s="439">
        <f t="shared" ref="M36:N36" si="14">1+1+1</f>
        <v>3</v>
      </c>
      <c r="N36" s="440">
        <f t="shared" si="14"/>
        <v>3</v>
      </c>
    </row>
    <row r="37">
      <c r="A37" s="11"/>
      <c r="B37" s="18"/>
      <c r="C37" s="18"/>
      <c r="D37" s="64"/>
      <c r="E37" s="65"/>
      <c r="F37" s="66"/>
      <c r="G37" s="18"/>
      <c r="H37" s="11">
        <f>SUM(trenerBodo[mecze])</f>
        <v>7</v>
      </c>
      <c r="I37" s="11">
        <f>SUM(trenerBodo[punkty])</f>
        <v>6</v>
      </c>
      <c r="J37" s="11">
        <f>SUM(trenerBodo[strzelone])</f>
        <v>12</v>
      </c>
      <c r="K37" s="11">
        <f>SUM(trenerBodo[stracone])</f>
        <v>14</v>
      </c>
      <c r="L37" s="11">
        <f>SUM(trenerBodo[wygrane])</f>
        <v>1</v>
      </c>
      <c r="M37" s="11">
        <f>SUM(trenerBodo[remisy])</f>
        <v>3</v>
      </c>
      <c r="N37" s="11">
        <f>SUM(trenerBodo[porażki])</f>
        <v>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ht="22.5" customHeight="1">
      <c r="A38" s="411" t="s">
        <v>156</v>
      </c>
      <c r="B38" s="411" t="s">
        <v>157</v>
      </c>
      <c r="C38" s="411" t="s">
        <v>158</v>
      </c>
      <c r="D38" s="415" t="s">
        <v>716</v>
      </c>
      <c r="E38" s="411" t="s">
        <v>160</v>
      </c>
      <c r="F38" s="411" t="s">
        <v>161</v>
      </c>
    </row>
    <row r="39" ht="22.5" customHeight="1">
      <c r="A39" s="197">
        <v>1.0</v>
      </c>
      <c r="B39" s="198" t="s">
        <v>45</v>
      </c>
      <c r="C39" s="198" t="s">
        <v>44</v>
      </c>
      <c r="D39" s="264" t="s">
        <v>717</v>
      </c>
      <c r="E39" s="265">
        <v>45690.0</v>
      </c>
      <c r="F39" s="198" t="s">
        <v>276</v>
      </c>
    </row>
    <row r="40" ht="22.5" customHeight="1">
      <c r="A40" s="197">
        <v>2.0</v>
      </c>
      <c r="B40" s="198" t="s">
        <v>44</v>
      </c>
      <c r="C40" s="198" t="s">
        <v>20</v>
      </c>
      <c r="D40" s="264" t="s">
        <v>718</v>
      </c>
      <c r="E40" s="265">
        <v>45690.0</v>
      </c>
      <c r="F40" s="198" t="s">
        <v>719</v>
      </c>
    </row>
    <row r="41" ht="22.5" customHeight="1">
      <c r="A41" s="77">
        <v>3.0</v>
      </c>
      <c r="B41" s="78" t="s">
        <v>27</v>
      </c>
      <c r="C41" s="78" t="s">
        <v>44</v>
      </c>
      <c r="D41" s="83" t="s">
        <v>720</v>
      </c>
      <c r="E41" s="84">
        <v>45717.0</v>
      </c>
      <c r="F41" s="78" t="s">
        <v>453</v>
      </c>
    </row>
    <row r="42" ht="22.5" customHeight="1">
      <c r="A42" s="77">
        <v>4.0</v>
      </c>
      <c r="B42" s="78" t="s">
        <v>44</v>
      </c>
      <c r="C42" s="78" t="s">
        <v>29</v>
      </c>
      <c r="D42" s="79"/>
      <c r="E42" s="80" t="s">
        <v>333</v>
      </c>
      <c r="F42" s="78" t="s">
        <v>719</v>
      </c>
    </row>
    <row r="43" ht="22.5" customHeight="1">
      <c r="A43" s="77">
        <v>5.0</v>
      </c>
      <c r="B43" s="78" t="s">
        <v>44</v>
      </c>
      <c r="C43" s="78" t="s">
        <v>35</v>
      </c>
      <c r="D43" s="83" t="s">
        <v>721</v>
      </c>
      <c r="E43" s="84">
        <v>45691.0</v>
      </c>
      <c r="F43" s="78" t="s">
        <v>719</v>
      </c>
    </row>
    <row r="44" ht="22.5" customHeight="1">
      <c r="A44" s="197">
        <v>6.0</v>
      </c>
      <c r="B44" s="198" t="s">
        <v>21</v>
      </c>
      <c r="C44" s="198" t="s">
        <v>44</v>
      </c>
      <c r="D44" s="264" t="s">
        <v>722</v>
      </c>
      <c r="E44" s="265">
        <v>45690.0</v>
      </c>
      <c r="F44" s="198" t="s">
        <v>383</v>
      </c>
    </row>
    <row r="45" ht="22.5" customHeight="1">
      <c r="A45" s="86">
        <v>7.0</v>
      </c>
      <c r="B45" s="87" t="s">
        <v>44</v>
      </c>
      <c r="C45" s="87" t="s">
        <v>23</v>
      </c>
      <c r="D45" s="88" t="s">
        <v>723</v>
      </c>
      <c r="E45" s="89">
        <v>46082.0</v>
      </c>
      <c r="F45" s="87" t="s">
        <v>719</v>
      </c>
    </row>
    <row r="46" ht="22.5" customHeight="1">
      <c r="A46" s="90">
        <v>8.0</v>
      </c>
      <c r="B46" s="91" t="s">
        <v>273</v>
      </c>
      <c r="C46" s="91" t="s">
        <v>44</v>
      </c>
      <c r="D46" s="92"/>
      <c r="E46" s="93"/>
      <c r="F46" s="94" t="s">
        <v>447</v>
      </c>
    </row>
    <row r="47">
      <c r="A47" s="12"/>
      <c r="D47" s="95"/>
      <c r="E47" s="14"/>
      <c r="F47" s="96"/>
    </row>
    <row r="48">
      <c r="A48" s="12"/>
      <c r="D48" s="95"/>
      <c r="E48" s="14"/>
      <c r="F48" s="96"/>
    </row>
    <row r="49">
      <c r="A49" s="12"/>
      <c r="D49" s="95"/>
      <c r="E49" s="14"/>
      <c r="F49" s="96"/>
    </row>
    <row r="50">
      <c r="A50" s="12"/>
      <c r="D50" s="95"/>
      <c r="E50" s="14"/>
      <c r="F50" s="96"/>
    </row>
    <row r="51">
      <c r="A51" s="12"/>
      <c r="D51" s="95"/>
      <c r="E51" s="14"/>
      <c r="F51" s="96"/>
    </row>
    <row r="52">
      <c r="A52" s="12"/>
      <c r="D52" s="95"/>
      <c r="E52" s="14"/>
      <c r="F52" s="96"/>
    </row>
    <row r="53">
      <c r="A53" s="12"/>
      <c r="D53" s="95"/>
      <c r="E53" s="14"/>
      <c r="F53" s="96"/>
    </row>
    <row r="54">
      <c r="A54" s="12"/>
      <c r="D54" s="95"/>
      <c r="E54" s="14"/>
      <c r="F54" s="96"/>
    </row>
    <row r="55">
      <c r="A55" s="12"/>
      <c r="D55" s="95"/>
      <c r="E55" s="14"/>
      <c r="F55" s="96"/>
    </row>
    <row r="56">
      <c r="A56" s="12"/>
      <c r="D56" s="95"/>
      <c r="E56" s="14"/>
      <c r="F56" s="96"/>
    </row>
    <row r="57">
      <c r="A57" s="12"/>
      <c r="D57" s="95"/>
      <c r="E57" s="14"/>
      <c r="F57" s="96"/>
    </row>
    <row r="58">
      <c r="A58" s="12"/>
      <c r="D58" s="95"/>
      <c r="E58" s="14"/>
      <c r="F58" s="96"/>
    </row>
    <row r="59">
      <c r="A59" s="12"/>
      <c r="D59" s="95"/>
      <c r="E59" s="14"/>
      <c r="F59" s="96"/>
    </row>
    <row r="60">
      <c r="A60" s="12"/>
      <c r="D60" s="95"/>
      <c r="E60" s="14"/>
      <c r="F60" s="96"/>
    </row>
    <row r="61">
      <c r="A61" s="12"/>
      <c r="D61" s="95"/>
      <c r="E61" s="14"/>
      <c r="F61" s="96"/>
    </row>
    <row r="62">
      <c r="A62" s="12"/>
      <c r="D62" s="95"/>
      <c r="E62" s="14"/>
      <c r="F62" s="96"/>
    </row>
    <row r="63">
      <c r="A63" s="12"/>
      <c r="D63" s="95"/>
      <c r="E63" s="14"/>
      <c r="F63" s="96"/>
    </row>
    <row r="64">
      <c r="A64" s="12"/>
      <c r="D64" s="95"/>
      <c r="E64" s="14"/>
      <c r="F64" s="96"/>
    </row>
    <row r="65">
      <c r="A65" s="12"/>
      <c r="D65" s="95"/>
      <c r="E65" s="14"/>
      <c r="F65" s="96"/>
    </row>
    <row r="66">
      <c r="A66" s="12"/>
      <c r="D66" s="95"/>
      <c r="E66" s="14"/>
      <c r="F66" s="96"/>
    </row>
    <row r="67">
      <c r="A67" s="12"/>
      <c r="D67" s="95"/>
      <c r="E67" s="14"/>
      <c r="F67" s="96"/>
    </row>
    <row r="68">
      <c r="A68" s="12"/>
      <c r="D68" s="95"/>
      <c r="E68" s="14"/>
      <c r="F68" s="96"/>
    </row>
    <row r="69">
      <c r="A69" s="12"/>
      <c r="D69" s="95"/>
      <c r="E69" s="14"/>
      <c r="F69" s="96"/>
    </row>
    <row r="70">
      <c r="A70" s="12"/>
      <c r="D70" s="95"/>
      <c r="E70" s="14"/>
      <c r="F70" s="96"/>
    </row>
    <row r="71">
      <c r="A71" s="12"/>
      <c r="D71" s="95"/>
      <c r="E71" s="14"/>
      <c r="F71" s="96"/>
    </row>
    <row r="72">
      <c r="A72" s="12"/>
      <c r="D72" s="95"/>
      <c r="E72" s="14"/>
      <c r="F72" s="96"/>
    </row>
    <row r="73">
      <c r="A73" s="12"/>
      <c r="D73" s="95"/>
      <c r="E73" s="14"/>
      <c r="F73" s="96"/>
    </row>
    <row r="74">
      <c r="A74" s="12"/>
      <c r="D74" s="95"/>
      <c r="E74" s="14"/>
      <c r="F74" s="96"/>
    </row>
    <row r="75">
      <c r="A75" s="12"/>
      <c r="D75" s="95"/>
      <c r="E75" s="14"/>
      <c r="F75" s="96"/>
    </row>
    <row r="76">
      <c r="A76" s="12"/>
      <c r="D76" s="95"/>
      <c r="E76" s="14"/>
      <c r="F76" s="96"/>
    </row>
    <row r="77">
      <c r="A77" s="12"/>
      <c r="D77" s="95"/>
      <c r="E77" s="14"/>
      <c r="F77" s="96"/>
    </row>
    <row r="78">
      <c r="A78" s="12"/>
      <c r="D78" s="95"/>
      <c r="E78" s="14"/>
      <c r="F78" s="96"/>
    </row>
    <row r="79">
      <c r="A79" s="12"/>
      <c r="D79" s="95"/>
      <c r="E79" s="14"/>
      <c r="F79" s="96"/>
    </row>
    <row r="80">
      <c r="A80" s="12"/>
      <c r="D80" s="95"/>
      <c r="E80" s="14"/>
      <c r="F80" s="96"/>
    </row>
    <row r="81">
      <c r="A81" s="12"/>
      <c r="D81" s="95"/>
      <c r="E81" s="14"/>
      <c r="F81" s="96"/>
    </row>
    <row r="82">
      <c r="A82" s="12"/>
      <c r="D82" s="95"/>
      <c r="E82" s="14"/>
      <c r="F82" s="96"/>
    </row>
    <row r="83">
      <c r="A83" s="12"/>
      <c r="D83" s="95"/>
      <c r="E83" s="14"/>
      <c r="F83" s="96"/>
    </row>
    <row r="84">
      <c r="A84" s="12"/>
      <c r="D84" s="95"/>
      <c r="E84" s="14"/>
      <c r="F84" s="96"/>
    </row>
    <row r="85">
      <c r="A85" s="12"/>
      <c r="D85" s="95"/>
      <c r="E85" s="14"/>
      <c r="F85" s="96"/>
    </row>
    <row r="86">
      <c r="A86" s="12"/>
      <c r="D86" s="95"/>
      <c r="E86" s="14"/>
      <c r="F86" s="96"/>
    </row>
    <row r="87">
      <c r="A87" s="12"/>
      <c r="D87" s="95"/>
      <c r="E87" s="14"/>
      <c r="F87" s="96"/>
    </row>
    <row r="88">
      <c r="A88" s="12"/>
      <c r="D88" s="95"/>
      <c r="E88" s="14"/>
      <c r="F88" s="96"/>
    </row>
    <row r="89">
      <c r="A89" s="12"/>
      <c r="D89" s="95"/>
      <c r="E89" s="14"/>
      <c r="F89" s="96"/>
    </row>
    <row r="90">
      <c r="A90" s="12"/>
      <c r="D90" s="95"/>
      <c r="E90" s="14"/>
      <c r="F90" s="96"/>
    </row>
    <row r="91">
      <c r="A91" s="12"/>
      <c r="D91" s="95"/>
      <c r="E91" s="14"/>
      <c r="F91" s="96"/>
    </row>
    <row r="92">
      <c r="A92" s="12"/>
      <c r="D92" s="95"/>
      <c r="E92" s="14"/>
      <c r="F92" s="96"/>
    </row>
    <row r="93">
      <c r="A93" s="12"/>
      <c r="D93" s="95"/>
      <c r="E93" s="14"/>
      <c r="F93" s="96"/>
    </row>
    <row r="94">
      <c r="A94" s="12"/>
      <c r="D94" s="95"/>
      <c r="E94" s="14"/>
      <c r="F94" s="96"/>
    </row>
    <row r="95">
      <c r="A95" s="12"/>
      <c r="D95" s="95"/>
      <c r="E95" s="14"/>
      <c r="F95" s="96"/>
    </row>
    <row r="96">
      <c r="A96" s="12"/>
      <c r="D96" s="95"/>
      <c r="E96" s="14"/>
      <c r="F96" s="96"/>
    </row>
    <row r="97">
      <c r="A97" s="12"/>
      <c r="D97" s="95"/>
      <c r="E97" s="14"/>
      <c r="F97" s="96"/>
    </row>
    <row r="98">
      <c r="A98" s="12"/>
      <c r="D98" s="95"/>
      <c r="E98" s="14"/>
      <c r="F98" s="96"/>
    </row>
    <row r="99">
      <c r="A99" s="12"/>
      <c r="D99" s="95"/>
      <c r="E99" s="14"/>
      <c r="F99" s="96"/>
    </row>
    <row r="100">
      <c r="A100" s="12"/>
      <c r="D100" s="95"/>
      <c r="E100" s="14"/>
      <c r="F100" s="96"/>
    </row>
    <row r="101">
      <c r="A101" s="12"/>
      <c r="D101" s="95"/>
      <c r="E101" s="14"/>
      <c r="F101" s="96"/>
    </row>
    <row r="102">
      <c r="A102" s="12"/>
      <c r="D102" s="95"/>
      <c r="E102" s="14"/>
      <c r="F102" s="96"/>
    </row>
    <row r="103">
      <c r="A103" s="12"/>
      <c r="D103" s="95"/>
      <c r="E103" s="14"/>
      <c r="F103" s="96"/>
    </row>
    <row r="104">
      <c r="A104" s="12"/>
      <c r="D104" s="95"/>
      <c r="E104" s="14"/>
      <c r="F104" s="96"/>
    </row>
    <row r="105">
      <c r="A105" s="12"/>
      <c r="D105" s="95"/>
      <c r="E105" s="14"/>
      <c r="F105" s="96"/>
    </row>
    <row r="106">
      <c r="A106" s="12"/>
      <c r="D106" s="95"/>
      <c r="E106" s="14"/>
      <c r="F106" s="96"/>
    </row>
    <row r="107">
      <c r="A107" s="12"/>
      <c r="D107" s="95"/>
      <c r="E107" s="14"/>
      <c r="F107" s="96"/>
    </row>
    <row r="108">
      <c r="A108" s="12"/>
      <c r="D108" s="95"/>
      <c r="E108" s="14"/>
      <c r="F108" s="96"/>
    </row>
    <row r="109">
      <c r="A109" s="12"/>
      <c r="D109" s="95"/>
      <c r="E109" s="14"/>
      <c r="F109" s="96"/>
    </row>
    <row r="110">
      <c r="A110" s="12"/>
      <c r="D110" s="95"/>
      <c r="E110" s="14"/>
      <c r="F110" s="96"/>
    </row>
    <row r="111">
      <c r="A111" s="12"/>
      <c r="D111" s="95"/>
      <c r="E111" s="14"/>
      <c r="F111" s="96"/>
    </row>
    <row r="112">
      <c r="A112" s="12"/>
      <c r="D112" s="95"/>
      <c r="E112" s="14"/>
      <c r="F112" s="96"/>
    </row>
    <row r="113">
      <c r="A113" s="12"/>
      <c r="D113" s="95"/>
      <c r="E113" s="14"/>
      <c r="F113" s="96"/>
    </row>
    <row r="114">
      <c r="A114" s="12"/>
      <c r="D114" s="95"/>
      <c r="E114" s="14"/>
      <c r="F114" s="96"/>
    </row>
    <row r="115">
      <c r="A115" s="12"/>
      <c r="D115" s="95"/>
      <c r="E115" s="14"/>
      <c r="F115" s="96"/>
    </row>
    <row r="116">
      <c r="A116" s="12"/>
      <c r="D116" s="95"/>
      <c r="E116" s="14"/>
      <c r="F116" s="96"/>
    </row>
    <row r="117">
      <c r="A117" s="12"/>
      <c r="D117" s="95"/>
      <c r="E117" s="14"/>
      <c r="F117" s="96"/>
    </row>
    <row r="118">
      <c r="A118" s="12"/>
      <c r="D118" s="95"/>
      <c r="E118" s="14"/>
      <c r="F118" s="96"/>
    </row>
    <row r="119">
      <c r="A119" s="12"/>
      <c r="D119" s="95"/>
      <c r="E119" s="14"/>
      <c r="F119" s="96"/>
    </row>
    <row r="120">
      <c r="A120" s="12"/>
      <c r="D120" s="95"/>
      <c r="E120" s="14"/>
      <c r="F120" s="96"/>
    </row>
    <row r="121">
      <c r="A121" s="12"/>
      <c r="D121" s="95"/>
      <c r="E121" s="14"/>
      <c r="F121" s="96"/>
    </row>
    <row r="122">
      <c r="A122" s="12"/>
      <c r="D122" s="95"/>
      <c r="E122" s="14"/>
      <c r="F122" s="96"/>
    </row>
    <row r="123">
      <c r="A123" s="12"/>
      <c r="D123" s="95"/>
      <c r="E123" s="14"/>
      <c r="F123" s="96"/>
    </row>
    <row r="124">
      <c r="A124" s="12"/>
      <c r="D124" s="95"/>
      <c r="E124" s="14"/>
      <c r="F124" s="96"/>
    </row>
    <row r="125">
      <c r="A125" s="12"/>
      <c r="D125" s="95"/>
      <c r="E125" s="14"/>
      <c r="F125" s="96"/>
    </row>
    <row r="126">
      <c r="A126" s="12"/>
      <c r="D126" s="95"/>
      <c r="E126" s="14"/>
      <c r="F126" s="96"/>
    </row>
    <row r="127">
      <c r="A127" s="12"/>
      <c r="D127" s="95"/>
      <c r="E127" s="14"/>
      <c r="F127" s="96"/>
    </row>
    <row r="128">
      <c r="A128" s="12"/>
      <c r="D128" s="95"/>
      <c r="E128" s="14"/>
      <c r="F128" s="96"/>
    </row>
    <row r="129">
      <c r="A129" s="12"/>
      <c r="D129" s="95"/>
      <c r="E129" s="14"/>
      <c r="F129" s="96"/>
    </row>
    <row r="130">
      <c r="A130" s="12"/>
      <c r="D130" s="95"/>
      <c r="E130" s="14"/>
      <c r="F130" s="96"/>
    </row>
    <row r="131">
      <c r="A131" s="12"/>
      <c r="D131" s="95"/>
      <c r="E131" s="14"/>
      <c r="F131" s="96"/>
    </row>
    <row r="132">
      <c r="A132" s="12"/>
      <c r="D132" s="95"/>
      <c r="E132" s="14"/>
      <c r="F132" s="96"/>
    </row>
    <row r="133">
      <c r="A133" s="12"/>
      <c r="D133" s="95"/>
      <c r="E133" s="14"/>
      <c r="F133" s="96"/>
    </row>
    <row r="134">
      <c r="A134" s="12"/>
      <c r="D134" s="95"/>
      <c r="E134" s="14"/>
      <c r="F134" s="96"/>
    </row>
    <row r="135">
      <c r="A135" s="12"/>
      <c r="D135" s="95"/>
      <c r="E135" s="14"/>
      <c r="F135" s="96"/>
    </row>
    <row r="136">
      <c r="A136" s="12"/>
      <c r="D136" s="95"/>
      <c r="E136" s="14"/>
      <c r="F136" s="96"/>
    </row>
    <row r="137">
      <c r="A137" s="12"/>
      <c r="D137" s="95"/>
      <c r="E137" s="14"/>
      <c r="F137" s="96"/>
    </row>
    <row r="138">
      <c r="A138" s="12"/>
      <c r="D138" s="95"/>
      <c r="E138" s="14"/>
      <c r="F138" s="96"/>
    </row>
    <row r="139">
      <c r="A139" s="12"/>
      <c r="D139" s="95"/>
      <c r="E139" s="14"/>
      <c r="F139" s="96"/>
    </row>
    <row r="140">
      <c r="A140" s="12"/>
      <c r="D140" s="95"/>
      <c r="E140" s="14"/>
      <c r="F140" s="96"/>
    </row>
    <row r="141">
      <c r="A141" s="12"/>
      <c r="D141" s="95"/>
      <c r="E141" s="14"/>
      <c r="F141" s="96"/>
    </row>
    <row r="142">
      <c r="A142" s="12"/>
      <c r="D142" s="95"/>
      <c r="E142" s="14"/>
      <c r="F142" s="96"/>
    </row>
    <row r="143">
      <c r="A143" s="12"/>
      <c r="D143" s="95"/>
      <c r="E143" s="14"/>
      <c r="F143" s="96"/>
    </row>
    <row r="144">
      <c r="A144" s="12"/>
      <c r="D144" s="95"/>
      <c r="E144" s="14"/>
      <c r="F144" s="96"/>
    </row>
    <row r="145">
      <c r="A145" s="12"/>
      <c r="D145" s="95"/>
      <c r="E145" s="14"/>
      <c r="F145" s="96"/>
    </row>
    <row r="146">
      <c r="A146" s="12"/>
      <c r="D146" s="95"/>
      <c r="E146" s="14"/>
      <c r="F146" s="96"/>
    </row>
    <row r="147">
      <c r="A147" s="12"/>
      <c r="D147" s="95"/>
      <c r="E147" s="14"/>
      <c r="F147" s="96"/>
    </row>
    <row r="148">
      <c r="A148" s="12"/>
      <c r="D148" s="95"/>
      <c r="E148" s="14"/>
      <c r="F148" s="96"/>
    </row>
    <row r="149">
      <c r="A149" s="12"/>
      <c r="D149" s="95"/>
      <c r="E149" s="14"/>
      <c r="F149" s="96"/>
    </row>
    <row r="150">
      <c r="A150" s="12"/>
      <c r="D150" s="95"/>
      <c r="E150" s="14"/>
      <c r="F150" s="96"/>
    </row>
    <row r="151">
      <c r="A151" s="12"/>
      <c r="D151" s="95"/>
      <c r="E151" s="14"/>
      <c r="F151" s="96"/>
    </row>
    <row r="152">
      <c r="A152" s="12"/>
      <c r="D152" s="95"/>
      <c r="E152" s="14"/>
      <c r="F152" s="96"/>
    </row>
    <row r="153">
      <c r="A153" s="12"/>
      <c r="D153" s="95"/>
      <c r="E153" s="14"/>
      <c r="F153" s="96"/>
    </row>
    <row r="154">
      <c r="A154" s="12"/>
      <c r="D154" s="95"/>
      <c r="E154" s="14"/>
      <c r="F154" s="96"/>
    </row>
    <row r="155">
      <c r="A155" s="12"/>
      <c r="D155" s="95"/>
      <c r="E155" s="14"/>
      <c r="F155" s="96"/>
    </row>
    <row r="156">
      <c r="A156" s="12"/>
      <c r="D156" s="95"/>
      <c r="E156" s="14"/>
      <c r="F156" s="96"/>
    </row>
    <row r="157">
      <c r="A157" s="12"/>
      <c r="D157" s="95"/>
      <c r="E157" s="14"/>
      <c r="F157" s="96"/>
    </row>
    <row r="158">
      <c r="A158" s="12"/>
      <c r="D158" s="95"/>
      <c r="E158" s="14"/>
      <c r="F158" s="96"/>
    </row>
    <row r="159">
      <c r="A159" s="12"/>
      <c r="D159" s="95"/>
      <c r="E159" s="14"/>
      <c r="F159" s="96"/>
    </row>
    <row r="160">
      <c r="A160" s="12"/>
      <c r="D160" s="95"/>
      <c r="E160" s="14"/>
      <c r="F160" s="96"/>
    </row>
    <row r="161">
      <c r="A161" s="12"/>
      <c r="D161" s="95"/>
      <c r="E161" s="14"/>
      <c r="F161" s="96"/>
    </row>
    <row r="162">
      <c r="A162" s="12"/>
      <c r="D162" s="95"/>
      <c r="E162" s="14"/>
      <c r="F162" s="96"/>
    </row>
    <row r="163">
      <c r="A163" s="12"/>
      <c r="D163" s="95"/>
      <c r="E163" s="14"/>
      <c r="F163" s="96"/>
    </row>
    <row r="164">
      <c r="A164" s="12"/>
      <c r="D164" s="95"/>
      <c r="E164" s="14"/>
      <c r="F164" s="96"/>
    </row>
    <row r="165">
      <c r="A165" s="12"/>
      <c r="D165" s="95"/>
      <c r="E165" s="14"/>
      <c r="F165" s="96"/>
    </row>
    <row r="166">
      <c r="A166" s="12"/>
      <c r="D166" s="95"/>
      <c r="E166" s="14"/>
      <c r="F166" s="96"/>
    </row>
    <row r="167">
      <c r="A167" s="12"/>
      <c r="D167" s="95"/>
      <c r="E167" s="14"/>
      <c r="F167" s="96"/>
    </row>
    <row r="168">
      <c r="A168" s="12"/>
      <c r="D168" s="95"/>
      <c r="E168" s="14"/>
      <c r="F168" s="96"/>
    </row>
    <row r="169">
      <c r="A169" s="12"/>
      <c r="D169" s="95"/>
      <c r="E169" s="14"/>
      <c r="F169" s="96"/>
    </row>
    <row r="170">
      <c r="A170" s="12"/>
      <c r="D170" s="95"/>
      <c r="E170" s="14"/>
      <c r="F170" s="96"/>
    </row>
    <row r="171">
      <c r="A171" s="12"/>
      <c r="D171" s="95"/>
      <c r="E171" s="14"/>
      <c r="F171" s="96"/>
    </row>
    <row r="172">
      <c r="A172" s="12"/>
      <c r="D172" s="95"/>
      <c r="E172" s="14"/>
      <c r="F172" s="96"/>
    </row>
    <row r="173">
      <c r="A173" s="12"/>
      <c r="D173" s="95"/>
      <c r="E173" s="14"/>
      <c r="F173" s="96"/>
    </row>
    <row r="174">
      <c r="A174" s="12"/>
      <c r="D174" s="95"/>
      <c r="E174" s="14"/>
      <c r="F174" s="96"/>
    </row>
    <row r="175">
      <c r="A175" s="12"/>
      <c r="D175" s="95"/>
      <c r="E175" s="14"/>
      <c r="F175" s="96"/>
    </row>
    <row r="176">
      <c r="A176" s="12"/>
      <c r="D176" s="95"/>
      <c r="E176" s="14"/>
      <c r="F176" s="96"/>
    </row>
    <row r="177">
      <c r="A177" s="12"/>
      <c r="D177" s="95"/>
      <c r="E177" s="14"/>
      <c r="F177" s="96"/>
    </row>
    <row r="178">
      <c r="A178" s="12"/>
      <c r="D178" s="95"/>
      <c r="E178" s="14"/>
      <c r="F178" s="96"/>
    </row>
    <row r="179">
      <c r="A179" s="12"/>
      <c r="D179" s="95"/>
      <c r="E179" s="14"/>
      <c r="F179" s="96"/>
    </row>
    <row r="180">
      <c r="A180" s="12"/>
      <c r="D180" s="95"/>
      <c r="E180" s="14"/>
      <c r="F180" s="96"/>
    </row>
    <row r="181">
      <c r="A181" s="12"/>
      <c r="D181" s="95"/>
      <c r="E181" s="14"/>
      <c r="F181" s="96"/>
    </row>
    <row r="182">
      <c r="A182" s="12"/>
      <c r="D182" s="95"/>
      <c r="E182" s="14"/>
      <c r="F182" s="96"/>
    </row>
    <row r="183">
      <c r="A183" s="12"/>
      <c r="D183" s="95"/>
      <c r="E183" s="14"/>
      <c r="F183" s="96"/>
    </row>
    <row r="184">
      <c r="A184" s="12"/>
      <c r="D184" s="95"/>
      <c r="E184" s="14"/>
      <c r="F184" s="96"/>
    </row>
    <row r="185">
      <c r="A185" s="12"/>
      <c r="D185" s="95"/>
      <c r="E185" s="14"/>
      <c r="F185" s="96"/>
    </row>
    <row r="186">
      <c r="A186" s="12"/>
      <c r="D186" s="95"/>
      <c r="E186" s="14"/>
      <c r="F186" s="96"/>
    </row>
    <row r="187">
      <c r="A187" s="12"/>
      <c r="D187" s="95"/>
      <c r="E187" s="14"/>
      <c r="F187" s="96"/>
    </row>
    <row r="188">
      <c r="A188" s="12"/>
      <c r="D188" s="95"/>
      <c r="E188" s="14"/>
      <c r="F188" s="96"/>
    </row>
    <row r="189">
      <c r="A189" s="12"/>
      <c r="D189" s="95"/>
      <c r="E189" s="14"/>
      <c r="F189" s="96"/>
    </row>
    <row r="190">
      <c r="A190" s="12"/>
      <c r="D190" s="95"/>
      <c r="E190" s="14"/>
      <c r="F190" s="96"/>
    </row>
    <row r="191">
      <c r="A191" s="12"/>
      <c r="D191" s="95"/>
      <c r="E191" s="14"/>
      <c r="F191" s="96"/>
    </row>
    <row r="192">
      <c r="A192" s="12"/>
      <c r="D192" s="95"/>
      <c r="E192" s="14"/>
      <c r="F192" s="96"/>
    </row>
    <row r="193">
      <c r="A193" s="12"/>
      <c r="D193" s="95"/>
      <c r="E193" s="14"/>
      <c r="F193" s="96"/>
    </row>
    <row r="194">
      <c r="A194" s="12"/>
      <c r="D194" s="95"/>
      <c r="E194" s="14"/>
      <c r="F194" s="96"/>
    </row>
    <row r="195">
      <c r="A195" s="12"/>
      <c r="D195" s="95"/>
      <c r="E195" s="14"/>
      <c r="F195" s="96"/>
    </row>
    <row r="196">
      <c r="A196" s="12"/>
      <c r="D196" s="95"/>
      <c r="E196" s="14"/>
      <c r="F196" s="96"/>
    </row>
    <row r="197">
      <c r="A197" s="12"/>
      <c r="D197" s="95"/>
      <c r="E197" s="14"/>
      <c r="F197" s="96"/>
    </row>
    <row r="198">
      <c r="A198" s="12"/>
      <c r="D198" s="95"/>
      <c r="E198" s="14"/>
      <c r="F198" s="96"/>
    </row>
    <row r="199">
      <c r="A199" s="12"/>
      <c r="D199" s="95"/>
      <c r="E199" s="14"/>
      <c r="F199" s="96"/>
    </row>
    <row r="200">
      <c r="A200" s="12"/>
      <c r="D200" s="95"/>
      <c r="E200" s="14"/>
      <c r="F200" s="96"/>
    </row>
    <row r="201">
      <c r="A201" s="12"/>
      <c r="D201" s="95"/>
      <c r="E201" s="14"/>
      <c r="F201" s="96"/>
    </row>
    <row r="202">
      <c r="A202" s="12"/>
      <c r="D202" s="95"/>
      <c r="E202" s="14"/>
      <c r="F202" s="96"/>
    </row>
    <row r="203">
      <c r="A203" s="12"/>
      <c r="D203" s="95"/>
      <c r="E203" s="14"/>
      <c r="F203" s="96"/>
    </row>
    <row r="204">
      <c r="A204" s="12"/>
      <c r="D204" s="95"/>
      <c r="E204" s="14"/>
      <c r="F204" s="96"/>
    </row>
    <row r="205">
      <c r="A205" s="12"/>
      <c r="D205" s="95"/>
      <c r="E205" s="14"/>
      <c r="F205" s="96"/>
    </row>
    <row r="206">
      <c r="A206" s="12"/>
      <c r="D206" s="95"/>
      <c r="E206" s="14"/>
      <c r="F206" s="96"/>
    </row>
    <row r="207">
      <c r="A207" s="12"/>
      <c r="D207" s="95"/>
      <c r="E207" s="14"/>
      <c r="F207" s="96"/>
    </row>
    <row r="208">
      <c r="A208" s="12"/>
      <c r="D208" s="95"/>
      <c r="E208" s="14"/>
      <c r="F208" s="96"/>
    </row>
    <row r="209">
      <c r="A209" s="12"/>
      <c r="D209" s="95"/>
      <c r="E209" s="14"/>
      <c r="F209" s="96"/>
    </row>
    <row r="210">
      <c r="A210" s="12"/>
      <c r="D210" s="95"/>
      <c r="E210" s="14"/>
      <c r="F210" s="96"/>
    </row>
    <row r="211">
      <c r="A211" s="12"/>
      <c r="D211" s="95"/>
      <c r="E211" s="14"/>
      <c r="F211" s="96"/>
    </row>
    <row r="212">
      <c r="A212" s="12"/>
      <c r="D212" s="95"/>
      <c r="E212" s="14"/>
      <c r="F212" s="96"/>
    </row>
    <row r="213">
      <c r="A213" s="12"/>
      <c r="D213" s="95"/>
      <c r="E213" s="14"/>
      <c r="F213" s="96"/>
    </row>
    <row r="214">
      <c r="A214" s="12"/>
      <c r="D214" s="95"/>
      <c r="E214" s="14"/>
      <c r="F214" s="96"/>
    </row>
    <row r="215">
      <c r="A215" s="12"/>
      <c r="D215" s="95"/>
      <c r="E215" s="14"/>
      <c r="F215" s="96"/>
    </row>
    <row r="216">
      <c r="A216" s="12"/>
      <c r="D216" s="95"/>
      <c r="E216" s="14"/>
      <c r="F216" s="96"/>
    </row>
    <row r="217">
      <c r="A217" s="12"/>
      <c r="D217" s="95"/>
      <c r="E217" s="14"/>
      <c r="F217" s="96"/>
    </row>
    <row r="218">
      <c r="A218" s="12"/>
      <c r="D218" s="95"/>
      <c r="E218" s="14"/>
      <c r="F218" s="96"/>
    </row>
    <row r="219">
      <c r="A219" s="12"/>
      <c r="D219" s="95"/>
      <c r="E219" s="14"/>
      <c r="F219" s="96"/>
    </row>
    <row r="220">
      <c r="A220" s="12"/>
      <c r="D220" s="95"/>
      <c r="E220" s="14"/>
      <c r="F220" s="96"/>
    </row>
    <row r="221">
      <c r="A221" s="12"/>
      <c r="D221" s="95"/>
      <c r="E221" s="14"/>
      <c r="F221" s="96"/>
    </row>
    <row r="222">
      <c r="A222" s="12"/>
      <c r="D222" s="95"/>
      <c r="E222" s="14"/>
      <c r="F222" s="96"/>
    </row>
    <row r="223">
      <c r="A223" s="12"/>
      <c r="D223" s="95"/>
      <c r="E223" s="14"/>
      <c r="F223" s="96"/>
    </row>
    <row r="224">
      <c r="A224" s="12"/>
      <c r="D224" s="95"/>
      <c r="E224" s="14"/>
      <c r="F224" s="96"/>
    </row>
    <row r="225">
      <c r="A225" s="12"/>
      <c r="D225" s="95"/>
      <c r="E225" s="14"/>
      <c r="F225" s="96"/>
    </row>
    <row r="226">
      <c r="A226" s="12"/>
      <c r="D226" s="95"/>
      <c r="E226" s="14"/>
      <c r="F226" s="96"/>
    </row>
    <row r="227">
      <c r="A227" s="12"/>
      <c r="D227" s="95"/>
      <c r="E227" s="14"/>
      <c r="F227" s="96"/>
    </row>
    <row r="228">
      <c r="A228" s="12"/>
      <c r="D228" s="95"/>
      <c r="E228" s="14"/>
      <c r="F228" s="96"/>
    </row>
    <row r="229">
      <c r="A229" s="12"/>
      <c r="D229" s="95"/>
      <c r="E229" s="14"/>
      <c r="F229" s="96"/>
    </row>
    <row r="230">
      <c r="A230" s="12"/>
      <c r="D230" s="95"/>
      <c r="E230" s="14"/>
      <c r="F230" s="96"/>
    </row>
    <row r="231">
      <c r="A231" s="12"/>
      <c r="D231" s="95"/>
      <c r="E231" s="14"/>
      <c r="F231" s="96"/>
    </row>
    <row r="232">
      <c r="A232" s="12"/>
      <c r="D232" s="95"/>
      <c r="E232" s="14"/>
      <c r="F232" s="96"/>
    </row>
    <row r="233">
      <c r="A233" s="12"/>
      <c r="D233" s="95"/>
      <c r="E233" s="14"/>
      <c r="F233" s="96"/>
    </row>
    <row r="234">
      <c r="A234" s="12"/>
      <c r="D234" s="95"/>
      <c r="E234" s="14"/>
      <c r="F234" s="96"/>
    </row>
    <row r="235">
      <c r="A235" s="12"/>
      <c r="D235" s="95"/>
      <c r="E235" s="14"/>
      <c r="F235" s="96"/>
    </row>
    <row r="236">
      <c r="A236" s="12"/>
      <c r="D236" s="95"/>
      <c r="E236" s="14"/>
      <c r="F236" s="96"/>
    </row>
    <row r="237">
      <c r="A237" s="12"/>
      <c r="D237" s="95"/>
      <c r="E237" s="14"/>
      <c r="F237" s="96"/>
    </row>
    <row r="238">
      <c r="A238" s="12"/>
      <c r="D238" s="95"/>
      <c r="E238" s="14"/>
      <c r="F238" s="96"/>
    </row>
    <row r="239">
      <c r="A239" s="12"/>
      <c r="D239" s="95"/>
      <c r="E239" s="14"/>
      <c r="F239" s="96"/>
    </row>
    <row r="240">
      <c r="A240" s="12"/>
      <c r="D240" s="95"/>
      <c r="E240" s="14"/>
      <c r="F240" s="96"/>
    </row>
    <row r="241">
      <c r="A241" s="12"/>
      <c r="D241" s="95"/>
      <c r="E241" s="14"/>
      <c r="F241" s="96"/>
    </row>
    <row r="242">
      <c r="A242" s="12"/>
      <c r="D242" s="95"/>
      <c r="E242" s="14"/>
      <c r="F242" s="96"/>
    </row>
    <row r="243">
      <c r="A243" s="12"/>
      <c r="D243" s="95"/>
      <c r="E243" s="14"/>
      <c r="F243" s="96"/>
    </row>
    <row r="244">
      <c r="A244" s="12"/>
      <c r="D244" s="95"/>
      <c r="E244" s="14"/>
      <c r="F244" s="96"/>
    </row>
    <row r="245">
      <c r="A245" s="12"/>
      <c r="D245" s="95"/>
      <c r="E245" s="14"/>
      <c r="F245" s="96"/>
    </row>
    <row r="246">
      <c r="A246" s="12"/>
      <c r="D246" s="95"/>
      <c r="E246" s="14"/>
      <c r="F246" s="96"/>
    </row>
    <row r="247">
      <c r="A247" s="12"/>
      <c r="D247" s="95"/>
      <c r="E247" s="14"/>
      <c r="F247" s="96"/>
    </row>
    <row r="248">
      <c r="A248" s="12"/>
      <c r="D248" s="95"/>
      <c r="E248" s="14"/>
      <c r="F248" s="96"/>
    </row>
    <row r="249">
      <c r="A249" s="12"/>
      <c r="D249" s="95"/>
      <c r="E249" s="14"/>
      <c r="F249" s="96"/>
    </row>
    <row r="250">
      <c r="A250" s="12"/>
      <c r="D250" s="95"/>
      <c r="E250" s="14"/>
      <c r="F250" s="96"/>
    </row>
    <row r="251">
      <c r="A251" s="12"/>
      <c r="D251" s="95"/>
      <c r="E251" s="14"/>
      <c r="F251" s="96"/>
    </row>
    <row r="252">
      <c r="A252" s="12"/>
      <c r="D252" s="95"/>
      <c r="E252" s="14"/>
      <c r="F252" s="96"/>
    </row>
    <row r="253">
      <c r="A253" s="12"/>
      <c r="D253" s="95"/>
      <c r="E253" s="14"/>
      <c r="F253" s="96"/>
    </row>
    <row r="254">
      <c r="A254" s="12"/>
      <c r="D254" s="95"/>
      <c r="E254" s="14"/>
      <c r="F254" s="96"/>
    </row>
    <row r="255">
      <c r="A255" s="12"/>
      <c r="D255" s="95"/>
      <c r="E255" s="14"/>
      <c r="F255" s="96"/>
    </row>
    <row r="256">
      <c r="A256" s="12"/>
      <c r="D256" s="95"/>
      <c r="E256" s="14"/>
      <c r="F256" s="96"/>
    </row>
    <row r="257">
      <c r="A257" s="12"/>
      <c r="D257" s="95"/>
      <c r="E257" s="14"/>
      <c r="F257" s="96"/>
    </row>
    <row r="258">
      <c r="A258" s="12"/>
      <c r="D258" s="95"/>
      <c r="E258" s="14"/>
      <c r="F258" s="96"/>
    </row>
    <row r="259">
      <c r="A259" s="12"/>
      <c r="D259" s="95"/>
      <c r="E259" s="14"/>
      <c r="F259" s="96"/>
    </row>
    <row r="260">
      <c r="A260" s="12"/>
      <c r="D260" s="95"/>
      <c r="E260" s="14"/>
      <c r="F260" s="96"/>
    </row>
    <row r="261">
      <c r="A261" s="12"/>
      <c r="D261" s="95"/>
      <c r="E261" s="14"/>
      <c r="F261" s="96"/>
    </row>
    <row r="262">
      <c r="A262" s="12"/>
      <c r="D262" s="95"/>
      <c r="E262" s="14"/>
      <c r="F262" s="96"/>
    </row>
    <row r="263">
      <c r="A263" s="12"/>
      <c r="D263" s="95"/>
      <c r="E263" s="14"/>
      <c r="F263" s="96"/>
    </row>
    <row r="264">
      <c r="A264" s="12"/>
      <c r="D264" s="95"/>
      <c r="E264" s="14"/>
      <c r="F264" s="96"/>
    </row>
    <row r="265">
      <c r="A265" s="12"/>
      <c r="D265" s="95"/>
      <c r="E265" s="14"/>
      <c r="F265" s="96"/>
    </row>
    <row r="266">
      <c r="A266" s="12"/>
      <c r="D266" s="95"/>
      <c r="E266" s="14"/>
      <c r="F266" s="96"/>
    </row>
    <row r="267">
      <c r="A267" s="12"/>
      <c r="D267" s="95"/>
      <c r="E267" s="14"/>
      <c r="F267" s="96"/>
    </row>
    <row r="268">
      <c r="A268" s="12"/>
      <c r="D268" s="95"/>
      <c r="E268" s="14"/>
      <c r="F268" s="96"/>
    </row>
    <row r="269">
      <c r="A269" s="12"/>
      <c r="D269" s="95"/>
      <c r="E269" s="14"/>
      <c r="F269" s="96"/>
    </row>
    <row r="270">
      <c r="A270" s="12"/>
      <c r="D270" s="95"/>
      <c r="E270" s="14"/>
      <c r="F270" s="96"/>
    </row>
    <row r="271">
      <c r="A271" s="12"/>
      <c r="D271" s="95"/>
      <c r="E271" s="14"/>
      <c r="F271" s="96"/>
    </row>
    <row r="272">
      <c r="A272" s="12"/>
      <c r="D272" s="95"/>
      <c r="E272" s="14"/>
      <c r="F272" s="96"/>
    </row>
    <row r="273">
      <c r="A273" s="12"/>
      <c r="D273" s="95"/>
      <c r="E273" s="14"/>
      <c r="F273" s="96"/>
    </row>
    <row r="274">
      <c r="A274" s="12"/>
      <c r="D274" s="95"/>
      <c r="E274" s="14"/>
      <c r="F274" s="96"/>
    </row>
    <row r="275">
      <c r="A275" s="12"/>
      <c r="D275" s="95"/>
      <c r="E275" s="14"/>
      <c r="F275" s="96"/>
    </row>
    <row r="276">
      <c r="A276" s="12"/>
      <c r="D276" s="95"/>
      <c r="E276" s="14"/>
      <c r="F276" s="96"/>
    </row>
    <row r="277">
      <c r="A277" s="12"/>
      <c r="D277" s="95"/>
      <c r="E277" s="14"/>
      <c r="F277" s="96"/>
    </row>
    <row r="278">
      <c r="A278" s="12"/>
      <c r="D278" s="95"/>
      <c r="E278" s="14"/>
      <c r="F278" s="96"/>
    </row>
    <row r="279">
      <c r="A279" s="12"/>
      <c r="D279" s="95"/>
      <c r="E279" s="14"/>
      <c r="F279" s="96"/>
    </row>
    <row r="280">
      <c r="A280" s="12"/>
      <c r="D280" s="95"/>
      <c r="E280" s="14"/>
      <c r="F280" s="96"/>
    </row>
    <row r="281">
      <c r="A281" s="12"/>
      <c r="D281" s="95"/>
      <c r="E281" s="14"/>
      <c r="F281" s="96"/>
    </row>
    <row r="282">
      <c r="A282" s="12"/>
      <c r="D282" s="95"/>
      <c r="E282" s="14"/>
      <c r="F282" s="96"/>
    </row>
    <row r="283">
      <c r="A283" s="12"/>
      <c r="D283" s="95"/>
      <c r="E283" s="14"/>
      <c r="F283" s="96"/>
    </row>
    <row r="284">
      <c r="A284" s="12"/>
      <c r="D284" s="95"/>
      <c r="E284" s="14"/>
      <c r="F284" s="96"/>
    </row>
    <row r="285">
      <c r="A285" s="12"/>
      <c r="D285" s="95"/>
      <c r="E285" s="14"/>
      <c r="F285" s="96"/>
    </row>
    <row r="286">
      <c r="A286" s="12"/>
      <c r="D286" s="95"/>
      <c r="E286" s="14"/>
      <c r="F286" s="96"/>
    </row>
    <row r="287">
      <c r="A287" s="12"/>
      <c r="D287" s="95"/>
      <c r="E287" s="14"/>
      <c r="F287" s="96"/>
    </row>
    <row r="288">
      <c r="A288" s="12"/>
      <c r="D288" s="95"/>
      <c r="E288" s="14"/>
      <c r="F288" s="96"/>
    </row>
    <row r="289">
      <c r="A289" s="12"/>
      <c r="D289" s="95"/>
      <c r="E289" s="14"/>
      <c r="F289" s="96"/>
    </row>
    <row r="290">
      <c r="A290" s="12"/>
      <c r="D290" s="95"/>
      <c r="E290" s="14"/>
      <c r="F290" s="96"/>
    </row>
    <row r="291">
      <c r="A291" s="12"/>
      <c r="D291" s="95"/>
      <c r="E291" s="14"/>
      <c r="F291" s="96"/>
    </row>
    <row r="292">
      <c r="A292" s="12"/>
      <c r="D292" s="95"/>
      <c r="E292" s="14"/>
      <c r="F292" s="96"/>
    </row>
    <row r="293">
      <c r="A293" s="12"/>
      <c r="D293" s="95"/>
      <c r="E293" s="14"/>
      <c r="F293" s="96"/>
    </row>
    <row r="294">
      <c r="A294" s="12"/>
      <c r="D294" s="95"/>
      <c r="E294" s="14"/>
      <c r="F294" s="96"/>
    </row>
    <row r="295">
      <c r="A295" s="12"/>
      <c r="D295" s="95"/>
      <c r="E295" s="14"/>
      <c r="F295" s="96"/>
    </row>
    <row r="296">
      <c r="A296" s="12"/>
      <c r="D296" s="95"/>
      <c r="E296" s="14"/>
      <c r="F296" s="96"/>
    </row>
    <row r="297">
      <c r="A297" s="12"/>
      <c r="D297" s="95"/>
      <c r="E297" s="14"/>
      <c r="F297" s="96"/>
    </row>
    <row r="298">
      <c r="A298" s="12"/>
      <c r="D298" s="95"/>
      <c r="E298" s="14"/>
      <c r="F298" s="96"/>
    </row>
    <row r="299">
      <c r="A299" s="12"/>
      <c r="D299" s="95"/>
      <c r="E299" s="14"/>
      <c r="F299" s="96"/>
    </row>
    <row r="300">
      <c r="A300" s="12"/>
      <c r="D300" s="95"/>
      <c r="E300" s="14"/>
      <c r="F300" s="96"/>
    </row>
    <row r="301">
      <c r="A301" s="12"/>
      <c r="D301" s="95"/>
      <c r="E301" s="14"/>
      <c r="F301" s="96"/>
    </row>
    <row r="302">
      <c r="A302" s="12"/>
      <c r="D302" s="95"/>
      <c r="E302" s="14"/>
      <c r="F302" s="96"/>
    </row>
    <row r="303">
      <c r="A303" s="12"/>
      <c r="D303" s="95"/>
      <c r="E303" s="14"/>
      <c r="F303" s="96"/>
    </row>
    <row r="304">
      <c r="A304" s="12"/>
      <c r="D304" s="95"/>
      <c r="E304" s="14"/>
      <c r="F304" s="96"/>
    </row>
    <row r="305">
      <c r="A305" s="12"/>
      <c r="D305" s="95"/>
      <c r="E305" s="14"/>
      <c r="F305" s="96"/>
    </row>
    <row r="306">
      <c r="A306" s="12"/>
      <c r="D306" s="95"/>
      <c r="E306" s="14"/>
      <c r="F306" s="96"/>
    </row>
    <row r="307">
      <c r="A307" s="12"/>
      <c r="D307" s="95"/>
      <c r="E307" s="14"/>
      <c r="F307" s="96"/>
    </row>
    <row r="308">
      <c r="A308" s="12"/>
      <c r="D308" s="95"/>
      <c r="E308" s="14"/>
      <c r="F308" s="96"/>
    </row>
    <row r="309">
      <c r="A309" s="12"/>
      <c r="D309" s="95"/>
      <c r="E309" s="14"/>
      <c r="F309" s="96"/>
    </row>
    <row r="310">
      <c r="A310" s="12"/>
      <c r="D310" s="95"/>
      <c r="E310" s="14"/>
      <c r="F310" s="96"/>
    </row>
    <row r="311">
      <c r="A311" s="12"/>
      <c r="D311" s="95"/>
      <c r="E311" s="14"/>
      <c r="F311" s="96"/>
    </row>
    <row r="312">
      <c r="A312" s="12"/>
      <c r="D312" s="95"/>
      <c r="E312" s="14"/>
      <c r="F312" s="96"/>
    </row>
    <row r="313">
      <c r="A313" s="12"/>
      <c r="D313" s="95"/>
      <c r="E313" s="14"/>
      <c r="F313" s="96"/>
    </row>
    <row r="314">
      <c r="A314" s="12"/>
      <c r="D314" s="95"/>
      <c r="E314" s="14"/>
      <c r="F314" s="96"/>
    </row>
    <row r="315">
      <c r="A315" s="12"/>
      <c r="D315" s="95"/>
      <c r="E315" s="14"/>
      <c r="F315" s="96"/>
    </row>
    <row r="316">
      <c r="A316" s="12"/>
      <c r="D316" s="95"/>
      <c r="E316" s="14"/>
      <c r="F316" s="96"/>
    </row>
    <row r="317">
      <c r="A317" s="12"/>
      <c r="D317" s="95"/>
      <c r="E317" s="14"/>
      <c r="F317" s="96"/>
    </row>
    <row r="318">
      <c r="A318" s="12"/>
      <c r="D318" s="95"/>
      <c r="E318" s="14"/>
      <c r="F318" s="96"/>
    </row>
    <row r="319">
      <c r="A319" s="12"/>
      <c r="D319" s="95"/>
      <c r="E319" s="14"/>
      <c r="F319" s="96"/>
    </row>
    <row r="320">
      <c r="A320" s="12"/>
      <c r="D320" s="95"/>
      <c r="E320" s="14"/>
      <c r="F320" s="96"/>
    </row>
    <row r="321">
      <c r="A321" s="12"/>
      <c r="D321" s="95"/>
      <c r="E321" s="14"/>
      <c r="F321" s="96"/>
    </row>
    <row r="322">
      <c r="A322" s="12"/>
      <c r="D322" s="95"/>
      <c r="E322" s="14"/>
      <c r="F322" s="96"/>
    </row>
    <row r="323">
      <c r="A323" s="12"/>
      <c r="D323" s="95"/>
      <c r="E323" s="14"/>
      <c r="F323" s="96"/>
    </row>
    <row r="324">
      <c r="A324" s="12"/>
      <c r="D324" s="95"/>
      <c r="E324" s="14"/>
      <c r="F324" s="96"/>
    </row>
    <row r="325">
      <c r="A325" s="12"/>
      <c r="D325" s="95"/>
      <c r="E325" s="14"/>
      <c r="F325" s="96"/>
    </row>
    <row r="326">
      <c r="A326" s="12"/>
      <c r="D326" s="95"/>
      <c r="E326" s="14"/>
      <c r="F326" s="96"/>
    </row>
    <row r="327">
      <c r="A327" s="12"/>
      <c r="D327" s="95"/>
      <c r="E327" s="14"/>
      <c r="F327" s="96"/>
    </row>
    <row r="328">
      <c r="A328" s="12"/>
      <c r="D328" s="95"/>
      <c r="E328" s="14"/>
      <c r="F328" s="96"/>
    </row>
    <row r="329">
      <c r="A329" s="12"/>
      <c r="D329" s="95"/>
      <c r="E329" s="14"/>
      <c r="F329" s="96"/>
    </row>
    <row r="330">
      <c r="A330" s="12"/>
      <c r="D330" s="95"/>
      <c r="E330" s="14"/>
      <c r="F330" s="96"/>
    </row>
    <row r="331">
      <c r="A331" s="12"/>
      <c r="D331" s="95"/>
      <c r="E331" s="14"/>
      <c r="F331" s="96"/>
    </row>
    <row r="332">
      <c r="A332" s="12"/>
      <c r="D332" s="95"/>
      <c r="E332" s="14"/>
      <c r="F332" s="96"/>
    </row>
    <row r="333">
      <c r="A333" s="12"/>
      <c r="D333" s="95"/>
      <c r="E333" s="14"/>
      <c r="F333" s="96"/>
    </row>
    <row r="334">
      <c r="A334" s="12"/>
      <c r="D334" s="95"/>
      <c r="E334" s="14"/>
      <c r="F334" s="96"/>
    </row>
    <row r="335">
      <c r="A335" s="12"/>
      <c r="D335" s="95"/>
      <c r="E335" s="14"/>
      <c r="F335" s="96"/>
    </row>
    <row r="336">
      <c r="A336" s="12"/>
      <c r="D336" s="95"/>
      <c r="E336" s="14"/>
      <c r="F336" s="96"/>
    </row>
    <row r="337">
      <c r="A337" s="12"/>
      <c r="D337" s="95"/>
      <c r="E337" s="14"/>
      <c r="F337" s="96"/>
    </row>
    <row r="338">
      <c r="A338" s="12"/>
      <c r="D338" s="95"/>
      <c r="E338" s="14"/>
      <c r="F338" s="96"/>
    </row>
    <row r="339">
      <c r="A339" s="12"/>
      <c r="D339" s="95"/>
      <c r="E339" s="14"/>
      <c r="F339" s="96"/>
    </row>
    <row r="340">
      <c r="A340" s="12"/>
      <c r="D340" s="95"/>
      <c r="E340" s="14"/>
      <c r="F340" s="96"/>
    </row>
    <row r="341">
      <c r="A341" s="12"/>
      <c r="D341" s="95"/>
      <c r="E341" s="14"/>
      <c r="F341" s="96"/>
    </row>
    <row r="342">
      <c r="A342" s="12"/>
      <c r="D342" s="95"/>
      <c r="E342" s="14"/>
      <c r="F342" s="96"/>
    </row>
    <row r="343">
      <c r="A343" s="12"/>
      <c r="D343" s="95"/>
      <c r="E343" s="14"/>
      <c r="F343" s="96"/>
    </row>
    <row r="344">
      <c r="A344" s="12"/>
      <c r="D344" s="95"/>
      <c r="E344" s="14"/>
      <c r="F344" s="96"/>
    </row>
    <row r="345">
      <c r="A345" s="12"/>
      <c r="D345" s="95"/>
      <c r="E345" s="14"/>
      <c r="F345" s="96"/>
    </row>
    <row r="346">
      <c r="A346" s="12"/>
      <c r="D346" s="95"/>
      <c r="E346" s="14"/>
      <c r="F346" s="96"/>
    </row>
    <row r="347">
      <c r="A347" s="12"/>
      <c r="D347" s="95"/>
      <c r="E347" s="14"/>
      <c r="F347" s="96"/>
    </row>
    <row r="348">
      <c r="A348" s="12"/>
      <c r="D348" s="95"/>
      <c r="E348" s="14"/>
      <c r="F348" s="96"/>
    </row>
    <row r="349">
      <c r="A349" s="12"/>
      <c r="D349" s="95"/>
      <c r="E349" s="14"/>
      <c r="F349" s="96"/>
    </row>
    <row r="350">
      <c r="A350" s="12"/>
      <c r="D350" s="95"/>
      <c r="E350" s="14"/>
      <c r="F350" s="96"/>
    </row>
    <row r="351">
      <c r="A351" s="12"/>
      <c r="D351" s="95"/>
      <c r="E351" s="14"/>
      <c r="F351" s="96"/>
    </row>
    <row r="352">
      <c r="A352" s="12"/>
      <c r="D352" s="95"/>
      <c r="E352" s="14"/>
      <c r="F352" s="96"/>
    </row>
    <row r="353">
      <c r="A353" s="12"/>
      <c r="D353" s="95"/>
      <c r="E353" s="14"/>
      <c r="F353" s="96"/>
    </row>
    <row r="354">
      <c r="A354" s="12"/>
      <c r="D354" s="95"/>
      <c r="E354" s="14"/>
      <c r="F354" s="96"/>
    </row>
    <row r="355">
      <c r="A355" s="12"/>
      <c r="D355" s="95"/>
      <c r="E355" s="14"/>
      <c r="F355" s="96"/>
    </row>
    <row r="356">
      <c r="A356" s="12"/>
      <c r="D356" s="95"/>
      <c r="E356" s="14"/>
      <c r="F356" s="96"/>
    </row>
    <row r="357">
      <c r="A357" s="12"/>
      <c r="D357" s="95"/>
      <c r="E357" s="14"/>
      <c r="F357" s="96"/>
    </row>
    <row r="358">
      <c r="A358" s="12"/>
      <c r="D358" s="95"/>
      <c r="E358" s="14"/>
      <c r="F358" s="96"/>
    </row>
    <row r="359">
      <c r="A359" s="12"/>
      <c r="D359" s="95"/>
      <c r="E359" s="14"/>
      <c r="F359" s="96"/>
    </row>
    <row r="360">
      <c r="A360" s="12"/>
      <c r="D360" s="95"/>
      <c r="E360" s="14"/>
      <c r="F360" s="96"/>
    </row>
    <row r="361">
      <c r="A361" s="12"/>
      <c r="D361" s="95"/>
      <c r="E361" s="14"/>
      <c r="F361" s="96"/>
    </row>
    <row r="362">
      <c r="A362" s="12"/>
      <c r="D362" s="95"/>
      <c r="E362" s="14"/>
      <c r="F362" s="96"/>
    </row>
    <row r="363">
      <c r="A363" s="12"/>
      <c r="D363" s="95"/>
      <c r="E363" s="14"/>
      <c r="F363" s="96"/>
    </row>
    <row r="364">
      <c r="A364" s="12"/>
      <c r="D364" s="95"/>
      <c r="E364" s="14"/>
      <c r="F364" s="96"/>
    </row>
    <row r="365">
      <c r="A365" s="12"/>
      <c r="D365" s="95"/>
      <c r="E365" s="14"/>
      <c r="F365" s="96"/>
    </row>
    <row r="366">
      <c r="A366" s="12"/>
      <c r="D366" s="95"/>
      <c r="E366" s="14"/>
      <c r="F366" s="96"/>
    </row>
    <row r="367">
      <c r="A367" s="12"/>
      <c r="D367" s="95"/>
      <c r="E367" s="14"/>
      <c r="F367" s="96"/>
    </row>
    <row r="368">
      <c r="A368" s="12"/>
      <c r="D368" s="95"/>
      <c r="E368" s="14"/>
      <c r="F368" s="96"/>
    </row>
    <row r="369">
      <c r="A369" s="12"/>
      <c r="D369" s="95"/>
      <c r="E369" s="14"/>
      <c r="F369" s="96"/>
    </row>
    <row r="370">
      <c r="A370" s="12"/>
      <c r="D370" s="95"/>
      <c r="E370" s="14"/>
      <c r="F370" s="96"/>
    </row>
    <row r="371">
      <c r="A371" s="12"/>
      <c r="D371" s="95"/>
      <c r="E371" s="14"/>
      <c r="F371" s="96"/>
    </row>
    <row r="372">
      <c r="A372" s="12"/>
      <c r="D372" s="95"/>
      <c r="E372" s="14"/>
      <c r="F372" s="96"/>
    </row>
    <row r="373">
      <c r="A373" s="12"/>
      <c r="D373" s="95"/>
      <c r="E373" s="14"/>
      <c r="F373" s="96"/>
    </row>
    <row r="374">
      <c r="A374" s="12"/>
      <c r="D374" s="95"/>
      <c r="E374" s="14"/>
      <c r="F374" s="96"/>
    </row>
    <row r="375">
      <c r="A375" s="12"/>
      <c r="D375" s="95"/>
      <c r="E375" s="14"/>
      <c r="F375" s="96"/>
    </row>
    <row r="376">
      <c r="A376" s="12"/>
      <c r="D376" s="95"/>
      <c r="E376" s="14"/>
      <c r="F376" s="96"/>
    </row>
    <row r="377">
      <c r="A377" s="12"/>
      <c r="D377" s="95"/>
      <c r="E377" s="14"/>
      <c r="F377" s="96"/>
    </row>
    <row r="378">
      <c r="A378" s="12"/>
      <c r="D378" s="95"/>
      <c r="E378" s="14"/>
      <c r="F378" s="96"/>
    </row>
    <row r="379">
      <c r="A379" s="12"/>
      <c r="D379" s="95"/>
      <c r="E379" s="14"/>
      <c r="F379" s="96"/>
    </row>
    <row r="380">
      <c r="A380" s="12"/>
      <c r="D380" s="95"/>
      <c r="E380" s="14"/>
      <c r="F380" s="96"/>
    </row>
    <row r="381">
      <c r="A381" s="12"/>
      <c r="D381" s="95"/>
      <c r="E381" s="14"/>
      <c r="F381" s="96"/>
    </row>
    <row r="382">
      <c r="A382" s="12"/>
      <c r="D382" s="95"/>
      <c r="E382" s="14"/>
      <c r="F382" s="96"/>
    </row>
    <row r="383">
      <c r="A383" s="12"/>
      <c r="D383" s="95"/>
      <c r="E383" s="14"/>
      <c r="F383" s="96"/>
    </row>
    <row r="384">
      <c r="A384" s="12"/>
      <c r="D384" s="95"/>
      <c r="E384" s="14"/>
      <c r="F384" s="96"/>
    </row>
    <row r="385">
      <c r="A385" s="12"/>
      <c r="D385" s="95"/>
      <c r="E385" s="14"/>
      <c r="F385" s="96"/>
    </row>
    <row r="386">
      <c r="A386" s="12"/>
      <c r="D386" s="95"/>
      <c r="E386" s="14"/>
      <c r="F386" s="96"/>
    </row>
    <row r="387">
      <c r="A387" s="12"/>
      <c r="D387" s="95"/>
      <c r="E387" s="14"/>
      <c r="F387" s="96"/>
    </row>
    <row r="388">
      <c r="A388" s="12"/>
      <c r="D388" s="95"/>
      <c r="E388" s="14"/>
      <c r="F388" s="96"/>
    </row>
    <row r="389">
      <c r="A389" s="12"/>
      <c r="D389" s="95"/>
      <c r="E389" s="14"/>
      <c r="F389" s="96"/>
    </row>
    <row r="390">
      <c r="A390" s="12"/>
      <c r="D390" s="95"/>
      <c r="E390" s="14"/>
      <c r="F390" s="96"/>
    </row>
    <row r="391">
      <c r="A391" s="12"/>
      <c r="D391" s="95"/>
      <c r="E391" s="14"/>
      <c r="F391" s="96"/>
    </row>
    <row r="392">
      <c r="A392" s="12"/>
      <c r="D392" s="95"/>
      <c r="E392" s="14"/>
      <c r="F392" s="96"/>
    </row>
    <row r="393">
      <c r="A393" s="12"/>
      <c r="D393" s="95"/>
      <c r="E393" s="14"/>
      <c r="F393" s="96"/>
    </row>
    <row r="394">
      <c r="A394" s="12"/>
      <c r="D394" s="95"/>
      <c r="E394" s="14"/>
      <c r="F394" s="96"/>
    </row>
    <row r="395">
      <c r="A395" s="12"/>
      <c r="D395" s="95"/>
      <c r="E395" s="14"/>
      <c r="F395" s="96"/>
    </row>
    <row r="396">
      <c r="A396" s="12"/>
      <c r="D396" s="95"/>
      <c r="E396" s="14"/>
      <c r="F396" s="96"/>
    </row>
    <row r="397">
      <c r="A397" s="12"/>
      <c r="D397" s="95"/>
      <c r="E397" s="14"/>
      <c r="F397" s="96"/>
    </row>
    <row r="398">
      <c r="A398" s="12"/>
      <c r="D398" s="95"/>
      <c r="E398" s="14"/>
      <c r="F398" s="96"/>
    </row>
    <row r="399">
      <c r="A399" s="12"/>
      <c r="D399" s="95"/>
      <c r="E399" s="14"/>
      <c r="F399" s="96"/>
    </row>
    <row r="400">
      <c r="A400" s="12"/>
      <c r="D400" s="95"/>
      <c r="E400" s="14"/>
      <c r="F400" s="96"/>
    </row>
    <row r="401">
      <c r="A401" s="12"/>
      <c r="D401" s="95"/>
      <c r="E401" s="14"/>
      <c r="F401" s="96"/>
    </row>
    <row r="402">
      <c r="A402" s="12"/>
      <c r="D402" s="95"/>
      <c r="E402" s="14"/>
      <c r="F402" s="96"/>
    </row>
    <row r="403">
      <c r="A403" s="12"/>
      <c r="D403" s="95"/>
      <c r="E403" s="14"/>
      <c r="F403" s="96"/>
    </row>
    <row r="404">
      <c r="A404" s="12"/>
      <c r="D404" s="95"/>
      <c r="E404" s="14"/>
      <c r="F404" s="96"/>
    </row>
    <row r="405">
      <c r="A405" s="12"/>
      <c r="D405" s="95"/>
      <c r="E405" s="14"/>
      <c r="F405" s="96"/>
    </row>
    <row r="406">
      <c r="A406" s="12"/>
      <c r="D406" s="95"/>
      <c r="E406" s="14"/>
      <c r="F406" s="96"/>
    </row>
    <row r="407">
      <c r="A407" s="12"/>
      <c r="D407" s="95"/>
      <c r="E407" s="14"/>
      <c r="F407" s="96"/>
    </row>
    <row r="408">
      <c r="A408" s="12"/>
      <c r="D408" s="95"/>
      <c r="E408" s="14"/>
      <c r="F408" s="96"/>
    </row>
    <row r="409">
      <c r="A409" s="12"/>
      <c r="D409" s="95"/>
      <c r="E409" s="14"/>
      <c r="F409" s="96"/>
    </row>
    <row r="410">
      <c r="A410" s="12"/>
      <c r="D410" s="95"/>
      <c r="E410" s="14"/>
      <c r="F410" s="96"/>
    </row>
    <row r="411">
      <c r="A411" s="12"/>
      <c r="D411" s="95"/>
      <c r="E411" s="14"/>
      <c r="F411" s="96"/>
    </row>
    <row r="412">
      <c r="A412" s="12"/>
      <c r="D412" s="95"/>
      <c r="E412" s="14"/>
      <c r="F412" s="96"/>
    </row>
    <row r="413">
      <c r="A413" s="12"/>
      <c r="D413" s="95"/>
      <c r="E413" s="14"/>
      <c r="F413" s="96"/>
    </row>
    <row r="414">
      <c r="A414" s="12"/>
      <c r="D414" s="95"/>
      <c r="E414" s="14"/>
      <c r="F414" s="96"/>
    </row>
    <row r="415">
      <c r="A415" s="12"/>
      <c r="D415" s="95"/>
      <c r="E415" s="14"/>
      <c r="F415" s="96"/>
    </row>
    <row r="416">
      <c r="A416" s="12"/>
      <c r="D416" s="95"/>
      <c r="E416" s="14"/>
      <c r="F416" s="96"/>
    </row>
    <row r="417">
      <c r="A417" s="12"/>
      <c r="D417" s="95"/>
      <c r="E417" s="14"/>
      <c r="F417" s="96"/>
    </row>
    <row r="418">
      <c r="A418" s="12"/>
      <c r="D418" s="95"/>
      <c r="E418" s="14"/>
      <c r="F418" s="96"/>
    </row>
    <row r="419">
      <c r="A419" s="12"/>
      <c r="D419" s="95"/>
      <c r="E419" s="14"/>
      <c r="F419" s="96"/>
    </row>
    <row r="420">
      <c r="A420" s="12"/>
      <c r="D420" s="95"/>
      <c r="E420" s="14"/>
      <c r="F420" s="96"/>
    </row>
    <row r="421">
      <c r="A421" s="12"/>
      <c r="D421" s="95"/>
      <c r="E421" s="14"/>
      <c r="F421" s="96"/>
    </row>
    <row r="422">
      <c r="A422" s="12"/>
      <c r="D422" s="95"/>
      <c r="E422" s="14"/>
      <c r="F422" s="96"/>
    </row>
    <row r="423">
      <c r="A423" s="12"/>
      <c r="D423" s="95"/>
      <c r="E423" s="14"/>
      <c r="F423" s="96"/>
    </row>
    <row r="424">
      <c r="A424" s="12"/>
      <c r="D424" s="95"/>
      <c r="E424" s="14"/>
      <c r="F424" s="96"/>
    </row>
    <row r="425">
      <c r="A425" s="12"/>
      <c r="D425" s="95"/>
      <c r="E425" s="14"/>
      <c r="F425" s="96"/>
    </row>
    <row r="426">
      <c r="A426" s="12"/>
      <c r="D426" s="95"/>
      <c r="E426" s="14"/>
      <c r="F426" s="96"/>
    </row>
    <row r="427">
      <c r="A427" s="12"/>
      <c r="D427" s="95"/>
      <c r="E427" s="14"/>
      <c r="F427" s="96"/>
    </row>
    <row r="428">
      <c r="A428" s="12"/>
      <c r="D428" s="95"/>
      <c r="E428" s="14"/>
      <c r="F428" s="96"/>
    </row>
    <row r="429">
      <c r="A429" s="12"/>
      <c r="D429" s="95"/>
      <c r="E429" s="14"/>
      <c r="F429" s="96"/>
    </row>
    <row r="430">
      <c r="A430" s="12"/>
      <c r="D430" s="95"/>
      <c r="E430" s="14"/>
      <c r="F430" s="96"/>
    </row>
    <row r="431">
      <c r="A431" s="12"/>
      <c r="D431" s="95"/>
      <c r="E431" s="14"/>
      <c r="F431" s="96"/>
    </row>
    <row r="432">
      <c r="A432" s="12"/>
      <c r="D432" s="95"/>
      <c r="E432" s="14"/>
      <c r="F432" s="96"/>
    </row>
    <row r="433">
      <c r="A433" s="12"/>
      <c r="D433" s="95"/>
      <c r="E433" s="14"/>
      <c r="F433" s="96"/>
    </row>
    <row r="434">
      <c r="A434" s="12"/>
      <c r="D434" s="95"/>
      <c r="E434" s="14"/>
      <c r="F434" s="96"/>
    </row>
    <row r="435">
      <c r="A435" s="12"/>
      <c r="D435" s="95"/>
      <c r="E435" s="14"/>
      <c r="F435" s="96"/>
    </row>
    <row r="436">
      <c r="A436" s="12"/>
      <c r="D436" s="95"/>
      <c r="E436" s="14"/>
      <c r="F436" s="96"/>
    </row>
    <row r="437">
      <c r="A437" s="12"/>
      <c r="D437" s="95"/>
      <c r="E437" s="14"/>
      <c r="F437" s="96"/>
    </row>
    <row r="438">
      <c r="A438" s="12"/>
      <c r="D438" s="95"/>
      <c r="E438" s="14"/>
      <c r="F438" s="96"/>
    </row>
    <row r="439">
      <c r="A439" s="12"/>
      <c r="D439" s="95"/>
      <c r="E439" s="14"/>
      <c r="F439" s="96"/>
    </row>
    <row r="440">
      <c r="A440" s="12"/>
      <c r="D440" s="95"/>
      <c r="E440" s="14"/>
      <c r="F440" s="96"/>
    </row>
    <row r="441">
      <c r="A441" s="12"/>
      <c r="D441" s="95"/>
      <c r="E441" s="14"/>
      <c r="F441" s="96"/>
    </row>
    <row r="442">
      <c r="A442" s="12"/>
      <c r="D442" s="95"/>
      <c r="E442" s="14"/>
      <c r="F442" s="96"/>
    </row>
    <row r="443">
      <c r="A443" s="12"/>
      <c r="D443" s="95"/>
      <c r="E443" s="14"/>
      <c r="F443" s="96"/>
    </row>
    <row r="444">
      <c r="A444" s="12"/>
      <c r="D444" s="95"/>
      <c r="E444" s="14"/>
      <c r="F444" s="96"/>
    </row>
    <row r="445">
      <c r="A445" s="12"/>
      <c r="D445" s="95"/>
      <c r="E445" s="14"/>
      <c r="F445" s="96"/>
    </row>
    <row r="446">
      <c r="A446" s="12"/>
      <c r="D446" s="95"/>
      <c r="E446" s="14"/>
      <c r="F446" s="96"/>
    </row>
    <row r="447">
      <c r="A447" s="12"/>
      <c r="D447" s="95"/>
      <c r="E447" s="14"/>
      <c r="F447" s="96"/>
    </row>
    <row r="448">
      <c r="A448" s="12"/>
      <c r="D448" s="95"/>
      <c r="E448" s="14"/>
      <c r="F448" s="96"/>
    </row>
    <row r="449">
      <c r="A449" s="12"/>
      <c r="D449" s="95"/>
      <c r="E449" s="14"/>
      <c r="F449" s="96"/>
    </row>
    <row r="450">
      <c r="A450" s="12"/>
      <c r="D450" s="95"/>
      <c r="E450" s="14"/>
      <c r="F450" s="96"/>
    </row>
    <row r="451">
      <c r="A451" s="12"/>
      <c r="D451" s="95"/>
      <c r="E451" s="14"/>
      <c r="F451" s="96"/>
    </row>
    <row r="452">
      <c r="A452" s="12"/>
      <c r="D452" s="95"/>
      <c r="E452" s="14"/>
      <c r="F452" s="96"/>
    </row>
    <row r="453">
      <c r="A453" s="12"/>
      <c r="D453" s="95"/>
      <c r="E453" s="14"/>
      <c r="F453" s="96"/>
    </row>
    <row r="454">
      <c r="A454" s="12"/>
      <c r="D454" s="95"/>
      <c r="E454" s="14"/>
      <c r="F454" s="96"/>
    </row>
    <row r="455">
      <c r="A455" s="12"/>
      <c r="D455" s="95"/>
      <c r="E455" s="14"/>
      <c r="F455" s="96"/>
    </row>
    <row r="456">
      <c r="A456" s="12"/>
      <c r="D456" s="95"/>
      <c r="E456" s="14"/>
      <c r="F456" s="96"/>
    </row>
    <row r="457">
      <c r="A457" s="12"/>
      <c r="D457" s="95"/>
      <c r="E457" s="14"/>
      <c r="F457" s="96"/>
    </row>
    <row r="458">
      <c r="A458" s="12"/>
      <c r="D458" s="95"/>
      <c r="E458" s="14"/>
      <c r="F458" s="96"/>
    </row>
    <row r="459">
      <c r="A459" s="12"/>
      <c r="D459" s="95"/>
      <c r="E459" s="14"/>
      <c r="F459" s="96"/>
    </row>
    <row r="460">
      <c r="A460" s="12"/>
      <c r="D460" s="95"/>
      <c r="E460" s="14"/>
      <c r="F460" s="96"/>
    </row>
    <row r="461">
      <c r="A461" s="12"/>
      <c r="D461" s="95"/>
      <c r="E461" s="14"/>
      <c r="F461" s="96"/>
    </row>
    <row r="462">
      <c r="A462" s="12"/>
      <c r="D462" s="95"/>
      <c r="E462" s="14"/>
      <c r="F462" s="96"/>
    </row>
    <row r="463">
      <c r="A463" s="12"/>
      <c r="D463" s="95"/>
      <c r="E463" s="14"/>
      <c r="F463" s="96"/>
    </row>
    <row r="464">
      <c r="A464" s="12"/>
      <c r="D464" s="95"/>
      <c r="E464" s="14"/>
      <c r="F464" s="96"/>
    </row>
    <row r="465">
      <c r="A465" s="12"/>
      <c r="D465" s="95"/>
      <c r="E465" s="14"/>
      <c r="F465" s="96"/>
    </row>
    <row r="466">
      <c r="A466" s="12"/>
      <c r="D466" s="95"/>
      <c r="E466" s="14"/>
      <c r="F466" s="96"/>
    </row>
    <row r="467">
      <c r="A467" s="12"/>
      <c r="D467" s="95"/>
      <c r="E467" s="14"/>
      <c r="F467" s="96"/>
    </row>
    <row r="468">
      <c r="A468" s="12"/>
      <c r="D468" s="95"/>
      <c r="E468" s="14"/>
      <c r="F468" s="96"/>
    </row>
    <row r="469">
      <c r="A469" s="12"/>
      <c r="D469" s="95"/>
      <c r="E469" s="14"/>
      <c r="F469" s="96"/>
    </row>
    <row r="470">
      <c r="A470" s="12"/>
      <c r="D470" s="95"/>
      <c r="E470" s="14"/>
      <c r="F470" s="96"/>
    </row>
    <row r="471">
      <c r="A471" s="12"/>
      <c r="D471" s="95"/>
      <c r="E471" s="14"/>
      <c r="F471" s="96"/>
    </row>
    <row r="472">
      <c r="A472" s="12"/>
      <c r="D472" s="95"/>
      <c r="E472" s="14"/>
      <c r="F472" s="96"/>
    </row>
    <row r="473">
      <c r="A473" s="12"/>
      <c r="D473" s="95"/>
      <c r="E473" s="14"/>
      <c r="F473" s="96"/>
    </row>
    <row r="474">
      <c r="A474" s="12"/>
      <c r="D474" s="95"/>
      <c r="E474" s="14"/>
      <c r="F474" s="96"/>
    </row>
    <row r="475">
      <c r="A475" s="12"/>
      <c r="D475" s="95"/>
      <c r="E475" s="14"/>
      <c r="F475" s="96"/>
    </row>
    <row r="476">
      <c r="A476" s="12"/>
      <c r="D476" s="95"/>
      <c r="E476" s="14"/>
      <c r="F476" s="96"/>
    </row>
    <row r="477">
      <c r="A477" s="12"/>
      <c r="D477" s="95"/>
      <c r="E477" s="14"/>
      <c r="F477" s="96"/>
    </row>
    <row r="478">
      <c r="A478" s="12"/>
      <c r="D478" s="95"/>
      <c r="E478" s="14"/>
      <c r="F478" s="96"/>
    </row>
    <row r="479">
      <c r="A479" s="12"/>
      <c r="D479" s="95"/>
      <c r="E479" s="14"/>
      <c r="F479" s="96"/>
    </row>
    <row r="480">
      <c r="A480" s="12"/>
      <c r="D480" s="95"/>
      <c r="E480" s="14"/>
      <c r="F480" s="96"/>
    </row>
    <row r="481">
      <c r="A481" s="12"/>
      <c r="D481" s="95"/>
      <c r="E481" s="14"/>
      <c r="F481" s="96"/>
    </row>
    <row r="482">
      <c r="A482" s="12"/>
      <c r="D482" s="95"/>
      <c r="E482" s="14"/>
      <c r="F482" s="96"/>
    </row>
    <row r="483">
      <c r="A483" s="12"/>
      <c r="D483" s="95"/>
      <c r="E483" s="14"/>
      <c r="F483" s="96"/>
    </row>
    <row r="484">
      <c r="A484" s="12"/>
      <c r="D484" s="95"/>
      <c r="E484" s="14"/>
      <c r="F484" s="96"/>
    </row>
    <row r="485">
      <c r="A485" s="12"/>
      <c r="D485" s="95"/>
      <c r="E485" s="14"/>
      <c r="F485" s="96"/>
    </row>
    <row r="486">
      <c r="A486" s="12"/>
      <c r="D486" s="95"/>
      <c r="E486" s="14"/>
      <c r="F486" s="96"/>
    </row>
    <row r="487">
      <c r="A487" s="12"/>
      <c r="D487" s="95"/>
      <c r="E487" s="14"/>
      <c r="F487" s="96"/>
    </row>
    <row r="488">
      <c r="A488" s="12"/>
      <c r="D488" s="95"/>
      <c r="E488" s="14"/>
      <c r="F488" s="96"/>
    </row>
    <row r="489">
      <c r="A489" s="12"/>
      <c r="D489" s="95"/>
      <c r="E489" s="14"/>
      <c r="F489" s="96"/>
    </row>
    <row r="490">
      <c r="A490" s="12"/>
      <c r="D490" s="95"/>
      <c r="E490" s="14"/>
      <c r="F490" s="96"/>
    </row>
    <row r="491">
      <c r="A491" s="12"/>
      <c r="D491" s="95"/>
      <c r="E491" s="14"/>
      <c r="F491" s="96"/>
    </row>
    <row r="492">
      <c r="A492" s="12"/>
      <c r="D492" s="95"/>
      <c r="E492" s="14"/>
      <c r="F492" s="96"/>
    </row>
    <row r="493">
      <c r="A493" s="12"/>
      <c r="D493" s="95"/>
      <c r="E493" s="14"/>
      <c r="F493" s="96"/>
    </row>
    <row r="494">
      <c r="A494" s="12"/>
      <c r="D494" s="95"/>
      <c r="E494" s="14"/>
      <c r="F494" s="96"/>
    </row>
    <row r="495">
      <c r="A495" s="12"/>
      <c r="D495" s="95"/>
      <c r="E495" s="14"/>
      <c r="F495" s="96"/>
    </row>
    <row r="496">
      <c r="A496" s="12"/>
      <c r="D496" s="95"/>
      <c r="E496" s="14"/>
      <c r="F496" s="96"/>
    </row>
    <row r="497">
      <c r="A497" s="12"/>
      <c r="D497" s="95"/>
      <c r="E497" s="14"/>
      <c r="F497" s="96"/>
    </row>
    <row r="498">
      <c r="A498" s="12"/>
      <c r="D498" s="95"/>
      <c r="E498" s="14"/>
      <c r="F498" s="96"/>
    </row>
    <row r="499">
      <c r="A499" s="12"/>
      <c r="D499" s="95"/>
      <c r="E499" s="14"/>
      <c r="F499" s="96"/>
    </row>
    <row r="500">
      <c r="A500" s="12"/>
      <c r="D500" s="95"/>
      <c r="E500" s="14"/>
      <c r="F500" s="96"/>
    </row>
    <row r="501">
      <c r="A501" s="12"/>
      <c r="D501" s="95"/>
      <c r="E501" s="14"/>
      <c r="F501" s="96"/>
    </row>
    <row r="502">
      <c r="A502" s="12"/>
      <c r="D502" s="95"/>
      <c r="E502" s="14"/>
      <c r="F502" s="96"/>
    </row>
    <row r="503">
      <c r="A503" s="12"/>
      <c r="D503" s="95"/>
      <c r="E503" s="14"/>
      <c r="F503" s="96"/>
    </row>
    <row r="504">
      <c r="A504" s="12"/>
      <c r="D504" s="95"/>
      <c r="E504" s="14"/>
      <c r="F504" s="96"/>
    </row>
    <row r="505">
      <c r="A505" s="12"/>
      <c r="D505" s="95"/>
      <c r="E505" s="14"/>
      <c r="F505" s="96"/>
    </row>
    <row r="506">
      <c r="A506" s="12"/>
      <c r="D506" s="95"/>
      <c r="E506" s="14"/>
      <c r="F506" s="96"/>
    </row>
    <row r="507">
      <c r="A507" s="12"/>
      <c r="D507" s="95"/>
      <c r="E507" s="14"/>
      <c r="F507" s="96"/>
    </row>
    <row r="508">
      <c r="A508" s="12"/>
      <c r="D508" s="95"/>
      <c r="E508" s="14"/>
      <c r="F508" s="96"/>
    </row>
    <row r="509">
      <c r="A509" s="12"/>
      <c r="D509" s="95"/>
      <c r="E509" s="14"/>
      <c r="F509" s="96"/>
    </row>
    <row r="510">
      <c r="A510" s="12"/>
      <c r="D510" s="95"/>
      <c r="E510" s="14"/>
      <c r="F510" s="96"/>
    </row>
    <row r="511">
      <c r="A511" s="12"/>
      <c r="D511" s="95"/>
      <c r="E511" s="14"/>
      <c r="F511" s="96"/>
    </row>
    <row r="512">
      <c r="A512" s="12"/>
      <c r="D512" s="95"/>
      <c r="E512" s="14"/>
      <c r="F512" s="96"/>
    </row>
    <row r="513">
      <c r="A513" s="12"/>
      <c r="D513" s="95"/>
      <c r="E513" s="14"/>
      <c r="F513" s="96"/>
    </row>
    <row r="514">
      <c r="A514" s="12"/>
      <c r="D514" s="95"/>
      <c r="E514" s="14"/>
      <c r="F514" s="96"/>
    </row>
    <row r="515">
      <c r="A515" s="12"/>
      <c r="D515" s="95"/>
      <c r="E515" s="14"/>
      <c r="F515" s="96"/>
    </row>
    <row r="516">
      <c r="A516" s="12"/>
      <c r="D516" s="95"/>
      <c r="E516" s="14"/>
      <c r="F516" s="96"/>
    </row>
    <row r="517">
      <c r="A517" s="12"/>
      <c r="D517" s="95"/>
      <c r="E517" s="14"/>
      <c r="F517" s="96"/>
    </row>
    <row r="518">
      <c r="A518" s="12"/>
      <c r="D518" s="95"/>
      <c r="E518" s="14"/>
      <c r="F518" s="96"/>
    </row>
    <row r="519">
      <c r="A519" s="12"/>
      <c r="D519" s="95"/>
      <c r="E519" s="14"/>
      <c r="F519" s="96"/>
    </row>
    <row r="520">
      <c r="A520" s="12"/>
      <c r="D520" s="95"/>
      <c r="E520" s="14"/>
      <c r="F520" s="96"/>
    </row>
    <row r="521">
      <c r="A521" s="12"/>
      <c r="D521" s="95"/>
      <c r="E521" s="14"/>
      <c r="F521" s="96"/>
    </row>
    <row r="522">
      <c r="A522" s="12"/>
      <c r="D522" s="95"/>
      <c r="E522" s="14"/>
      <c r="F522" s="96"/>
    </row>
    <row r="523">
      <c r="A523" s="12"/>
      <c r="D523" s="95"/>
      <c r="E523" s="14"/>
      <c r="F523" s="96"/>
    </row>
    <row r="524">
      <c r="A524" s="12"/>
      <c r="D524" s="95"/>
      <c r="E524" s="14"/>
      <c r="F524" s="96"/>
    </row>
    <row r="525">
      <c r="A525" s="12"/>
      <c r="D525" s="95"/>
      <c r="E525" s="14"/>
      <c r="F525" s="96"/>
    </row>
    <row r="526">
      <c r="A526" s="12"/>
      <c r="D526" s="95"/>
      <c r="E526" s="14"/>
      <c r="F526" s="96"/>
    </row>
    <row r="527">
      <c r="A527" s="12"/>
      <c r="D527" s="95"/>
      <c r="E527" s="14"/>
      <c r="F527" s="96"/>
    </row>
    <row r="528">
      <c r="A528" s="12"/>
      <c r="D528" s="95"/>
      <c r="E528" s="14"/>
      <c r="F528" s="96"/>
    </row>
    <row r="529">
      <c r="A529" s="12"/>
      <c r="D529" s="95"/>
      <c r="E529" s="14"/>
      <c r="F529" s="96"/>
    </row>
    <row r="530">
      <c r="A530" s="12"/>
      <c r="D530" s="95"/>
      <c r="E530" s="14"/>
      <c r="F530" s="96"/>
    </row>
    <row r="531">
      <c r="A531" s="12"/>
      <c r="D531" s="95"/>
      <c r="E531" s="14"/>
      <c r="F531" s="96"/>
    </row>
    <row r="532">
      <c r="A532" s="12"/>
      <c r="D532" s="95"/>
      <c r="E532" s="14"/>
      <c r="F532" s="96"/>
    </row>
    <row r="533">
      <c r="A533" s="12"/>
      <c r="D533" s="95"/>
      <c r="E533" s="14"/>
      <c r="F533" s="96"/>
    </row>
    <row r="534">
      <c r="A534" s="12"/>
      <c r="D534" s="95"/>
      <c r="E534" s="14"/>
      <c r="F534" s="96"/>
    </row>
    <row r="535">
      <c r="A535" s="12"/>
      <c r="D535" s="95"/>
      <c r="E535" s="14"/>
      <c r="F535" s="96"/>
    </row>
    <row r="536">
      <c r="A536" s="12"/>
      <c r="D536" s="95"/>
      <c r="E536" s="14"/>
      <c r="F536" s="96"/>
    </row>
    <row r="537">
      <c r="A537" s="12"/>
      <c r="D537" s="95"/>
      <c r="E537" s="14"/>
      <c r="F537" s="96"/>
    </row>
    <row r="538">
      <c r="A538" s="12"/>
      <c r="D538" s="95"/>
      <c r="E538" s="14"/>
      <c r="F538" s="96"/>
    </row>
    <row r="539">
      <c r="A539" s="12"/>
      <c r="D539" s="95"/>
      <c r="E539" s="14"/>
      <c r="F539" s="96"/>
    </row>
    <row r="540">
      <c r="A540" s="12"/>
      <c r="D540" s="95"/>
      <c r="E540" s="14"/>
      <c r="F540" s="96"/>
    </row>
    <row r="541">
      <c r="A541" s="12"/>
      <c r="D541" s="95"/>
      <c r="E541" s="14"/>
      <c r="F541" s="96"/>
    </row>
    <row r="542">
      <c r="A542" s="12"/>
      <c r="D542" s="95"/>
      <c r="E542" s="14"/>
      <c r="F542" s="96"/>
    </row>
    <row r="543">
      <c r="A543" s="12"/>
      <c r="D543" s="95"/>
      <c r="E543" s="14"/>
      <c r="F543" s="96"/>
    </row>
    <row r="544">
      <c r="A544" s="12"/>
      <c r="D544" s="95"/>
      <c r="E544" s="14"/>
      <c r="F544" s="96"/>
    </row>
    <row r="545">
      <c r="A545" s="12"/>
      <c r="D545" s="95"/>
      <c r="E545" s="14"/>
      <c r="F545" s="96"/>
    </row>
    <row r="546">
      <c r="A546" s="12"/>
      <c r="D546" s="95"/>
      <c r="E546" s="14"/>
      <c r="F546" s="96"/>
    </row>
    <row r="547">
      <c r="A547" s="12"/>
      <c r="D547" s="95"/>
      <c r="E547" s="14"/>
      <c r="F547" s="96"/>
    </row>
    <row r="548">
      <c r="A548" s="12"/>
      <c r="D548" s="95"/>
      <c r="E548" s="14"/>
      <c r="F548" s="96"/>
    </row>
    <row r="549">
      <c r="A549" s="12"/>
      <c r="D549" s="95"/>
      <c r="E549" s="14"/>
      <c r="F549" s="96"/>
    </row>
    <row r="550">
      <c r="A550" s="12"/>
      <c r="D550" s="95"/>
      <c r="E550" s="14"/>
      <c r="F550" s="96"/>
    </row>
    <row r="551">
      <c r="A551" s="12"/>
      <c r="D551" s="95"/>
      <c r="E551" s="14"/>
      <c r="F551" s="96"/>
    </row>
    <row r="552">
      <c r="A552" s="12"/>
      <c r="D552" s="95"/>
      <c r="E552" s="14"/>
      <c r="F552" s="96"/>
    </row>
    <row r="553">
      <c r="A553" s="12"/>
      <c r="D553" s="95"/>
      <c r="E553" s="14"/>
      <c r="F553" s="96"/>
    </row>
    <row r="554">
      <c r="A554" s="12"/>
      <c r="D554" s="95"/>
      <c r="E554" s="14"/>
      <c r="F554" s="96"/>
    </row>
    <row r="555">
      <c r="A555" s="12"/>
      <c r="D555" s="95"/>
      <c r="E555" s="14"/>
      <c r="F555" s="96"/>
    </row>
    <row r="556">
      <c r="A556" s="12"/>
      <c r="D556" s="95"/>
      <c r="E556" s="14"/>
      <c r="F556" s="96"/>
    </row>
    <row r="557">
      <c r="A557" s="12"/>
      <c r="D557" s="95"/>
      <c r="E557" s="14"/>
      <c r="F557" s="96"/>
    </row>
    <row r="558">
      <c r="A558" s="12"/>
      <c r="D558" s="95"/>
      <c r="E558" s="14"/>
      <c r="F558" s="96"/>
    </row>
    <row r="559">
      <c r="A559" s="12"/>
      <c r="D559" s="95"/>
      <c r="E559" s="14"/>
      <c r="F559" s="96"/>
    </row>
    <row r="560">
      <c r="A560" s="12"/>
      <c r="D560" s="95"/>
      <c r="E560" s="14"/>
      <c r="F560" s="96"/>
    </row>
    <row r="561">
      <c r="A561" s="12"/>
      <c r="D561" s="95"/>
      <c r="E561" s="14"/>
      <c r="F561" s="96"/>
    </row>
    <row r="562">
      <c r="A562" s="12"/>
      <c r="D562" s="95"/>
      <c r="E562" s="14"/>
      <c r="F562" s="96"/>
    </row>
    <row r="563">
      <c r="A563" s="12"/>
      <c r="D563" s="95"/>
      <c r="E563" s="14"/>
      <c r="F563" s="96"/>
    </row>
    <row r="564">
      <c r="A564" s="12"/>
      <c r="D564" s="95"/>
      <c r="E564" s="14"/>
      <c r="F564" s="96"/>
    </row>
    <row r="565">
      <c r="A565" s="12"/>
      <c r="D565" s="95"/>
      <c r="E565" s="14"/>
      <c r="F565" s="96"/>
    </row>
    <row r="566">
      <c r="A566" s="12"/>
      <c r="D566" s="95"/>
      <c r="E566" s="14"/>
      <c r="F566" s="96"/>
    </row>
    <row r="567">
      <c r="A567" s="12"/>
      <c r="D567" s="95"/>
      <c r="E567" s="14"/>
      <c r="F567" s="96"/>
    </row>
    <row r="568">
      <c r="A568" s="12"/>
      <c r="D568" s="95"/>
      <c r="E568" s="14"/>
      <c r="F568" s="96"/>
    </row>
    <row r="569">
      <c r="A569" s="12"/>
      <c r="D569" s="95"/>
      <c r="E569" s="14"/>
      <c r="F569" s="96"/>
    </row>
    <row r="570">
      <c r="A570" s="12"/>
      <c r="D570" s="95"/>
      <c r="E570" s="14"/>
      <c r="F570" s="96"/>
    </row>
    <row r="571">
      <c r="A571" s="12"/>
      <c r="D571" s="95"/>
      <c r="E571" s="14"/>
      <c r="F571" s="96"/>
    </row>
    <row r="572">
      <c r="A572" s="12"/>
      <c r="D572" s="95"/>
      <c r="E572" s="14"/>
      <c r="F572" s="96"/>
    </row>
    <row r="573">
      <c r="A573" s="12"/>
      <c r="D573" s="95"/>
      <c r="E573" s="14"/>
      <c r="F573" s="96"/>
    </row>
    <row r="574">
      <c r="A574" s="12"/>
      <c r="D574" s="95"/>
      <c r="E574" s="14"/>
      <c r="F574" s="96"/>
    </row>
    <row r="575">
      <c r="A575" s="12"/>
      <c r="D575" s="95"/>
      <c r="E575" s="14"/>
      <c r="F575" s="96"/>
    </row>
    <row r="576">
      <c r="A576" s="12"/>
      <c r="D576" s="95"/>
      <c r="E576" s="14"/>
      <c r="F576" s="96"/>
    </row>
    <row r="577">
      <c r="A577" s="12"/>
      <c r="D577" s="95"/>
      <c r="E577" s="14"/>
      <c r="F577" s="96"/>
    </row>
    <row r="578">
      <c r="A578" s="12"/>
      <c r="D578" s="95"/>
      <c r="E578" s="14"/>
      <c r="F578" s="96"/>
    </row>
    <row r="579">
      <c r="A579" s="12"/>
      <c r="D579" s="95"/>
      <c r="E579" s="14"/>
      <c r="F579" s="96"/>
    </row>
    <row r="580">
      <c r="A580" s="12"/>
      <c r="D580" s="95"/>
      <c r="E580" s="14"/>
      <c r="F580" s="96"/>
    </row>
    <row r="581">
      <c r="A581" s="12"/>
      <c r="D581" s="95"/>
      <c r="E581" s="14"/>
      <c r="F581" s="96"/>
    </row>
    <row r="582">
      <c r="A582" s="12"/>
      <c r="D582" s="95"/>
      <c r="E582" s="14"/>
      <c r="F582" s="96"/>
    </row>
    <row r="583">
      <c r="A583" s="12"/>
      <c r="D583" s="95"/>
      <c r="E583" s="14"/>
      <c r="F583" s="96"/>
    </row>
    <row r="584">
      <c r="A584" s="12"/>
      <c r="D584" s="95"/>
      <c r="E584" s="14"/>
      <c r="F584" s="96"/>
    </row>
    <row r="585">
      <c r="A585" s="12"/>
      <c r="D585" s="95"/>
      <c r="E585" s="14"/>
      <c r="F585" s="96"/>
    </row>
    <row r="586">
      <c r="A586" s="12"/>
      <c r="D586" s="95"/>
      <c r="E586" s="14"/>
      <c r="F586" s="96"/>
    </row>
    <row r="587">
      <c r="A587" s="12"/>
      <c r="D587" s="95"/>
      <c r="E587" s="14"/>
      <c r="F587" s="96"/>
    </row>
    <row r="588">
      <c r="A588" s="12"/>
      <c r="D588" s="95"/>
      <c r="E588" s="14"/>
      <c r="F588" s="96"/>
    </row>
    <row r="589">
      <c r="A589" s="12"/>
      <c r="D589" s="95"/>
      <c r="E589" s="14"/>
      <c r="F589" s="96"/>
    </row>
    <row r="590">
      <c r="A590" s="12"/>
      <c r="D590" s="95"/>
      <c r="E590" s="14"/>
      <c r="F590" s="96"/>
    </row>
    <row r="591">
      <c r="A591" s="12"/>
      <c r="D591" s="95"/>
      <c r="E591" s="14"/>
      <c r="F591" s="96"/>
    </row>
    <row r="592">
      <c r="A592" s="12"/>
      <c r="D592" s="95"/>
      <c r="E592" s="14"/>
      <c r="F592" s="96"/>
    </row>
    <row r="593">
      <c r="A593" s="12"/>
      <c r="D593" s="95"/>
      <c r="E593" s="14"/>
      <c r="F593" s="96"/>
    </row>
    <row r="594">
      <c r="A594" s="12"/>
      <c r="D594" s="95"/>
      <c r="E594" s="14"/>
      <c r="F594" s="96"/>
    </row>
    <row r="595">
      <c r="A595" s="12"/>
      <c r="D595" s="95"/>
      <c r="E595" s="14"/>
      <c r="F595" s="96"/>
    </row>
    <row r="596">
      <c r="A596" s="12"/>
      <c r="D596" s="95"/>
      <c r="E596" s="14"/>
      <c r="F596" s="96"/>
    </row>
    <row r="597">
      <c r="A597" s="12"/>
      <c r="D597" s="95"/>
      <c r="E597" s="14"/>
      <c r="F597" s="96"/>
    </row>
    <row r="598">
      <c r="A598" s="12"/>
      <c r="D598" s="95"/>
      <c r="E598" s="14"/>
      <c r="F598" s="96"/>
    </row>
    <row r="599">
      <c r="A599" s="12"/>
      <c r="D599" s="95"/>
      <c r="E599" s="14"/>
      <c r="F599" s="96"/>
    </row>
    <row r="600">
      <c r="A600" s="12"/>
      <c r="D600" s="95"/>
      <c r="E600" s="14"/>
      <c r="F600" s="96"/>
    </row>
    <row r="601">
      <c r="A601" s="12"/>
      <c r="D601" s="95"/>
      <c r="E601" s="14"/>
      <c r="F601" s="96"/>
    </row>
    <row r="602">
      <c r="A602" s="12"/>
      <c r="D602" s="95"/>
      <c r="E602" s="14"/>
      <c r="F602" s="96"/>
    </row>
    <row r="603">
      <c r="A603" s="12"/>
      <c r="D603" s="95"/>
      <c r="E603" s="14"/>
      <c r="F603" s="96"/>
    </row>
    <row r="604">
      <c r="A604" s="12"/>
      <c r="D604" s="95"/>
      <c r="E604" s="14"/>
      <c r="F604" s="96"/>
    </row>
    <row r="605">
      <c r="A605" s="12"/>
      <c r="D605" s="95"/>
      <c r="E605" s="14"/>
      <c r="F605" s="96"/>
    </row>
    <row r="606">
      <c r="A606" s="12"/>
      <c r="D606" s="95"/>
      <c r="E606" s="14"/>
      <c r="F606" s="96"/>
    </row>
    <row r="607">
      <c r="A607" s="12"/>
      <c r="D607" s="95"/>
      <c r="E607" s="14"/>
      <c r="F607" s="96"/>
    </row>
    <row r="608">
      <c r="A608" s="12"/>
      <c r="D608" s="95"/>
      <c r="E608" s="14"/>
      <c r="F608" s="96"/>
    </row>
    <row r="609">
      <c r="A609" s="12"/>
      <c r="D609" s="95"/>
      <c r="E609" s="14"/>
      <c r="F609" s="96"/>
    </row>
    <row r="610">
      <c r="A610" s="12"/>
      <c r="D610" s="95"/>
      <c r="E610" s="14"/>
      <c r="F610" s="96"/>
    </row>
    <row r="611">
      <c r="A611" s="12"/>
      <c r="D611" s="95"/>
      <c r="E611" s="14"/>
      <c r="F611" s="96"/>
    </row>
    <row r="612">
      <c r="A612" s="12"/>
      <c r="D612" s="95"/>
      <c r="E612" s="14"/>
      <c r="F612" s="96"/>
    </row>
    <row r="613">
      <c r="A613" s="12"/>
      <c r="D613" s="95"/>
      <c r="E613" s="14"/>
      <c r="F613" s="96"/>
    </row>
    <row r="614">
      <c r="A614" s="12"/>
      <c r="D614" s="95"/>
      <c r="E614" s="14"/>
      <c r="F614" s="96"/>
    </row>
    <row r="615">
      <c r="A615" s="12"/>
      <c r="D615" s="95"/>
      <c r="E615" s="14"/>
      <c r="F615" s="96"/>
    </row>
    <row r="616">
      <c r="A616" s="12"/>
      <c r="D616" s="95"/>
      <c r="E616" s="14"/>
      <c r="F616" s="96"/>
    </row>
    <row r="617">
      <c r="A617" s="12"/>
      <c r="D617" s="95"/>
      <c r="E617" s="14"/>
      <c r="F617" s="96"/>
    </row>
    <row r="618">
      <c r="A618" s="12"/>
      <c r="D618" s="95"/>
      <c r="E618" s="14"/>
      <c r="F618" s="96"/>
    </row>
    <row r="619">
      <c r="A619" s="12"/>
      <c r="D619" s="95"/>
      <c r="E619" s="14"/>
      <c r="F619" s="96"/>
    </row>
    <row r="620">
      <c r="A620" s="12"/>
      <c r="D620" s="95"/>
      <c r="E620" s="14"/>
      <c r="F620" s="96"/>
    </row>
    <row r="621">
      <c r="A621" s="12"/>
      <c r="D621" s="95"/>
      <c r="E621" s="14"/>
      <c r="F621" s="96"/>
    </row>
    <row r="622">
      <c r="A622" s="12"/>
      <c r="D622" s="95"/>
      <c r="E622" s="14"/>
      <c r="F622" s="96"/>
    </row>
    <row r="623">
      <c r="A623" s="12"/>
      <c r="D623" s="95"/>
      <c r="E623" s="14"/>
      <c r="F623" s="96"/>
    </row>
    <row r="624">
      <c r="A624" s="12"/>
      <c r="D624" s="95"/>
      <c r="E624" s="14"/>
      <c r="F624" s="96"/>
    </row>
    <row r="625">
      <c r="A625" s="12"/>
      <c r="D625" s="95"/>
      <c r="E625" s="14"/>
      <c r="F625" s="96"/>
    </row>
    <row r="626">
      <c r="A626" s="12"/>
      <c r="D626" s="95"/>
      <c r="E626" s="14"/>
      <c r="F626" s="96"/>
    </row>
    <row r="627">
      <c r="A627" s="12"/>
      <c r="D627" s="95"/>
      <c r="E627" s="14"/>
      <c r="F627" s="96"/>
    </row>
    <row r="628">
      <c r="A628" s="12"/>
      <c r="D628" s="95"/>
      <c r="E628" s="14"/>
      <c r="F628" s="96"/>
    </row>
    <row r="629">
      <c r="A629" s="12"/>
      <c r="D629" s="95"/>
      <c r="E629" s="14"/>
      <c r="F629" s="96"/>
    </row>
    <row r="630">
      <c r="A630" s="12"/>
      <c r="D630" s="95"/>
      <c r="E630" s="14"/>
      <c r="F630" s="96"/>
    </row>
    <row r="631">
      <c r="A631" s="12"/>
      <c r="D631" s="95"/>
      <c r="E631" s="14"/>
      <c r="F631" s="96"/>
    </row>
    <row r="632">
      <c r="A632" s="12"/>
      <c r="D632" s="95"/>
      <c r="E632" s="14"/>
      <c r="F632" s="96"/>
    </row>
    <row r="633">
      <c r="A633" s="12"/>
      <c r="D633" s="95"/>
      <c r="E633" s="14"/>
      <c r="F633" s="96"/>
    </row>
    <row r="634">
      <c r="A634" s="12"/>
      <c r="D634" s="95"/>
      <c r="E634" s="14"/>
      <c r="F634" s="96"/>
    </row>
    <row r="635">
      <c r="A635" s="12"/>
      <c r="D635" s="95"/>
      <c r="E635" s="14"/>
      <c r="F635" s="96"/>
    </row>
    <row r="636">
      <c r="A636" s="12"/>
      <c r="D636" s="95"/>
      <c r="E636" s="14"/>
      <c r="F636" s="96"/>
    </row>
    <row r="637">
      <c r="A637" s="12"/>
      <c r="D637" s="95"/>
      <c r="E637" s="14"/>
      <c r="F637" s="96"/>
    </row>
    <row r="638">
      <c r="A638" s="12"/>
      <c r="D638" s="95"/>
      <c r="E638" s="14"/>
      <c r="F638" s="96"/>
    </row>
    <row r="639">
      <c r="A639" s="12"/>
      <c r="D639" s="95"/>
      <c r="E639" s="14"/>
      <c r="F639" s="96"/>
    </row>
    <row r="640">
      <c r="A640" s="12"/>
      <c r="D640" s="95"/>
      <c r="E640" s="14"/>
      <c r="F640" s="96"/>
    </row>
    <row r="641">
      <c r="A641" s="12"/>
      <c r="D641" s="95"/>
      <c r="E641" s="14"/>
      <c r="F641" s="96"/>
    </row>
    <row r="642">
      <c r="A642" s="12"/>
      <c r="D642" s="95"/>
      <c r="E642" s="14"/>
      <c r="F642" s="96"/>
    </row>
    <row r="643">
      <c r="A643" s="12"/>
      <c r="D643" s="95"/>
      <c r="E643" s="14"/>
      <c r="F643" s="96"/>
    </row>
    <row r="644">
      <c r="A644" s="12"/>
      <c r="D644" s="95"/>
      <c r="E644" s="14"/>
      <c r="F644" s="96"/>
    </row>
    <row r="645">
      <c r="A645" s="12"/>
      <c r="D645" s="95"/>
      <c r="E645" s="14"/>
      <c r="F645" s="96"/>
    </row>
    <row r="646">
      <c r="A646" s="12"/>
      <c r="D646" s="95"/>
      <c r="E646" s="14"/>
      <c r="F646" s="96"/>
    </row>
    <row r="647">
      <c r="A647" s="12"/>
      <c r="D647" s="95"/>
      <c r="E647" s="14"/>
      <c r="F647" s="96"/>
    </row>
    <row r="648">
      <c r="A648" s="12"/>
      <c r="D648" s="95"/>
      <c r="E648" s="14"/>
      <c r="F648" s="96"/>
    </row>
    <row r="649">
      <c r="A649" s="12"/>
      <c r="D649" s="95"/>
      <c r="E649" s="14"/>
      <c r="F649" s="96"/>
    </row>
    <row r="650">
      <c r="A650" s="12"/>
      <c r="D650" s="95"/>
      <c r="E650" s="14"/>
      <c r="F650" s="96"/>
    </row>
    <row r="651">
      <c r="A651" s="12"/>
      <c r="D651" s="95"/>
      <c r="E651" s="14"/>
      <c r="F651" s="96"/>
    </row>
    <row r="652">
      <c r="A652" s="12"/>
      <c r="D652" s="95"/>
      <c r="E652" s="14"/>
      <c r="F652" s="96"/>
    </row>
    <row r="653">
      <c r="A653" s="12"/>
      <c r="D653" s="95"/>
      <c r="E653" s="14"/>
      <c r="F653" s="96"/>
    </row>
    <row r="654">
      <c r="A654" s="12"/>
      <c r="D654" s="95"/>
      <c r="E654" s="14"/>
      <c r="F654" s="96"/>
    </row>
    <row r="655">
      <c r="A655" s="12"/>
      <c r="D655" s="95"/>
      <c r="E655" s="14"/>
      <c r="F655" s="96"/>
    </row>
    <row r="656">
      <c r="A656" s="12"/>
      <c r="D656" s="95"/>
      <c r="E656" s="14"/>
      <c r="F656" s="96"/>
    </row>
    <row r="657">
      <c r="A657" s="12"/>
      <c r="D657" s="95"/>
      <c r="E657" s="14"/>
      <c r="F657" s="96"/>
    </row>
    <row r="658">
      <c r="A658" s="12"/>
      <c r="D658" s="95"/>
      <c r="E658" s="14"/>
      <c r="F658" s="96"/>
    </row>
    <row r="659">
      <c r="A659" s="12"/>
      <c r="D659" s="95"/>
      <c r="E659" s="14"/>
      <c r="F659" s="96"/>
    </row>
    <row r="660">
      <c r="A660" s="12"/>
      <c r="D660" s="95"/>
      <c r="E660" s="14"/>
      <c r="F660" s="96"/>
    </row>
    <row r="661">
      <c r="A661" s="12"/>
      <c r="D661" s="95"/>
      <c r="E661" s="14"/>
      <c r="F661" s="96"/>
    </row>
    <row r="662">
      <c r="A662" s="12"/>
      <c r="D662" s="95"/>
      <c r="E662" s="14"/>
      <c r="F662" s="96"/>
    </row>
    <row r="663">
      <c r="A663" s="12"/>
      <c r="D663" s="95"/>
      <c r="E663" s="14"/>
      <c r="F663" s="96"/>
    </row>
    <row r="664">
      <c r="A664" s="12"/>
      <c r="D664" s="95"/>
      <c r="E664" s="14"/>
      <c r="F664" s="96"/>
    </row>
    <row r="665">
      <c r="A665" s="12"/>
      <c r="D665" s="95"/>
      <c r="E665" s="14"/>
      <c r="F665" s="96"/>
    </row>
    <row r="666">
      <c r="A666" s="12"/>
      <c r="D666" s="95"/>
      <c r="E666" s="14"/>
      <c r="F666" s="96"/>
    </row>
    <row r="667">
      <c r="A667" s="12"/>
      <c r="D667" s="95"/>
      <c r="E667" s="14"/>
      <c r="F667" s="96"/>
    </row>
    <row r="668">
      <c r="A668" s="12"/>
      <c r="D668" s="95"/>
      <c r="E668" s="14"/>
      <c r="F668" s="96"/>
    </row>
    <row r="669">
      <c r="A669" s="12"/>
      <c r="D669" s="95"/>
      <c r="E669" s="14"/>
      <c r="F669" s="96"/>
    </row>
    <row r="670">
      <c r="A670" s="12"/>
      <c r="D670" s="95"/>
      <c r="E670" s="14"/>
      <c r="F670" s="96"/>
    </row>
    <row r="671">
      <c r="A671" s="12"/>
      <c r="D671" s="95"/>
      <c r="E671" s="14"/>
      <c r="F671" s="96"/>
    </row>
    <row r="672">
      <c r="A672" s="12"/>
      <c r="D672" s="95"/>
      <c r="E672" s="14"/>
      <c r="F672" s="96"/>
    </row>
    <row r="673">
      <c r="A673" s="12"/>
      <c r="D673" s="95"/>
      <c r="E673" s="14"/>
      <c r="F673" s="96"/>
    </row>
    <row r="674">
      <c r="A674" s="12"/>
      <c r="D674" s="95"/>
      <c r="E674" s="14"/>
      <c r="F674" s="96"/>
    </row>
    <row r="675">
      <c r="A675" s="12"/>
      <c r="D675" s="95"/>
      <c r="E675" s="14"/>
      <c r="F675" s="96"/>
    </row>
    <row r="676">
      <c r="A676" s="12"/>
      <c r="D676" s="95"/>
      <c r="E676" s="14"/>
      <c r="F676" s="96"/>
    </row>
    <row r="677">
      <c r="A677" s="12"/>
      <c r="D677" s="95"/>
      <c r="E677" s="14"/>
      <c r="F677" s="96"/>
    </row>
    <row r="678">
      <c r="A678" s="12"/>
      <c r="D678" s="95"/>
      <c r="E678" s="14"/>
      <c r="F678" s="96"/>
    </row>
    <row r="679">
      <c r="A679" s="12"/>
      <c r="D679" s="95"/>
      <c r="E679" s="14"/>
      <c r="F679" s="96"/>
    </row>
    <row r="680">
      <c r="A680" s="12"/>
      <c r="D680" s="95"/>
      <c r="E680" s="14"/>
      <c r="F680" s="96"/>
    </row>
    <row r="681">
      <c r="A681" s="12"/>
      <c r="D681" s="95"/>
      <c r="E681" s="14"/>
      <c r="F681" s="96"/>
    </row>
    <row r="682">
      <c r="A682" s="12"/>
      <c r="D682" s="95"/>
      <c r="E682" s="14"/>
      <c r="F682" s="96"/>
    </row>
    <row r="683">
      <c r="A683" s="12"/>
      <c r="D683" s="95"/>
      <c r="E683" s="14"/>
      <c r="F683" s="96"/>
    </row>
    <row r="684">
      <c r="A684" s="12"/>
      <c r="D684" s="95"/>
      <c r="E684" s="14"/>
      <c r="F684" s="96"/>
    </row>
    <row r="685">
      <c r="A685" s="12"/>
      <c r="D685" s="95"/>
      <c r="E685" s="14"/>
      <c r="F685" s="96"/>
    </row>
    <row r="686">
      <c r="A686" s="12"/>
      <c r="D686" s="95"/>
      <c r="E686" s="14"/>
      <c r="F686" s="96"/>
    </row>
    <row r="687">
      <c r="A687" s="12"/>
      <c r="D687" s="95"/>
      <c r="E687" s="14"/>
      <c r="F687" s="96"/>
    </row>
    <row r="688">
      <c r="A688" s="12"/>
      <c r="D688" s="95"/>
      <c r="E688" s="14"/>
      <c r="F688" s="96"/>
    </row>
    <row r="689">
      <c r="A689" s="12"/>
      <c r="D689" s="95"/>
      <c r="E689" s="14"/>
      <c r="F689" s="96"/>
    </row>
    <row r="690">
      <c r="A690" s="12"/>
      <c r="D690" s="95"/>
      <c r="E690" s="14"/>
      <c r="F690" s="96"/>
    </row>
    <row r="691">
      <c r="A691" s="12"/>
      <c r="D691" s="95"/>
      <c r="E691" s="14"/>
      <c r="F691" s="96"/>
    </row>
    <row r="692">
      <c r="A692" s="12"/>
      <c r="D692" s="95"/>
      <c r="E692" s="14"/>
      <c r="F692" s="96"/>
    </row>
    <row r="693">
      <c r="A693" s="12"/>
      <c r="D693" s="95"/>
      <c r="E693" s="14"/>
      <c r="F693" s="96"/>
    </row>
    <row r="694">
      <c r="A694" s="12"/>
      <c r="D694" s="95"/>
      <c r="E694" s="14"/>
      <c r="F694" s="96"/>
    </row>
    <row r="695">
      <c r="A695" s="12"/>
      <c r="D695" s="95"/>
      <c r="E695" s="14"/>
      <c r="F695" s="96"/>
    </row>
    <row r="696">
      <c r="A696" s="12"/>
      <c r="D696" s="95"/>
      <c r="E696" s="14"/>
      <c r="F696" s="96"/>
    </row>
    <row r="697">
      <c r="A697" s="12"/>
      <c r="D697" s="95"/>
      <c r="E697" s="14"/>
      <c r="F697" s="96"/>
    </row>
    <row r="698">
      <c r="A698" s="12"/>
      <c r="D698" s="95"/>
      <c r="E698" s="14"/>
      <c r="F698" s="96"/>
    </row>
    <row r="699">
      <c r="A699" s="12"/>
      <c r="D699" s="95"/>
      <c r="E699" s="14"/>
      <c r="F699" s="96"/>
    </row>
    <row r="700">
      <c r="A700" s="12"/>
      <c r="D700" s="95"/>
      <c r="E700" s="14"/>
      <c r="F700" s="96"/>
    </row>
    <row r="701">
      <c r="A701" s="12"/>
      <c r="D701" s="95"/>
      <c r="E701" s="14"/>
      <c r="F701" s="96"/>
    </row>
    <row r="702">
      <c r="A702" s="12"/>
      <c r="D702" s="95"/>
      <c r="E702" s="14"/>
      <c r="F702" s="96"/>
    </row>
    <row r="703">
      <c r="A703" s="12"/>
      <c r="D703" s="95"/>
      <c r="E703" s="14"/>
      <c r="F703" s="96"/>
    </row>
    <row r="704">
      <c r="A704" s="12"/>
      <c r="D704" s="95"/>
      <c r="E704" s="14"/>
      <c r="F704" s="96"/>
    </row>
    <row r="705">
      <c r="A705" s="12"/>
      <c r="D705" s="95"/>
      <c r="E705" s="14"/>
      <c r="F705" s="96"/>
    </row>
    <row r="706">
      <c r="A706" s="12"/>
      <c r="D706" s="95"/>
      <c r="E706" s="14"/>
      <c r="F706" s="96"/>
    </row>
    <row r="707">
      <c r="A707" s="12"/>
      <c r="D707" s="95"/>
      <c r="E707" s="14"/>
      <c r="F707" s="96"/>
    </row>
    <row r="708">
      <c r="A708" s="12"/>
      <c r="D708" s="95"/>
      <c r="E708" s="14"/>
      <c r="F708" s="96"/>
    </row>
    <row r="709">
      <c r="A709" s="12"/>
      <c r="D709" s="95"/>
      <c r="E709" s="14"/>
      <c r="F709" s="96"/>
    </row>
    <row r="710">
      <c r="A710" s="12"/>
      <c r="D710" s="95"/>
      <c r="E710" s="14"/>
      <c r="F710" s="96"/>
    </row>
    <row r="711">
      <c r="A711" s="12"/>
      <c r="D711" s="95"/>
      <c r="E711" s="14"/>
      <c r="F711" s="96"/>
    </row>
    <row r="712">
      <c r="A712" s="12"/>
      <c r="D712" s="95"/>
      <c r="E712" s="14"/>
      <c r="F712" s="96"/>
    </row>
    <row r="713">
      <c r="A713" s="12"/>
      <c r="D713" s="95"/>
      <c r="E713" s="14"/>
      <c r="F713" s="96"/>
    </row>
    <row r="714">
      <c r="A714" s="12"/>
      <c r="D714" s="95"/>
      <c r="E714" s="14"/>
      <c r="F714" s="96"/>
    </row>
    <row r="715">
      <c r="A715" s="12"/>
      <c r="D715" s="95"/>
      <c r="E715" s="14"/>
      <c r="F715" s="96"/>
    </row>
    <row r="716">
      <c r="A716" s="12"/>
      <c r="D716" s="95"/>
      <c r="E716" s="14"/>
      <c r="F716" s="96"/>
    </row>
    <row r="717">
      <c r="A717" s="12"/>
      <c r="D717" s="95"/>
      <c r="E717" s="14"/>
      <c r="F717" s="96"/>
    </row>
    <row r="718">
      <c r="A718" s="12"/>
      <c r="D718" s="95"/>
      <c r="E718" s="14"/>
      <c r="F718" s="96"/>
    </row>
    <row r="719">
      <c r="A719" s="12"/>
      <c r="D719" s="95"/>
      <c r="E719" s="14"/>
      <c r="F719" s="96"/>
    </row>
    <row r="720">
      <c r="A720" s="12"/>
      <c r="D720" s="95"/>
      <c r="E720" s="14"/>
      <c r="F720" s="96"/>
    </row>
    <row r="721">
      <c r="A721" s="12"/>
      <c r="D721" s="95"/>
      <c r="E721" s="14"/>
      <c r="F721" s="96"/>
    </row>
    <row r="722">
      <c r="A722" s="12"/>
      <c r="D722" s="95"/>
      <c r="E722" s="14"/>
      <c r="F722" s="96"/>
    </row>
    <row r="723">
      <c r="A723" s="12"/>
      <c r="D723" s="95"/>
      <c r="E723" s="14"/>
      <c r="F723" s="96"/>
    </row>
    <row r="724">
      <c r="A724" s="12"/>
      <c r="D724" s="95"/>
      <c r="E724" s="14"/>
      <c r="F724" s="96"/>
    </row>
    <row r="725">
      <c r="A725" s="12"/>
      <c r="D725" s="95"/>
      <c r="E725" s="14"/>
      <c r="F725" s="96"/>
    </row>
    <row r="726">
      <c r="A726" s="12"/>
      <c r="D726" s="95"/>
      <c r="E726" s="14"/>
      <c r="F726" s="96"/>
    </row>
    <row r="727">
      <c r="A727" s="12"/>
      <c r="D727" s="95"/>
      <c r="E727" s="14"/>
      <c r="F727" s="96"/>
    </row>
    <row r="728">
      <c r="A728" s="12"/>
      <c r="D728" s="95"/>
      <c r="E728" s="14"/>
      <c r="F728" s="96"/>
    </row>
    <row r="729">
      <c r="A729" s="12"/>
      <c r="D729" s="95"/>
      <c r="E729" s="14"/>
      <c r="F729" s="96"/>
    </row>
    <row r="730">
      <c r="A730" s="12"/>
      <c r="D730" s="95"/>
      <c r="E730" s="14"/>
      <c r="F730" s="96"/>
    </row>
    <row r="731">
      <c r="A731" s="12"/>
      <c r="D731" s="95"/>
      <c r="E731" s="14"/>
      <c r="F731" s="96"/>
    </row>
    <row r="732">
      <c r="A732" s="12"/>
      <c r="D732" s="95"/>
      <c r="E732" s="14"/>
      <c r="F732" s="96"/>
    </row>
    <row r="733">
      <c r="A733" s="12"/>
      <c r="D733" s="95"/>
      <c r="E733" s="14"/>
      <c r="F733" s="96"/>
    </row>
    <row r="734">
      <c r="A734" s="12"/>
      <c r="D734" s="95"/>
      <c r="E734" s="14"/>
      <c r="F734" s="96"/>
    </row>
    <row r="735">
      <c r="A735" s="12"/>
      <c r="D735" s="95"/>
      <c r="E735" s="14"/>
      <c r="F735" s="96"/>
    </row>
    <row r="736">
      <c r="A736" s="12"/>
      <c r="D736" s="95"/>
      <c r="E736" s="14"/>
      <c r="F736" s="96"/>
    </row>
    <row r="737">
      <c r="A737" s="12"/>
      <c r="D737" s="95"/>
      <c r="E737" s="14"/>
      <c r="F737" s="96"/>
    </row>
    <row r="738">
      <c r="A738" s="12"/>
      <c r="D738" s="95"/>
      <c r="E738" s="14"/>
      <c r="F738" s="96"/>
    </row>
    <row r="739">
      <c r="A739" s="12"/>
      <c r="D739" s="95"/>
      <c r="E739" s="14"/>
      <c r="F739" s="96"/>
    </row>
    <row r="740">
      <c r="A740" s="12"/>
      <c r="D740" s="95"/>
      <c r="E740" s="14"/>
      <c r="F740" s="96"/>
    </row>
    <row r="741">
      <c r="A741" s="12"/>
      <c r="D741" s="95"/>
      <c r="E741" s="14"/>
      <c r="F741" s="96"/>
    </row>
    <row r="742">
      <c r="A742" s="12"/>
      <c r="D742" s="95"/>
      <c r="E742" s="14"/>
      <c r="F742" s="96"/>
    </row>
    <row r="743">
      <c r="A743" s="12"/>
      <c r="D743" s="95"/>
      <c r="E743" s="14"/>
      <c r="F743" s="96"/>
    </row>
    <row r="744">
      <c r="A744" s="12"/>
      <c r="D744" s="95"/>
      <c r="E744" s="14"/>
      <c r="F744" s="96"/>
    </row>
    <row r="745">
      <c r="A745" s="12"/>
      <c r="D745" s="95"/>
      <c r="E745" s="14"/>
      <c r="F745" s="96"/>
    </row>
    <row r="746">
      <c r="A746" s="12"/>
      <c r="D746" s="95"/>
      <c r="E746" s="14"/>
      <c r="F746" s="96"/>
    </row>
    <row r="747">
      <c r="A747" s="12"/>
      <c r="D747" s="95"/>
      <c r="E747" s="14"/>
      <c r="F747" s="96"/>
    </row>
    <row r="748">
      <c r="A748" s="12"/>
      <c r="D748" s="95"/>
      <c r="E748" s="14"/>
      <c r="F748" s="96"/>
    </row>
    <row r="749">
      <c r="A749" s="12"/>
      <c r="D749" s="95"/>
      <c r="E749" s="14"/>
      <c r="F749" s="96"/>
    </row>
    <row r="750">
      <c r="A750" s="12"/>
      <c r="D750" s="95"/>
      <c r="E750" s="14"/>
      <c r="F750" s="96"/>
    </row>
    <row r="751">
      <c r="A751" s="12"/>
      <c r="D751" s="95"/>
      <c r="E751" s="14"/>
      <c r="F751" s="96"/>
    </row>
    <row r="752">
      <c r="A752" s="12"/>
      <c r="D752" s="95"/>
      <c r="E752" s="14"/>
      <c r="F752" s="96"/>
    </row>
    <row r="753">
      <c r="A753" s="12"/>
      <c r="D753" s="95"/>
      <c r="E753" s="14"/>
      <c r="F753" s="96"/>
    </row>
    <row r="754">
      <c r="A754" s="12"/>
      <c r="D754" s="95"/>
      <c r="E754" s="14"/>
      <c r="F754" s="96"/>
    </row>
    <row r="755">
      <c r="A755" s="12"/>
      <c r="D755" s="95"/>
      <c r="E755" s="14"/>
      <c r="F755" s="96"/>
    </row>
    <row r="756">
      <c r="A756" s="12"/>
      <c r="D756" s="95"/>
      <c r="E756" s="14"/>
      <c r="F756" s="96"/>
    </row>
    <row r="757">
      <c r="A757" s="12"/>
      <c r="D757" s="95"/>
      <c r="E757" s="14"/>
      <c r="F757" s="96"/>
    </row>
    <row r="758">
      <c r="A758" s="12"/>
      <c r="D758" s="95"/>
      <c r="E758" s="14"/>
      <c r="F758" s="96"/>
    </row>
    <row r="759">
      <c r="A759" s="12"/>
      <c r="D759" s="95"/>
      <c r="E759" s="14"/>
      <c r="F759" s="96"/>
    </row>
    <row r="760">
      <c r="A760" s="12"/>
      <c r="D760" s="95"/>
      <c r="E760" s="14"/>
      <c r="F760" s="96"/>
    </row>
    <row r="761">
      <c r="A761" s="12"/>
      <c r="D761" s="95"/>
      <c r="E761" s="14"/>
      <c r="F761" s="96"/>
    </row>
    <row r="762">
      <c r="A762" s="12"/>
      <c r="D762" s="95"/>
      <c r="E762" s="14"/>
      <c r="F762" s="96"/>
    </row>
    <row r="763">
      <c r="A763" s="12"/>
      <c r="D763" s="95"/>
      <c r="E763" s="14"/>
      <c r="F763" s="96"/>
    </row>
    <row r="764">
      <c r="A764" s="12"/>
      <c r="D764" s="95"/>
      <c r="E764" s="14"/>
      <c r="F764" s="96"/>
    </row>
    <row r="765">
      <c r="A765" s="12"/>
      <c r="D765" s="95"/>
      <c r="E765" s="14"/>
      <c r="F765" s="96"/>
    </row>
    <row r="766">
      <c r="A766" s="12"/>
      <c r="D766" s="95"/>
      <c r="E766" s="14"/>
      <c r="F766" s="96"/>
    </row>
    <row r="767">
      <c r="A767" s="12"/>
      <c r="D767" s="95"/>
      <c r="E767" s="14"/>
      <c r="F767" s="96"/>
    </row>
    <row r="768">
      <c r="A768" s="12"/>
      <c r="D768" s="95"/>
      <c r="E768" s="14"/>
      <c r="F768" s="96"/>
    </row>
    <row r="769">
      <c r="A769" s="12"/>
      <c r="D769" s="95"/>
      <c r="E769" s="14"/>
      <c r="F769" s="96"/>
    </row>
    <row r="770">
      <c r="A770" s="12"/>
      <c r="D770" s="95"/>
      <c r="E770" s="14"/>
      <c r="F770" s="96"/>
    </row>
    <row r="771">
      <c r="A771" s="12"/>
      <c r="D771" s="95"/>
      <c r="E771" s="14"/>
      <c r="F771" s="96"/>
    </row>
    <row r="772">
      <c r="A772" s="12"/>
      <c r="D772" s="95"/>
      <c r="E772" s="14"/>
      <c r="F772" s="96"/>
    </row>
    <row r="773">
      <c r="A773" s="12"/>
      <c r="D773" s="95"/>
      <c r="E773" s="14"/>
      <c r="F773" s="96"/>
    </row>
    <row r="774">
      <c r="A774" s="12"/>
      <c r="D774" s="95"/>
      <c r="E774" s="14"/>
      <c r="F774" s="96"/>
    </row>
    <row r="775">
      <c r="A775" s="12"/>
      <c r="D775" s="95"/>
      <c r="E775" s="14"/>
      <c r="F775" s="96"/>
    </row>
    <row r="776">
      <c r="A776" s="12"/>
      <c r="D776" s="95"/>
      <c r="E776" s="14"/>
      <c r="F776" s="96"/>
    </row>
    <row r="777">
      <c r="A777" s="12"/>
      <c r="D777" s="95"/>
      <c r="E777" s="14"/>
      <c r="F777" s="96"/>
    </row>
    <row r="778">
      <c r="A778" s="12"/>
      <c r="D778" s="95"/>
      <c r="E778" s="14"/>
      <c r="F778" s="96"/>
    </row>
    <row r="779">
      <c r="A779" s="12"/>
      <c r="D779" s="95"/>
      <c r="E779" s="14"/>
      <c r="F779" s="96"/>
    </row>
    <row r="780">
      <c r="A780" s="12"/>
      <c r="D780" s="95"/>
      <c r="E780" s="14"/>
      <c r="F780" s="96"/>
    </row>
    <row r="781">
      <c r="A781" s="12"/>
      <c r="D781" s="95"/>
      <c r="E781" s="14"/>
      <c r="F781" s="96"/>
    </row>
    <row r="782">
      <c r="A782" s="12"/>
      <c r="D782" s="95"/>
      <c r="E782" s="14"/>
      <c r="F782" s="96"/>
    </row>
    <row r="783">
      <c r="A783" s="12"/>
      <c r="D783" s="95"/>
      <c r="E783" s="14"/>
      <c r="F783" s="96"/>
    </row>
    <row r="784">
      <c r="A784" s="12"/>
      <c r="D784" s="95"/>
      <c r="E784" s="14"/>
      <c r="F784" s="96"/>
    </row>
    <row r="785">
      <c r="A785" s="12"/>
      <c r="D785" s="95"/>
      <c r="E785" s="14"/>
      <c r="F785" s="96"/>
    </row>
    <row r="786">
      <c r="A786" s="12"/>
      <c r="D786" s="95"/>
      <c r="E786" s="14"/>
      <c r="F786" s="96"/>
    </row>
    <row r="787">
      <c r="A787" s="12"/>
      <c r="D787" s="95"/>
      <c r="E787" s="14"/>
      <c r="F787" s="96"/>
    </row>
    <row r="788">
      <c r="A788" s="12"/>
      <c r="D788" s="95"/>
      <c r="E788" s="14"/>
      <c r="F788" s="96"/>
    </row>
    <row r="789">
      <c r="A789" s="12"/>
      <c r="D789" s="95"/>
      <c r="E789" s="14"/>
      <c r="F789" s="96"/>
    </row>
    <row r="790">
      <c r="A790" s="12"/>
      <c r="D790" s="95"/>
      <c r="E790" s="14"/>
      <c r="F790" s="96"/>
    </row>
    <row r="791">
      <c r="A791" s="12"/>
      <c r="D791" s="95"/>
      <c r="E791" s="14"/>
      <c r="F791" s="96"/>
    </row>
    <row r="792">
      <c r="A792" s="12"/>
      <c r="D792" s="95"/>
      <c r="E792" s="14"/>
      <c r="F792" s="96"/>
    </row>
    <row r="793">
      <c r="A793" s="12"/>
      <c r="D793" s="95"/>
      <c r="E793" s="14"/>
      <c r="F793" s="96"/>
    </row>
    <row r="794">
      <c r="A794" s="12"/>
      <c r="D794" s="95"/>
      <c r="E794" s="14"/>
      <c r="F794" s="96"/>
    </row>
    <row r="795">
      <c r="A795" s="12"/>
      <c r="D795" s="95"/>
      <c r="E795" s="14"/>
      <c r="F795" s="96"/>
    </row>
    <row r="796">
      <c r="A796" s="12"/>
      <c r="D796" s="95"/>
      <c r="E796" s="14"/>
      <c r="F796" s="96"/>
    </row>
    <row r="797">
      <c r="A797" s="12"/>
      <c r="D797" s="95"/>
      <c r="E797" s="14"/>
      <c r="F797" s="96"/>
    </row>
    <row r="798">
      <c r="A798" s="12"/>
      <c r="D798" s="95"/>
      <c r="E798" s="14"/>
      <c r="F798" s="96"/>
    </row>
    <row r="799">
      <c r="A799" s="12"/>
      <c r="D799" s="95"/>
      <c r="E799" s="14"/>
      <c r="F799" s="96"/>
    </row>
    <row r="800">
      <c r="A800" s="12"/>
      <c r="D800" s="95"/>
      <c r="E800" s="14"/>
      <c r="F800" s="96"/>
    </row>
    <row r="801">
      <c r="A801" s="12"/>
      <c r="D801" s="95"/>
      <c r="E801" s="14"/>
      <c r="F801" s="96"/>
    </row>
    <row r="802">
      <c r="A802" s="12"/>
      <c r="D802" s="95"/>
      <c r="E802" s="14"/>
      <c r="F802" s="96"/>
    </row>
    <row r="803">
      <c r="A803" s="12"/>
      <c r="D803" s="95"/>
      <c r="E803" s="14"/>
      <c r="F803" s="96"/>
    </row>
    <row r="804">
      <c r="A804" s="12"/>
      <c r="D804" s="95"/>
      <c r="E804" s="14"/>
      <c r="F804" s="96"/>
    </row>
    <row r="805">
      <c r="A805" s="12"/>
      <c r="D805" s="95"/>
      <c r="E805" s="14"/>
      <c r="F805" s="96"/>
    </row>
    <row r="806">
      <c r="A806" s="12"/>
      <c r="D806" s="95"/>
      <c r="E806" s="14"/>
      <c r="F806" s="96"/>
    </row>
    <row r="807">
      <c r="A807" s="12"/>
      <c r="D807" s="95"/>
      <c r="E807" s="14"/>
      <c r="F807" s="96"/>
    </row>
    <row r="808">
      <c r="A808" s="12"/>
      <c r="D808" s="95"/>
      <c r="E808" s="14"/>
      <c r="F808" s="96"/>
    </row>
    <row r="809">
      <c r="A809" s="12"/>
      <c r="D809" s="95"/>
      <c r="E809" s="14"/>
      <c r="F809" s="96"/>
    </row>
    <row r="810">
      <c r="A810" s="12"/>
      <c r="D810" s="95"/>
      <c r="E810" s="14"/>
      <c r="F810" s="96"/>
    </row>
    <row r="811">
      <c r="A811" s="12"/>
      <c r="D811" s="95"/>
      <c r="E811" s="14"/>
      <c r="F811" s="96"/>
    </row>
    <row r="812">
      <c r="A812" s="12"/>
      <c r="D812" s="95"/>
      <c r="E812" s="14"/>
      <c r="F812" s="96"/>
    </row>
    <row r="813">
      <c r="A813" s="12"/>
      <c r="D813" s="95"/>
      <c r="E813" s="14"/>
      <c r="F813" s="96"/>
    </row>
    <row r="814">
      <c r="A814" s="12"/>
      <c r="D814" s="95"/>
      <c r="E814" s="14"/>
      <c r="F814" s="96"/>
    </row>
    <row r="815">
      <c r="A815" s="12"/>
      <c r="D815" s="95"/>
      <c r="E815" s="14"/>
      <c r="F815" s="96"/>
    </row>
    <row r="816">
      <c r="A816" s="12"/>
      <c r="D816" s="95"/>
      <c r="E816" s="14"/>
      <c r="F816" s="96"/>
    </row>
    <row r="817">
      <c r="A817" s="12"/>
      <c r="D817" s="95"/>
      <c r="E817" s="14"/>
      <c r="F817" s="96"/>
    </row>
    <row r="818">
      <c r="A818" s="12"/>
      <c r="D818" s="95"/>
      <c r="E818" s="14"/>
      <c r="F818" s="96"/>
    </row>
    <row r="819">
      <c r="A819" s="12"/>
      <c r="D819" s="95"/>
      <c r="E819" s="14"/>
      <c r="F819" s="96"/>
    </row>
    <row r="820">
      <c r="A820" s="12"/>
      <c r="D820" s="95"/>
      <c r="E820" s="14"/>
      <c r="F820" s="96"/>
    </row>
    <row r="821">
      <c r="A821" s="12"/>
      <c r="D821" s="95"/>
      <c r="E821" s="14"/>
      <c r="F821" s="96"/>
    </row>
    <row r="822">
      <c r="A822" s="12"/>
      <c r="D822" s="95"/>
      <c r="E822" s="14"/>
      <c r="F822" s="96"/>
    </row>
    <row r="823">
      <c r="A823" s="12"/>
      <c r="D823" s="95"/>
      <c r="E823" s="14"/>
      <c r="F823" s="96"/>
    </row>
    <row r="824">
      <c r="A824" s="12"/>
      <c r="D824" s="95"/>
      <c r="E824" s="14"/>
      <c r="F824" s="96"/>
    </row>
    <row r="825">
      <c r="A825" s="12"/>
      <c r="D825" s="95"/>
      <c r="E825" s="14"/>
      <c r="F825" s="96"/>
    </row>
    <row r="826">
      <c r="A826" s="12"/>
      <c r="D826" s="95"/>
      <c r="E826" s="14"/>
      <c r="F826" s="96"/>
    </row>
    <row r="827">
      <c r="A827" s="12"/>
      <c r="D827" s="95"/>
      <c r="E827" s="14"/>
      <c r="F827" s="96"/>
    </row>
    <row r="828">
      <c r="A828" s="12"/>
      <c r="D828" s="95"/>
      <c r="E828" s="14"/>
      <c r="F828" s="96"/>
    </row>
    <row r="829">
      <c r="A829" s="12"/>
      <c r="D829" s="95"/>
      <c r="E829" s="14"/>
      <c r="F829" s="96"/>
    </row>
    <row r="830">
      <c r="A830" s="12"/>
      <c r="D830" s="95"/>
      <c r="E830" s="14"/>
      <c r="F830" s="96"/>
    </row>
    <row r="831">
      <c r="A831" s="12"/>
      <c r="D831" s="95"/>
      <c r="E831" s="14"/>
      <c r="F831" s="96"/>
    </row>
    <row r="832">
      <c r="A832" s="12"/>
      <c r="D832" s="95"/>
      <c r="E832" s="14"/>
      <c r="F832" s="96"/>
    </row>
    <row r="833">
      <c r="A833" s="12"/>
      <c r="D833" s="95"/>
      <c r="E833" s="14"/>
      <c r="F833" s="96"/>
    </row>
    <row r="834">
      <c r="A834" s="12"/>
      <c r="D834" s="95"/>
      <c r="E834" s="14"/>
      <c r="F834" s="96"/>
    </row>
    <row r="835">
      <c r="A835" s="12"/>
      <c r="D835" s="95"/>
      <c r="E835" s="14"/>
      <c r="F835" s="96"/>
    </row>
    <row r="836">
      <c r="A836" s="12"/>
      <c r="D836" s="95"/>
      <c r="E836" s="14"/>
      <c r="F836" s="96"/>
    </row>
    <row r="837">
      <c r="A837" s="12"/>
      <c r="D837" s="95"/>
      <c r="E837" s="14"/>
      <c r="F837" s="96"/>
    </row>
    <row r="838">
      <c r="A838" s="12"/>
      <c r="D838" s="95"/>
      <c r="E838" s="14"/>
      <c r="F838" s="96"/>
    </row>
    <row r="839">
      <c r="A839" s="12"/>
      <c r="D839" s="95"/>
      <c r="E839" s="14"/>
      <c r="F839" s="96"/>
    </row>
    <row r="840">
      <c r="A840" s="12"/>
      <c r="D840" s="95"/>
      <c r="E840" s="14"/>
      <c r="F840" s="96"/>
    </row>
    <row r="841">
      <c r="A841" s="12"/>
      <c r="D841" s="95"/>
      <c r="E841" s="14"/>
      <c r="F841" s="96"/>
    </row>
    <row r="842">
      <c r="A842" s="12"/>
      <c r="D842" s="95"/>
      <c r="E842" s="14"/>
      <c r="F842" s="96"/>
    </row>
    <row r="843">
      <c r="A843" s="12"/>
      <c r="D843" s="95"/>
      <c r="E843" s="14"/>
      <c r="F843" s="96"/>
    </row>
    <row r="844">
      <c r="A844" s="12"/>
      <c r="D844" s="95"/>
      <c r="E844" s="14"/>
      <c r="F844" s="96"/>
    </row>
    <row r="845">
      <c r="A845" s="12"/>
      <c r="D845" s="95"/>
      <c r="E845" s="14"/>
      <c r="F845" s="96"/>
    </row>
    <row r="846">
      <c r="A846" s="12"/>
      <c r="D846" s="95"/>
      <c r="E846" s="14"/>
      <c r="F846" s="96"/>
    </row>
    <row r="847">
      <c r="A847" s="12"/>
      <c r="D847" s="95"/>
      <c r="E847" s="14"/>
      <c r="F847" s="96"/>
    </row>
    <row r="848">
      <c r="A848" s="12"/>
      <c r="D848" s="95"/>
      <c r="E848" s="14"/>
      <c r="F848" s="96"/>
    </row>
    <row r="849">
      <c r="A849" s="12"/>
      <c r="D849" s="95"/>
      <c r="E849" s="14"/>
      <c r="F849" s="96"/>
    </row>
    <row r="850">
      <c r="A850" s="12"/>
      <c r="D850" s="95"/>
      <c r="E850" s="14"/>
      <c r="F850" s="96"/>
    </row>
    <row r="851">
      <c r="A851" s="12"/>
      <c r="D851" s="95"/>
      <c r="E851" s="14"/>
      <c r="F851" s="96"/>
    </row>
    <row r="852">
      <c r="A852" s="12"/>
      <c r="D852" s="95"/>
      <c r="E852" s="14"/>
      <c r="F852" s="96"/>
    </row>
    <row r="853">
      <c r="A853" s="12"/>
      <c r="D853" s="95"/>
      <c r="E853" s="14"/>
      <c r="F853" s="96"/>
    </row>
    <row r="854">
      <c r="A854" s="12"/>
      <c r="D854" s="95"/>
      <c r="E854" s="14"/>
      <c r="F854" s="96"/>
    </row>
    <row r="855">
      <c r="A855" s="12"/>
      <c r="D855" s="95"/>
      <c r="E855" s="14"/>
      <c r="F855" s="96"/>
    </row>
    <row r="856">
      <c r="A856" s="12"/>
      <c r="D856" s="95"/>
      <c r="E856" s="14"/>
      <c r="F856" s="96"/>
    </row>
    <row r="857">
      <c r="A857" s="12"/>
      <c r="D857" s="95"/>
      <c r="E857" s="14"/>
      <c r="F857" s="96"/>
    </row>
    <row r="858">
      <c r="A858" s="12"/>
      <c r="D858" s="95"/>
      <c r="E858" s="14"/>
      <c r="F858" s="96"/>
    </row>
    <row r="859">
      <c r="A859" s="12"/>
      <c r="D859" s="95"/>
      <c r="E859" s="14"/>
      <c r="F859" s="96"/>
    </row>
    <row r="860">
      <c r="A860" s="12"/>
      <c r="D860" s="95"/>
      <c r="E860" s="14"/>
      <c r="F860" s="96"/>
    </row>
    <row r="861">
      <c r="A861" s="12"/>
      <c r="D861" s="95"/>
      <c r="E861" s="14"/>
      <c r="F861" s="96"/>
    </row>
    <row r="862">
      <c r="A862" s="12"/>
      <c r="D862" s="95"/>
      <c r="E862" s="14"/>
      <c r="F862" s="96"/>
    </row>
    <row r="863">
      <c r="A863" s="12"/>
      <c r="D863" s="95"/>
      <c r="E863" s="14"/>
      <c r="F863" s="96"/>
    </row>
    <row r="864">
      <c r="A864" s="12"/>
      <c r="D864" s="95"/>
      <c r="E864" s="14"/>
      <c r="F864" s="96"/>
    </row>
    <row r="865">
      <c r="A865" s="12"/>
      <c r="D865" s="95"/>
      <c r="E865" s="14"/>
      <c r="F865" s="96"/>
    </row>
    <row r="866">
      <c r="A866" s="12"/>
      <c r="D866" s="95"/>
      <c r="E866" s="14"/>
      <c r="F866" s="96"/>
    </row>
    <row r="867">
      <c r="A867" s="12"/>
      <c r="D867" s="95"/>
      <c r="E867" s="14"/>
      <c r="F867" s="96"/>
    </row>
    <row r="868">
      <c r="A868" s="12"/>
      <c r="D868" s="95"/>
      <c r="E868" s="14"/>
      <c r="F868" s="96"/>
    </row>
    <row r="869">
      <c r="A869" s="12"/>
      <c r="D869" s="95"/>
      <c r="E869" s="14"/>
      <c r="F869" s="96"/>
    </row>
    <row r="870">
      <c r="A870" s="12"/>
      <c r="D870" s="95"/>
      <c r="E870" s="14"/>
      <c r="F870" s="96"/>
    </row>
    <row r="871">
      <c r="A871" s="12"/>
      <c r="D871" s="95"/>
      <c r="E871" s="14"/>
      <c r="F871" s="96"/>
    </row>
    <row r="872">
      <c r="A872" s="12"/>
      <c r="D872" s="95"/>
      <c r="E872" s="14"/>
      <c r="F872" s="96"/>
    </row>
    <row r="873">
      <c r="A873" s="12"/>
      <c r="D873" s="95"/>
      <c r="E873" s="14"/>
      <c r="F873" s="96"/>
    </row>
    <row r="874">
      <c r="A874" s="12"/>
      <c r="D874" s="95"/>
      <c r="E874" s="14"/>
      <c r="F874" s="96"/>
    </row>
    <row r="875">
      <c r="A875" s="12"/>
      <c r="D875" s="95"/>
      <c r="E875" s="14"/>
      <c r="F875" s="96"/>
    </row>
    <row r="876">
      <c r="A876" s="12"/>
      <c r="D876" s="95"/>
      <c r="E876" s="14"/>
      <c r="F876" s="96"/>
    </row>
    <row r="877">
      <c r="A877" s="12"/>
      <c r="D877" s="95"/>
      <c r="E877" s="14"/>
      <c r="F877" s="96"/>
    </row>
    <row r="878">
      <c r="A878" s="12"/>
      <c r="D878" s="95"/>
      <c r="E878" s="14"/>
      <c r="F878" s="96"/>
    </row>
    <row r="879">
      <c r="A879" s="12"/>
      <c r="D879" s="95"/>
      <c r="E879" s="14"/>
      <c r="F879" s="96"/>
    </row>
    <row r="880">
      <c r="A880" s="12"/>
      <c r="D880" s="95"/>
      <c r="E880" s="14"/>
      <c r="F880" s="96"/>
    </row>
    <row r="881">
      <c r="A881" s="12"/>
      <c r="D881" s="95"/>
      <c r="E881" s="14"/>
      <c r="F881" s="96"/>
    </row>
    <row r="882">
      <c r="A882" s="12"/>
      <c r="D882" s="95"/>
      <c r="E882" s="14"/>
      <c r="F882" s="96"/>
    </row>
    <row r="883">
      <c r="A883" s="12"/>
      <c r="D883" s="95"/>
      <c r="E883" s="14"/>
      <c r="F883" s="96"/>
    </row>
    <row r="884">
      <c r="A884" s="12"/>
      <c r="D884" s="95"/>
      <c r="E884" s="14"/>
      <c r="F884" s="96"/>
    </row>
    <row r="885">
      <c r="A885" s="12"/>
      <c r="D885" s="95"/>
      <c r="E885" s="14"/>
      <c r="F885" s="96"/>
    </row>
    <row r="886">
      <c r="A886" s="12"/>
      <c r="D886" s="95"/>
      <c r="E886" s="14"/>
      <c r="F886" s="96"/>
    </row>
    <row r="887">
      <c r="A887" s="12"/>
      <c r="D887" s="95"/>
      <c r="E887" s="14"/>
      <c r="F887" s="96"/>
    </row>
    <row r="888">
      <c r="A888" s="12"/>
      <c r="D888" s="95"/>
      <c r="E888" s="14"/>
      <c r="F888" s="96"/>
    </row>
    <row r="889">
      <c r="A889" s="12"/>
      <c r="D889" s="95"/>
      <c r="E889" s="14"/>
      <c r="F889" s="96"/>
    </row>
    <row r="890">
      <c r="A890" s="12"/>
      <c r="D890" s="95"/>
      <c r="E890" s="14"/>
      <c r="F890" s="96"/>
    </row>
    <row r="891">
      <c r="A891" s="12"/>
      <c r="D891" s="95"/>
      <c r="E891" s="14"/>
      <c r="F891" s="96"/>
    </row>
    <row r="892">
      <c r="A892" s="12"/>
      <c r="D892" s="95"/>
      <c r="E892" s="14"/>
      <c r="F892" s="96"/>
    </row>
    <row r="893">
      <c r="A893" s="12"/>
      <c r="D893" s="95"/>
      <c r="E893" s="14"/>
      <c r="F893" s="96"/>
    </row>
    <row r="894">
      <c r="A894" s="12"/>
      <c r="D894" s="95"/>
      <c r="E894" s="14"/>
      <c r="F894" s="96"/>
    </row>
    <row r="895">
      <c r="A895" s="12"/>
      <c r="D895" s="95"/>
      <c r="E895" s="14"/>
      <c r="F895" s="96"/>
    </row>
    <row r="896">
      <c r="A896" s="12"/>
      <c r="D896" s="95"/>
      <c r="E896" s="14"/>
      <c r="F896" s="96"/>
    </row>
    <row r="897">
      <c r="A897" s="12"/>
      <c r="D897" s="95"/>
      <c r="E897" s="14"/>
      <c r="F897" s="96"/>
    </row>
    <row r="898">
      <c r="A898" s="12"/>
      <c r="D898" s="95"/>
      <c r="E898" s="14"/>
      <c r="F898" s="96"/>
    </row>
    <row r="899">
      <c r="A899" s="12"/>
      <c r="D899" s="95"/>
      <c r="E899" s="14"/>
      <c r="F899" s="96"/>
    </row>
    <row r="900">
      <c r="A900" s="12"/>
      <c r="D900" s="95"/>
      <c r="E900" s="14"/>
      <c r="F900" s="96"/>
    </row>
    <row r="901">
      <c r="A901" s="12"/>
      <c r="D901" s="95"/>
      <c r="E901" s="14"/>
      <c r="F901" s="96"/>
    </row>
    <row r="902">
      <c r="A902" s="12"/>
      <c r="D902" s="95"/>
      <c r="E902" s="14"/>
      <c r="F902" s="96"/>
    </row>
    <row r="903">
      <c r="A903" s="12"/>
      <c r="D903" s="95"/>
      <c r="E903" s="14"/>
      <c r="F903" s="96"/>
    </row>
    <row r="904">
      <c r="A904" s="12"/>
      <c r="D904" s="95"/>
      <c r="E904" s="14"/>
      <c r="F904" s="96"/>
    </row>
    <row r="905">
      <c r="A905" s="12"/>
      <c r="D905" s="95"/>
      <c r="E905" s="14"/>
      <c r="F905" s="96"/>
    </row>
    <row r="906">
      <c r="A906" s="12"/>
      <c r="D906" s="95"/>
      <c r="E906" s="14"/>
      <c r="F906" s="96"/>
    </row>
    <row r="907">
      <c r="A907" s="12"/>
      <c r="D907" s="95"/>
      <c r="E907" s="14"/>
      <c r="F907" s="96"/>
    </row>
    <row r="908">
      <c r="A908" s="12"/>
      <c r="D908" s="95"/>
      <c r="E908" s="14"/>
      <c r="F908" s="96"/>
    </row>
    <row r="909">
      <c r="A909" s="12"/>
      <c r="D909" s="95"/>
      <c r="E909" s="14"/>
      <c r="F909" s="96"/>
    </row>
    <row r="910">
      <c r="A910" s="12"/>
      <c r="D910" s="95"/>
      <c r="E910" s="14"/>
      <c r="F910" s="96"/>
    </row>
    <row r="911">
      <c r="A911" s="12"/>
      <c r="D911" s="95"/>
      <c r="E911" s="14"/>
      <c r="F911" s="96"/>
    </row>
    <row r="912">
      <c r="A912" s="12"/>
      <c r="D912" s="95"/>
      <c r="E912" s="14"/>
      <c r="F912" s="96"/>
    </row>
    <row r="913">
      <c r="A913" s="12"/>
      <c r="D913" s="95"/>
      <c r="E913" s="14"/>
      <c r="F913" s="96"/>
    </row>
    <row r="914">
      <c r="A914" s="12"/>
      <c r="D914" s="95"/>
      <c r="E914" s="14"/>
      <c r="F914" s="96"/>
    </row>
    <row r="915">
      <c r="A915" s="12"/>
      <c r="D915" s="95"/>
      <c r="E915" s="14"/>
      <c r="F915" s="96"/>
    </row>
    <row r="916">
      <c r="A916" s="12"/>
      <c r="D916" s="95"/>
      <c r="E916" s="14"/>
      <c r="F916" s="96"/>
    </row>
    <row r="917">
      <c r="A917" s="12"/>
      <c r="D917" s="95"/>
      <c r="E917" s="14"/>
      <c r="F917" s="96"/>
    </row>
    <row r="918">
      <c r="A918" s="12"/>
      <c r="D918" s="95"/>
      <c r="E918" s="14"/>
      <c r="F918" s="96"/>
    </row>
    <row r="919">
      <c r="A919" s="12"/>
      <c r="D919" s="95"/>
      <c r="E919" s="14"/>
      <c r="F919" s="96"/>
    </row>
    <row r="920">
      <c r="A920" s="12"/>
      <c r="D920" s="95"/>
      <c r="E920" s="14"/>
      <c r="F920" s="96"/>
    </row>
    <row r="921">
      <c r="A921" s="12"/>
      <c r="D921" s="95"/>
      <c r="E921" s="14"/>
      <c r="F921" s="96"/>
    </row>
    <row r="922">
      <c r="A922" s="12"/>
      <c r="D922" s="95"/>
      <c r="E922" s="14"/>
      <c r="F922" s="96"/>
    </row>
    <row r="923">
      <c r="A923" s="12"/>
      <c r="D923" s="95"/>
      <c r="E923" s="14"/>
      <c r="F923" s="96"/>
    </row>
    <row r="924">
      <c r="A924" s="12"/>
      <c r="D924" s="95"/>
      <c r="E924" s="14"/>
      <c r="F924" s="96"/>
    </row>
    <row r="925">
      <c r="A925" s="12"/>
      <c r="D925" s="95"/>
      <c r="E925" s="14"/>
      <c r="F925" s="96"/>
    </row>
    <row r="926">
      <c r="A926" s="12"/>
      <c r="D926" s="95"/>
      <c r="E926" s="14"/>
      <c r="F926" s="96"/>
    </row>
    <row r="927">
      <c r="A927" s="12"/>
      <c r="D927" s="95"/>
      <c r="E927" s="14"/>
      <c r="F927" s="96"/>
    </row>
    <row r="928">
      <c r="A928" s="12"/>
      <c r="D928" s="95"/>
      <c r="E928" s="14"/>
      <c r="F928" s="96"/>
    </row>
    <row r="929">
      <c r="A929" s="12"/>
      <c r="D929" s="95"/>
      <c r="E929" s="14"/>
      <c r="F929" s="96"/>
    </row>
    <row r="930">
      <c r="A930" s="12"/>
      <c r="D930" s="95"/>
      <c r="E930" s="14"/>
      <c r="F930" s="96"/>
    </row>
    <row r="931">
      <c r="A931" s="12"/>
      <c r="D931" s="95"/>
      <c r="E931" s="14"/>
      <c r="F931" s="96"/>
    </row>
    <row r="932">
      <c r="A932" s="12"/>
      <c r="D932" s="95"/>
      <c r="E932" s="14"/>
      <c r="F932" s="96"/>
    </row>
    <row r="933">
      <c r="A933" s="12"/>
      <c r="D933" s="95"/>
      <c r="E933" s="14"/>
      <c r="F933" s="96"/>
    </row>
    <row r="934">
      <c r="A934" s="12"/>
      <c r="D934" s="95"/>
      <c r="E934" s="14"/>
      <c r="F934" s="96"/>
    </row>
    <row r="935">
      <c r="A935" s="12"/>
      <c r="D935" s="95"/>
      <c r="E935" s="14"/>
      <c r="F935" s="96"/>
    </row>
    <row r="936">
      <c r="A936" s="12"/>
      <c r="D936" s="95"/>
      <c r="E936" s="14"/>
      <c r="F936" s="96"/>
    </row>
    <row r="937">
      <c r="A937" s="12"/>
      <c r="D937" s="95"/>
      <c r="E937" s="14"/>
      <c r="F937" s="96"/>
    </row>
    <row r="938">
      <c r="A938" s="12"/>
      <c r="D938" s="95"/>
      <c r="E938" s="14"/>
      <c r="F938" s="96"/>
    </row>
    <row r="939">
      <c r="A939" s="12"/>
      <c r="D939" s="95"/>
      <c r="E939" s="14"/>
      <c r="F939" s="96"/>
    </row>
    <row r="940">
      <c r="A940" s="12"/>
      <c r="D940" s="95"/>
      <c r="E940" s="14"/>
      <c r="F940" s="96"/>
    </row>
    <row r="941">
      <c r="A941" s="12"/>
      <c r="D941" s="95"/>
      <c r="E941" s="14"/>
      <c r="F941" s="96"/>
    </row>
    <row r="942">
      <c r="A942" s="12"/>
      <c r="D942" s="95"/>
      <c r="E942" s="14"/>
      <c r="F942" s="96"/>
    </row>
    <row r="943">
      <c r="A943" s="12"/>
      <c r="D943" s="95"/>
      <c r="E943" s="14"/>
      <c r="F943" s="96"/>
    </row>
    <row r="944">
      <c r="A944" s="12"/>
      <c r="D944" s="95"/>
      <c r="E944" s="14"/>
      <c r="F944" s="96"/>
    </row>
    <row r="945">
      <c r="A945" s="12"/>
      <c r="D945" s="95"/>
      <c r="E945" s="14"/>
      <c r="F945" s="96"/>
    </row>
    <row r="946">
      <c r="A946" s="12"/>
      <c r="D946" s="95"/>
      <c r="E946" s="14"/>
      <c r="F946" s="96"/>
    </row>
    <row r="947">
      <c r="A947" s="12"/>
      <c r="D947" s="95"/>
      <c r="E947" s="14"/>
      <c r="F947" s="96"/>
    </row>
    <row r="948">
      <c r="A948" s="12"/>
      <c r="D948" s="95"/>
      <c r="E948" s="14"/>
      <c r="F948" s="96"/>
    </row>
    <row r="949">
      <c r="A949" s="12"/>
      <c r="D949" s="95"/>
      <c r="E949" s="14"/>
      <c r="F949" s="96"/>
    </row>
    <row r="950">
      <c r="A950" s="12"/>
      <c r="D950" s="95"/>
      <c r="E950" s="14"/>
      <c r="F950" s="96"/>
    </row>
    <row r="951">
      <c r="A951" s="12"/>
      <c r="D951" s="95"/>
      <c r="E951" s="14"/>
      <c r="F951" s="96"/>
    </row>
    <row r="952">
      <c r="A952" s="12"/>
      <c r="D952" s="95"/>
      <c r="E952" s="14"/>
      <c r="F952" s="96"/>
    </row>
    <row r="953">
      <c r="A953" s="12"/>
      <c r="D953" s="95"/>
      <c r="E953" s="14"/>
      <c r="F953" s="96"/>
    </row>
    <row r="954">
      <c r="A954" s="12"/>
      <c r="D954" s="95"/>
      <c r="E954" s="14"/>
      <c r="F954" s="96"/>
    </row>
    <row r="955">
      <c r="A955" s="12"/>
      <c r="D955" s="95"/>
      <c r="E955" s="14"/>
      <c r="F955" s="96"/>
    </row>
    <row r="956">
      <c r="A956" s="12"/>
      <c r="D956" s="95"/>
      <c r="E956" s="14"/>
      <c r="F956" s="96"/>
    </row>
    <row r="957">
      <c r="A957" s="12"/>
      <c r="D957" s="95"/>
      <c r="E957" s="14"/>
      <c r="F957" s="96"/>
    </row>
    <row r="958">
      <c r="A958" s="12"/>
      <c r="D958" s="95"/>
      <c r="E958" s="14"/>
      <c r="F958" s="96"/>
    </row>
    <row r="959">
      <c r="A959" s="12"/>
      <c r="D959" s="95"/>
      <c r="E959" s="14"/>
      <c r="F959" s="96"/>
    </row>
    <row r="960">
      <c r="A960" s="12"/>
      <c r="D960" s="95"/>
      <c r="E960" s="14"/>
      <c r="F960" s="96"/>
    </row>
    <row r="961">
      <c r="A961" s="12"/>
      <c r="D961" s="95"/>
      <c r="E961" s="14"/>
      <c r="F961" s="96"/>
    </row>
    <row r="962">
      <c r="A962" s="12"/>
      <c r="D962" s="95"/>
      <c r="E962" s="14"/>
      <c r="F962" s="96"/>
    </row>
    <row r="963">
      <c r="A963" s="12"/>
      <c r="D963" s="95"/>
      <c r="E963" s="14"/>
      <c r="F963" s="96"/>
    </row>
    <row r="964">
      <c r="A964" s="12"/>
      <c r="D964" s="95"/>
      <c r="E964" s="14"/>
      <c r="F964" s="96"/>
    </row>
    <row r="965">
      <c r="A965" s="12"/>
      <c r="D965" s="95"/>
      <c r="E965" s="14"/>
      <c r="F965" s="96"/>
    </row>
    <row r="966">
      <c r="A966" s="12"/>
      <c r="D966" s="95"/>
      <c r="E966" s="14"/>
      <c r="F966" s="96"/>
    </row>
    <row r="967">
      <c r="A967" s="12"/>
      <c r="D967" s="95"/>
      <c r="E967" s="14"/>
      <c r="F967" s="96"/>
    </row>
    <row r="968">
      <c r="A968" s="12"/>
      <c r="D968" s="95"/>
      <c r="E968" s="14"/>
      <c r="F968" s="96"/>
    </row>
    <row r="969">
      <c r="A969" s="12"/>
      <c r="D969" s="95"/>
      <c r="E969" s="14"/>
      <c r="F969" s="96"/>
    </row>
    <row r="970">
      <c r="A970" s="12"/>
      <c r="D970" s="95"/>
      <c r="E970" s="14"/>
      <c r="F970" s="96"/>
    </row>
    <row r="971">
      <c r="A971" s="12"/>
      <c r="D971" s="95"/>
      <c r="E971" s="14"/>
      <c r="F971" s="96"/>
    </row>
    <row r="972">
      <c r="A972" s="12"/>
      <c r="D972" s="95"/>
      <c r="E972" s="14"/>
      <c r="F972" s="96"/>
    </row>
    <row r="973">
      <c r="A973" s="12"/>
      <c r="D973" s="95"/>
      <c r="E973" s="14"/>
      <c r="F973" s="96"/>
    </row>
    <row r="974">
      <c r="A974" s="12"/>
      <c r="D974" s="95"/>
      <c r="E974" s="14"/>
      <c r="F974" s="96"/>
    </row>
    <row r="975">
      <c r="A975" s="12"/>
      <c r="D975" s="95"/>
      <c r="E975" s="14"/>
      <c r="F975" s="96"/>
    </row>
    <row r="976">
      <c r="A976" s="12"/>
      <c r="D976" s="95"/>
      <c r="E976" s="14"/>
      <c r="F976" s="96"/>
    </row>
    <row r="977">
      <c r="A977" s="12"/>
      <c r="D977" s="95"/>
      <c r="E977" s="14"/>
      <c r="F977" s="96"/>
    </row>
    <row r="978">
      <c r="A978" s="12"/>
      <c r="D978" s="95"/>
      <c r="E978" s="14"/>
      <c r="F978" s="96"/>
    </row>
    <row r="979">
      <c r="A979" s="12"/>
      <c r="D979" s="95"/>
      <c r="E979" s="14"/>
      <c r="F979" s="96"/>
    </row>
    <row r="980">
      <c r="A980" s="12"/>
      <c r="D980" s="95"/>
      <c r="E980" s="14"/>
      <c r="F980" s="96"/>
    </row>
    <row r="981">
      <c r="A981" s="12"/>
      <c r="D981" s="95"/>
      <c r="E981" s="14"/>
      <c r="F981" s="96"/>
    </row>
    <row r="982">
      <c r="A982" s="12"/>
      <c r="D982" s="95"/>
      <c r="E982" s="14"/>
      <c r="F982" s="96"/>
    </row>
    <row r="983">
      <c r="A983" s="12"/>
      <c r="D983" s="95"/>
      <c r="E983" s="14"/>
      <c r="F983" s="96"/>
    </row>
    <row r="984">
      <c r="A984" s="12"/>
      <c r="D984" s="95"/>
      <c r="E984" s="14"/>
      <c r="F984" s="96"/>
    </row>
    <row r="985">
      <c r="A985" s="12"/>
      <c r="D985" s="95"/>
      <c r="E985" s="14"/>
      <c r="F985" s="96"/>
    </row>
    <row r="986">
      <c r="A986" s="12"/>
      <c r="D986" s="95"/>
      <c r="E986" s="14"/>
      <c r="F986" s="96"/>
    </row>
    <row r="987">
      <c r="A987" s="12"/>
      <c r="D987" s="95"/>
      <c r="E987" s="14"/>
      <c r="F987" s="96"/>
    </row>
    <row r="988">
      <c r="A988" s="12"/>
      <c r="D988" s="95"/>
      <c r="E988" s="14"/>
      <c r="F988" s="96"/>
    </row>
    <row r="989">
      <c r="A989" s="12"/>
      <c r="D989" s="95"/>
      <c r="E989" s="14"/>
      <c r="F989" s="96"/>
    </row>
    <row r="990">
      <c r="A990" s="12"/>
      <c r="D990" s="95"/>
      <c r="E990" s="14"/>
      <c r="F990" s="96"/>
    </row>
    <row r="991">
      <c r="A991" s="12"/>
      <c r="D991" s="95"/>
      <c r="E991" s="14"/>
      <c r="F991" s="96"/>
    </row>
    <row r="992">
      <c r="A992" s="12"/>
      <c r="D992" s="95"/>
      <c r="E992" s="14"/>
      <c r="F992" s="96"/>
    </row>
    <row r="993">
      <c r="A993" s="12"/>
      <c r="D993" s="95"/>
      <c r="E993" s="14"/>
      <c r="F993" s="96"/>
    </row>
    <row r="994">
      <c r="A994" s="12"/>
      <c r="D994" s="95"/>
      <c r="E994" s="14"/>
      <c r="F994" s="96"/>
    </row>
    <row r="995">
      <c r="A995" s="12"/>
      <c r="D995" s="95"/>
      <c r="E995" s="14"/>
      <c r="F995" s="96"/>
    </row>
    <row r="996">
      <c r="A996" s="12"/>
      <c r="D996" s="95"/>
      <c r="E996" s="14"/>
      <c r="F996" s="96"/>
    </row>
    <row r="997">
      <c r="A997" s="12"/>
      <c r="D997" s="95"/>
      <c r="E997" s="14"/>
      <c r="F997" s="96"/>
    </row>
    <row r="998">
      <c r="A998" s="12"/>
      <c r="D998" s="95"/>
      <c r="E998" s="14"/>
      <c r="F998" s="96"/>
    </row>
    <row r="999">
      <c r="A999" s="12"/>
      <c r="D999" s="95"/>
      <c r="E999" s="14"/>
      <c r="F999" s="96"/>
    </row>
    <row r="1000">
      <c r="A1000" s="12"/>
      <c r="D1000" s="95"/>
      <c r="E1000" s="14"/>
      <c r="F1000" s="96"/>
    </row>
    <row r="1001">
      <c r="A1001" s="12"/>
      <c r="D1001" s="95"/>
      <c r="E1001" s="14"/>
      <c r="F1001" s="96"/>
    </row>
    <row r="1002">
      <c r="A1002" s="12"/>
      <c r="D1002" s="95"/>
      <c r="E1002" s="14"/>
      <c r="F1002" s="96"/>
    </row>
    <row r="1003">
      <c r="A1003" s="12"/>
      <c r="D1003" s="95"/>
      <c r="E1003" s="14"/>
      <c r="F1003" s="96"/>
    </row>
    <row r="1004">
      <c r="A1004" s="12"/>
      <c r="D1004" s="95"/>
      <c r="E1004" s="14"/>
      <c r="F1004" s="96"/>
    </row>
    <row r="1005">
      <c r="A1005" s="12"/>
      <c r="D1005" s="95"/>
      <c r="E1005" s="14"/>
      <c r="F1005" s="96"/>
    </row>
  </sheetData>
  <conditionalFormatting sqref="H2:Q33">
    <cfRule type="cellIs" dxfId="18" priority="1" operator="equal">
      <formula>0</formula>
    </cfRule>
  </conditionalFormatting>
  <conditionalFormatting sqref="H2:H33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3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3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3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3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3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3">
    <cfRule type="colorScale" priority="8">
      <colorScale>
        <cfvo type="formula" val="0"/>
        <cfvo type="percentile" val="50"/>
        <cfvo type="max"/>
        <color rgb="FFFF0000"/>
        <color rgb="FFFFFF00"/>
        <color rgb="FF34A853"/>
      </colorScale>
    </cfRule>
  </conditionalFormatting>
  <conditionalFormatting sqref="P2:Q33">
    <cfRule type="colorScale" priority="9">
      <colorScale>
        <cfvo type="formula" val="0"/>
        <cfvo type="percentile" val="50"/>
        <cfvo type="max"/>
        <color rgb="FFFF0000"/>
        <color rgb="FFFFFF00"/>
        <color rgb="FF34A853"/>
      </colorScale>
    </cfRule>
  </conditionalFormatting>
  <conditionalFormatting sqref="O2:O33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39:C46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9:F46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6">
      <formula1>OR(NOT(ISERROR(DATEVALUE(F36))), AND(ISNUMBER(F36), LEFT(CELL("format", F36))="D"))</formula1>
    </dataValidation>
    <dataValidation type="list" allowBlank="1" showDropDown="1" sqref="C2:C33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20.13"/>
    <col customWidth="1" min="3" max="3" width="14.5"/>
    <col customWidth="1" min="4" max="4" width="42.25"/>
    <col customWidth="1" min="5" max="5" width="9.88"/>
    <col customWidth="1" min="6" max="6" width="38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441" t="s">
        <v>48</v>
      </c>
      <c r="B1" s="442" t="s">
        <v>49</v>
      </c>
      <c r="C1" s="442" t="s">
        <v>50</v>
      </c>
      <c r="D1" s="443" t="s">
        <v>56</v>
      </c>
      <c r="E1" s="441" t="s">
        <v>57</v>
      </c>
      <c r="F1" s="444" t="s">
        <v>52</v>
      </c>
      <c r="G1" s="445" t="s">
        <v>53</v>
      </c>
      <c r="H1" s="441" t="s">
        <v>4</v>
      </c>
      <c r="I1" s="441" t="s">
        <v>58</v>
      </c>
      <c r="J1" s="441" t="s">
        <v>59</v>
      </c>
      <c r="K1" s="441" t="s">
        <v>60</v>
      </c>
      <c r="L1" s="441" t="s">
        <v>61</v>
      </c>
      <c r="M1" s="441" t="s">
        <v>62</v>
      </c>
      <c r="N1" s="441" t="s">
        <v>63</v>
      </c>
      <c r="O1" s="446" t="s">
        <v>387</v>
      </c>
      <c r="P1" s="446" t="s">
        <v>64</v>
      </c>
      <c r="Q1" s="441" t="s">
        <v>65</v>
      </c>
    </row>
    <row r="2" ht="22.5" customHeight="1">
      <c r="A2" s="447">
        <v>1.0</v>
      </c>
      <c r="B2" s="448" t="s">
        <v>724</v>
      </c>
      <c r="C2" s="449" t="s">
        <v>67</v>
      </c>
      <c r="D2" s="450" t="s">
        <v>725</v>
      </c>
      <c r="E2" s="451" t="str">
        <f t="shared" ref="E2:E3" si="1">IMAGE("https://flagcdn.com/w320/es.png")</f>
        <v/>
      </c>
      <c r="F2" s="452">
        <v>35752.0</v>
      </c>
      <c r="G2" s="453">
        <f t="shared" ref="G2:G33" si="2">DATEDIF(F2,TODAY(),"Y")</f>
        <v>28</v>
      </c>
      <c r="H2" s="454">
        <f t="shared" ref="H2:H3" si="3">1+1+1+1+1+1</f>
        <v>6</v>
      </c>
      <c r="I2" s="454">
        <f>90+90+90+90+90+45</f>
        <v>495</v>
      </c>
      <c r="J2" s="454"/>
      <c r="K2" s="454"/>
      <c r="L2" s="454"/>
      <c r="M2" s="454"/>
      <c r="N2" s="454">
        <f>1+1+0.5</f>
        <v>2.5</v>
      </c>
      <c r="O2" s="454"/>
      <c r="P2" s="454">
        <f t="shared" ref="P2:P33" si="4">J2+K2</f>
        <v>0</v>
      </c>
      <c r="Q2" s="454"/>
    </row>
    <row r="3" ht="22.5" customHeight="1">
      <c r="A3" s="447">
        <v>3.0</v>
      </c>
      <c r="B3" s="448" t="s">
        <v>726</v>
      </c>
      <c r="C3" s="449" t="s">
        <v>70</v>
      </c>
      <c r="D3" s="450" t="s">
        <v>83</v>
      </c>
      <c r="E3" s="451" t="str">
        <f t="shared" si="1"/>
        <v/>
      </c>
      <c r="F3" s="452">
        <v>35998.0</v>
      </c>
      <c r="G3" s="453">
        <f t="shared" si="2"/>
        <v>27</v>
      </c>
      <c r="H3" s="454">
        <f t="shared" si="3"/>
        <v>6</v>
      </c>
      <c r="I3" s="454">
        <f>90+90+90+90+90+21</f>
        <v>471</v>
      </c>
      <c r="J3" s="454"/>
      <c r="K3" s="454"/>
      <c r="L3" s="454"/>
      <c r="M3" s="454"/>
      <c r="N3" s="454"/>
      <c r="O3" s="454"/>
      <c r="P3" s="454">
        <f t="shared" si="4"/>
        <v>0</v>
      </c>
      <c r="Q3" s="454"/>
    </row>
    <row r="4" ht="22.5" customHeight="1">
      <c r="A4" s="447">
        <v>4.0</v>
      </c>
      <c r="B4" s="448" t="s">
        <v>727</v>
      </c>
      <c r="C4" s="449" t="s">
        <v>70</v>
      </c>
      <c r="D4" s="450" t="s">
        <v>728</v>
      </c>
      <c r="E4" s="451" t="str">
        <f>IMAGE("https://flagcdn.com/w320/gb-eng.png")</f>
        <v/>
      </c>
      <c r="F4" s="452">
        <v>35697.0</v>
      </c>
      <c r="G4" s="453">
        <f t="shared" si="2"/>
        <v>28</v>
      </c>
      <c r="H4" s="454">
        <f>1+1+1+1</f>
        <v>4</v>
      </c>
      <c r="I4" s="454">
        <f>90+45+90+15</f>
        <v>240</v>
      </c>
      <c r="J4" s="454"/>
      <c r="K4" s="454"/>
      <c r="L4" s="454">
        <f>1</f>
        <v>1</v>
      </c>
      <c r="M4" s="454"/>
      <c r="N4" s="454"/>
      <c r="O4" s="454"/>
      <c r="P4" s="454">
        <f t="shared" si="4"/>
        <v>0</v>
      </c>
      <c r="Q4" s="454"/>
    </row>
    <row r="5" ht="22.5" customHeight="1">
      <c r="A5" s="447">
        <v>5.0</v>
      </c>
      <c r="B5" s="448" t="s">
        <v>729</v>
      </c>
      <c r="C5" s="449" t="s">
        <v>70</v>
      </c>
      <c r="D5" s="450" t="s">
        <v>730</v>
      </c>
      <c r="E5" s="451" t="str">
        <f>IMAGE("https://flagcdn.com/w320/fr.png")</f>
        <v/>
      </c>
      <c r="F5" s="452">
        <v>36976.0</v>
      </c>
      <c r="G5" s="453">
        <f t="shared" si="2"/>
        <v>24</v>
      </c>
      <c r="H5" s="454">
        <f>1+1+1</f>
        <v>3</v>
      </c>
      <c r="I5" s="454">
        <f>79+90+90</f>
        <v>259</v>
      </c>
      <c r="J5" s="454"/>
      <c r="K5" s="454"/>
      <c r="L5" s="454"/>
      <c r="M5" s="454"/>
      <c r="N5" s="454"/>
      <c r="O5" s="454"/>
      <c r="P5" s="454">
        <f t="shared" si="4"/>
        <v>0</v>
      </c>
      <c r="Q5" s="454"/>
    </row>
    <row r="6" ht="22.5" customHeight="1">
      <c r="A6" s="447">
        <v>6.0</v>
      </c>
      <c r="B6" s="448" t="s">
        <v>731</v>
      </c>
      <c r="C6" s="449" t="s">
        <v>70</v>
      </c>
      <c r="D6" s="450" t="s">
        <v>94</v>
      </c>
      <c r="E6" s="451" t="str">
        <f>IMAGE("https://flagcdn.com/w320/gb-eng.png")</f>
        <v/>
      </c>
      <c r="F6" s="452">
        <v>37678.0</v>
      </c>
      <c r="G6" s="453">
        <f t="shared" si="2"/>
        <v>22</v>
      </c>
      <c r="H6" s="454"/>
      <c r="I6" s="454"/>
      <c r="J6" s="454"/>
      <c r="K6" s="454"/>
      <c r="L6" s="454"/>
      <c r="M6" s="454"/>
      <c r="N6" s="454"/>
      <c r="O6" s="454"/>
      <c r="P6" s="454">
        <f t="shared" si="4"/>
        <v>0</v>
      </c>
      <c r="Q6" s="454"/>
    </row>
    <row r="7" ht="22.5" customHeight="1">
      <c r="A7" s="447">
        <v>7.0</v>
      </c>
      <c r="B7" s="448" t="s">
        <v>732</v>
      </c>
      <c r="C7" s="449" t="s">
        <v>82</v>
      </c>
      <c r="D7" s="450" t="s">
        <v>477</v>
      </c>
      <c r="E7" s="451" t="str">
        <f>IMAGE("https://flagcdn.com/w320/pt.png")</f>
        <v/>
      </c>
      <c r="F7" s="452">
        <v>36594.0</v>
      </c>
      <c r="G7" s="453">
        <f t="shared" si="2"/>
        <v>25</v>
      </c>
      <c r="H7" s="454">
        <f>1+1+1+1+1</f>
        <v>5</v>
      </c>
      <c r="I7" s="454">
        <f>67+90+75+66+90</f>
        <v>388</v>
      </c>
      <c r="J7" s="454"/>
      <c r="K7" s="454"/>
      <c r="L7" s="454"/>
      <c r="M7" s="454"/>
      <c r="N7" s="454"/>
      <c r="O7" s="454"/>
      <c r="P7" s="454">
        <f t="shared" si="4"/>
        <v>0</v>
      </c>
      <c r="Q7" s="454"/>
    </row>
    <row r="8" ht="22.5" customHeight="1">
      <c r="A8" s="447">
        <v>8.0</v>
      </c>
      <c r="B8" s="448" t="s">
        <v>733</v>
      </c>
      <c r="C8" s="449" t="s">
        <v>79</v>
      </c>
      <c r="D8" s="450" t="s">
        <v>403</v>
      </c>
      <c r="E8" s="451" t="str">
        <f>IMAGE("https://flagcdn.com/w320/ar.png")</f>
        <v/>
      </c>
      <c r="F8" s="452">
        <v>36908.0</v>
      </c>
      <c r="G8" s="453">
        <f t="shared" si="2"/>
        <v>25</v>
      </c>
      <c r="H8" s="454">
        <f>1+1+1+1+1+1+1</f>
        <v>7</v>
      </c>
      <c r="I8" s="454">
        <f>80+90+45+45+90+66+90</f>
        <v>506</v>
      </c>
      <c r="J8" s="454">
        <f t="shared" ref="J8:K8" si="5">1</f>
        <v>1</v>
      </c>
      <c r="K8" s="454">
        <f t="shared" si="5"/>
        <v>1</v>
      </c>
      <c r="L8" s="454">
        <f>1+1</f>
        <v>2</v>
      </c>
      <c r="M8" s="454"/>
      <c r="N8" s="454"/>
      <c r="O8" s="454"/>
      <c r="P8" s="454">
        <f t="shared" si="4"/>
        <v>2</v>
      </c>
      <c r="Q8" s="454"/>
    </row>
    <row r="9" ht="22.5" customHeight="1">
      <c r="A9" s="447">
        <v>9.0</v>
      </c>
      <c r="B9" s="448" t="s">
        <v>734</v>
      </c>
      <c r="C9" s="449" t="s">
        <v>82</v>
      </c>
      <c r="D9" s="450" t="s">
        <v>735</v>
      </c>
      <c r="E9" s="451" t="str">
        <f t="shared" ref="E9:E11" si="6">IMAGE("https://flagcdn.com/w320/gb-eng.png")</f>
        <v/>
      </c>
      <c r="F9" s="452">
        <v>37660.0</v>
      </c>
      <c r="G9" s="453">
        <f t="shared" si="2"/>
        <v>22</v>
      </c>
      <c r="H9" s="454">
        <f>1+1+1</f>
        <v>3</v>
      </c>
      <c r="I9" s="454">
        <f>45+32+69</f>
        <v>146</v>
      </c>
      <c r="J9" s="454">
        <f t="shared" ref="J9:J10" si="7">1</f>
        <v>1</v>
      </c>
      <c r="K9" s="454"/>
      <c r="L9" s="454"/>
      <c r="M9" s="454"/>
      <c r="N9" s="454"/>
      <c r="O9" s="454"/>
      <c r="P9" s="454">
        <f t="shared" si="4"/>
        <v>1</v>
      </c>
      <c r="Q9" s="454"/>
    </row>
    <row r="10" ht="22.5" customHeight="1">
      <c r="A10" s="447">
        <v>10.0</v>
      </c>
      <c r="B10" s="448" t="s">
        <v>736</v>
      </c>
      <c r="C10" s="449" t="s">
        <v>79</v>
      </c>
      <c r="D10" s="450" t="s">
        <v>737</v>
      </c>
      <c r="E10" s="451" t="str">
        <f t="shared" si="6"/>
        <v/>
      </c>
      <c r="F10" s="452">
        <v>37382.0</v>
      </c>
      <c r="G10" s="453">
        <f t="shared" si="2"/>
        <v>23</v>
      </c>
      <c r="H10" s="454">
        <f>1</f>
        <v>1</v>
      </c>
      <c r="I10" s="454">
        <f>90</f>
        <v>90</v>
      </c>
      <c r="J10" s="454">
        <f t="shared" si="7"/>
        <v>1</v>
      </c>
      <c r="K10" s="454"/>
      <c r="L10" s="454"/>
      <c r="M10" s="454"/>
      <c r="N10" s="454"/>
      <c r="O10" s="454"/>
      <c r="P10" s="454">
        <f t="shared" si="4"/>
        <v>1</v>
      </c>
      <c r="Q10" s="454"/>
    </row>
    <row r="11" ht="22.5" customHeight="1">
      <c r="A11" s="447">
        <v>11.0</v>
      </c>
      <c r="B11" s="448" t="s">
        <v>738</v>
      </c>
      <c r="C11" s="449" t="s">
        <v>82</v>
      </c>
      <c r="D11" s="450" t="s">
        <v>739</v>
      </c>
      <c r="E11" s="451" t="str">
        <f t="shared" si="6"/>
        <v/>
      </c>
      <c r="F11" s="452">
        <v>38207.0</v>
      </c>
      <c r="G11" s="453">
        <f t="shared" si="2"/>
        <v>21</v>
      </c>
      <c r="H11" s="455">
        <f>1+1+1+1+1+1</f>
        <v>6</v>
      </c>
      <c r="I11" s="455">
        <f>30+90+45+15+90+21</f>
        <v>291</v>
      </c>
      <c r="J11" s="454"/>
      <c r="K11" s="454">
        <f t="shared" ref="K11:L11" si="8">1</f>
        <v>1</v>
      </c>
      <c r="L11" s="454">
        <f t="shared" si="8"/>
        <v>1</v>
      </c>
      <c r="M11" s="454"/>
      <c r="N11" s="454"/>
      <c r="O11" s="454"/>
      <c r="P11" s="454">
        <f t="shared" si="4"/>
        <v>1</v>
      </c>
      <c r="Q11" s="454"/>
    </row>
    <row r="12" ht="22.5" customHeight="1">
      <c r="A12" s="447">
        <v>12.0</v>
      </c>
      <c r="B12" s="448" t="s">
        <v>740</v>
      </c>
      <c r="C12" s="449" t="s">
        <v>67</v>
      </c>
      <c r="D12" s="450" t="s">
        <v>741</v>
      </c>
      <c r="E12" s="451" t="str">
        <f>IMAGE("https://flagcdn.com/w320/dk.png")</f>
        <v/>
      </c>
      <c r="F12" s="452">
        <v>37362.0</v>
      </c>
      <c r="G12" s="453">
        <f t="shared" si="2"/>
        <v>23</v>
      </c>
      <c r="H12" s="455">
        <f>1+1</f>
        <v>2</v>
      </c>
      <c r="I12" s="455">
        <f>90+45</f>
        <v>135</v>
      </c>
      <c r="J12" s="454"/>
      <c r="K12" s="454"/>
      <c r="L12" s="454"/>
      <c r="M12" s="454"/>
      <c r="N12" s="454">
        <f>0.5</f>
        <v>0.5</v>
      </c>
      <c r="O12" s="454"/>
      <c r="P12" s="454">
        <f t="shared" si="4"/>
        <v>0</v>
      </c>
      <c r="Q12" s="454"/>
    </row>
    <row r="13" ht="22.5" customHeight="1">
      <c r="A13" s="447">
        <v>14.0</v>
      </c>
      <c r="B13" s="456" t="s">
        <v>742</v>
      </c>
      <c r="C13" s="449" t="s">
        <v>79</v>
      </c>
      <c r="D13" s="450" t="s">
        <v>743</v>
      </c>
      <c r="E13" s="451" t="str">
        <f>IMAGE("https://flagcdn.com/w320/pt.png")</f>
        <v/>
      </c>
      <c r="F13" s="452">
        <v>38425.0</v>
      </c>
      <c r="G13" s="453">
        <f t="shared" si="2"/>
        <v>20</v>
      </c>
      <c r="H13" s="454"/>
      <c r="I13" s="454"/>
      <c r="J13" s="454"/>
      <c r="K13" s="454"/>
      <c r="L13" s="454"/>
      <c r="M13" s="454"/>
      <c r="N13" s="454"/>
      <c r="O13" s="454"/>
      <c r="P13" s="454">
        <f t="shared" si="4"/>
        <v>0</v>
      </c>
      <c r="Q13" s="454"/>
    </row>
    <row r="14" ht="22.5" customHeight="1">
      <c r="A14" s="447">
        <v>17.0</v>
      </c>
      <c r="B14" s="456" t="s">
        <v>744</v>
      </c>
      <c r="C14" s="449" t="s">
        <v>79</v>
      </c>
      <c r="D14" s="450" t="s">
        <v>182</v>
      </c>
      <c r="E14" s="451" t="str">
        <f t="shared" ref="E14:E15" si="9">IMAGE("https://flagcdn.com/w320/br.png")</f>
        <v/>
      </c>
      <c r="F14" s="452">
        <v>38110.0</v>
      </c>
      <c r="G14" s="453">
        <f t="shared" si="2"/>
        <v>21</v>
      </c>
      <c r="H14" s="454">
        <f>1+1+1+1</f>
        <v>4</v>
      </c>
      <c r="I14" s="454">
        <f>23+45+45+45</f>
        <v>158</v>
      </c>
      <c r="J14" s="454"/>
      <c r="K14" s="454">
        <f>1</f>
        <v>1</v>
      </c>
      <c r="L14" s="454">
        <f>1+1</f>
        <v>2</v>
      </c>
      <c r="M14" s="454"/>
      <c r="N14" s="454"/>
      <c r="O14" s="454"/>
      <c r="P14" s="454">
        <f t="shared" si="4"/>
        <v>1</v>
      </c>
      <c r="Q14" s="454"/>
    </row>
    <row r="15" ht="22.5" customHeight="1">
      <c r="A15" s="447">
        <v>20.0</v>
      </c>
      <c r="B15" s="456" t="s">
        <v>745</v>
      </c>
      <c r="C15" s="449" t="s">
        <v>82</v>
      </c>
      <c r="D15" s="450" t="s">
        <v>182</v>
      </c>
      <c r="E15" s="451" t="str">
        <f t="shared" si="9"/>
        <v/>
      </c>
      <c r="F15" s="452">
        <v>37160.0</v>
      </c>
      <c r="G15" s="453">
        <f t="shared" si="2"/>
        <v>24</v>
      </c>
      <c r="H15" s="454">
        <f>1+1+1+1+1</f>
        <v>5</v>
      </c>
      <c r="I15" s="454">
        <f>90+29+70+90+21</f>
        <v>300</v>
      </c>
      <c r="J15" s="454">
        <f>1</f>
        <v>1</v>
      </c>
      <c r="K15" s="454"/>
      <c r="L15" s="454">
        <f>2</f>
        <v>2</v>
      </c>
      <c r="M15" s="454">
        <f>1</f>
        <v>1</v>
      </c>
      <c r="N15" s="454"/>
      <c r="O15" s="454"/>
      <c r="P15" s="454">
        <f t="shared" si="4"/>
        <v>1</v>
      </c>
      <c r="Q15" s="454"/>
    </row>
    <row r="16" ht="22.5" customHeight="1">
      <c r="A16" s="447">
        <v>21.0</v>
      </c>
      <c r="B16" s="448" t="s">
        <v>746</v>
      </c>
      <c r="C16" s="449" t="s">
        <v>70</v>
      </c>
      <c r="D16" s="457" t="s">
        <v>747</v>
      </c>
      <c r="E16" s="451" t="str">
        <f>IMAGE("https://flagcdn.com/w320/nl.png")</f>
        <v/>
      </c>
      <c r="F16" s="452">
        <v>38783.0</v>
      </c>
      <c r="G16" s="453">
        <f t="shared" si="2"/>
        <v>19</v>
      </c>
      <c r="H16" s="455">
        <f>1+1+1</f>
        <v>3</v>
      </c>
      <c r="I16" s="455">
        <f>90+90+69</f>
        <v>249</v>
      </c>
      <c r="J16" s="454"/>
      <c r="K16" s="454"/>
      <c r="L16" s="454"/>
      <c r="M16" s="454"/>
      <c r="N16" s="454"/>
      <c r="O16" s="454"/>
      <c r="P16" s="454">
        <f t="shared" si="4"/>
        <v>0</v>
      </c>
      <c r="Q16" s="454"/>
    </row>
    <row r="17" ht="22.5" customHeight="1">
      <c r="A17" s="447">
        <v>23.0</v>
      </c>
      <c r="B17" s="448" t="s">
        <v>748</v>
      </c>
      <c r="C17" s="449" t="s">
        <v>70</v>
      </c>
      <c r="D17" s="450" t="s">
        <v>749</v>
      </c>
      <c r="E17" s="451" t="str">
        <f t="shared" ref="E17:E18" si="10">IMAGE("https://flagcdn.com/w320/gb-eng.png")</f>
        <v/>
      </c>
      <c r="F17" s="452">
        <v>36346.0</v>
      </c>
      <c r="G17" s="453">
        <f t="shared" si="2"/>
        <v>26</v>
      </c>
      <c r="H17" s="454">
        <f>1+1+1+1+1</f>
        <v>5</v>
      </c>
      <c r="I17" s="454">
        <f>90+90+45+90+45</f>
        <v>360</v>
      </c>
      <c r="J17" s="454"/>
      <c r="K17" s="454"/>
      <c r="L17" s="454">
        <f t="shared" ref="L17:L19" si="11">1</f>
        <v>1</v>
      </c>
      <c r="M17" s="454"/>
      <c r="N17" s="454"/>
      <c r="O17" s="454">
        <f>1</f>
        <v>1</v>
      </c>
      <c r="P17" s="454">
        <f t="shared" si="4"/>
        <v>0</v>
      </c>
      <c r="Q17" s="454"/>
    </row>
    <row r="18" ht="22.5" customHeight="1">
      <c r="A18" s="447">
        <v>24.0</v>
      </c>
      <c r="B18" s="448" t="s">
        <v>750</v>
      </c>
      <c r="C18" s="449" t="s">
        <v>70</v>
      </c>
      <c r="D18" s="450" t="s">
        <v>94</v>
      </c>
      <c r="E18" s="451" t="str">
        <f t="shared" si="10"/>
        <v/>
      </c>
      <c r="F18" s="452">
        <v>36502.0</v>
      </c>
      <c r="G18" s="453">
        <f t="shared" si="2"/>
        <v>26</v>
      </c>
      <c r="H18" s="454">
        <f>1+1+1+1+1+1</f>
        <v>6</v>
      </c>
      <c r="I18" s="454">
        <f>67+11+90+81+90+45</f>
        <v>384</v>
      </c>
      <c r="J18" s="454"/>
      <c r="K18" s="454">
        <f>1+1</f>
        <v>2</v>
      </c>
      <c r="L18" s="454">
        <f t="shared" si="11"/>
        <v>1</v>
      </c>
      <c r="M18" s="454"/>
      <c r="N18" s="454"/>
      <c r="O18" s="454"/>
      <c r="P18" s="454">
        <f t="shared" si="4"/>
        <v>2</v>
      </c>
      <c r="Q18" s="454"/>
    </row>
    <row r="19" ht="22.5" customHeight="1">
      <c r="A19" s="447">
        <v>25.0</v>
      </c>
      <c r="B19" s="448" t="s">
        <v>751</v>
      </c>
      <c r="C19" s="449" t="s">
        <v>79</v>
      </c>
      <c r="D19" s="450" t="s">
        <v>180</v>
      </c>
      <c r="E19" s="451" t="str">
        <f>IMAGE("https://flagcdn.com/w320/ec.png")</f>
        <v/>
      </c>
      <c r="F19" s="452">
        <v>37197.0</v>
      </c>
      <c r="G19" s="453">
        <f t="shared" si="2"/>
        <v>24</v>
      </c>
      <c r="H19" s="454">
        <f>1+1+1+1+1+1+1</f>
        <v>7</v>
      </c>
      <c r="I19" s="454">
        <f>90+90+48+83+90+90+90</f>
        <v>581</v>
      </c>
      <c r="J19" s="454">
        <f>1+1</f>
        <v>2</v>
      </c>
      <c r="K19" s="454"/>
      <c r="L19" s="454">
        <f t="shared" si="11"/>
        <v>1</v>
      </c>
      <c r="M19" s="454"/>
      <c r="N19" s="454"/>
      <c r="O19" s="454"/>
      <c r="P19" s="454">
        <f t="shared" si="4"/>
        <v>2</v>
      </c>
      <c r="Q19" s="454"/>
    </row>
    <row r="20" ht="22.5" customHeight="1">
      <c r="A20" s="447">
        <v>27.0</v>
      </c>
      <c r="B20" s="448" t="s">
        <v>752</v>
      </c>
      <c r="C20" s="449" t="s">
        <v>70</v>
      </c>
      <c r="D20" s="450" t="s">
        <v>753</v>
      </c>
      <c r="E20" s="451" t="str">
        <f t="shared" ref="E20:E21" si="13">IMAGE("https://flagcdn.com/w320/fr.png")</f>
        <v/>
      </c>
      <c r="F20" s="452">
        <v>37760.0</v>
      </c>
      <c r="G20" s="453">
        <f t="shared" si="2"/>
        <v>22</v>
      </c>
      <c r="H20" s="454">
        <f>1+1+1+1+1</f>
        <v>5</v>
      </c>
      <c r="I20" s="454">
        <f>90+79+45+24+90</f>
        <v>328</v>
      </c>
      <c r="J20" s="454"/>
      <c r="K20" s="454">
        <f t="shared" ref="K20:L20" si="12">1</f>
        <v>1</v>
      </c>
      <c r="L20" s="454">
        <f t="shared" si="12"/>
        <v>1</v>
      </c>
      <c r="M20" s="454"/>
      <c r="N20" s="454"/>
      <c r="O20" s="454"/>
      <c r="P20" s="454">
        <f t="shared" si="4"/>
        <v>1</v>
      </c>
      <c r="Q20" s="454"/>
    </row>
    <row r="21" ht="22.5" customHeight="1">
      <c r="A21" s="447">
        <v>29.0</v>
      </c>
      <c r="B21" s="448" t="s">
        <v>754</v>
      </c>
      <c r="C21" s="449" t="s">
        <v>70</v>
      </c>
      <c r="D21" s="450" t="s">
        <v>755</v>
      </c>
      <c r="E21" s="451" t="str">
        <f t="shared" si="13"/>
        <v/>
      </c>
      <c r="F21" s="452">
        <v>36877.0</v>
      </c>
      <c r="G21" s="453">
        <f t="shared" si="2"/>
        <v>25</v>
      </c>
      <c r="H21" s="455">
        <f t="shared" ref="H21:H23" si="14">1+1+1+1</f>
        <v>4</v>
      </c>
      <c r="I21" s="455">
        <f>90+90+30+90</f>
        <v>300</v>
      </c>
      <c r="J21" s="454"/>
      <c r="K21" s="454">
        <f>1</f>
        <v>1</v>
      </c>
      <c r="L21" s="454"/>
      <c r="M21" s="454"/>
      <c r="N21" s="454"/>
      <c r="O21" s="454"/>
      <c r="P21" s="454">
        <f t="shared" si="4"/>
        <v>1</v>
      </c>
      <c r="Q21" s="454"/>
    </row>
    <row r="22" ht="22.5" customHeight="1">
      <c r="A22" s="458">
        <v>32.0</v>
      </c>
      <c r="B22" s="459" t="s">
        <v>756</v>
      </c>
      <c r="C22" s="460" t="s">
        <v>82</v>
      </c>
      <c r="D22" s="461" t="s">
        <v>757</v>
      </c>
      <c r="E22" s="462" t="str">
        <f t="shared" ref="E22:E24" si="15">IMAGE("https://flagcdn.com/w320/gb-eng.png")</f>
        <v/>
      </c>
      <c r="F22" s="463">
        <v>38752.0</v>
      </c>
      <c r="G22" s="464">
        <f t="shared" si="2"/>
        <v>19</v>
      </c>
      <c r="H22" s="465">
        <f t="shared" si="14"/>
        <v>4</v>
      </c>
      <c r="I22" s="465">
        <f>60+45+45+9</f>
        <v>159</v>
      </c>
      <c r="J22" s="466">
        <f>1</f>
        <v>1</v>
      </c>
      <c r="K22" s="466"/>
      <c r="L22" s="466"/>
      <c r="M22" s="466"/>
      <c r="N22" s="466"/>
      <c r="O22" s="466"/>
      <c r="P22" s="466">
        <f t="shared" si="4"/>
        <v>1</v>
      </c>
      <c r="Q22" s="466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 ht="22.5" customHeight="1">
      <c r="A23" s="458">
        <v>34.0</v>
      </c>
      <c r="B23" s="459" t="s">
        <v>758</v>
      </c>
      <c r="C23" s="460" t="s">
        <v>70</v>
      </c>
      <c r="D23" s="461" t="s">
        <v>759</v>
      </c>
      <c r="E23" s="462" t="str">
        <f t="shared" si="15"/>
        <v/>
      </c>
      <c r="F23" s="463">
        <v>38842.0</v>
      </c>
      <c r="G23" s="464">
        <f t="shared" si="2"/>
        <v>19</v>
      </c>
      <c r="H23" s="465">
        <f t="shared" si="14"/>
        <v>4</v>
      </c>
      <c r="I23" s="465">
        <f>11+42+9+90</f>
        <v>152</v>
      </c>
      <c r="J23" s="466"/>
      <c r="K23" s="466"/>
      <c r="L23" s="466"/>
      <c r="M23" s="466"/>
      <c r="N23" s="466"/>
      <c r="O23" s="466"/>
      <c r="P23" s="466">
        <f t="shared" si="4"/>
        <v>0</v>
      </c>
      <c r="Q23" s="466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 ht="22.5" customHeight="1">
      <c r="A24" s="458">
        <v>35.0</v>
      </c>
      <c r="B24" s="467" t="s">
        <v>760</v>
      </c>
      <c r="C24" s="468" t="s">
        <v>67</v>
      </c>
      <c r="D24" s="469" t="s">
        <v>94</v>
      </c>
      <c r="E24" s="462" t="str">
        <f t="shared" si="15"/>
        <v/>
      </c>
      <c r="F24" s="470">
        <v>38762.0</v>
      </c>
      <c r="G24" s="464">
        <f t="shared" si="2"/>
        <v>19</v>
      </c>
      <c r="H24" s="465">
        <v>0.0</v>
      </c>
      <c r="I24" s="465">
        <v>0.0</v>
      </c>
      <c r="J24" s="466"/>
      <c r="K24" s="466"/>
      <c r="L24" s="466"/>
      <c r="M24" s="466"/>
      <c r="N24" s="466"/>
      <c r="O24" s="466"/>
      <c r="P24" s="466">
        <f t="shared" si="4"/>
        <v>0</v>
      </c>
      <c r="Q24" s="466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 ht="22.5" customHeight="1">
      <c r="A25" s="447">
        <v>38.0</v>
      </c>
      <c r="B25" s="448" t="s">
        <v>761</v>
      </c>
      <c r="C25" s="449" t="s">
        <v>82</v>
      </c>
      <c r="D25" s="450" t="s">
        <v>83</v>
      </c>
      <c r="E25" s="451" t="str">
        <f>IMAGE("https://flagcdn.com/w320/es.png")</f>
        <v/>
      </c>
      <c r="F25" s="452">
        <v>38721.0</v>
      </c>
      <c r="G25" s="453">
        <f t="shared" si="2"/>
        <v>20</v>
      </c>
      <c r="H25" s="455">
        <f>1</f>
        <v>1</v>
      </c>
      <c r="I25" s="455">
        <f>45</f>
        <v>45</v>
      </c>
      <c r="J25" s="454">
        <f>1</f>
        <v>1</v>
      </c>
      <c r="K25" s="454"/>
      <c r="L25" s="454"/>
      <c r="M25" s="454"/>
      <c r="N25" s="454"/>
      <c r="O25" s="454"/>
      <c r="P25" s="454">
        <f t="shared" si="4"/>
        <v>1</v>
      </c>
      <c r="Q25" s="454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22.5" customHeight="1">
      <c r="A26" s="471">
        <v>40.0</v>
      </c>
      <c r="B26" s="448" t="s">
        <v>762</v>
      </c>
      <c r="C26" s="449" t="s">
        <v>79</v>
      </c>
      <c r="D26" s="450" t="s">
        <v>763</v>
      </c>
      <c r="E26" s="472" t="str">
        <f>IMAGE("https://flagcdn.com/w320/ar.png")</f>
        <v/>
      </c>
      <c r="F26" s="452">
        <v>38344.0</v>
      </c>
      <c r="G26" s="453">
        <f t="shared" si="2"/>
        <v>21</v>
      </c>
      <c r="H26" s="455">
        <f>1+1+1</f>
        <v>3</v>
      </c>
      <c r="I26" s="455">
        <f>53+90+20</f>
        <v>163</v>
      </c>
      <c r="J26" s="454"/>
      <c r="K26" s="454"/>
      <c r="L26" s="454">
        <f t="shared" ref="L26:L27" si="16">1</f>
        <v>1</v>
      </c>
      <c r="M26" s="454"/>
      <c r="N26" s="454"/>
      <c r="O26" s="454"/>
      <c r="P26" s="454">
        <f t="shared" si="4"/>
        <v>0</v>
      </c>
      <c r="Q26" s="454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ht="22.5" customHeight="1">
      <c r="A27" s="447">
        <v>41.0</v>
      </c>
      <c r="B27" s="456" t="s">
        <v>764</v>
      </c>
      <c r="C27" s="449" t="s">
        <v>82</v>
      </c>
      <c r="D27" s="450" t="s">
        <v>182</v>
      </c>
      <c r="E27" s="451" t="str">
        <f>IMAGE("https://flagcdn.com/w320/br.png")</f>
        <v/>
      </c>
      <c r="F27" s="452">
        <v>39196.0</v>
      </c>
      <c r="G27" s="453">
        <f t="shared" si="2"/>
        <v>18</v>
      </c>
      <c r="H27" s="454">
        <f>1+1+1+1+1+1</f>
        <v>6</v>
      </c>
      <c r="I27" s="454">
        <f>10+37+90+90+81+45</f>
        <v>353</v>
      </c>
      <c r="J27" s="454">
        <f>1+1+1</f>
        <v>3</v>
      </c>
      <c r="K27" s="454"/>
      <c r="L27" s="454">
        <f t="shared" si="16"/>
        <v>1</v>
      </c>
      <c r="M27" s="454"/>
      <c r="N27" s="454"/>
      <c r="O27" s="454"/>
      <c r="P27" s="454">
        <f t="shared" si="4"/>
        <v>3</v>
      </c>
      <c r="Q27" s="454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ht="22.5" customHeight="1">
      <c r="A28" s="471">
        <v>45.0</v>
      </c>
      <c r="B28" s="448" t="s">
        <v>765</v>
      </c>
      <c r="C28" s="449" t="s">
        <v>79</v>
      </c>
      <c r="D28" s="450" t="s">
        <v>89</v>
      </c>
      <c r="E28" s="472" t="str">
        <f>IMAGE("https://flagcdn.com/w320/be.png")</f>
        <v/>
      </c>
      <c r="F28" s="452">
        <v>37992.0</v>
      </c>
      <c r="G28" s="453">
        <f t="shared" si="2"/>
        <v>22</v>
      </c>
      <c r="H28" s="455">
        <f>1+1</f>
        <v>2</v>
      </c>
      <c r="I28" s="455">
        <f>65+7</f>
        <v>72</v>
      </c>
      <c r="J28" s="454"/>
      <c r="K28" s="454"/>
      <c r="L28" s="454"/>
      <c r="M28" s="454"/>
      <c r="N28" s="454"/>
      <c r="O28" s="454"/>
      <c r="P28" s="454">
        <f t="shared" si="4"/>
        <v>0</v>
      </c>
      <c r="Q28" s="454"/>
    </row>
    <row r="29" ht="22.5" customHeight="1">
      <c r="A29" s="458">
        <v>46.0</v>
      </c>
      <c r="B29" s="467" t="s">
        <v>766</v>
      </c>
      <c r="C29" s="468" t="s">
        <v>79</v>
      </c>
      <c r="D29" s="469" t="s">
        <v>94</v>
      </c>
      <c r="E29" s="462" t="str">
        <f>IMAGE("https://flagcdn.com/w320/gb-eng.png")</f>
        <v/>
      </c>
      <c r="F29" s="470">
        <v>39741.0</v>
      </c>
      <c r="G29" s="464">
        <f t="shared" si="2"/>
        <v>17</v>
      </c>
      <c r="H29" s="465">
        <f>1</f>
        <v>1</v>
      </c>
      <c r="I29" s="465">
        <f>25</f>
        <v>25</v>
      </c>
      <c r="J29" s="466"/>
      <c r="K29" s="466"/>
      <c r="L29" s="466"/>
      <c r="M29" s="466"/>
      <c r="N29" s="466"/>
      <c r="O29" s="466"/>
      <c r="P29" s="466">
        <f t="shared" si="4"/>
        <v>0</v>
      </c>
      <c r="Q29" s="466"/>
    </row>
    <row r="30" ht="22.5" customHeight="1">
      <c r="A30" s="447">
        <v>49.0</v>
      </c>
      <c r="B30" s="448" t="s">
        <v>767</v>
      </c>
      <c r="C30" s="449" t="s">
        <v>82</v>
      </c>
      <c r="D30" s="450" t="s">
        <v>768</v>
      </c>
      <c r="E30" s="451" t="str">
        <f>IMAGE("https://flagcdn.com/w320/ar.png")</f>
        <v/>
      </c>
      <c r="F30" s="452">
        <v>38169.0</v>
      </c>
      <c r="G30" s="453">
        <f t="shared" si="2"/>
        <v>21</v>
      </c>
      <c r="H30" s="454">
        <f>1+1+1+1+1+1</f>
        <v>6</v>
      </c>
      <c r="I30" s="454">
        <f>23+60+45+58+24+69</f>
        <v>279</v>
      </c>
      <c r="J30" s="454">
        <f>1</f>
        <v>1</v>
      </c>
      <c r="K30" s="454"/>
      <c r="L30" s="454"/>
      <c r="M30" s="454"/>
      <c r="N30" s="454"/>
      <c r="O30" s="454"/>
      <c r="P30" s="454">
        <f t="shared" si="4"/>
        <v>1</v>
      </c>
      <c r="Q30" s="454"/>
    </row>
    <row r="31" ht="22.5" customHeight="1">
      <c r="A31" s="458">
        <v>50.0</v>
      </c>
      <c r="B31" s="467" t="s">
        <v>769</v>
      </c>
      <c r="C31" s="468" t="s">
        <v>67</v>
      </c>
      <c r="D31" s="469" t="s">
        <v>94</v>
      </c>
      <c r="E31" s="462" t="str">
        <f t="shared" ref="E31:E33" si="17">IMAGE("https://flagcdn.com/w320/gb-eng.png")</f>
        <v/>
      </c>
      <c r="F31" s="470">
        <v>38666.0</v>
      </c>
      <c r="G31" s="464">
        <f t="shared" si="2"/>
        <v>20</v>
      </c>
      <c r="H31" s="465">
        <v>0.0</v>
      </c>
      <c r="I31" s="465">
        <v>0.0</v>
      </c>
      <c r="J31" s="466"/>
      <c r="K31" s="466"/>
      <c r="L31" s="466"/>
      <c r="M31" s="466"/>
      <c r="N31" s="466"/>
      <c r="O31" s="466"/>
      <c r="P31" s="466">
        <f t="shared" si="4"/>
        <v>0</v>
      </c>
      <c r="Q31" s="466"/>
    </row>
    <row r="32" ht="22.5" customHeight="1">
      <c r="A32" s="473">
        <v>56.0</v>
      </c>
      <c r="B32" s="474" t="s">
        <v>770</v>
      </c>
      <c r="C32" s="475" t="s">
        <v>70</v>
      </c>
      <c r="D32" s="476" t="s">
        <v>771</v>
      </c>
      <c r="E32" s="477" t="str">
        <f t="shared" si="17"/>
        <v/>
      </c>
      <c r="F32" s="478">
        <v>39465.0</v>
      </c>
      <c r="G32" s="464">
        <f t="shared" si="2"/>
        <v>18</v>
      </c>
      <c r="H32" s="465">
        <v>0.0</v>
      </c>
      <c r="I32" s="465">
        <v>0.0</v>
      </c>
      <c r="J32" s="466"/>
      <c r="K32" s="466"/>
      <c r="L32" s="466"/>
      <c r="M32" s="466"/>
      <c r="N32" s="466"/>
      <c r="O32" s="466"/>
      <c r="P32" s="466">
        <f t="shared" si="4"/>
        <v>0</v>
      </c>
      <c r="Q32" s="466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ht="22.5" customHeight="1">
      <c r="A33" s="458">
        <v>76.0</v>
      </c>
      <c r="B33" s="467" t="s">
        <v>772</v>
      </c>
      <c r="C33" s="468" t="s">
        <v>82</v>
      </c>
      <c r="D33" s="469" t="s">
        <v>773</v>
      </c>
      <c r="E33" s="462" t="str">
        <f t="shared" si="17"/>
        <v/>
      </c>
      <c r="F33" s="470">
        <v>39814.0</v>
      </c>
      <c r="G33" s="464">
        <f t="shared" si="2"/>
        <v>17</v>
      </c>
      <c r="H33" s="465">
        <v>0.0</v>
      </c>
      <c r="I33" s="465">
        <v>0.0</v>
      </c>
      <c r="J33" s="466"/>
      <c r="K33" s="466"/>
      <c r="L33" s="466"/>
      <c r="M33" s="466"/>
      <c r="N33" s="466"/>
      <c r="O33" s="466"/>
      <c r="P33" s="466">
        <f t="shared" si="4"/>
        <v>0</v>
      </c>
      <c r="Q33" s="466"/>
    </row>
    <row r="34">
      <c r="A34" s="18"/>
      <c r="B34" s="18"/>
      <c r="C34" s="18"/>
      <c r="D34" s="64"/>
      <c r="E34" s="65"/>
      <c r="F34" s="18"/>
      <c r="G34" s="18"/>
      <c r="H34" s="11">
        <f>SUM(H2:H33)</f>
        <v>109</v>
      </c>
      <c r="I34" s="11">
        <f>SUM(I2:I33)+1</f>
        <v>6930</v>
      </c>
      <c r="J34" s="11">
        <f t="shared" ref="J34:Q34" si="18">SUM(J2:J33)</f>
        <v>12</v>
      </c>
      <c r="K34" s="11">
        <f t="shared" si="18"/>
        <v>7</v>
      </c>
      <c r="L34" s="11">
        <f t="shared" si="18"/>
        <v>14</v>
      </c>
      <c r="M34" s="11">
        <f t="shared" si="18"/>
        <v>1</v>
      </c>
      <c r="N34" s="11">
        <f t="shared" si="18"/>
        <v>3</v>
      </c>
      <c r="O34" s="11">
        <f t="shared" si="18"/>
        <v>1</v>
      </c>
      <c r="P34" s="11">
        <f t="shared" si="18"/>
        <v>19</v>
      </c>
      <c r="Q34" s="11">
        <f t="shared" si="18"/>
        <v>0</v>
      </c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ht="22.5" customHeight="1">
      <c r="A35" s="441" t="s">
        <v>150</v>
      </c>
      <c r="B35" s="442" t="s">
        <v>49</v>
      </c>
      <c r="C35" s="442" t="s">
        <v>265</v>
      </c>
      <c r="D35" s="479" t="s">
        <v>56</v>
      </c>
      <c r="E35" s="480" t="s">
        <v>57</v>
      </c>
      <c r="F35" s="442" t="s">
        <v>52</v>
      </c>
      <c r="G35" s="442" t="s">
        <v>53</v>
      </c>
      <c r="H35" s="480" t="s">
        <v>4</v>
      </c>
      <c r="I35" s="480" t="s">
        <v>5</v>
      </c>
      <c r="J35" s="480" t="s">
        <v>6</v>
      </c>
      <c r="K35" s="480" t="s">
        <v>7</v>
      </c>
      <c r="L35" s="480" t="s">
        <v>8</v>
      </c>
      <c r="M35" s="480" t="s">
        <v>9</v>
      </c>
      <c r="N35" s="480" t="s">
        <v>10</v>
      </c>
      <c r="O35" s="12"/>
      <c r="P35" s="12"/>
      <c r="Q35" s="12"/>
    </row>
    <row r="36" ht="22.5" customHeight="1">
      <c r="A36" s="481"/>
      <c r="B36" s="481" t="s">
        <v>774</v>
      </c>
      <c r="C36" s="482" t="s">
        <v>153</v>
      </c>
      <c r="D36" s="483" t="s">
        <v>206</v>
      </c>
      <c r="E36" s="484" t="str">
        <f>IMAGE("https://flagcdn.com/w320/it.png")</f>
        <v/>
      </c>
      <c r="F36" s="485">
        <v>29261.0</v>
      </c>
      <c r="G36" s="486">
        <f t="shared" ref="G36:G37" si="19">DATEDIF(F36,TODAY(),"Y")</f>
        <v>45</v>
      </c>
      <c r="H36" s="157">
        <f t="shared" ref="H36:H37" si="20">L36+M36+N36</f>
        <v>6</v>
      </c>
      <c r="I36" s="157">
        <f t="shared" ref="I36:I37" si="21">(3*L36)+M36</f>
        <v>10</v>
      </c>
      <c r="J36" s="157">
        <f>1+1+5+2+3+1</f>
        <v>13</v>
      </c>
      <c r="K36" s="157">
        <f>3+1+2+2</f>
        <v>8</v>
      </c>
      <c r="L36" s="158">
        <f>1+1+1</f>
        <v>3</v>
      </c>
      <c r="M36" s="159">
        <f>1</f>
        <v>1</v>
      </c>
      <c r="N36" s="487">
        <f>1+1</f>
        <v>2</v>
      </c>
      <c r="O36" s="12"/>
      <c r="P36" s="12"/>
      <c r="Q36" s="12"/>
    </row>
    <row r="37" ht="22.5" customHeight="1">
      <c r="A37" s="481"/>
      <c r="B37" s="448" t="s">
        <v>775</v>
      </c>
      <c r="C37" s="488" t="s">
        <v>153</v>
      </c>
      <c r="D37" s="450" t="s">
        <v>776</v>
      </c>
      <c r="E37" s="472" t="str">
        <f>IMAGE("https://flagcdn.com/w320/gb-eng.png")</f>
        <v/>
      </c>
      <c r="F37" s="452">
        <v>30872.0</v>
      </c>
      <c r="G37" s="486">
        <f t="shared" si="19"/>
        <v>41</v>
      </c>
      <c r="H37" s="157">
        <f t="shared" si="20"/>
        <v>1</v>
      </c>
      <c r="I37" s="157">
        <f t="shared" si="21"/>
        <v>3</v>
      </c>
      <c r="J37" s="157">
        <f>1</f>
        <v>1</v>
      </c>
      <c r="K37" s="489">
        <v>0.0</v>
      </c>
      <c r="L37" s="158">
        <f>1</f>
        <v>1</v>
      </c>
      <c r="M37" s="490">
        <v>0.0</v>
      </c>
      <c r="N37" s="491">
        <v>0.0</v>
      </c>
      <c r="O37" s="12"/>
      <c r="P37" s="12"/>
      <c r="Q37" s="12"/>
    </row>
    <row r="38">
      <c r="A38" s="18"/>
      <c r="B38" s="18"/>
      <c r="C38" s="18"/>
      <c r="D38" s="64"/>
      <c r="E38" s="65"/>
      <c r="F38" s="18"/>
      <c r="G38" s="18"/>
      <c r="H38" s="11">
        <f t="shared" ref="H38:N38" si="22">SUM(H36:H37)</f>
        <v>7</v>
      </c>
      <c r="I38" s="11">
        <f t="shared" si="22"/>
        <v>13</v>
      </c>
      <c r="J38" s="11">
        <f t="shared" si="22"/>
        <v>14</v>
      </c>
      <c r="K38" s="11">
        <f t="shared" si="22"/>
        <v>8</v>
      </c>
      <c r="L38" s="11">
        <f t="shared" si="22"/>
        <v>4</v>
      </c>
      <c r="M38" s="11">
        <f t="shared" si="22"/>
        <v>1</v>
      </c>
      <c r="N38" s="11">
        <f t="shared" si="22"/>
        <v>2</v>
      </c>
      <c r="O38" s="11"/>
      <c r="P38" s="11"/>
      <c r="Q38" s="11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ht="22.5" customHeight="1">
      <c r="A39" s="441" t="s">
        <v>156</v>
      </c>
      <c r="B39" s="441" t="s">
        <v>157</v>
      </c>
      <c r="C39" s="441" t="s">
        <v>158</v>
      </c>
      <c r="D39" s="445" t="s">
        <v>777</v>
      </c>
      <c r="E39" s="441" t="s">
        <v>160</v>
      </c>
      <c r="F39" s="441" t="s">
        <v>161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22.5" customHeight="1">
      <c r="A40" s="77">
        <v>1.0</v>
      </c>
      <c r="B40" s="78" t="s">
        <v>13</v>
      </c>
      <c r="C40" s="78" t="s">
        <v>22</v>
      </c>
      <c r="D40" s="83" t="s">
        <v>778</v>
      </c>
      <c r="E40" s="84">
        <v>45717.0</v>
      </c>
      <c r="F40" s="78" t="s">
        <v>617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22.5" customHeight="1">
      <c r="A41" s="86">
        <v>2.0</v>
      </c>
      <c r="B41" s="87" t="s">
        <v>22</v>
      </c>
      <c r="C41" s="87" t="s">
        <v>42</v>
      </c>
      <c r="D41" s="88" t="s">
        <v>779</v>
      </c>
      <c r="E41" s="161" t="s">
        <v>677</v>
      </c>
      <c r="F41" s="87" t="s">
        <v>167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22.5" customHeight="1">
      <c r="A42" s="86">
        <v>3.0</v>
      </c>
      <c r="B42" s="87" t="s">
        <v>22</v>
      </c>
      <c r="C42" s="87" t="s">
        <v>43</v>
      </c>
      <c r="D42" s="88" t="s">
        <v>780</v>
      </c>
      <c r="E42" s="89">
        <v>45778.0</v>
      </c>
      <c r="F42" s="87" t="s">
        <v>167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22.5" customHeight="1">
      <c r="A43" s="197">
        <v>4.0</v>
      </c>
      <c r="B43" s="198" t="s">
        <v>32</v>
      </c>
      <c r="C43" s="198" t="s">
        <v>22</v>
      </c>
      <c r="D43" s="264" t="s">
        <v>781</v>
      </c>
      <c r="E43" s="265">
        <v>45690.0</v>
      </c>
      <c r="F43" s="198" t="s">
        <v>170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22.5" customHeight="1">
      <c r="A44" s="86">
        <v>5.0</v>
      </c>
      <c r="B44" s="87" t="s">
        <v>22</v>
      </c>
      <c r="C44" s="87" t="s">
        <v>25</v>
      </c>
      <c r="D44" s="88" t="s">
        <v>782</v>
      </c>
      <c r="E44" s="161" t="s">
        <v>560</v>
      </c>
      <c r="F44" s="87" t="s">
        <v>167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22.5" customHeight="1">
      <c r="A45" s="77">
        <v>6.0</v>
      </c>
      <c r="B45" s="78" t="s">
        <v>14</v>
      </c>
      <c r="C45" s="78" t="s">
        <v>22</v>
      </c>
      <c r="D45" s="83" t="s">
        <v>783</v>
      </c>
      <c r="E45" s="84">
        <v>45689.0</v>
      </c>
      <c r="F45" s="78" t="s">
        <v>330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22.5" customHeight="1">
      <c r="A46" s="86">
        <v>7.0</v>
      </c>
      <c r="B46" s="87" t="s">
        <v>22</v>
      </c>
      <c r="C46" s="87" t="s">
        <v>36</v>
      </c>
      <c r="D46" s="88" t="s">
        <v>784</v>
      </c>
      <c r="E46" s="161" t="s">
        <v>677</v>
      </c>
      <c r="F46" s="87" t="s">
        <v>167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22.5" customHeight="1">
      <c r="A47" s="90">
        <v>8.0</v>
      </c>
      <c r="B47" s="91" t="s">
        <v>33</v>
      </c>
      <c r="C47" s="91" t="s">
        <v>22</v>
      </c>
      <c r="D47" s="92"/>
      <c r="E47" s="93"/>
      <c r="F47" s="94" t="s">
        <v>785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>
      <c r="D48" s="95"/>
      <c r="E48" s="14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>
      <c r="D49" s="95"/>
      <c r="E49" s="14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>
      <c r="D50" s="95"/>
      <c r="E50" s="14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D51" s="95"/>
      <c r="E51" s="14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D52" s="95"/>
      <c r="E52" s="14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D53" s="95"/>
      <c r="E53" s="14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D54" s="95"/>
      <c r="E54" s="14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D55" s="95"/>
      <c r="E55" s="14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D56" s="95"/>
      <c r="E56" s="14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D57" s="95"/>
      <c r="E57" s="14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D58" s="95"/>
      <c r="E58" s="14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D59" s="95"/>
      <c r="E59" s="14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D60" s="95"/>
      <c r="E60" s="14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D61" s="95"/>
      <c r="E61" s="14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D62" s="95"/>
      <c r="E62" s="14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D63" s="95"/>
      <c r="E63" s="14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D64" s="95"/>
      <c r="E64" s="14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D65" s="95"/>
      <c r="E65" s="14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D66" s="95"/>
      <c r="E66" s="14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D67" s="95"/>
      <c r="E67" s="14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D68" s="95"/>
      <c r="E68" s="14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D69" s="95"/>
      <c r="E69" s="14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D70" s="95"/>
      <c r="E70" s="14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D71" s="95"/>
      <c r="E71" s="14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D72" s="95"/>
      <c r="E72" s="14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D73" s="95"/>
      <c r="E73" s="14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D74" s="95"/>
      <c r="E74" s="14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D75" s="95"/>
      <c r="E75" s="14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D76" s="95"/>
      <c r="E76" s="14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D77" s="95"/>
      <c r="E77" s="14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D78" s="95"/>
      <c r="E78" s="14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D79" s="95"/>
      <c r="E79" s="14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D80" s="95"/>
      <c r="E80" s="14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D81" s="95"/>
      <c r="E81" s="14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D82" s="95"/>
      <c r="E82" s="14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D83" s="95"/>
      <c r="E83" s="14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D84" s="95"/>
      <c r="E84" s="14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D85" s="95"/>
      <c r="E85" s="14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D86" s="95"/>
      <c r="E86" s="14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D87" s="95"/>
      <c r="E87" s="14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D88" s="95"/>
      <c r="E88" s="14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D89" s="95"/>
      <c r="E89" s="14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D90" s="95"/>
      <c r="E90" s="14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D91" s="95"/>
      <c r="E91" s="14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D92" s="95"/>
      <c r="E92" s="14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D93" s="95"/>
      <c r="E93" s="14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D94" s="95"/>
      <c r="E94" s="14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D95" s="95"/>
      <c r="E95" s="14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D96" s="95"/>
      <c r="E96" s="14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D97" s="95"/>
      <c r="E97" s="14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D98" s="95"/>
      <c r="E98" s="14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D99" s="95"/>
      <c r="E99" s="14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D100" s="95"/>
      <c r="E100" s="14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D101" s="95"/>
      <c r="E101" s="14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D102" s="95"/>
      <c r="E102" s="14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D103" s="95"/>
      <c r="E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D104" s="95"/>
      <c r="E104" s="14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D105" s="95"/>
      <c r="E105" s="14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D106" s="95"/>
      <c r="E106" s="14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D107" s="95"/>
      <c r="E107" s="14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D108" s="95"/>
      <c r="E108" s="14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D109" s="95"/>
      <c r="E109" s="14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D110" s="95"/>
      <c r="E110" s="14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D111" s="95"/>
      <c r="E111" s="14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D112" s="95"/>
      <c r="E112" s="14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D113" s="95"/>
      <c r="E113" s="14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D114" s="95"/>
      <c r="E114" s="14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D115" s="95"/>
      <c r="E115" s="14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D116" s="95"/>
      <c r="E116" s="14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D117" s="95"/>
      <c r="E117" s="14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D118" s="95"/>
      <c r="E118" s="14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D119" s="95"/>
      <c r="E119" s="14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D120" s="95"/>
      <c r="E120" s="14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D121" s="95"/>
      <c r="E121" s="14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D122" s="95"/>
      <c r="E122" s="14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D123" s="95"/>
      <c r="E123" s="14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D124" s="95"/>
      <c r="E124" s="14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D125" s="95"/>
      <c r="E125" s="14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D126" s="95"/>
      <c r="E126" s="14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D127" s="95"/>
      <c r="E127" s="14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D128" s="95"/>
      <c r="E128" s="14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D129" s="95"/>
      <c r="E129" s="14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D130" s="95"/>
      <c r="E130" s="14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D131" s="95"/>
      <c r="E131" s="14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D132" s="95"/>
      <c r="E132" s="14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D133" s="95"/>
      <c r="E133" s="14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D134" s="95"/>
      <c r="E134" s="14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D135" s="95"/>
      <c r="E135" s="14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D136" s="95"/>
      <c r="E136" s="14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D137" s="95"/>
      <c r="E137" s="14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D138" s="95"/>
      <c r="E138" s="14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D139" s="95"/>
      <c r="E139" s="14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D140" s="95"/>
      <c r="E140" s="14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D141" s="95"/>
      <c r="E141" s="14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D142" s="95"/>
      <c r="E142" s="14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D143" s="95"/>
      <c r="E143" s="14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D144" s="95"/>
      <c r="E144" s="14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D145" s="95"/>
      <c r="E145" s="14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D146" s="95"/>
      <c r="E146" s="14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D147" s="95"/>
      <c r="E147" s="14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D148" s="95"/>
      <c r="E148" s="14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D149" s="95"/>
      <c r="E149" s="14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D150" s="95"/>
      <c r="E150" s="14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D151" s="95"/>
      <c r="E151" s="14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D152" s="95"/>
      <c r="E152" s="14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D153" s="95"/>
      <c r="E153" s="14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D154" s="95"/>
      <c r="E154" s="14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D155" s="95"/>
      <c r="E155" s="14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D156" s="95"/>
      <c r="E156" s="14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D157" s="95"/>
      <c r="E157" s="14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D158" s="95"/>
      <c r="E158" s="14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D159" s="95"/>
      <c r="E159" s="14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D160" s="95"/>
      <c r="E160" s="14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D161" s="95"/>
      <c r="E161" s="14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D162" s="95"/>
      <c r="E162" s="14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D163" s="95"/>
      <c r="E163" s="14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D164" s="95"/>
      <c r="E164" s="14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D165" s="95"/>
      <c r="E165" s="14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D166" s="95"/>
      <c r="E166" s="14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D167" s="95"/>
      <c r="E167" s="14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D168" s="95"/>
      <c r="E168" s="14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D169" s="95"/>
      <c r="E169" s="14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D170" s="95"/>
      <c r="E170" s="14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D171" s="95"/>
      <c r="E171" s="14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D172" s="95"/>
      <c r="E172" s="14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D173" s="95"/>
      <c r="E173" s="14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D174" s="95"/>
      <c r="E174" s="14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D175" s="95"/>
      <c r="E175" s="14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D176" s="95"/>
      <c r="E176" s="14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D177" s="95"/>
      <c r="E177" s="14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D178" s="95"/>
      <c r="E178" s="14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D179" s="95"/>
      <c r="E179" s="14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D180" s="95"/>
      <c r="E180" s="14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D181" s="95"/>
      <c r="E181" s="14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D182" s="95"/>
      <c r="E182" s="14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D183" s="95"/>
      <c r="E183" s="14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D184" s="95"/>
      <c r="E184" s="14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D185" s="95"/>
      <c r="E185" s="14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D186" s="95"/>
      <c r="E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D187" s="95"/>
      <c r="E187" s="14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D188" s="95"/>
      <c r="E188" s="14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D189" s="95"/>
      <c r="E189" s="14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D190" s="95"/>
      <c r="E190" s="14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D191" s="95"/>
      <c r="E191" s="14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D192" s="95"/>
      <c r="E192" s="14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D193" s="95"/>
      <c r="E193" s="14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D194" s="95"/>
      <c r="E194" s="14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D195" s="95"/>
      <c r="E195" s="14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D196" s="95"/>
      <c r="E196" s="14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D197" s="95"/>
      <c r="E197" s="14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D198" s="95"/>
      <c r="E198" s="14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D199" s="95"/>
      <c r="E199" s="14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D200" s="95"/>
      <c r="E200" s="14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D201" s="95"/>
      <c r="E201" s="14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D202" s="95"/>
      <c r="E202" s="14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D203" s="95"/>
      <c r="E203" s="14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D204" s="95"/>
      <c r="E204" s="14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D205" s="95"/>
      <c r="E205" s="14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D206" s="95"/>
      <c r="E206" s="14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D207" s="95"/>
      <c r="E207" s="14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D208" s="95"/>
      <c r="E208" s="14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D209" s="95"/>
      <c r="E209" s="14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D210" s="95"/>
      <c r="E210" s="14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D211" s="95"/>
      <c r="E211" s="14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D212" s="95"/>
      <c r="E212" s="14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D213" s="95"/>
      <c r="E213" s="14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D214" s="95"/>
      <c r="E214" s="14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D215" s="95"/>
      <c r="E215" s="14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D216" s="95"/>
      <c r="E216" s="14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D217" s="95"/>
      <c r="E217" s="14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D218" s="95"/>
      <c r="E218" s="14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D219" s="95"/>
      <c r="E219" s="14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D220" s="95"/>
      <c r="E220" s="14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D221" s="95"/>
      <c r="E221" s="14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D222" s="95"/>
      <c r="E222" s="14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D223" s="95"/>
      <c r="E223" s="14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D224" s="95"/>
      <c r="E224" s="14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D225" s="95"/>
      <c r="E225" s="14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D226" s="95"/>
      <c r="E226" s="14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D227" s="95"/>
      <c r="E227" s="14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D228" s="95"/>
      <c r="E228" s="14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D229" s="95"/>
      <c r="E229" s="14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D230" s="95"/>
      <c r="E230" s="14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D231" s="95"/>
      <c r="E231" s="14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D232" s="95"/>
      <c r="E232" s="14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D233" s="95"/>
      <c r="E233" s="14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D234" s="95"/>
      <c r="E234" s="14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D235" s="95"/>
      <c r="E235" s="14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D236" s="95"/>
      <c r="E236" s="14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D237" s="95"/>
      <c r="E237" s="14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D238" s="95"/>
      <c r="E238" s="14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D239" s="95"/>
      <c r="E239" s="14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D240" s="95"/>
      <c r="E240" s="14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D241" s="95"/>
      <c r="E241" s="14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D242" s="95"/>
      <c r="E242" s="14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D243" s="95"/>
      <c r="E243" s="14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D244" s="95"/>
      <c r="E244" s="14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D245" s="95"/>
      <c r="E245" s="14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D246" s="95"/>
      <c r="E246" s="14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D247" s="95"/>
      <c r="E247" s="14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D248" s="95"/>
      <c r="E248" s="14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D249" s="95"/>
      <c r="E249" s="14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D250" s="95"/>
      <c r="E250" s="14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D251" s="95"/>
      <c r="E251" s="14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D252" s="95"/>
      <c r="E252" s="14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D253" s="95"/>
      <c r="E253" s="14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D254" s="95"/>
      <c r="E254" s="14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D255" s="95"/>
      <c r="E255" s="14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D256" s="95"/>
      <c r="E256" s="14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D257" s="95"/>
      <c r="E257" s="14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D258" s="95"/>
      <c r="E258" s="14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D259" s="95"/>
      <c r="E259" s="14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D260" s="95"/>
      <c r="E260" s="14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D261" s="95"/>
      <c r="E261" s="14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D262" s="95"/>
      <c r="E262" s="14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D263" s="95"/>
      <c r="E263" s="14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D264" s="95"/>
      <c r="E264" s="14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D265" s="95"/>
      <c r="E265" s="14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D266" s="95"/>
      <c r="E266" s="14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D267" s="95"/>
      <c r="E267" s="14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D268" s="95"/>
      <c r="E268" s="14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D269" s="95"/>
      <c r="E269" s="14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D270" s="95"/>
      <c r="E270" s="14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D271" s="95"/>
      <c r="E271" s="14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D272" s="95"/>
      <c r="E272" s="14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D273" s="95"/>
      <c r="E273" s="14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D274" s="95"/>
      <c r="E274" s="14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D275" s="95"/>
      <c r="E275" s="14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D276" s="95"/>
      <c r="E276" s="14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D277" s="95"/>
      <c r="E277" s="14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D278" s="95"/>
      <c r="E278" s="14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D279" s="95"/>
      <c r="E279" s="14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D280" s="95"/>
      <c r="E280" s="14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D281" s="95"/>
      <c r="E281" s="14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D282" s="95"/>
      <c r="E282" s="14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D283" s="95"/>
      <c r="E283" s="14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D284" s="95"/>
      <c r="E284" s="14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D285" s="95"/>
      <c r="E285" s="14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D286" s="95"/>
      <c r="E286" s="14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D287" s="95"/>
      <c r="E287" s="14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D288" s="95"/>
      <c r="E288" s="14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D289" s="95"/>
      <c r="E289" s="14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D290" s="95"/>
      <c r="E290" s="14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D291" s="95"/>
      <c r="E291" s="14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D292" s="95"/>
      <c r="E292" s="14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D293" s="95"/>
      <c r="E293" s="14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D294" s="95"/>
      <c r="E294" s="14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D295" s="95"/>
      <c r="E295" s="14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D296" s="95"/>
      <c r="E296" s="14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D297" s="95"/>
      <c r="E297" s="14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D298" s="95"/>
      <c r="E298" s="14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D299" s="95"/>
      <c r="E299" s="14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D300" s="95"/>
      <c r="E300" s="14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D301" s="95"/>
      <c r="E301" s="14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D302" s="95"/>
      <c r="E302" s="14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D303" s="95"/>
      <c r="E303" s="14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D304" s="95"/>
      <c r="E304" s="14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D305" s="95"/>
      <c r="E305" s="14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D306" s="95"/>
      <c r="E306" s="14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D307" s="95"/>
      <c r="E307" s="14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D308" s="95"/>
      <c r="E308" s="14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D309" s="95"/>
      <c r="E309" s="14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D310" s="95"/>
      <c r="E310" s="14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D311" s="95"/>
      <c r="E311" s="14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D312" s="95"/>
      <c r="E312" s="14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D313" s="95"/>
      <c r="E313" s="14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D314" s="95"/>
      <c r="E314" s="14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D315" s="95"/>
      <c r="E315" s="14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D316" s="95"/>
      <c r="E316" s="14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D317" s="95"/>
      <c r="E317" s="14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D318" s="95"/>
      <c r="E318" s="14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D319" s="95"/>
      <c r="E319" s="14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D320" s="95"/>
      <c r="E320" s="14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D321" s="95"/>
      <c r="E321" s="14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D322" s="95"/>
      <c r="E322" s="14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D323" s="95"/>
      <c r="E323" s="14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D324" s="95"/>
      <c r="E324" s="14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D325" s="95"/>
      <c r="E325" s="14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D326" s="95"/>
      <c r="E326" s="14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D327" s="95"/>
      <c r="E327" s="14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D328" s="95"/>
      <c r="E328" s="14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D329" s="95"/>
      <c r="E329" s="14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D330" s="95"/>
      <c r="E330" s="14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D331" s="95"/>
      <c r="E331" s="14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D332" s="95"/>
      <c r="E332" s="14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D333" s="95"/>
      <c r="E333" s="14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D334" s="95"/>
      <c r="E334" s="14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D335" s="95"/>
      <c r="E335" s="14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D336" s="95"/>
      <c r="E336" s="14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D337" s="95"/>
      <c r="E337" s="14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D338" s="95"/>
      <c r="E338" s="14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D339" s="95"/>
      <c r="E339" s="14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D340" s="95"/>
      <c r="E340" s="14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D341" s="95"/>
      <c r="E341" s="14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D342" s="95"/>
      <c r="E342" s="14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D343" s="95"/>
      <c r="E343" s="14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D344" s="95"/>
      <c r="E344" s="14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D345" s="95"/>
      <c r="E345" s="14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D346" s="95"/>
      <c r="E346" s="14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D347" s="95"/>
      <c r="E347" s="14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D348" s="95"/>
      <c r="E348" s="14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D349" s="95"/>
      <c r="E349" s="14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D350" s="95"/>
      <c r="E350" s="14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D351" s="95"/>
      <c r="E351" s="14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D352" s="95"/>
      <c r="E352" s="14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D353" s="95"/>
      <c r="E353" s="14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D354" s="95"/>
      <c r="E354" s="14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D355" s="95"/>
      <c r="E355" s="14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D356" s="95"/>
      <c r="E356" s="14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D357" s="95"/>
      <c r="E357" s="14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D358" s="95"/>
      <c r="E358" s="14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D359" s="95"/>
      <c r="E359" s="14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D360" s="95"/>
      <c r="E360" s="14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D361" s="95"/>
      <c r="E361" s="14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D362" s="95"/>
      <c r="E362" s="14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D363" s="95"/>
      <c r="E363" s="14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D364" s="95"/>
      <c r="E364" s="14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D365" s="95"/>
      <c r="E365" s="14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D366" s="95"/>
      <c r="E366" s="14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D367" s="95"/>
      <c r="E367" s="14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D368" s="95"/>
      <c r="E368" s="14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D369" s="95"/>
      <c r="E369" s="14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D370" s="95"/>
      <c r="E370" s="14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D371" s="95"/>
      <c r="E371" s="14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D372" s="95"/>
      <c r="E372" s="14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D373" s="95"/>
      <c r="E373" s="14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D374" s="95"/>
      <c r="E374" s="14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D375" s="95"/>
      <c r="E375" s="14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D376" s="95"/>
      <c r="E376" s="14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D377" s="95"/>
      <c r="E377" s="14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D378" s="95"/>
      <c r="E378" s="14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D379" s="95"/>
      <c r="E379" s="14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D380" s="95"/>
      <c r="E380" s="14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D381" s="95"/>
      <c r="E381" s="14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D382" s="95"/>
      <c r="E382" s="14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D383" s="95"/>
      <c r="E383" s="14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D384" s="95"/>
      <c r="E384" s="14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D385" s="95"/>
      <c r="E385" s="14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D386" s="95"/>
      <c r="E386" s="14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D387" s="95"/>
      <c r="E387" s="14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D388" s="95"/>
      <c r="E388" s="14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D389" s="95"/>
      <c r="E389" s="14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D390" s="95"/>
      <c r="E390" s="14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D391" s="95"/>
      <c r="E391" s="14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D392" s="95"/>
      <c r="E392" s="14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D393" s="95"/>
      <c r="E393" s="14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D394" s="95"/>
      <c r="E394" s="14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D395" s="95"/>
      <c r="E395" s="14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D396" s="95"/>
      <c r="E396" s="14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D397" s="95"/>
      <c r="E397" s="14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D398" s="95"/>
      <c r="E398" s="14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D399" s="95"/>
      <c r="E399" s="14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D400" s="95"/>
      <c r="E400" s="14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D401" s="95"/>
      <c r="E401" s="14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D402" s="95"/>
      <c r="E402" s="14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D403" s="95"/>
      <c r="E403" s="14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D404" s="95"/>
      <c r="E404" s="14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D405" s="95"/>
      <c r="E405" s="14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D406" s="95"/>
      <c r="E406" s="14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D407" s="95"/>
      <c r="E407" s="14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D408" s="95"/>
      <c r="E408" s="14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D409" s="95"/>
      <c r="E409" s="14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D410" s="95"/>
      <c r="E410" s="14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D411" s="95"/>
      <c r="E411" s="14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D412" s="95"/>
      <c r="E412" s="14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D413" s="95"/>
      <c r="E413" s="14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D414" s="95"/>
      <c r="E414" s="14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D415" s="95"/>
      <c r="E415" s="14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D416" s="95"/>
      <c r="E416" s="14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D417" s="95"/>
      <c r="E417" s="14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D418" s="95"/>
      <c r="E418" s="14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D419" s="95"/>
      <c r="E419" s="14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D420" s="95"/>
      <c r="E420" s="14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D421" s="95"/>
      <c r="E421" s="14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D422" s="95"/>
      <c r="E422" s="14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D423" s="95"/>
      <c r="E423" s="14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D424" s="95"/>
      <c r="E424" s="14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D425" s="95"/>
      <c r="E425" s="14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D426" s="95"/>
      <c r="E426" s="14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D427" s="95"/>
      <c r="E427" s="14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D428" s="95"/>
      <c r="E428" s="14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D429" s="95"/>
      <c r="E429" s="14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D430" s="95"/>
      <c r="E430" s="14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D431" s="95"/>
      <c r="E431" s="14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D432" s="95"/>
      <c r="E432" s="14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D433" s="95"/>
      <c r="E433" s="14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D434" s="95"/>
      <c r="E434" s="14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D435" s="95"/>
      <c r="E435" s="14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D436" s="95"/>
      <c r="E436" s="14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D437" s="95"/>
      <c r="E437" s="14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D438" s="95"/>
      <c r="E438" s="14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D439" s="95"/>
      <c r="E439" s="14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D440" s="95"/>
      <c r="E440" s="14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D441" s="95"/>
      <c r="E441" s="14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D442" s="95"/>
      <c r="E442" s="14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D443" s="95"/>
      <c r="E443" s="14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D444" s="95"/>
      <c r="E444" s="14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D445" s="95"/>
      <c r="E445" s="14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D446" s="95"/>
      <c r="E446" s="14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D447" s="95"/>
      <c r="E447" s="14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D448" s="95"/>
      <c r="E448" s="14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D449" s="95"/>
      <c r="E449" s="14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D450" s="95"/>
      <c r="E450" s="14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D451" s="95"/>
      <c r="E451" s="14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D452" s="95"/>
      <c r="E452" s="14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D453" s="95"/>
      <c r="E453" s="14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D454" s="95"/>
      <c r="E454" s="14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D455" s="95"/>
      <c r="E455" s="14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D456" s="95"/>
      <c r="E456" s="14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D457" s="95"/>
      <c r="E457" s="14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D458" s="95"/>
      <c r="E458" s="14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D459" s="95"/>
      <c r="E459" s="14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D460" s="95"/>
      <c r="E460" s="14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D461" s="95"/>
      <c r="E461" s="14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D462" s="95"/>
      <c r="E462" s="14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D463" s="95"/>
      <c r="E463" s="14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D464" s="95"/>
      <c r="E464" s="14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D465" s="95"/>
      <c r="E465" s="14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D466" s="95"/>
      <c r="E466" s="14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D467" s="95"/>
      <c r="E467" s="14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D468" s="95"/>
      <c r="E468" s="14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D469" s="95"/>
      <c r="E469" s="14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D470" s="95"/>
      <c r="E470" s="14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D471" s="95"/>
      <c r="E471" s="14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D472" s="95"/>
      <c r="E472" s="14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D473" s="95"/>
      <c r="E473" s="14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D474" s="95"/>
      <c r="E474" s="14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D475" s="95"/>
      <c r="E475" s="14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D476" s="95"/>
      <c r="E476" s="14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D477" s="95"/>
      <c r="E477" s="14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D478" s="95"/>
      <c r="E478" s="14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D479" s="95"/>
      <c r="E479" s="14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D480" s="95"/>
      <c r="E480" s="14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D481" s="95"/>
      <c r="E481" s="14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D482" s="95"/>
      <c r="E482" s="14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D483" s="95"/>
      <c r="E483" s="14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D484" s="95"/>
      <c r="E484" s="14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D485" s="95"/>
      <c r="E485" s="14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D486" s="95"/>
      <c r="E486" s="14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D487" s="95"/>
      <c r="E487" s="14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D488" s="95"/>
      <c r="E488" s="14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D489" s="95"/>
      <c r="E489" s="14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D490" s="95"/>
      <c r="E490" s="14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D491" s="95"/>
      <c r="E491" s="14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D492" s="95"/>
      <c r="E492" s="14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D493" s="95"/>
      <c r="E493" s="14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D494" s="95"/>
      <c r="E494" s="14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D495" s="95"/>
      <c r="E495" s="14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D496" s="95"/>
      <c r="E496" s="14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D497" s="95"/>
      <c r="E497" s="14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D498" s="95"/>
      <c r="E498" s="14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D499" s="95"/>
      <c r="E499" s="14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D500" s="95"/>
      <c r="E500" s="14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D501" s="95"/>
      <c r="E501" s="14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D502" s="95"/>
      <c r="E502" s="14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D503" s="95"/>
      <c r="E503" s="14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D504" s="95"/>
      <c r="E504" s="14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D505" s="95"/>
      <c r="E505" s="14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D506" s="95"/>
      <c r="E506" s="14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D507" s="95"/>
      <c r="E507" s="14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D508" s="95"/>
      <c r="E508" s="14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D509" s="95"/>
      <c r="E509" s="14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D510" s="95"/>
      <c r="E510" s="14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D511" s="95"/>
      <c r="E511" s="14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D512" s="95"/>
      <c r="E512" s="14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D513" s="95"/>
      <c r="E513" s="14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D514" s="95"/>
      <c r="E514" s="14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D515" s="95"/>
      <c r="E515" s="14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D516" s="95"/>
      <c r="E516" s="14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D517" s="95"/>
      <c r="E517" s="14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D518" s="95"/>
      <c r="E518" s="14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D519" s="95"/>
      <c r="E519" s="14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D520" s="95"/>
      <c r="E520" s="14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D521" s="95"/>
      <c r="E521" s="14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D522" s="95"/>
      <c r="E522" s="14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D523" s="95"/>
      <c r="E523" s="14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D524" s="95"/>
      <c r="E524" s="14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D525" s="95"/>
      <c r="E525" s="14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D526" s="95"/>
      <c r="E526" s="14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D527" s="95"/>
      <c r="E527" s="14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D528" s="95"/>
      <c r="E528" s="14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D529" s="95"/>
      <c r="E529" s="14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D530" s="95"/>
      <c r="E530" s="14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D531" s="95"/>
      <c r="E531" s="14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D532" s="95"/>
      <c r="E532" s="14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D533" s="95"/>
      <c r="E533" s="14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D534" s="95"/>
      <c r="E534" s="14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D535" s="95"/>
      <c r="E535" s="14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D536" s="95"/>
      <c r="E536" s="14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D537" s="95"/>
      <c r="E537" s="14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D538" s="95"/>
      <c r="E538" s="14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D539" s="95"/>
      <c r="E539" s="14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D540" s="95"/>
      <c r="E540" s="14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D541" s="95"/>
      <c r="E541" s="14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D542" s="95"/>
      <c r="E542" s="14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D543" s="95"/>
      <c r="E543" s="14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D544" s="95"/>
      <c r="E544" s="14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D545" s="95"/>
      <c r="E545" s="14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D546" s="95"/>
      <c r="E546" s="14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D547" s="95"/>
      <c r="E547" s="14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D548" s="95"/>
      <c r="E548" s="14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D549" s="95"/>
      <c r="E549" s="14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D550" s="95"/>
      <c r="E550" s="14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D551" s="95"/>
      <c r="E551" s="14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D552" s="95"/>
      <c r="E552" s="14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D553" s="95"/>
      <c r="E553" s="14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D554" s="95"/>
      <c r="E554" s="14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D555" s="95"/>
      <c r="E555" s="14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D556" s="95"/>
      <c r="E556" s="14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D557" s="95"/>
      <c r="E557" s="14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D558" s="95"/>
      <c r="E558" s="14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D559" s="95"/>
      <c r="E559" s="14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D560" s="95"/>
      <c r="E560" s="14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D561" s="95"/>
      <c r="E561" s="14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D562" s="95"/>
      <c r="E562" s="14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D563" s="95"/>
      <c r="E563" s="14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D564" s="95"/>
      <c r="E564" s="14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D565" s="95"/>
      <c r="E565" s="14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D566" s="95"/>
      <c r="E566" s="14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D567" s="95"/>
      <c r="E567" s="14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D568" s="95"/>
      <c r="E568" s="14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D569" s="95"/>
      <c r="E569" s="14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D570" s="95"/>
      <c r="E570" s="14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D571" s="95"/>
      <c r="E571" s="14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D572" s="95"/>
      <c r="E572" s="14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D573" s="95"/>
      <c r="E573" s="14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D574" s="95"/>
      <c r="E574" s="14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D575" s="95"/>
      <c r="E575" s="14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D576" s="95"/>
      <c r="E576" s="14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D577" s="95"/>
      <c r="E577" s="14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D578" s="95"/>
      <c r="E578" s="14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D579" s="95"/>
      <c r="E579" s="14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D580" s="95"/>
      <c r="E580" s="14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D581" s="95"/>
      <c r="E581" s="14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D582" s="95"/>
      <c r="E582" s="14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D583" s="95"/>
      <c r="E583" s="14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D584" s="95"/>
      <c r="E584" s="14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D585" s="95"/>
      <c r="E585" s="14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D586" s="95"/>
      <c r="E586" s="14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D587" s="95"/>
      <c r="E587" s="14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D588" s="95"/>
      <c r="E588" s="14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D589" s="95"/>
      <c r="E589" s="14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D590" s="95"/>
      <c r="E590" s="14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D591" s="95"/>
      <c r="E591" s="14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D592" s="95"/>
      <c r="E592" s="14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D593" s="95"/>
      <c r="E593" s="14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D594" s="95"/>
      <c r="E594" s="14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D595" s="95"/>
      <c r="E595" s="14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D596" s="95"/>
      <c r="E596" s="14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D597" s="95"/>
      <c r="E597" s="14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D598" s="95"/>
      <c r="E598" s="14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D599" s="95"/>
      <c r="E599" s="14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D600" s="95"/>
      <c r="E600" s="14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D601" s="95"/>
      <c r="E601" s="14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D602" s="95"/>
      <c r="E602" s="14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D603" s="95"/>
      <c r="E603" s="14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D604" s="95"/>
      <c r="E604" s="14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D605" s="95"/>
      <c r="E605" s="14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D606" s="95"/>
      <c r="E606" s="14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D607" s="95"/>
      <c r="E607" s="14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D608" s="95"/>
      <c r="E608" s="14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D609" s="95"/>
      <c r="E609" s="14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D610" s="95"/>
      <c r="E610" s="14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D611" s="95"/>
      <c r="E611" s="14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D612" s="95"/>
      <c r="E612" s="14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D613" s="95"/>
      <c r="E613" s="14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D614" s="95"/>
      <c r="E614" s="14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D615" s="95"/>
      <c r="E615" s="14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D616" s="95"/>
      <c r="E616" s="14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D617" s="95"/>
      <c r="E617" s="14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D618" s="95"/>
      <c r="E618" s="14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D619" s="95"/>
      <c r="E619" s="14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D620" s="95"/>
      <c r="E620" s="14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D621" s="95"/>
      <c r="E621" s="14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D622" s="95"/>
      <c r="E622" s="14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D623" s="95"/>
      <c r="E623" s="14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D624" s="95"/>
      <c r="E624" s="14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D625" s="95"/>
      <c r="E625" s="14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D626" s="95"/>
      <c r="E626" s="14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D627" s="95"/>
      <c r="E627" s="14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D628" s="95"/>
      <c r="E628" s="14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D629" s="95"/>
      <c r="E629" s="14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D630" s="95"/>
      <c r="E630" s="14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D631" s="95"/>
      <c r="E631" s="14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D632" s="95"/>
      <c r="E632" s="14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D633" s="95"/>
      <c r="E633" s="14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D634" s="95"/>
      <c r="E634" s="14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D635" s="95"/>
      <c r="E635" s="14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D636" s="95"/>
      <c r="E636" s="14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D637" s="95"/>
      <c r="E637" s="14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D638" s="95"/>
      <c r="E638" s="14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D639" s="95"/>
      <c r="E639" s="14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D640" s="95"/>
      <c r="E640" s="14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D641" s="95"/>
      <c r="E641" s="14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D642" s="95"/>
      <c r="E642" s="14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D643" s="95"/>
      <c r="E643" s="14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D644" s="95"/>
      <c r="E644" s="14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D645" s="95"/>
      <c r="E645" s="14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D646" s="95"/>
      <c r="E646" s="14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D647" s="95"/>
      <c r="E647" s="14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D648" s="95"/>
      <c r="E648" s="14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D649" s="95"/>
      <c r="E649" s="14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D650" s="95"/>
      <c r="E650" s="14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D651" s="95"/>
      <c r="E651" s="14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D652" s="95"/>
      <c r="E652" s="14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D653" s="95"/>
      <c r="E653" s="14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D654" s="95"/>
      <c r="E654" s="14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D655" s="95"/>
      <c r="E655" s="14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D656" s="95"/>
      <c r="E656" s="14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D657" s="95"/>
      <c r="E657" s="14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D658" s="95"/>
      <c r="E658" s="14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D659" s="95"/>
      <c r="E659" s="14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D660" s="95"/>
      <c r="E660" s="14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D661" s="95"/>
      <c r="E661" s="14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D662" s="95"/>
      <c r="E662" s="14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D663" s="95"/>
      <c r="E663" s="14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D664" s="95"/>
      <c r="E664" s="14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D665" s="95"/>
      <c r="E665" s="14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D666" s="95"/>
      <c r="E666" s="14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D667" s="95"/>
      <c r="E667" s="14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D668" s="95"/>
      <c r="E668" s="14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D669" s="95"/>
      <c r="E669" s="14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D670" s="95"/>
      <c r="E670" s="14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D671" s="95"/>
      <c r="E671" s="14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D672" s="95"/>
      <c r="E672" s="14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D673" s="95"/>
      <c r="E673" s="14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D674" s="95"/>
      <c r="E674" s="14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D675" s="95"/>
      <c r="E675" s="14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D676" s="95"/>
      <c r="E676" s="14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D677" s="95"/>
      <c r="E677" s="14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D678" s="95"/>
      <c r="E678" s="14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D679" s="95"/>
      <c r="E679" s="14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D680" s="95"/>
      <c r="E680" s="14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D681" s="95"/>
      <c r="E681" s="14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D682" s="95"/>
      <c r="E682" s="14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D683" s="95"/>
      <c r="E683" s="14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D684" s="95"/>
      <c r="E684" s="14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D685" s="95"/>
      <c r="E685" s="14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D686" s="95"/>
      <c r="E686" s="14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D687" s="95"/>
      <c r="E687" s="14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D688" s="95"/>
      <c r="E688" s="14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D689" s="95"/>
      <c r="E689" s="14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D690" s="95"/>
      <c r="E690" s="14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D691" s="95"/>
      <c r="E691" s="14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D692" s="95"/>
      <c r="E692" s="14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D693" s="95"/>
      <c r="E693" s="14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D694" s="95"/>
      <c r="E694" s="14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D695" s="95"/>
      <c r="E695" s="14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D696" s="95"/>
      <c r="E696" s="14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D697" s="95"/>
      <c r="E697" s="14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D698" s="95"/>
      <c r="E698" s="14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D699" s="95"/>
      <c r="E699" s="14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D700" s="95"/>
      <c r="E700" s="14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D701" s="95"/>
      <c r="E701" s="14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D702" s="95"/>
      <c r="E702" s="14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D703" s="95"/>
      <c r="E703" s="14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D704" s="95"/>
      <c r="E704" s="14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D705" s="95"/>
      <c r="E705" s="14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D706" s="95"/>
      <c r="E706" s="14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D707" s="95"/>
      <c r="E707" s="14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D708" s="95"/>
      <c r="E708" s="14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D709" s="95"/>
      <c r="E709" s="14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D710" s="95"/>
      <c r="E710" s="14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D711" s="95"/>
      <c r="E711" s="14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D712" s="95"/>
      <c r="E712" s="14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D713" s="95"/>
      <c r="E713" s="14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D714" s="95"/>
      <c r="E714" s="14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D715" s="95"/>
      <c r="E715" s="14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D716" s="95"/>
      <c r="E716" s="14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D717" s="95"/>
      <c r="E717" s="14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D718" s="95"/>
      <c r="E718" s="14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D719" s="95"/>
      <c r="E719" s="14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D720" s="95"/>
      <c r="E720" s="14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D721" s="95"/>
      <c r="E721" s="14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D722" s="95"/>
      <c r="E722" s="14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D723" s="95"/>
      <c r="E723" s="14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D724" s="95"/>
      <c r="E724" s="14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D725" s="95"/>
      <c r="E725" s="14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D726" s="95"/>
      <c r="E726" s="14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D727" s="95"/>
      <c r="E727" s="14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D728" s="95"/>
      <c r="E728" s="14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D729" s="95"/>
      <c r="E729" s="14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D730" s="95"/>
      <c r="E730" s="14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D731" s="95"/>
      <c r="E731" s="14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D732" s="95"/>
      <c r="E732" s="14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D733" s="95"/>
      <c r="E733" s="14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D734" s="95"/>
      <c r="E734" s="14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D735" s="95"/>
      <c r="E735" s="14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D736" s="95"/>
      <c r="E736" s="14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D737" s="95"/>
      <c r="E737" s="14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D738" s="95"/>
      <c r="E738" s="14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D739" s="95"/>
      <c r="E739" s="14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D740" s="95"/>
      <c r="E740" s="14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D741" s="95"/>
      <c r="E741" s="14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D742" s="95"/>
      <c r="E742" s="14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D743" s="95"/>
      <c r="E743" s="14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D744" s="95"/>
      <c r="E744" s="14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D745" s="95"/>
      <c r="E745" s="14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D746" s="95"/>
      <c r="E746" s="14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D747" s="95"/>
      <c r="E747" s="14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D748" s="95"/>
      <c r="E748" s="14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D749" s="95"/>
      <c r="E749" s="14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D750" s="95"/>
      <c r="E750" s="14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D751" s="95"/>
      <c r="E751" s="14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D752" s="95"/>
      <c r="E752" s="14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D753" s="95"/>
      <c r="E753" s="14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D754" s="95"/>
      <c r="E754" s="14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D755" s="95"/>
      <c r="E755" s="14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D756" s="95"/>
      <c r="E756" s="14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D757" s="95"/>
      <c r="E757" s="14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D758" s="95"/>
      <c r="E758" s="14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D759" s="95"/>
      <c r="E759" s="14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D760" s="95"/>
      <c r="E760" s="14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D761" s="95"/>
      <c r="E761" s="14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D762" s="95"/>
      <c r="E762" s="14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D763" s="95"/>
      <c r="E763" s="14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D764" s="95"/>
      <c r="E764" s="14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D765" s="95"/>
      <c r="E765" s="14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D766" s="95"/>
      <c r="E766" s="14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D767" s="95"/>
      <c r="E767" s="14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D768" s="95"/>
      <c r="E768" s="14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D769" s="95"/>
      <c r="E769" s="14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D770" s="95"/>
      <c r="E770" s="14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D771" s="95"/>
      <c r="E771" s="14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D772" s="95"/>
      <c r="E772" s="14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D773" s="95"/>
      <c r="E773" s="14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D774" s="95"/>
      <c r="E774" s="14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D775" s="95"/>
      <c r="E775" s="14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D776" s="95"/>
      <c r="E776" s="14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D777" s="95"/>
      <c r="E777" s="14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D778" s="95"/>
      <c r="E778" s="14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D779" s="95"/>
      <c r="E779" s="14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D780" s="95"/>
      <c r="E780" s="14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D781" s="95"/>
      <c r="E781" s="14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D782" s="95"/>
      <c r="E782" s="14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D783" s="95"/>
      <c r="E783" s="14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D784" s="95"/>
      <c r="E784" s="14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D785" s="95"/>
      <c r="E785" s="14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D786" s="95"/>
      <c r="E786" s="14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D787" s="95"/>
      <c r="E787" s="14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D788" s="95"/>
      <c r="E788" s="14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D789" s="95"/>
      <c r="E789" s="14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D790" s="95"/>
      <c r="E790" s="14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D791" s="95"/>
      <c r="E791" s="14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D792" s="95"/>
      <c r="E792" s="14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D793" s="95"/>
      <c r="E793" s="14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D794" s="95"/>
      <c r="E794" s="14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D795" s="95"/>
      <c r="E795" s="14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D796" s="95"/>
      <c r="E796" s="14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D797" s="95"/>
      <c r="E797" s="14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D798" s="95"/>
      <c r="E798" s="14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D799" s="95"/>
      <c r="E799" s="14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D800" s="95"/>
      <c r="E800" s="14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D801" s="95"/>
      <c r="E801" s="14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D802" s="95"/>
      <c r="E802" s="14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D803" s="95"/>
      <c r="E803" s="14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D804" s="95"/>
      <c r="E804" s="14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D805" s="95"/>
      <c r="E805" s="14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D806" s="95"/>
      <c r="E806" s="14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D807" s="95"/>
      <c r="E807" s="14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D808" s="95"/>
      <c r="E808" s="14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D809" s="95"/>
      <c r="E809" s="14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D810" s="95"/>
      <c r="E810" s="14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D811" s="95"/>
      <c r="E811" s="14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D812" s="95"/>
      <c r="E812" s="14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D813" s="95"/>
      <c r="E813" s="14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D814" s="95"/>
      <c r="E814" s="14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D815" s="95"/>
      <c r="E815" s="14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D816" s="95"/>
      <c r="E816" s="14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D817" s="95"/>
      <c r="E817" s="14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D818" s="95"/>
      <c r="E818" s="14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D819" s="95"/>
      <c r="E819" s="14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D820" s="95"/>
      <c r="E820" s="14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D821" s="95"/>
      <c r="E821" s="14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D822" s="95"/>
      <c r="E822" s="14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D823" s="95"/>
      <c r="E823" s="14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D824" s="95"/>
      <c r="E824" s="14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D825" s="95"/>
      <c r="E825" s="14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D826" s="95"/>
      <c r="E826" s="14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D827" s="95"/>
      <c r="E827" s="14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D828" s="95"/>
      <c r="E828" s="14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D829" s="95"/>
      <c r="E829" s="14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D830" s="95"/>
      <c r="E830" s="14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D831" s="95"/>
      <c r="E831" s="14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D832" s="95"/>
      <c r="E832" s="14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D833" s="95"/>
      <c r="E833" s="14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D834" s="95"/>
      <c r="E834" s="14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D835" s="95"/>
      <c r="E835" s="14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D836" s="95"/>
      <c r="E836" s="14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D837" s="95"/>
      <c r="E837" s="14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D838" s="95"/>
      <c r="E838" s="14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D839" s="95"/>
      <c r="E839" s="14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D840" s="95"/>
      <c r="E840" s="14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D841" s="95"/>
      <c r="E841" s="14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D842" s="95"/>
      <c r="E842" s="14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D843" s="95"/>
      <c r="E843" s="14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D844" s="95"/>
      <c r="E844" s="14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D845" s="95"/>
      <c r="E845" s="14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D846" s="95"/>
      <c r="E846" s="14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D847" s="95"/>
      <c r="E847" s="14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D848" s="95"/>
      <c r="E848" s="14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D849" s="95"/>
      <c r="E849" s="14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D850" s="95"/>
      <c r="E850" s="14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D851" s="95"/>
      <c r="E851" s="14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D852" s="95"/>
      <c r="E852" s="14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D853" s="95"/>
      <c r="E853" s="14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D854" s="95"/>
      <c r="E854" s="14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D855" s="95"/>
      <c r="E855" s="14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D856" s="95"/>
      <c r="E856" s="14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D857" s="95"/>
      <c r="E857" s="14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D858" s="95"/>
      <c r="E858" s="14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D859" s="95"/>
      <c r="E859" s="14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D860" s="95"/>
      <c r="E860" s="14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D861" s="95"/>
      <c r="E861" s="14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D862" s="95"/>
      <c r="E862" s="14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D863" s="95"/>
      <c r="E863" s="14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D864" s="95"/>
      <c r="E864" s="14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D865" s="95"/>
      <c r="E865" s="14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D866" s="95"/>
      <c r="E866" s="14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D867" s="95"/>
      <c r="E867" s="14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D868" s="95"/>
      <c r="E868" s="14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D869" s="95"/>
      <c r="E869" s="14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D870" s="95"/>
      <c r="E870" s="14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D871" s="95"/>
      <c r="E871" s="14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D872" s="95"/>
      <c r="E872" s="14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D873" s="95"/>
      <c r="E873" s="14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D874" s="95"/>
      <c r="E874" s="14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D875" s="95"/>
      <c r="E875" s="14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D876" s="95"/>
      <c r="E876" s="14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D877" s="95"/>
      <c r="E877" s="14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D878" s="95"/>
      <c r="E878" s="14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D879" s="95"/>
      <c r="E879" s="14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D880" s="95"/>
      <c r="E880" s="14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D881" s="95"/>
      <c r="E881" s="14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D882" s="95"/>
      <c r="E882" s="14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D883" s="95"/>
      <c r="E883" s="14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D884" s="95"/>
      <c r="E884" s="14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D885" s="95"/>
      <c r="E885" s="14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D886" s="95"/>
      <c r="E886" s="14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D887" s="95"/>
      <c r="E887" s="14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D888" s="95"/>
      <c r="E888" s="14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D889" s="95"/>
      <c r="E889" s="14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D890" s="95"/>
      <c r="E890" s="14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D891" s="95"/>
      <c r="E891" s="14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D892" s="95"/>
      <c r="E892" s="14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D893" s="95"/>
      <c r="E893" s="14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D894" s="95"/>
      <c r="E894" s="14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D895" s="95"/>
      <c r="E895" s="14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D896" s="95"/>
      <c r="E896" s="14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D897" s="95"/>
      <c r="E897" s="14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D898" s="95"/>
      <c r="E898" s="14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D899" s="95"/>
      <c r="E899" s="14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D900" s="95"/>
      <c r="E900" s="14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D901" s="95"/>
      <c r="E901" s="14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D902" s="95"/>
      <c r="E902" s="14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D903" s="95"/>
      <c r="E903" s="14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D904" s="95"/>
      <c r="E904" s="14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D905" s="95"/>
      <c r="E905" s="14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D906" s="95"/>
      <c r="E906" s="14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D907" s="95"/>
      <c r="E907" s="14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D908" s="95"/>
      <c r="E908" s="14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D909" s="95"/>
      <c r="E909" s="14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D910" s="95"/>
      <c r="E910" s="14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D911" s="95"/>
      <c r="E911" s="14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D912" s="95"/>
      <c r="E912" s="14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D913" s="95"/>
      <c r="E913" s="14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D914" s="95"/>
      <c r="E914" s="14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D915" s="95"/>
      <c r="E915" s="14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D916" s="95"/>
      <c r="E916" s="14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D917" s="95"/>
      <c r="E917" s="14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D918" s="95"/>
      <c r="E918" s="14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D919" s="95"/>
      <c r="E919" s="14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D920" s="95"/>
      <c r="E920" s="14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D921" s="95"/>
      <c r="E921" s="14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D922" s="95"/>
      <c r="E922" s="14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D923" s="95"/>
      <c r="E923" s="14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D924" s="95"/>
      <c r="E924" s="14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D925" s="95"/>
      <c r="E925" s="14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D926" s="95"/>
      <c r="E926" s="14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D927" s="95"/>
      <c r="E927" s="14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D928" s="95"/>
      <c r="E928" s="14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D929" s="95"/>
      <c r="E929" s="14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D930" s="95"/>
      <c r="E930" s="14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D931" s="95"/>
      <c r="E931" s="14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D932" s="95"/>
      <c r="E932" s="14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D933" s="95"/>
      <c r="E933" s="14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D934" s="95"/>
      <c r="E934" s="14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D935" s="95"/>
      <c r="E935" s="14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D936" s="95"/>
      <c r="E936" s="14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D937" s="95"/>
      <c r="E937" s="14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D938" s="95"/>
      <c r="E938" s="14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D939" s="95"/>
      <c r="E939" s="14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D940" s="95"/>
      <c r="E940" s="14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D941" s="95"/>
      <c r="E941" s="14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D942" s="95"/>
      <c r="E942" s="14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D943" s="95"/>
      <c r="E943" s="14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D944" s="95"/>
      <c r="E944" s="14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D945" s="95"/>
      <c r="E945" s="14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D946" s="95"/>
      <c r="E946" s="14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D947" s="95"/>
      <c r="E947" s="14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D948" s="95"/>
      <c r="E948" s="14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D949" s="95"/>
      <c r="E949" s="14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D950" s="95"/>
      <c r="E950" s="14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D951" s="95"/>
      <c r="E951" s="14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D952" s="95"/>
      <c r="E952" s="14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D953" s="95"/>
      <c r="E953" s="14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D954" s="95"/>
      <c r="E954" s="14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D955" s="95"/>
      <c r="E955" s="14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D956" s="95"/>
      <c r="E956" s="14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D957" s="95"/>
      <c r="E957" s="14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D958" s="95"/>
      <c r="E958" s="14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D959" s="95"/>
      <c r="E959" s="14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D960" s="95"/>
      <c r="E960" s="14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D961" s="95"/>
      <c r="E961" s="14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D962" s="95"/>
      <c r="E962" s="14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D963" s="95"/>
      <c r="E963" s="14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D964" s="95"/>
      <c r="E964" s="14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D965" s="95"/>
      <c r="E965" s="14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D966" s="95"/>
      <c r="E966" s="14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D967" s="95"/>
      <c r="E967" s="14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D968" s="95"/>
      <c r="E968" s="14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D969" s="95"/>
      <c r="E969" s="14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D970" s="95"/>
      <c r="E970" s="14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D971" s="95"/>
      <c r="E971" s="14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D972" s="95"/>
      <c r="E972" s="14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D973" s="95"/>
      <c r="E973" s="14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D974" s="95"/>
      <c r="E974" s="14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D975" s="95"/>
      <c r="E975" s="14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D976" s="95"/>
      <c r="E976" s="14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D977" s="95"/>
      <c r="E977" s="14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D978" s="95"/>
      <c r="E978" s="14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D979" s="95"/>
      <c r="E979" s="14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D980" s="95"/>
      <c r="E980" s="14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D981" s="95"/>
      <c r="E981" s="14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D982" s="95"/>
      <c r="E982" s="14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D983" s="95"/>
      <c r="E983" s="14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D984" s="95"/>
      <c r="E984" s="14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D985" s="95"/>
      <c r="E985" s="14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D986" s="95"/>
      <c r="E986" s="14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D987" s="95"/>
      <c r="E987" s="14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D988" s="95"/>
      <c r="E988" s="14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D989" s="95"/>
      <c r="E989" s="14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D990" s="95"/>
      <c r="E990" s="14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D991" s="95"/>
      <c r="E991" s="14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D992" s="95"/>
      <c r="E992" s="14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D993" s="95"/>
      <c r="E993" s="14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D994" s="95"/>
      <c r="E994" s="14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D995" s="95"/>
      <c r="E995" s="14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D996" s="95"/>
      <c r="E996" s="14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D997" s="95"/>
      <c r="E997" s="14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D998" s="95"/>
      <c r="E998" s="14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D999" s="95"/>
      <c r="E999" s="14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D1000" s="95"/>
      <c r="E1000" s="14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>
      <c r="D1001" s="95"/>
      <c r="E1001" s="14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>
      <c r="D1002" s="95"/>
      <c r="E1002" s="14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  <row r="1003">
      <c r="D1003" s="95"/>
      <c r="E1003" s="14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</row>
    <row r="1004">
      <c r="D1004" s="95"/>
      <c r="E1004" s="14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</row>
    <row r="1005">
      <c r="D1005" s="95"/>
      <c r="E1005" s="14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</row>
    <row r="1006">
      <c r="D1006" s="95"/>
      <c r="E1006" s="14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</row>
    <row r="1007">
      <c r="D1007" s="95"/>
      <c r="E1007" s="14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</row>
    <row r="1008">
      <c r="D1008" s="95"/>
      <c r="E1008" s="14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</row>
    <row r="1009">
      <c r="D1009" s="95"/>
      <c r="E1009" s="14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</row>
    <row r="1010">
      <c r="D1010" s="95"/>
      <c r="E1010" s="14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</row>
  </sheetData>
  <conditionalFormatting sqref="H2:Q33">
    <cfRule type="cellIs" dxfId="19" priority="1" operator="equal">
      <formula>0</formula>
    </cfRule>
  </conditionalFormatting>
  <conditionalFormatting sqref="H2:H33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3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3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3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3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3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3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3">
    <cfRule type="colorScale" priority="9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P2:Q33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0:C47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0:F47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6:F37">
      <formula1>OR(NOT(ISERROR(DATEVALUE(F36))), AND(ISNUMBER(F36), LEFT(CELL("format", F36))="D"))</formula1>
    </dataValidation>
    <dataValidation type="list" allowBlank="1" showDropDown="1" sqref="C2:C33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14.5"/>
    <col customWidth="1" min="4" max="4" width="21.63"/>
    <col customWidth="1" min="5" max="5" width="9.25"/>
    <col customWidth="1" min="6" max="6" width="29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13"/>
    <col customWidth="1" min="17" max="17" width="17.75"/>
  </cols>
  <sheetData>
    <row r="1" ht="22.5" customHeight="1">
      <c r="A1" s="492" t="s">
        <v>48</v>
      </c>
      <c r="B1" s="493" t="s">
        <v>49</v>
      </c>
      <c r="C1" s="493" t="s">
        <v>50</v>
      </c>
      <c r="D1" s="494" t="s">
        <v>56</v>
      </c>
      <c r="E1" s="492" t="s">
        <v>57</v>
      </c>
      <c r="F1" s="495" t="s">
        <v>52</v>
      </c>
      <c r="G1" s="496" t="s">
        <v>53</v>
      </c>
      <c r="H1" s="492" t="s">
        <v>4</v>
      </c>
      <c r="I1" s="492" t="s">
        <v>58</v>
      </c>
      <c r="J1" s="492" t="s">
        <v>59</v>
      </c>
      <c r="K1" s="492" t="s">
        <v>60</v>
      </c>
      <c r="L1" s="492" t="s">
        <v>61</v>
      </c>
      <c r="M1" s="492" t="s">
        <v>62</v>
      </c>
      <c r="N1" s="492" t="s">
        <v>63</v>
      </c>
      <c r="O1" s="497" t="s">
        <v>387</v>
      </c>
      <c r="P1" s="497" t="s">
        <v>64</v>
      </c>
      <c r="Q1" s="492" t="s">
        <v>65</v>
      </c>
    </row>
    <row r="2" ht="22.5" customHeight="1">
      <c r="A2" s="498">
        <v>2.0</v>
      </c>
      <c r="B2" s="499" t="s">
        <v>786</v>
      </c>
      <c r="C2" s="500" t="s">
        <v>70</v>
      </c>
      <c r="D2" s="501" t="s">
        <v>787</v>
      </c>
      <c r="E2" s="502" t="str">
        <f>IMAGE("https://flagcdn.com/w320/ar.png")</f>
        <v/>
      </c>
      <c r="F2" s="503">
        <v>36509.0</v>
      </c>
      <c r="G2" s="504">
        <f t="shared" ref="G2:G36" si="1">DATEDIF(F2,TODAY(),"Y")</f>
        <v>26</v>
      </c>
      <c r="H2" s="505">
        <f>1+1</f>
        <v>2</v>
      </c>
      <c r="I2" s="505">
        <f>2+10</f>
        <v>12</v>
      </c>
      <c r="J2" s="505"/>
      <c r="K2" s="505"/>
      <c r="L2" s="505"/>
      <c r="M2" s="505"/>
      <c r="N2" s="505"/>
      <c r="O2" s="505"/>
      <c r="P2" s="505">
        <f t="shared" ref="P2:P36" si="2">J2+K2</f>
        <v>0</v>
      </c>
      <c r="Q2" s="505"/>
    </row>
    <row r="3" ht="22.5" customHeight="1">
      <c r="A3" s="506">
        <v>4.0</v>
      </c>
      <c r="B3" s="507" t="s">
        <v>788</v>
      </c>
      <c r="C3" s="508" t="s">
        <v>70</v>
      </c>
      <c r="D3" s="509" t="s">
        <v>180</v>
      </c>
      <c r="E3" s="510" t="str">
        <f>IMAGE("https://flagcdn.com/w320/ec.png")</f>
        <v/>
      </c>
      <c r="F3" s="511">
        <v>38098.0</v>
      </c>
      <c r="G3" s="512">
        <f t="shared" si="1"/>
        <v>21</v>
      </c>
      <c r="H3" s="513">
        <f>1+1+1+1+1+1+1</f>
        <v>7</v>
      </c>
      <c r="I3" s="513">
        <f>80+88+90+90+90+90+90</f>
        <v>618</v>
      </c>
      <c r="J3" s="513"/>
      <c r="K3" s="513"/>
      <c r="L3" s="513"/>
      <c r="M3" s="513"/>
      <c r="N3" s="513"/>
      <c r="O3" s="513"/>
      <c r="P3" s="513">
        <f t="shared" si="2"/>
        <v>0</v>
      </c>
      <c r="Q3" s="513"/>
    </row>
    <row r="4" ht="22.5" customHeight="1">
      <c r="A4" s="498">
        <v>6.0</v>
      </c>
      <c r="B4" s="499" t="s">
        <v>789</v>
      </c>
      <c r="C4" s="500" t="s">
        <v>79</v>
      </c>
      <c r="D4" s="501" t="s">
        <v>790</v>
      </c>
      <c r="E4" s="502" t="str">
        <f>IMAGE("https://flagcdn.com/w320/nl.png")</f>
        <v/>
      </c>
      <c r="F4" s="503">
        <v>36678.0</v>
      </c>
      <c r="G4" s="504">
        <f t="shared" si="1"/>
        <v>25</v>
      </c>
      <c r="H4" s="514">
        <v>0.0</v>
      </c>
      <c r="I4" s="514">
        <v>0.0</v>
      </c>
      <c r="J4" s="505"/>
      <c r="K4" s="505"/>
      <c r="L4" s="505"/>
      <c r="M4" s="505"/>
      <c r="N4" s="505"/>
      <c r="O4" s="505"/>
      <c r="P4" s="505">
        <f t="shared" si="2"/>
        <v>0</v>
      </c>
      <c r="Q4" s="505"/>
    </row>
    <row r="5" ht="22.5" customHeight="1">
      <c r="A5" s="498">
        <v>7.0</v>
      </c>
      <c r="B5" s="499" t="s">
        <v>791</v>
      </c>
      <c r="C5" s="500" t="s">
        <v>82</v>
      </c>
      <c r="D5" s="501" t="s">
        <v>792</v>
      </c>
      <c r="E5" s="502" t="str">
        <f>IMAGE("https://flagcdn.com/w320/de.png")</f>
        <v/>
      </c>
      <c r="F5" s="503">
        <v>38219.0</v>
      </c>
      <c r="G5" s="504">
        <f t="shared" si="1"/>
        <v>21</v>
      </c>
      <c r="H5" s="505">
        <f>1+1+1+1+1+1+1</f>
        <v>7</v>
      </c>
      <c r="I5" s="505">
        <f>90+62+65+77+30+66+13</f>
        <v>403</v>
      </c>
      <c r="J5" s="505">
        <f>1+1</f>
        <v>2</v>
      </c>
      <c r="K5" s="505">
        <f>1</f>
        <v>1</v>
      </c>
      <c r="L5" s="505"/>
      <c r="M5" s="505"/>
      <c r="N5" s="505"/>
      <c r="O5" s="505"/>
      <c r="P5" s="505">
        <f t="shared" si="2"/>
        <v>3</v>
      </c>
      <c r="Q5" s="50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22.5" customHeight="1">
      <c r="A6" s="498">
        <v>8.0</v>
      </c>
      <c r="B6" s="499" t="s">
        <v>793</v>
      </c>
      <c r="C6" s="500" t="s">
        <v>82</v>
      </c>
      <c r="D6" s="501" t="s">
        <v>640</v>
      </c>
      <c r="E6" s="502" t="str">
        <f>IMAGE("https://flagcdn.com/w320/gr.png")</f>
        <v/>
      </c>
      <c r="F6" s="503">
        <v>37286.0</v>
      </c>
      <c r="G6" s="504">
        <f t="shared" si="1"/>
        <v>23</v>
      </c>
      <c r="H6" s="505">
        <f>1+1+1+1+1+1</f>
        <v>6</v>
      </c>
      <c r="I6" s="505">
        <f>90+90+79+90+90+90</f>
        <v>529</v>
      </c>
      <c r="J6" s="505">
        <f t="shared" ref="J6:L6" si="3">1</f>
        <v>1</v>
      </c>
      <c r="K6" s="505">
        <f t="shared" si="3"/>
        <v>1</v>
      </c>
      <c r="L6" s="505">
        <f t="shared" si="3"/>
        <v>1</v>
      </c>
      <c r="M6" s="505"/>
      <c r="N6" s="505"/>
      <c r="O6" s="505"/>
      <c r="P6" s="505">
        <f t="shared" si="2"/>
        <v>2</v>
      </c>
      <c r="Q6" s="505">
        <f>1</f>
        <v>1</v>
      </c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ht="22.5" customHeight="1">
      <c r="A7" s="498">
        <v>9.0</v>
      </c>
      <c r="B7" s="515" t="s">
        <v>794</v>
      </c>
      <c r="C7" s="500" t="s">
        <v>82</v>
      </c>
      <c r="D7" s="501" t="s">
        <v>795</v>
      </c>
      <c r="E7" s="502" t="str">
        <f>IMAGE("https://flagcdn.com/w320/pt.png")</f>
        <v/>
      </c>
      <c r="F7" s="503">
        <v>38065.0</v>
      </c>
      <c r="G7" s="504">
        <f t="shared" si="1"/>
        <v>21</v>
      </c>
      <c r="H7" s="505">
        <f>1+1+1+1+1+1+1</f>
        <v>7</v>
      </c>
      <c r="I7" s="505">
        <f>60+74+45+77+73+82+77</f>
        <v>488</v>
      </c>
      <c r="J7" s="505">
        <f>2</f>
        <v>2</v>
      </c>
      <c r="K7" s="505">
        <f>1+1</f>
        <v>2</v>
      </c>
      <c r="L7" s="505"/>
      <c r="M7" s="505"/>
      <c r="N7" s="505"/>
      <c r="O7" s="505"/>
      <c r="P7" s="505">
        <f t="shared" si="2"/>
        <v>4</v>
      </c>
      <c r="Q7" s="505"/>
    </row>
    <row r="8" ht="22.5" customHeight="1">
      <c r="A8" s="498">
        <v>10.0</v>
      </c>
      <c r="B8" s="499" t="s">
        <v>796</v>
      </c>
      <c r="C8" s="500" t="s">
        <v>79</v>
      </c>
      <c r="D8" s="501" t="s">
        <v>96</v>
      </c>
      <c r="E8" s="502" t="str">
        <f>IMAGE("https://flagcdn.com/w320/no.png")</f>
        <v/>
      </c>
      <c r="F8" s="503">
        <v>36585.0</v>
      </c>
      <c r="G8" s="504">
        <f t="shared" si="1"/>
        <v>25</v>
      </c>
      <c r="H8" s="514">
        <f>1+1+1+1+1</f>
        <v>5</v>
      </c>
      <c r="I8" s="514">
        <f>16+4+17+17+63</f>
        <v>117</v>
      </c>
      <c r="J8" s="505"/>
      <c r="K8" s="505"/>
      <c r="L8" s="505"/>
      <c r="M8" s="505"/>
      <c r="N8" s="505"/>
      <c r="O8" s="505"/>
      <c r="P8" s="505">
        <f t="shared" si="2"/>
        <v>0</v>
      </c>
      <c r="Q8" s="505"/>
    </row>
    <row r="9" ht="22.5" customHeight="1">
      <c r="A9" s="498">
        <v>11.0</v>
      </c>
      <c r="B9" s="499" t="s">
        <v>797</v>
      </c>
      <c r="C9" s="500" t="s">
        <v>79</v>
      </c>
      <c r="D9" s="501" t="s">
        <v>89</v>
      </c>
      <c r="E9" s="502" t="str">
        <f>IMAGE("https://flagcdn.com/w320/be.png")</f>
        <v/>
      </c>
      <c r="F9" s="503">
        <v>37971.0</v>
      </c>
      <c r="G9" s="504">
        <f t="shared" si="1"/>
        <v>22</v>
      </c>
      <c r="H9" s="514">
        <f>1+1+1</f>
        <v>3</v>
      </c>
      <c r="I9" s="514">
        <f>88+25+27</f>
        <v>140</v>
      </c>
      <c r="J9" s="505"/>
      <c r="K9" s="505"/>
      <c r="L9" s="505"/>
      <c r="M9" s="505"/>
      <c r="N9" s="505"/>
      <c r="O9" s="505"/>
      <c r="P9" s="505">
        <f t="shared" si="2"/>
        <v>0</v>
      </c>
      <c r="Q9" s="505"/>
    </row>
    <row r="10" ht="22.5" customHeight="1">
      <c r="A10" s="498">
        <v>14.0</v>
      </c>
      <c r="B10" s="499" t="s">
        <v>798</v>
      </c>
      <c r="C10" s="500" t="s">
        <v>70</v>
      </c>
      <c r="D10" s="501" t="s">
        <v>80</v>
      </c>
      <c r="E10" s="502" t="str">
        <f>IMAGE("https://flagcdn.com/w320/nl.png")</f>
        <v/>
      </c>
      <c r="F10" s="503">
        <v>37698.0</v>
      </c>
      <c r="G10" s="504">
        <f t="shared" si="1"/>
        <v>22</v>
      </c>
      <c r="H10" s="505">
        <f>1+1+1+1+1</f>
        <v>5</v>
      </c>
      <c r="I10" s="505">
        <f>60+2+90+24+13</f>
        <v>189</v>
      </c>
      <c r="J10" s="505"/>
      <c r="K10" s="505"/>
      <c r="L10" s="505"/>
      <c r="M10" s="505"/>
      <c r="N10" s="505"/>
      <c r="O10" s="505"/>
      <c r="P10" s="505">
        <f t="shared" si="2"/>
        <v>0</v>
      </c>
      <c r="Q10" s="50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ht="22.5" customHeight="1">
      <c r="A11" s="498">
        <v>15.0</v>
      </c>
      <c r="B11" s="499" t="s">
        <v>799</v>
      </c>
      <c r="C11" s="500" t="s">
        <v>79</v>
      </c>
      <c r="D11" s="501" t="s">
        <v>800</v>
      </c>
      <c r="E11" s="502" t="str">
        <f>IMAGE("https://flagcdn.com/w320/ng.png")</f>
        <v/>
      </c>
      <c r="F11" s="503">
        <v>37000.0</v>
      </c>
      <c r="G11" s="504">
        <f t="shared" si="1"/>
        <v>24</v>
      </c>
      <c r="H11" s="505">
        <f>1+1+1+1</f>
        <v>4</v>
      </c>
      <c r="I11" s="505">
        <f>80+83+90+73</f>
        <v>326</v>
      </c>
      <c r="J11" s="505">
        <f>1</f>
        <v>1</v>
      </c>
      <c r="K11" s="505"/>
      <c r="L11" s="505">
        <f>1+1</f>
        <v>2</v>
      </c>
      <c r="M11" s="505"/>
      <c r="N11" s="505"/>
      <c r="O11" s="505"/>
      <c r="P11" s="505">
        <f t="shared" si="2"/>
        <v>1</v>
      </c>
      <c r="Q11" s="505"/>
    </row>
    <row r="12" ht="22.5" customHeight="1">
      <c r="A12" s="498">
        <v>16.0</v>
      </c>
      <c r="B12" s="499" t="s">
        <v>801</v>
      </c>
      <c r="C12" s="500" t="s">
        <v>67</v>
      </c>
      <c r="D12" s="501" t="s">
        <v>80</v>
      </c>
      <c r="E12" s="502" t="str">
        <f>IMAGE("https://flagcdn.com/w320/nl.png")</f>
        <v/>
      </c>
      <c r="F12" s="503">
        <v>37769.0</v>
      </c>
      <c r="G12" s="504">
        <f t="shared" si="1"/>
        <v>22</v>
      </c>
      <c r="H12" s="514">
        <f>1</f>
        <v>1</v>
      </c>
      <c r="I12" s="514">
        <f>90</f>
        <v>90</v>
      </c>
      <c r="J12" s="505"/>
      <c r="K12" s="505"/>
      <c r="L12" s="505"/>
      <c r="M12" s="505"/>
      <c r="N12" s="505"/>
      <c r="O12" s="505"/>
      <c r="P12" s="505">
        <f t="shared" si="2"/>
        <v>0</v>
      </c>
      <c r="Q12" s="505"/>
    </row>
    <row r="13" ht="22.5" customHeight="1">
      <c r="A13" s="506">
        <v>17.0</v>
      </c>
      <c r="B13" s="507" t="s">
        <v>802</v>
      </c>
      <c r="C13" s="508" t="s">
        <v>82</v>
      </c>
      <c r="D13" s="509" t="s">
        <v>89</v>
      </c>
      <c r="E13" s="510" t="str">
        <f>IMAGE("https://flagcdn.com/w320/be.png")</f>
        <v/>
      </c>
      <c r="F13" s="511">
        <v>38010.0</v>
      </c>
      <c r="G13" s="512">
        <f t="shared" si="1"/>
        <v>22</v>
      </c>
      <c r="H13" s="513">
        <f>1+1+1+1+1</f>
        <v>5</v>
      </c>
      <c r="I13" s="513">
        <f>28+25+13+60+77</f>
        <v>203</v>
      </c>
      <c r="J13" s="513">
        <f>1</f>
        <v>1</v>
      </c>
      <c r="K13" s="513"/>
      <c r="L13" s="513"/>
      <c r="M13" s="513"/>
      <c r="N13" s="513"/>
      <c r="O13" s="513"/>
      <c r="P13" s="513">
        <f t="shared" si="2"/>
        <v>1</v>
      </c>
      <c r="Q13" s="513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ht="22.5" customHeight="1">
      <c r="A14" s="498">
        <v>19.0</v>
      </c>
      <c r="B14" s="499" t="s">
        <v>803</v>
      </c>
      <c r="C14" s="500" t="s">
        <v>82</v>
      </c>
      <c r="D14" s="501" t="s">
        <v>481</v>
      </c>
      <c r="E14" s="502" t="str">
        <f>IMAGE("https://flagcdn.com/w320/se.png")</f>
        <v/>
      </c>
      <c r="F14" s="503">
        <v>35573.0</v>
      </c>
      <c r="G14" s="504">
        <f t="shared" si="1"/>
        <v>28</v>
      </c>
      <c r="H14" s="514">
        <v>0.0</v>
      </c>
      <c r="I14" s="514">
        <v>0.0</v>
      </c>
      <c r="J14" s="505"/>
      <c r="K14" s="505"/>
      <c r="L14" s="505"/>
      <c r="M14" s="505"/>
      <c r="N14" s="505"/>
      <c r="O14" s="505"/>
      <c r="P14" s="505">
        <f t="shared" si="2"/>
        <v>0</v>
      </c>
      <c r="Q14" s="505"/>
    </row>
    <row r="15" ht="22.5" customHeight="1">
      <c r="A15" s="498">
        <v>20.0</v>
      </c>
      <c r="B15" s="499" t="s">
        <v>804</v>
      </c>
      <c r="C15" s="500" t="s">
        <v>79</v>
      </c>
      <c r="D15" s="501" t="s">
        <v>89</v>
      </c>
      <c r="E15" s="502" t="str">
        <f t="shared" ref="E15:E16" si="4">IMAGE("https://flagcdn.com/w320/be.png")</f>
        <v/>
      </c>
      <c r="F15" s="503">
        <v>33840.0</v>
      </c>
      <c r="G15" s="504">
        <f t="shared" si="1"/>
        <v>33</v>
      </c>
      <c r="H15" s="505">
        <f>1+1+1+1+1+1+1</f>
        <v>7</v>
      </c>
      <c r="I15" s="514">
        <f>90+90+90+90+90+90+90</f>
        <v>630</v>
      </c>
      <c r="J15" s="505">
        <f>1+1</f>
        <v>2</v>
      </c>
      <c r="K15" s="505">
        <f>1+1+1</f>
        <v>3</v>
      </c>
      <c r="L15" s="505">
        <f t="shared" ref="L15:L16" si="5">1</f>
        <v>1</v>
      </c>
      <c r="M15" s="505"/>
      <c r="N15" s="505"/>
      <c r="O15" s="505"/>
      <c r="P15" s="505">
        <f t="shared" si="2"/>
        <v>5</v>
      </c>
      <c r="Q15" s="50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ht="22.5" customHeight="1">
      <c r="A16" s="498">
        <v>22.0</v>
      </c>
      <c r="B16" s="499" t="s">
        <v>805</v>
      </c>
      <c r="C16" s="500" t="s">
        <v>67</v>
      </c>
      <c r="D16" s="501" t="s">
        <v>89</v>
      </c>
      <c r="E16" s="502" t="str">
        <f t="shared" si="4"/>
        <v/>
      </c>
      <c r="F16" s="503">
        <v>32208.0</v>
      </c>
      <c r="G16" s="504">
        <f t="shared" si="1"/>
        <v>37</v>
      </c>
      <c r="H16" s="505">
        <f>1</f>
        <v>1</v>
      </c>
      <c r="I16" s="505">
        <f>18</f>
        <v>18</v>
      </c>
      <c r="J16" s="505"/>
      <c r="K16" s="505"/>
      <c r="L16" s="505">
        <f t="shared" si="5"/>
        <v>1</v>
      </c>
      <c r="M16" s="505"/>
      <c r="N16" s="505"/>
      <c r="O16" s="505"/>
      <c r="P16" s="505">
        <f t="shared" si="2"/>
        <v>0</v>
      </c>
      <c r="Q16" s="505">
        <f>1</f>
        <v>1</v>
      </c>
    </row>
    <row r="17" ht="22.5" customHeight="1">
      <c r="A17" s="498">
        <v>24.0</v>
      </c>
      <c r="B17" s="499" t="s">
        <v>806</v>
      </c>
      <c r="C17" s="500" t="s">
        <v>70</v>
      </c>
      <c r="D17" s="501" t="s">
        <v>800</v>
      </c>
      <c r="E17" s="502" t="str">
        <f>IMAGE("https://flagcdn.com/w320/ng.png")</f>
        <v/>
      </c>
      <c r="F17" s="503">
        <v>38813.0</v>
      </c>
      <c r="G17" s="504">
        <f t="shared" si="1"/>
        <v>19</v>
      </c>
      <c r="H17" s="514">
        <v>0.0</v>
      </c>
      <c r="I17" s="514">
        <v>0.0</v>
      </c>
      <c r="J17" s="505"/>
      <c r="K17" s="505"/>
      <c r="L17" s="505"/>
      <c r="M17" s="505"/>
      <c r="N17" s="505"/>
      <c r="O17" s="505"/>
      <c r="P17" s="505">
        <f t="shared" si="2"/>
        <v>0</v>
      </c>
      <c r="Q17" s="50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ht="22.5" customHeight="1">
      <c r="A18" s="498">
        <v>25.0</v>
      </c>
      <c r="B18" s="499" t="s">
        <v>807</v>
      </c>
      <c r="C18" s="500" t="s">
        <v>79</v>
      </c>
      <c r="D18" s="501" t="s">
        <v>808</v>
      </c>
      <c r="E18" s="502" t="str">
        <f>IMAGE("https://flagcdn.com/w320/rs.png")</f>
        <v/>
      </c>
      <c r="F18" s="503">
        <v>38567.0</v>
      </c>
      <c r="G18" s="504">
        <f t="shared" si="1"/>
        <v>20</v>
      </c>
      <c r="H18" s="505">
        <f>1+1+1+1+1+1+1</f>
        <v>7</v>
      </c>
      <c r="I18" s="505">
        <f>90+90+90+90+73+90+90</f>
        <v>613</v>
      </c>
      <c r="J18" s="505">
        <f>1</f>
        <v>1</v>
      </c>
      <c r="K18" s="505"/>
      <c r="L18" s="505"/>
      <c r="M18" s="505"/>
      <c r="N18" s="505"/>
      <c r="O18" s="505"/>
      <c r="P18" s="505">
        <f t="shared" si="2"/>
        <v>1</v>
      </c>
      <c r="Q18" s="505"/>
    </row>
    <row r="19" ht="22.5" customHeight="1">
      <c r="A19" s="498">
        <v>29.0</v>
      </c>
      <c r="B19" s="499" t="s">
        <v>809</v>
      </c>
      <c r="C19" s="500" t="s">
        <v>67</v>
      </c>
      <c r="D19" s="501" t="s">
        <v>89</v>
      </c>
      <c r="E19" s="502" t="str">
        <f t="shared" ref="E19:E25" si="6">IMAGE("https://flagcdn.com/w320/be.png")</f>
        <v/>
      </c>
      <c r="F19" s="503">
        <v>35678.0</v>
      </c>
      <c r="G19" s="504">
        <f t="shared" si="1"/>
        <v>28</v>
      </c>
      <c r="H19" s="505">
        <f>1+1+1+1+1+1</f>
        <v>6</v>
      </c>
      <c r="I19" s="505">
        <f>72+90+90+90+90+90</f>
        <v>522</v>
      </c>
      <c r="J19" s="505"/>
      <c r="K19" s="505"/>
      <c r="L19" s="505"/>
      <c r="M19" s="505"/>
      <c r="N19" s="505"/>
      <c r="O19" s="505"/>
      <c r="P19" s="505">
        <f t="shared" si="2"/>
        <v>0</v>
      </c>
      <c r="Q19" s="505"/>
    </row>
    <row r="20" ht="22.5" customHeight="1">
      <c r="A20" s="498">
        <v>41.0</v>
      </c>
      <c r="B20" s="499" t="s">
        <v>810</v>
      </c>
      <c r="C20" s="500" t="s">
        <v>70</v>
      </c>
      <c r="D20" s="501" t="s">
        <v>89</v>
      </c>
      <c r="E20" s="502" t="str">
        <f t="shared" si="6"/>
        <v/>
      </c>
      <c r="F20" s="503">
        <v>37446.0</v>
      </c>
      <c r="G20" s="504">
        <f t="shared" si="1"/>
        <v>23</v>
      </c>
      <c r="H20" s="514">
        <f>1+1+1+1</f>
        <v>4</v>
      </c>
      <c r="I20" s="514">
        <f>45+80+66+6</f>
        <v>197</v>
      </c>
      <c r="J20" s="505"/>
      <c r="K20" s="505"/>
      <c r="L20" s="505"/>
      <c r="M20" s="505"/>
      <c r="N20" s="505"/>
      <c r="O20" s="505"/>
      <c r="P20" s="505">
        <f t="shared" si="2"/>
        <v>0</v>
      </c>
      <c r="Q20" s="505"/>
    </row>
    <row r="21" ht="22.5" customHeight="1">
      <c r="A21" s="498">
        <v>44.0</v>
      </c>
      <c r="B21" s="499" t="s">
        <v>811</v>
      </c>
      <c r="C21" s="500" t="s">
        <v>70</v>
      </c>
      <c r="D21" s="501" t="s">
        <v>89</v>
      </c>
      <c r="E21" s="502" t="str">
        <f t="shared" si="6"/>
        <v/>
      </c>
      <c r="F21" s="503">
        <v>33997.0</v>
      </c>
      <c r="G21" s="504">
        <f t="shared" si="1"/>
        <v>33</v>
      </c>
      <c r="H21" s="505">
        <f>1+1+1+1+1+1+1</f>
        <v>7</v>
      </c>
      <c r="I21" s="505">
        <f>90+90+90+90+90+90+90</f>
        <v>630</v>
      </c>
      <c r="J21" s="505">
        <f>1</f>
        <v>1</v>
      </c>
      <c r="K21" s="505"/>
      <c r="L21" s="505">
        <f>1</f>
        <v>1</v>
      </c>
      <c r="M21" s="505"/>
      <c r="N21" s="505"/>
      <c r="O21" s="505"/>
      <c r="P21" s="505">
        <f t="shared" si="2"/>
        <v>1</v>
      </c>
      <c r="Q21" s="505"/>
    </row>
    <row r="22" ht="22.5" customHeight="1">
      <c r="A22" s="506">
        <v>58.0</v>
      </c>
      <c r="B22" s="507" t="s">
        <v>812</v>
      </c>
      <c r="C22" s="508" t="s">
        <v>70</v>
      </c>
      <c r="D22" s="509" t="s">
        <v>89</v>
      </c>
      <c r="E22" s="510" t="str">
        <f t="shared" si="6"/>
        <v/>
      </c>
      <c r="F22" s="511">
        <v>38493.0</v>
      </c>
      <c r="G22" s="512">
        <f t="shared" si="1"/>
        <v>20</v>
      </c>
      <c r="H22" s="513">
        <f t="shared" ref="H22:H23" si="7">1+1+1</f>
        <v>3</v>
      </c>
      <c r="I22" s="513">
        <f>10+45+10</f>
        <v>65</v>
      </c>
      <c r="J22" s="513"/>
      <c r="K22" s="513"/>
      <c r="L22" s="513"/>
      <c r="M22" s="513"/>
      <c r="N22" s="513"/>
      <c r="O22" s="513"/>
      <c r="P22" s="513">
        <f t="shared" si="2"/>
        <v>0</v>
      </c>
      <c r="Q22" s="513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 ht="22.5" customHeight="1">
      <c r="A23" s="498">
        <v>62.0</v>
      </c>
      <c r="B23" s="499" t="s">
        <v>813</v>
      </c>
      <c r="C23" s="500" t="s">
        <v>79</v>
      </c>
      <c r="D23" s="501" t="s">
        <v>89</v>
      </c>
      <c r="E23" s="502" t="str">
        <f t="shared" si="6"/>
        <v/>
      </c>
      <c r="F23" s="503">
        <v>37907.0</v>
      </c>
      <c r="G23" s="504">
        <f t="shared" si="1"/>
        <v>22</v>
      </c>
      <c r="H23" s="505">
        <f t="shared" si="7"/>
        <v>3</v>
      </c>
      <c r="I23" s="505">
        <f>10+65+3</f>
        <v>78</v>
      </c>
      <c r="J23" s="505"/>
      <c r="K23" s="505"/>
      <c r="L23" s="505"/>
      <c r="M23" s="505"/>
      <c r="N23" s="505"/>
      <c r="O23" s="505"/>
      <c r="P23" s="505">
        <f t="shared" si="2"/>
        <v>0</v>
      </c>
      <c r="Q23" s="50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 ht="22.5" customHeight="1">
      <c r="A24" s="506">
        <v>64.0</v>
      </c>
      <c r="B24" s="507" t="s">
        <v>814</v>
      </c>
      <c r="C24" s="508" t="s">
        <v>70</v>
      </c>
      <c r="D24" s="509" t="s">
        <v>89</v>
      </c>
      <c r="E24" s="510" t="str">
        <f t="shared" si="6"/>
        <v/>
      </c>
      <c r="F24" s="511">
        <v>38378.0</v>
      </c>
      <c r="G24" s="512">
        <f t="shared" si="1"/>
        <v>21</v>
      </c>
      <c r="H24" s="513">
        <f t="shared" ref="H24:H26" si="8">1+1+1+1+1+1</f>
        <v>6</v>
      </c>
      <c r="I24" s="513">
        <f>90+88+45+90+17+84</f>
        <v>414</v>
      </c>
      <c r="J24" s="513"/>
      <c r="K24" s="513"/>
      <c r="L24" s="513"/>
      <c r="M24" s="513"/>
      <c r="N24" s="513"/>
      <c r="O24" s="513"/>
      <c r="P24" s="513">
        <f t="shared" si="2"/>
        <v>0</v>
      </c>
      <c r="Q24" s="513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 ht="22.5" customHeight="1">
      <c r="A25" s="506">
        <v>65.0</v>
      </c>
      <c r="B25" s="507" t="s">
        <v>815</v>
      </c>
      <c r="C25" s="508" t="s">
        <v>70</v>
      </c>
      <c r="D25" s="509" t="s">
        <v>89</v>
      </c>
      <c r="E25" s="510" t="str">
        <f t="shared" si="6"/>
        <v/>
      </c>
      <c r="F25" s="511">
        <v>38439.0</v>
      </c>
      <c r="G25" s="512">
        <f t="shared" si="1"/>
        <v>20</v>
      </c>
      <c r="H25" s="513">
        <f t="shared" si="8"/>
        <v>6</v>
      </c>
      <c r="I25" s="513">
        <f>30+90+90+80+73+77</f>
        <v>440</v>
      </c>
      <c r="J25" s="513"/>
      <c r="K25" s="513">
        <f>1+1</f>
        <v>2</v>
      </c>
      <c r="L25" s="513">
        <f>1</f>
        <v>1</v>
      </c>
      <c r="M25" s="513"/>
      <c r="N25" s="513"/>
      <c r="O25" s="513"/>
      <c r="P25" s="513">
        <f t="shared" si="2"/>
        <v>2</v>
      </c>
      <c r="Q25" s="513"/>
    </row>
    <row r="26" ht="22.5" customHeight="1">
      <c r="A26" s="498">
        <v>67.0</v>
      </c>
      <c r="B26" s="499" t="s">
        <v>816</v>
      </c>
      <c r="C26" s="500" t="s">
        <v>82</v>
      </c>
      <c r="D26" s="501" t="s">
        <v>817</v>
      </c>
      <c r="E26" s="502" t="str">
        <f>IMAGE("https://flagcdn.com/w320/fr.png")</f>
        <v/>
      </c>
      <c r="F26" s="503">
        <v>38617.0</v>
      </c>
      <c r="G26" s="504">
        <f t="shared" si="1"/>
        <v>20</v>
      </c>
      <c r="H26" s="505">
        <f t="shared" si="8"/>
        <v>6</v>
      </c>
      <c r="I26" s="505">
        <f>30+11+13+17+8+90</f>
        <v>169</v>
      </c>
      <c r="J26" s="505">
        <f t="shared" ref="J26:L26" si="9">1</f>
        <v>1</v>
      </c>
      <c r="K26" s="505">
        <f t="shared" si="9"/>
        <v>1</v>
      </c>
      <c r="L26" s="505">
        <f t="shared" si="9"/>
        <v>1</v>
      </c>
      <c r="M26" s="505"/>
      <c r="N26" s="505"/>
      <c r="O26" s="505"/>
      <c r="P26" s="505">
        <f t="shared" si="2"/>
        <v>2</v>
      </c>
      <c r="Q26" s="505"/>
    </row>
    <row r="27" ht="22.5" hidden="1" customHeight="1">
      <c r="A27" s="506">
        <v>70.0</v>
      </c>
      <c r="B27" s="507" t="s">
        <v>818</v>
      </c>
      <c r="C27" s="508" t="s">
        <v>79</v>
      </c>
      <c r="D27" s="509" t="s">
        <v>819</v>
      </c>
      <c r="E27" s="510" t="str">
        <f>IMAGE("https://flagcdn.com/w320/es.png")</f>
        <v/>
      </c>
      <c r="F27" s="511">
        <v>38867.0</v>
      </c>
      <c r="G27" s="512">
        <f t="shared" si="1"/>
        <v>19</v>
      </c>
      <c r="H27" s="513"/>
      <c r="I27" s="513"/>
      <c r="J27" s="513"/>
      <c r="K27" s="513"/>
      <c r="L27" s="513"/>
      <c r="M27" s="513"/>
      <c r="N27" s="513"/>
      <c r="O27" s="513"/>
      <c r="P27" s="513">
        <f t="shared" si="2"/>
        <v>0</v>
      </c>
      <c r="Q27" s="513"/>
    </row>
    <row r="28" ht="22.5" customHeight="1">
      <c r="A28" s="506">
        <v>71.0</v>
      </c>
      <c r="B28" s="507" t="s">
        <v>820</v>
      </c>
      <c r="C28" s="508" t="s">
        <v>67</v>
      </c>
      <c r="D28" s="509" t="s">
        <v>89</v>
      </c>
      <c r="E28" s="510" t="str">
        <f t="shared" ref="E28:E31" si="10">IMAGE("https://flagcdn.com/w320/be.png")</f>
        <v/>
      </c>
      <c r="F28" s="511">
        <v>38800.0</v>
      </c>
      <c r="G28" s="512">
        <f t="shared" si="1"/>
        <v>19</v>
      </c>
      <c r="H28" s="516">
        <v>0.0</v>
      </c>
      <c r="I28" s="516">
        <v>0.0</v>
      </c>
      <c r="J28" s="513"/>
      <c r="K28" s="513"/>
      <c r="L28" s="513"/>
      <c r="M28" s="513"/>
      <c r="N28" s="513"/>
      <c r="O28" s="513"/>
      <c r="P28" s="513">
        <f t="shared" si="2"/>
        <v>0</v>
      </c>
      <c r="Q28" s="513"/>
    </row>
    <row r="29" ht="22.5" hidden="1" customHeight="1">
      <c r="A29" s="506">
        <v>72.0</v>
      </c>
      <c r="B29" s="507" t="s">
        <v>821</v>
      </c>
      <c r="C29" s="508" t="s">
        <v>79</v>
      </c>
      <c r="D29" s="509" t="s">
        <v>89</v>
      </c>
      <c r="E29" s="510" t="str">
        <f t="shared" si="10"/>
        <v/>
      </c>
      <c r="F29" s="511">
        <v>39553.0</v>
      </c>
      <c r="G29" s="512">
        <f t="shared" si="1"/>
        <v>17</v>
      </c>
      <c r="H29" s="513"/>
      <c r="I29" s="513"/>
      <c r="J29" s="513"/>
      <c r="K29" s="513"/>
      <c r="L29" s="513"/>
      <c r="M29" s="513"/>
      <c r="N29" s="513"/>
      <c r="O29" s="513"/>
      <c r="P29" s="513">
        <f t="shared" si="2"/>
        <v>0</v>
      </c>
      <c r="Q29" s="513"/>
    </row>
    <row r="30" ht="22.5" hidden="1" customHeight="1">
      <c r="A30" s="506">
        <v>73.0</v>
      </c>
      <c r="B30" s="507" t="s">
        <v>822</v>
      </c>
      <c r="C30" s="508" t="s">
        <v>79</v>
      </c>
      <c r="D30" s="509" t="s">
        <v>89</v>
      </c>
      <c r="E30" s="510" t="str">
        <f t="shared" si="10"/>
        <v/>
      </c>
      <c r="F30" s="511">
        <v>38814.0</v>
      </c>
      <c r="G30" s="512">
        <f t="shared" si="1"/>
        <v>19</v>
      </c>
      <c r="H30" s="513"/>
      <c r="I30" s="513"/>
      <c r="J30" s="513"/>
      <c r="K30" s="513"/>
      <c r="L30" s="513"/>
      <c r="M30" s="513"/>
      <c r="N30" s="513"/>
      <c r="O30" s="513"/>
      <c r="P30" s="513">
        <f t="shared" si="2"/>
        <v>0</v>
      </c>
      <c r="Q30" s="513"/>
    </row>
    <row r="31" ht="22.5" hidden="1" customHeight="1">
      <c r="A31" s="506">
        <v>74.0</v>
      </c>
      <c r="B31" s="507" t="s">
        <v>823</v>
      </c>
      <c r="C31" s="508" t="s">
        <v>82</v>
      </c>
      <c r="D31" s="509" t="s">
        <v>89</v>
      </c>
      <c r="E31" s="510" t="str">
        <f t="shared" si="10"/>
        <v/>
      </c>
      <c r="F31" s="511">
        <v>39469.0</v>
      </c>
      <c r="G31" s="512">
        <f t="shared" si="1"/>
        <v>18</v>
      </c>
      <c r="H31" s="513"/>
      <c r="I31" s="513"/>
      <c r="J31" s="513"/>
      <c r="K31" s="513"/>
      <c r="L31" s="513"/>
      <c r="M31" s="513"/>
      <c r="N31" s="513"/>
      <c r="O31" s="513"/>
      <c r="P31" s="513">
        <f t="shared" si="2"/>
        <v>0</v>
      </c>
      <c r="Q31" s="513"/>
    </row>
    <row r="32" ht="22.5" hidden="1" customHeight="1">
      <c r="A32" s="506">
        <v>78.0</v>
      </c>
      <c r="B32" s="507" t="s">
        <v>824</v>
      </c>
      <c r="C32" s="508" t="s">
        <v>79</v>
      </c>
      <c r="D32" s="509" t="s">
        <v>73</v>
      </c>
      <c r="E32" s="510" t="str">
        <f>IMAGE("https://flagcdn.com/w320/dk.png")</f>
        <v/>
      </c>
      <c r="F32" s="511">
        <v>38758.0</v>
      </c>
      <c r="G32" s="512">
        <f t="shared" si="1"/>
        <v>19</v>
      </c>
      <c r="H32" s="513"/>
      <c r="I32" s="513"/>
      <c r="J32" s="513"/>
      <c r="K32" s="513"/>
      <c r="L32" s="513"/>
      <c r="M32" s="513"/>
      <c r="N32" s="513"/>
      <c r="O32" s="513"/>
      <c r="P32" s="513">
        <f t="shared" si="2"/>
        <v>0</v>
      </c>
      <c r="Q32" s="513"/>
    </row>
    <row r="33" ht="22.5" customHeight="1">
      <c r="A33" s="506">
        <v>81.0</v>
      </c>
      <c r="B33" s="507" t="s">
        <v>825</v>
      </c>
      <c r="C33" s="508" t="s">
        <v>67</v>
      </c>
      <c r="D33" s="509" t="s">
        <v>89</v>
      </c>
      <c r="E33" s="510" t="str">
        <f t="shared" ref="E33:E34" si="11">IMAGE("https://flagcdn.com/w320/be.png")</f>
        <v/>
      </c>
      <c r="F33" s="511">
        <v>39194.0</v>
      </c>
      <c r="G33" s="512">
        <f t="shared" si="1"/>
        <v>18</v>
      </c>
      <c r="H33" s="516">
        <v>0.0</v>
      </c>
      <c r="I33" s="516">
        <v>0.0</v>
      </c>
      <c r="J33" s="513"/>
      <c r="K33" s="513"/>
      <c r="L33" s="513"/>
      <c r="M33" s="513"/>
      <c r="N33" s="513"/>
      <c r="O33" s="513"/>
      <c r="P33" s="513">
        <f t="shared" si="2"/>
        <v>0</v>
      </c>
      <c r="Q33" s="513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ht="22.5" hidden="1" customHeight="1">
      <c r="A34" s="498">
        <v>82.0</v>
      </c>
      <c r="B34" s="499" t="s">
        <v>826</v>
      </c>
      <c r="C34" s="500" t="s">
        <v>70</v>
      </c>
      <c r="D34" s="501" t="s">
        <v>827</v>
      </c>
      <c r="E34" s="502" t="str">
        <f t="shared" si="11"/>
        <v/>
      </c>
      <c r="F34" s="503">
        <v>38741.0</v>
      </c>
      <c r="G34" s="504">
        <f t="shared" si="1"/>
        <v>20</v>
      </c>
      <c r="H34" s="505"/>
      <c r="I34" s="505"/>
      <c r="J34" s="505"/>
      <c r="K34" s="505"/>
      <c r="L34" s="505"/>
      <c r="M34" s="505"/>
      <c r="N34" s="505"/>
      <c r="O34" s="505"/>
      <c r="P34" s="505">
        <f t="shared" si="2"/>
        <v>0</v>
      </c>
      <c r="Q34" s="50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ht="22.5" customHeight="1">
      <c r="A35" s="498">
        <v>84.0</v>
      </c>
      <c r="B35" s="499" t="s">
        <v>828</v>
      </c>
      <c r="C35" s="500" t="s">
        <v>82</v>
      </c>
      <c r="D35" s="501" t="s">
        <v>829</v>
      </c>
      <c r="E35" s="502" t="str">
        <f>IMAGE("https://flagcdn.com/w320/za.png")</f>
        <v/>
      </c>
      <c r="F35" s="503">
        <v>38548.0</v>
      </c>
      <c r="G35" s="504">
        <f t="shared" si="1"/>
        <v>20</v>
      </c>
      <c r="H35" s="514">
        <f>1+1</f>
        <v>2</v>
      </c>
      <c r="I35" s="514">
        <f>2+13</f>
        <v>15</v>
      </c>
      <c r="J35" s="505"/>
      <c r="K35" s="505"/>
      <c r="L35" s="505"/>
      <c r="M35" s="505"/>
      <c r="N35" s="505"/>
      <c r="O35" s="505"/>
      <c r="P35" s="505">
        <f t="shared" si="2"/>
        <v>0</v>
      </c>
      <c r="Q35" s="50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ht="22.5" customHeight="1">
      <c r="A36" s="506">
        <v>87.0</v>
      </c>
      <c r="B36" s="507" t="s">
        <v>830</v>
      </c>
      <c r="C36" s="508" t="s">
        <v>82</v>
      </c>
      <c r="D36" s="509" t="s">
        <v>89</v>
      </c>
      <c r="E36" s="510" t="str">
        <f>IMAGE("https://flagcdn.com/w320/be.png")</f>
        <v/>
      </c>
      <c r="F36" s="511">
        <v>39119.0</v>
      </c>
      <c r="G36" s="512">
        <f t="shared" si="1"/>
        <v>18</v>
      </c>
      <c r="H36" s="516">
        <f>1</f>
        <v>1</v>
      </c>
      <c r="I36" s="516">
        <f>24</f>
        <v>24</v>
      </c>
      <c r="J36" s="513"/>
      <c r="K36" s="513"/>
      <c r="L36" s="513"/>
      <c r="M36" s="513"/>
      <c r="N36" s="513"/>
      <c r="O36" s="513"/>
      <c r="P36" s="513">
        <f t="shared" si="2"/>
        <v>0</v>
      </c>
      <c r="Q36" s="513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11"/>
      <c r="B37" s="18"/>
      <c r="C37" s="18"/>
      <c r="D37" s="64"/>
      <c r="E37" s="65"/>
      <c r="F37" s="66"/>
      <c r="G37" s="18"/>
      <c r="H37" s="11">
        <f t="shared" ref="H37:Q37" si="12">SUM(H2:H36)</f>
        <v>111</v>
      </c>
      <c r="I37" s="11">
        <f t="shared" si="12"/>
        <v>6930</v>
      </c>
      <c r="J37" s="11">
        <f t="shared" si="12"/>
        <v>12</v>
      </c>
      <c r="K37" s="11">
        <f t="shared" si="12"/>
        <v>10</v>
      </c>
      <c r="L37" s="11">
        <f t="shared" si="12"/>
        <v>8</v>
      </c>
      <c r="M37" s="11">
        <f t="shared" si="12"/>
        <v>0</v>
      </c>
      <c r="N37" s="11">
        <f t="shared" si="12"/>
        <v>0</v>
      </c>
      <c r="O37" s="11">
        <f t="shared" si="12"/>
        <v>0</v>
      </c>
      <c r="P37" s="11">
        <f t="shared" si="12"/>
        <v>22</v>
      </c>
      <c r="Q37" s="11">
        <f t="shared" si="12"/>
        <v>2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ht="22.5" customHeight="1">
      <c r="A38" s="492" t="s">
        <v>48</v>
      </c>
      <c r="B38" s="493" t="s">
        <v>49</v>
      </c>
      <c r="C38" s="493" t="s">
        <v>265</v>
      </c>
      <c r="D38" s="517" t="s">
        <v>56</v>
      </c>
      <c r="E38" s="493" t="s">
        <v>57</v>
      </c>
      <c r="F38" s="493" t="s">
        <v>52</v>
      </c>
      <c r="G38" s="493" t="s">
        <v>53</v>
      </c>
      <c r="H38" s="518" t="s">
        <v>4</v>
      </c>
      <c r="I38" s="518" t="s">
        <v>5</v>
      </c>
      <c r="J38" s="518" t="s">
        <v>6</v>
      </c>
      <c r="K38" s="518" t="s">
        <v>7</v>
      </c>
      <c r="L38" s="518" t="s">
        <v>8</v>
      </c>
      <c r="M38" s="518" t="s">
        <v>9</v>
      </c>
      <c r="N38" s="518" t="s">
        <v>10</v>
      </c>
      <c r="O38" s="12"/>
      <c r="P38" s="12"/>
      <c r="Q38" s="12"/>
    </row>
    <row r="39" ht="22.5" customHeight="1">
      <c r="A39" s="519"/>
      <c r="B39" s="499" t="s">
        <v>831</v>
      </c>
      <c r="C39" s="499" t="s">
        <v>153</v>
      </c>
      <c r="D39" s="501" t="s">
        <v>89</v>
      </c>
      <c r="E39" s="520" t="str">
        <f>IMAGE("https://flagcdn.com/w320/be.png")</f>
        <v/>
      </c>
      <c r="F39" s="503">
        <v>29449.0</v>
      </c>
      <c r="G39" s="504">
        <f t="shared" ref="G39:G40" si="14">DATEDIF(F39,TODAY(),"Y")</f>
        <v>45</v>
      </c>
      <c r="H39" s="294">
        <f t="shared" ref="H39:H40" si="15">L39+M39+N39</f>
        <v>5</v>
      </c>
      <c r="I39" s="294">
        <f t="shared" ref="I39:I40" si="16">(3*L39)+M39</f>
        <v>4</v>
      </c>
      <c r="J39" s="294">
        <f>4+1+3</f>
        <v>8</v>
      </c>
      <c r="K39" s="294">
        <f>1+2+4+3+3</f>
        <v>13</v>
      </c>
      <c r="L39" s="295">
        <f t="shared" ref="L39:M39" si="13">1</f>
        <v>1</v>
      </c>
      <c r="M39" s="296">
        <f t="shared" si="13"/>
        <v>1</v>
      </c>
      <c r="N39" s="297">
        <f>1+1+1</f>
        <v>3</v>
      </c>
      <c r="O39" s="12"/>
      <c r="P39" s="12"/>
      <c r="Q39" s="12"/>
    </row>
    <row r="40" ht="22.5" customHeight="1">
      <c r="A40" s="519"/>
      <c r="B40" s="499" t="s">
        <v>832</v>
      </c>
      <c r="C40" s="499" t="s">
        <v>153</v>
      </c>
      <c r="D40" s="501" t="s">
        <v>111</v>
      </c>
      <c r="E40" s="520" t="str">
        <f>IMAGE("https://flagcdn.com/w320/hr.png")</f>
        <v/>
      </c>
      <c r="F40" s="503">
        <v>28528.0</v>
      </c>
      <c r="G40" s="504">
        <f t="shared" si="14"/>
        <v>47</v>
      </c>
      <c r="H40" s="294">
        <f t="shared" si="15"/>
        <v>2</v>
      </c>
      <c r="I40" s="294">
        <f t="shared" si="16"/>
        <v>3</v>
      </c>
      <c r="J40" s="294">
        <f>4</f>
        <v>4</v>
      </c>
      <c r="K40" s="294">
        <f>3+1</f>
        <v>4</v>
      </c>
      <c r="L40" s="295">
        <f>1</f>
        <v>1</v>
      </c>
      <c r="M40" s="521">
        <v>0.0</v>
      </c>
      <c r="N40" s="297">
        <f>1</f>
        <v>1</v>
      </c>
      <c r="O40" s="12"/>
      <c r="P40" s="12"/>
      <c r="Q40" s="12"/>
    </row>
    <row r="41">
      <c r="A41" s="11"/>
      <c r="B41" s="18"/>
      <c r="C41" s="18"/>
      <c r="D41" s="64"/>
      <c r="E41" s="65"/>
      <c r="F41" s="66"/>
      <c r="G41" s="18"/>
      <c r="H41" s="11">
        <f t="shared" ref="H41:N41" si="17">SUM(H39:H40)</f>
        <v>7</v>
      </c>
      <c r="I41" s="11">
        <f t="shared" si="17"/>
        <v>7</v>
      </c>
      <c r="J41" s="11">
        <f t="shared" si="17"/>
        <v>12</v>
      </c>
      <c r="K41" s="11">
        <f t="shared" si="17"/>
        <v>17</v>
      </c>
      <c r="L41" s="11">
        <f t="shared" si="17"/>
        <v>2</v>
      </c>
      <c r="M41" s="11">
        <f t="shared" si="17"/>
        <v>1</v>
      </c>
      <c r="N41" s="11">
        <f t="shared" si="17"/>
        <v>4</v>
      </c>
      <c r="O41" s="11"/>
      <c r="P41" s="11"/>
      <c r="Q41" s="11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ht="22.5" customHeight="1">
      <c r="A42" s="492" t="s">
        <v>156</v>
      </c>
      <c r="B42" s="492" t="s">
        <v>157</v>
      </c>
      <c r="C42" s="492" t="s">
        <v>158</v>
      </c>
      <c r="D42" s="496" t="s">
        <v>833</v>
      </c>
      <c r="E42" s="492" t="s">
        <v>160</v>
      </c>
      <c r="F42" s="492" t="s">
        <v>161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22.5" customHeight="1">
      <c r="A43" s="86">
        <v>1.0</v>
      </c>
      <c r="B43" s="87" t="s">
        <v>39</v>
      </c>
      <c r="C43" s="87" t="s">
        <v>29</v>
      </c>
      <c r="D43" s="88" t="s">
        <v>834</v>
      </c>
      <c r="E43" s="89">
        <v>45748.0</v>
      </c>
      <c r="F43" s="522" t="s">
        <v>279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22.5" customHeight="1">
      <c r="A44" s="77">
        <v>2.0</v>
      </c>
      <c r="B44" s="78" t="s">
        <v>14</v>
      </c>
      <c r="C44" s="78" t="s">
        <v>39</v>
      </c>
      <c r="D44" s="83" t="s">
        <v>835</v>
      </c>
      <c r="E44" s="84">
        <v>45689.0</v>
      </c>
      <c r="F44" s="82" t="s">
        <v>330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22.5" customHeight="1">
      <c r="A45" s="77">
        <v>3.0</v>
      </c>
      <c r="B45" s="78" t="s">
        <v>13</v>
      </c>
      <c r="C45" s="78" t="s">
        <v>39</v>
      </c>
      <c r="D45" s="79"/>
      <c r="E45" s="80" t="s">
        <v>164</v>
      </c>
      <c r="F45" s="82" t="s">
        <v>617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22.5" customHeight="1">
      <c r="A46" s="197">
        <v>4.0</v>
      </c>
      <c r="B46" s="198" t="s">
        <v>39</v>
      </c>
      <c r="C46" s="198" t="s">
        <v>25</v>
      </c>
      <c r="D46" s="264" t="s">
        <v>836</v>
      </c>
      <c r="E46" s="265">
        <v>45719.0</v>
      </c>
      <c r="F46" s="523" t="s">
        <v>279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22.5" customHeight="1">
      <c r="A47" s="77">
        <v>5.0</v>
      </c>
      <c r="B47" s="78" t="s">
        <v>24</v>
      </c>
      <c r="C47" s="78" t="s">
        <v>39</v>
      </c>
      <c r="D47" s="79"/>
      <c r="E47" s="80" t="s">
        <v>560</v>
      </c>
      <c r="F47" s="78" t="s">
        <v>837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ht="22.5" customHeight="1">
      <c r="A48" s="77">
        <v>6.0</v>
      </c>
      <c r="B48" s="78" t="s">
        <v>39</v>
      </c>
      <c r="C48" s="78" t="s">
        <v>12</v>
      </c>
      <c r="D48" s="79"/>
      <c r="E48" s="80" t="s">
        <v>168</v>
      </c>
      <c r="F48" s="78" t="s">
        <v>279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ht="22.5" customHeight="1">
      <c r="A49" s="86">
        <v>7.0</v>
      </c>
      <c r="B49" s="87" t="s">
        <v>47</v>
      </c>
      <c r="C49" s="87" t="s">
        <v>39</v>
      </c>
      <c r="D49" s="88" t="s">
        <v>838</v>
      </c>
      <c r="E49" s="89">
        <v>46026.0</v>
      </c>
      <c r="F49" s="87" t="s">
        <v>839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ht="22.5" customHeight="1">
      <c r="A50" s="90">
        <v>8.0</v>
      </c>
      <c r="B50" s="91" t="s">
        <v>39</v>
      </c>
      <c r="C50" s="91" t="s">
        <v>28</v>
      </c>
      <c r="D50" s="92"/>
      <c r="E50" s="93"/>
      <c r="F50" s="94" t="s">
        <v>279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A51" s="12"/>
      <c r="D51" s="95"/>
      <c r="E51" s="14"/>
      <c r="F51" s="96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A52" s="12"/>
      <c r="D52" s="95"/>
      <c r="E52" s="14"/>
      <c r="F52" s="96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A53" s="12"/>
      <c r="D53" s="95"/>
      <c r="E53" s="14"/>
      <c r="F53" s="96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A54" s="12"/>
      <c r="D54" s="95"/>
      <c r="E54" s="14"/>
      <c r="F54" s="96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A55" s="12"/>
      <c r="D55" s="95"/>
      <c r="E55" s="14"/>
      <c r="F55" s="96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A56" s="12"/>
      <c r="D56" s="95"/>
      <c r="E56" s="14"/>
      <c r="F56" s="96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A57" s="12"/>
      <c r="D57" s="95"/>
      <c r="E57" s="14"/>
      <c r="F57" s="96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A58" s="12"/>
      <c r="D58" s="95"/>
      <c r="E58" s="14"/>
      <c r="F58" s="96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A59" s="12"/>
      <c r="D59" s="95"/>
      <c r="E59" s="14"/>
      <c r="F59" s="96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A60" s="12"/>
      <c r="D60" s="95"/>
      <c r="E60" s="14"/>
      <c r="F60" s="96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A61" s="12"/>
      <c r="D61" s="95"/>
      <c r="E61" s="14"/>
      <c r="F61" s="96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A62" s="12"/>
      <c r="D62" s="95"/>
      <c r="E62" s="14"/>
      <c r="F62" s="96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A63" s="12"/>
      <c r="D63" s="95"/>
      <c r="E63" s="14"/>
      <c r="F63" s="96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A64" s="12"/>
      <c r="D64" s="95"/>
      <c r="E64" s="14"/>
      <c r="F64" s="96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A65" s="12"/>
      <c r="D65" s="95"/>
      <c r="E65" s="14"/>
      <c r="F65" s="96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A66" s="12"/>
      <c r="D66" s="95"/>
      <c r="E66" s="14"/>
      <c r="F66" s="96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A67" s="12"/>
      <c r="D67" s="95"/>
      <c r="E67" s="14"/>
      <c r="F67" s="96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A68" s="12"/>
      <c r="D68" s="95"/>
      <c r="E68" s="14"/>
      <c r="F68" s="96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A69" s="12"/>
      <c r="D69" s="95"/>
      <c r="E69" s="14"/>
      <c r="F69" s="96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A70" s="12"/>
      <c r="D70" s="95"/>
      <c r="E70" s="14"/>
      <c r="F70" s="96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A71" s="12"/>
      <c r="D71" s="95"/>
      <c r="E71" s="14"/>
      <c r="F71" s="96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A72" s="12"/>
      <c r="D72" s="95"/>
      <c r="E72" s="14"/>
      <c r="F72" s="96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A73" s="12"/>
      <c r="D73" s="95"/>
      <c r="E73" s="14"/>
      <c r="F73" s="96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A74" s="12"/>
      <c r="D74" s="95"/>
      <c r="E74" s="14"/>
      <c r="F74" s="96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A75" s="12"/>
      <c r="D75" s="95"/>
      <c r="E75" s="14"/>
      <c r="F75" s="96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A76" s="12"/>
      <c r="D76" s="95"/>
      <c r="E76" s="14"/>
      <c r="F76" s="96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A77" s="12"/>
      <c r="D77" s="95"/>
      <c r="E77" s="14"/>
      <c r="F77" s="96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A78" s="12"/>
      <c r="D78" s="95"/>
      <c r="E78" s="14"/>
      <c r="F78" s="96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A79" s="12"/>
      <c r="D79" s="95"/>
      <c r="E79" s="14"/>
      <c r="F79" s="96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A80" s="12"/>
      <c r="D80" s="95"/>
      <c r="E80" s="14"/>
      <c r="F80" s="96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A81" s="12"/>
      <c r="D81" s="95"/>
      <c r="E81" s="14"/>
      <c r="F81" s="96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A82" s="12"/>
      <c r="D82" s="95"/>
      <c r="E82" s="14"/>
      <c r="F82" s="96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A83" s="12"/>
      <c r="D83" s="95"/>
      <c r="E83" s="14"/>
      <c r="F83" s="96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A84" s="12"/>
      <c r="D84" s="95"/>
      <c r="E84" s="14"/>
      <c r="F84" s="96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A85" s="12"/>
      <c r="D85" s="95"/>
      <c r="E85" s="14"/>
      <c r="F85" s="96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A86" s="12"/>
      <c r="D86" s="95"/>
      <c r="E86" s="14"/>
      <c r="F86" s="96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A87" s="12"/>
      <c r="D87" s="95"/>
      <c r="E87" s="14"/>
      <c r="F87" s="96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A88" s="12"/>
      <c r="D88" s="95"/>
      <c r="E88" s="14"/>
      <c r="F88" s="96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A89" s="12"/>
      <c r="D89" s="95"/>
      <c r="E89" s="14"/>
      <c r="F89" s="96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A90" s="12"/>
      <c r="D90" s="95"/>
      <c r="E90" s="14"/>
      <c r="F90" s="96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A91" s="12"/>
      <c r="D91" s="95"/>
      <c r="E91" s="14"/>
      <c r="F91" s="96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A92" s="12"/>
      <c r="D92" s="95"/>
      <c r="E92" s="14"/>
      <c r="F92" s="96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A93" s="12"/>
      <c r="D93" s="95"/>
      <c r="E93" s="14"/>
      <c r="F93" s="96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A94" s="12"/>
      <c r="D94" s="95"/>
      <c r="E94" s="14"/>
      <c r="F94" s="96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A95" s="12"/>
      <c r="D95" s="95"/>
      <c r="E95" s="14"/>
      <c r="F95" s="96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A96" s="12"/>
      <c r="D96" s="95"/>
      <c r="E96" s="14"/>
      <c r="F96" s="96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A97" s="12"/>
      <c r="D97" s="95"/>
      <c r="E97" s="14"/>
      <c r="F97" s="96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A98" s="12"/>
      <c r="D98" s="95"/>
      <c r="E98" s="14"/>
      <c r="F98" s="96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A99" s="12"/>
      <c r="D99" s="95"/>
      <c r="E99" s="14"/>
      <c r="F99" s="96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A100" s="12"/>
      <c r="D100" s="95"/>
      <c r="E100" s="14"/>
      <c r="F100" s="96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A101" s="12"/>
      <c r="D101" s="95"/>
      <c r="E101" s="14"/>
      <c r="F101" s="96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A102" s="12"/>
      <c r="D102" s="95"/>
      <c r="E102" s="14"/>
      <c r="F102" s="96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A103" s="12"/>
      <c r="D103" s="95"/>
      <c r="E103" s="14"/>
      <c r="F103" s="96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12"/>
      <c r="D104" s="95"/>
      <c r="E104" s="14"/>
      <c r="F104" s="96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12"/>
      <c r="D105" s="95"/>
      <c r="E105" s="14"/>
      <c r="F105" s="96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12"/>
      <c r="D106" s="95"/>
      <c r="E106" s="14"/>
      <c r="F106" s="96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12"/>
      <c r="D107" s="95"/>
      <c r="E107" s="14"/>
      <c r="F107" s="96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A108" s="12"/>
      <c r="D108" s="95"/>
      <c r="E108" s="14"/>
      <c r="F108" s="96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A109" s="12"/>
      <c r="D109" s="95"/>
      <c r="E109" s="14"/>
      <c r="F109" s="96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A110" s="12"/>
      <c r="D110" s="95"/>
      <c r="E110" s="14"/>
      <c r="F110" s="96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A111" s="12"/>
      <c r="D111" s="95"/>
      <c r="E111" s="14"/>
      <c r="F111" s="96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A112" s="12"/>
      <c r="D112" s="95"/>
      <c r="E112" s="14"/>
      <c r="F112" s="96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A113" s="12"/>
      <c r="D113" s="95"/>
      <c r="E113" s="14"/>
      <c r="F113" s="96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A114" s="12"/>
      <c r="D114" s="95"/>
      <c r="E114" s="14"/>
      <c r="F114" s="96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A115" s="12"/>
      <c r="D115" s="95"/>
      <c r="E115" s="14"/>
      <c r="F115" s="96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A116" s="12"/>
      <c r="D116" s="95"/>
      <c r="E116" s="14"/>
      <c r="F116" s="96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A117" s="12"/>
      <c r="D117" s="95"/>
      <c r="E117" s="14"/>
      <c r="F117" s="96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A118" s="12"/>
      <c r="D118" s="95"/>
      <c r="E118" s="14"/>
      <c r="F118" s="96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A119" s="12"/>
      <c r="D119" s="95"/>
      <c r="E119" s="14"/>
      <c r="F119" s="96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A120" s="12"/>
      <c r="D120" s="95"/>
      <c r="E120" s="14"/>
      <c r="F120" s="96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A121" s="12"/>
      <c r="D121" s="95"/>
      <c r="E121" s="14"/>
      <c r="F121" s="96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A122" s="12"/>
      <c r="D122" s="95"/>
      <c r="E122" s="14"/>
      <c r="F122" s="96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A123" s="12"/>
      <c r="D123" s="95"/>
      <c r="E123" s="14"/>
      <c r="F123" s="96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A124" s="12"/>
      <c r="D124" s="95"/>
      <c r="E124" s="14"/>
      <c r="F124" s="96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A125" s="12"/>
      <c r="D125" s="95"/>
      <c r="E125" s="14"/>
      <c r="F125" s="96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A126" s="12"/>
      <c r="D126" s="95"/>
      <c r="E126" s="14"/>
      <c r="F126" s="96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A127" s="12"/>
      <c r="D127" s="95"/>
      <c r="E127" s="14"/>
      <c r="F127" s="96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A128" s="12"/>
      <c r="D128" s="95"/>
      <c r="E128" s="14"/>
      <c r="F128" s="96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A129" s="12"/>
      <c r="D129" s="95"/>
      <c r="E129" s="14"/>
      <c r="F129" s="96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A130" s="12"/>
      <c r="D130" s="95"/>
      <c r="E130" s="14"/>
      <c r="F130" s="96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A131" s="12"/>
      <c r="D131" s="95"/>
      <c r="E131" s="14"/>
      <c r="F131" s="96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A132" s="12"/>
      <c r="D132" s="95"/>
      <c r="E132" s="14"/>
      <c r="F132" s="96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A133" s="12"/>
      <c r="D133" s="95"/>
      <c r="E133" s="14"/>
      <c r="F133" s="96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A134" s="12"/>
      <c r="D134" s="95"/>
      <c r="E134" s="14"/>
      <c r="F134" s="96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A135" s="12"/>
      <c r="D135" s="95"/>
      <c r="E135" s="14"/>
      <c r="F135" s="96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A136" s="12"/>
      <c r="D136" s="95"/>
      <c r="E136" s="14"/>
      <c r="F136" s="96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A137" s="12"/>
      <c r="D137" s="95"/>
      <c r="E137" s="14"/>
      <c r="F137" s="96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A138" s="12"/>
      <c r="D138" s="95"/>
      <c r="E138" s="14"/>
      <c r="F138" s="96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A139" s="12"/>
      <c r="D139" s="95"/>
      <c r="E139" s="14"/>
      <c r="F139" s="96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A140" s="12"/>
      <c r="D140" s="95"/>
      <c r="E140" s="14"/>
      <c r="F140" s="96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A141" s="12"/>
      <c r="D141" s="95"/>
      <c r="E141" s="14"/>
      <c r="F141" s="96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A142" s="12"/>
      <c r="D142" s="95"/>
      <c r="E142" s="14"/>
      <c r="F142" s="96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A143" s="12"/>
      <c r="D143" s="95"/>
      <c r="E143" s="14"/>
      <c r="F143" s="96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A144" s="12"/>
      <c r="D144" s="95"/>
      <c r="E144" s="14"/>
      <c r="F144" s="96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A145" s="12"/>
      <c r="D145" s="95"/>
      <c r="E145" s="14"/>
      <c r="F145" s="96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A146" s="12"/>
      <c r="D146" s="95"/>
      <c r="E146" s="14"/>
      <c r="F146" s="96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A147" s="12"/>
      <c r="D147" s="95"/>
      <c r="E147" s="14"/>
      <c r="F147" s="96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A148" s="12"/>
      <c r="D148" s="95"/>
      <c r="E148" s="14"/>
      <c r="F148" s="96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A149" s="12"/>
      <c r="D149" s="95"/>
      <c r="E149" s="14"/>
      <c r="F149" s="96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A150" s="12"/>
      <c r="D150" s="95"/>
      <c r="E150" s="14"/>
      <c r="F150" s="96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A151" s="12"/>
      <c r="D151" s="95"/>
      <c r="E151" s="14"/>
      <c r="F151" s="96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A152" s="12"/>
      <c r="D152" s="95"/>
      <c r="E152" s="14"/>
      <c r="F152" s="96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A153" s="12"/>
      <c r="D153" s="95"/>
      <c r="E153" s="14"/>
      <c r="F153" s="96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A154" s="12"/>
      <c r="D154" s="95"/>
      <c r="E154" s="14"/>
      <c r="F154" s="96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A155" s="12"/>
      <c r="D155" s="95"/>
      <c r="E155" s="14"/>
      <c r="F155" s="96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A156" s="12"/>
      <c r="D156" s="95"/>
      <c r="E156" s="14"/>
      <c r="F156" s="96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A157" s="12"/>
      <c r="D157" s="95"/>
      <c r="E157" s="14"/>
      <c r="F157" s="96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A158" s="12"/>
      <c r="D158" s="95"/>
      <c r="E158" s="14"/>
      <c r="F158" s="96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A159" s="12"/>
      <c r="D159" s="95"/>
      <c r="E159" s="14"/>
      <c r="F159" s="96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A160" s="12"/>
      <c r="D160" s="95"/>
      <c r="E160" s="14"/>
      <c r="F160" s="96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A161" s="12"/>
      <c r="D161" s="95"/>
      <c r="E161" s="14"/>
      <c r="F161" s="96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A162" s="12"/>
      <c r="D162" s="95"/>
      <c r="E162" s="14"/>
      <c r="F162" s="96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A163" s="12"/>
      <c r="D163" s="95"/>
      <c r="E163" s="14"/>
      <c r="F163" s="96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A164" s="12"/>
      <c r="D164" s="95"/>
      <c r="E164" s="14"/>
      <c r="F164" s="96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A165" s="12"/>
      <c r="D165" s="95"/>
      <c r="E165" s="14"/>
      <c r="F165" s="96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A166" s="12"/>
      <c r="D166" s="95"/>
      <c r="E166" s="14"/>
      <c r="F166" s="96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A167" s="12"/>
      <c r="D167" s="95"/>
      <c r="E167" s="14"/>
      <c r="F167" s="96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A168" s="12"/>
      <c r="D168" s="95"/>
      <c r="E168" s="14"/>
      <c r="F168" s="96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A169" s="12"/>
      <c r="D169" s="95"/>
      <c r="E169" s="14"/>
      <c r="F169" s="96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A170" s="12"/>
      <c r="D170" s="95"/>
      <c r="E170" s="14"/>
      <c r="F170" s="96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A171" s="12"/>
      <c r="D171" s="95"/>
      <c r="E171" s="14"/>
      <c r="F171" s="96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A172" s="12"/>
      <c r="D172" s="95"/>
      <c r="E172" s="14"/>
      <c r="F172" s="96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2"/>
      <c r="D173" s="95"/>
      <c r="E173" s="14"/>
      <c r="F173" s="96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A174" s="12"/>
      <c r="D174" s="95"/>
      <c r="E174" s="14"/>
      <c r="F174" s="96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A175" s="12"/>
      <c r="D175" s="95"/>
      <c r="E175" s="14"/>
      <c r="F175" s="96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A176" s="12"/>
      <c r="D176" s="95"/>
      <c r="E176" s="14"/>
      <c r="F176" s="96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A177" s="12"/>
      <c r="D177" s="95"/>
      <c r="E177" s="14"/>
      <c r="F177" s="96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A178" s="12"/>
      <c r="D178" s="95"/>
      <c r="E178" s="14"/>
      <c r="F178" s="96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A179" s="12"/>
      <c r="D179" s="95"/>
      <c r="E179" s="14"/>
      <c r="F179" s="96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A180" s="12"/>
      <c r="D180" s="95"/>
      <c r="E180" s="14"/>
      <c r="F180" s="96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A181" s="12"/>
      <c r="D181" s="95"/>
      <c r="E181" s="14"/>
      <c r="F181" s="96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A182" s="12"/>
      <c r="D182" s="95"/>
      <c r="E182" s="14"/>
      <c r="F182" s="96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A183" s="12"/>
      <c r="D183" s="95"/>
      <c r="E183" s="14"/>
      <c r="F183" s="96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A184" s="12"/>
      <c r="D184" s="95"/>
      <c r="E184" s="14"/>
      <c r="F184" s="96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A185" s="12"/>
      <c r="D185" s="95"/>
      <c r="E185" s="14"/>
      <c r="F185" s="96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A186" s="12"/>
      <c r="D186" s="95"/>
      <c r="E186" s="14"/>
      <c r="F186" s="96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A187" s="12"/>
      <c r="D187" s="95"/>
      <c r="E187" s="14"/>
      <c r="F187" s="96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A188" s="12"/>
      <c r="D188" s="95"/>
      <c r="E188" s="14"/>
      <c r="F188" s="96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A189" s="12"/>
      <c r="D189" s="95"/>
      <c r="E189" s="14"/>
      <c r="F189" s="96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A190" s="12"/>
      <c r="D190" s="95"/>
      <c r="E190" s="14"/>
      <c r="F190" s="96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A191" s="12"/>
      <c r="D191" s="95"/>
      <c r="E191" s="14"/>
      <c r="F191" s="96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A192" s="12"/>
      <c r="D192" s="95"/>
      <c r="E192" s="14"/>
      <c r="F192" s="96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A193" s="12"/>
      <c r="D193" s="95"/>
      <c r="E193" s="14"/>
      <c r="F193" s="96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A194" s="12"/>
      <c r="D194" s="95"/>
      <c r="E194" s="14"/>
      <c r="F194" s="96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A195" s="12"/>
      <c r="D195" s="95"/>
      <c r="E195" s="14"/>
      <c r="F195" s="96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A196" s="12"/>
      <c r="D196" s="95"/>
      <c r="E196" s="14"/>
      <c r="F196" s="96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A197" s="12"/>
      <c r="D197" s="95"/>
      <c r="E197" s="14"/>
      <c r="F197" s="96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A198" s="12"/>
      <c r="D198" s="95"/>
      <c r="E198" s="14"/>
      <c r="F198" s="96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A199" s="12"/>
      <c r="D199" s="95"/>
      <c r="E199" s="14"/>
      <c r="F199" s="96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A200" s="12"/>
      <c r="D200" s="95"/>
      <c r="E200" s="14"/>
      <c r="F200" s="96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A201" s="12"/>
      <c r="D201" s="95"/>
      <c r="E201" s="14"/>
      <c r="F201" s="96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A202" s="12"/>
      <c r="D202" s="95"/>
      <c r="E202" s="14"/>
      <c r="F202" s="96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A203" s="12"/>
      <c r="D203" s="95"/>
      <c r="E203" s="14"/>
      <c r="F203" s="96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A204" s="12"/>
      <c r="D204" s="95"/>
      <c r="E204" s="14"/>
      <c r="F204" s="96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A205" s="12"/>
      <c r="D205" s="95"/>
      <c r="E205" s="14"/>
      <c r="F205" s="96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A206" s="12"/>
      <c r="D206" s="95"/>
      <c r="E206" s="14"/>
      <c r="F206" s="96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A207" s="12"/>
      <c r="D207" s="95"/>
      <c r="E207" s="14"/>
      <c r="F207" s="96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A208" s="12"/>
      <c r="D208" s="95"/>
      <c r="E208" s="14"/>
      <c r="F208" s="96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A209" s="12"/>
      <c r="D209" s="95"/>
      <c r="E209" s="14"/>
      <c r="F209" s="96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A210" s="12"/>
      <c r="D210" s="95"/>
      <c r="E210" s="14"/>
      <c r="F210" s="96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A211" s="12"/>
      <c r="D211" s="95"/>
      <c r="E211" s="14"/>
      <c r="F211" s="96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A212" s="12"/>
      <c r="D212" s="95"/>
      <c r="E212" s="14"/>
      <c r="F212" s="96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A213" s="12"/>
      <c r="D213" s="95"/>
      <c r="E213" s="14"/>
      <c r="F213" s="96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A214" s="12"/>
      <c r="D214" s="95"/>
      <c r="E214" s="14"/>
      <c r="F214" s="96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A215" s="12"/>
      <c r="D215" s="95"/>
      <c r="E215" s="14"/>
      <c r="F215" s="96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A216" s="12"/>
      <c r="D216" s="95"/>
      <c r="E216" s="14"/>
      <c r="F216" s="96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A217" s="12"/>
      <c r="D217" s="95"/>
      <c r="E217" s="14"/>
      <c r="F217" s="96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A218" s="12"/>
      <c r="D218" s="95"/>
      <c r="E218" s="14"/>
      <c r="F218" s="96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A219" s="12"/>
      <c r="D219" s="95"/>
      <c r="E219" s="14"/>
      <c r="F219" s="96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A220" s="12"/>
      <c r="D220" s="95"/>
      <c r="E220" s="14"/>
      <c r="F220" s="96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A221" s="12"/>
      <c r="D221" s="95"/>
      <c r="E221" s="14"/>
      <c r="F221" s="96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A222" s="12"/>
      <c r="D222" s="95"/>
      <c r="E222" s="14"/>
      <c r="F222" s="96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A223" s="12"/>
      <c r="D223" s="95"/>
      <c r="E223" s="14"/>
      <c r="F223" s="96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A224" s="12"/>
      <c r="D224" s="95"/>
      <c r="E224" s="14"/>
      <c r="F224" s="96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A225" s="12"/>
      <c r="D225" s="95"/>
      <c r="E225" s="14"/>
      <c r="F225" s="96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A226" s="12"/>
      <c r="D226" s="95"/>
      <c r="E226" s="14"/>
      <c r="F226" s="96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A227" s="12"/>
      <c r="D227" s="95"/>
      <c r="E227" s="14"/>
      <c r="F227" s="96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A228" s="12"/>
      <c r="D228" s="95"/>
      <c r="E228" s="14"/>
      <c r="F228" s="96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A229" s="12"/>
      <c r="D229" s="95"/>
      <c r="E229" s="14"/>
      <c r="F229" s="96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A230" s="12"/>
      <c r="D230" s="95"/>
      <c r="E230" s="14"/>
      <c r="F230" s="96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A231" s="12"/>
      <c r="D231" s="95"/>
      <c r="E231" s="14"/>
      <c r="F231" s="96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A232" s="12"/>
      <c r="D232" s="95"/>
      <c r="E232" s="14"/>
      <c r="F232" s="96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A233" s="12"/>
      <c r="D233" s="95"/>
      <c r="E233" s="14"/>
      <c r="F233" s="96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A234" s="12"/>
      <c r="D234" s="95"/>
      <c r="E234" s="14"/>
      <c r="F234" s="96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A235" s="12"/>
      <c r="D235" s="95"/>
      <c r="E235" s="14"/>
      <c r="F235" s="96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A236" s="12"/>
      <c r="D236" s="95"/>
      <c r="E236" s="14"/>
      <c r="F236" s="96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A237" s="12"/>
      <c r="D237" s="95"/>
      <c r="E237" s="14"/>
      <c r="F237" s="96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A238" s="12"/>
      <c r="D238" s="95"/>
      <c r="E238" s="14"/>
      <c r="F238" s="96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A239" s="12"/>
      <c r="D239" s="95"/>
      <c r="E239" s="14"/>
      <c r="F239" s="96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A240" s="12"/>
      <c r="D240" s="95"/>
      <c r="E240" s="14"/>
      <c r="F240" s="96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A241" s="12"/>
      <c r="D241" s="95"/>
      <c r="E241" s="14"/>
      <c r="F241" s="96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A242" s="12"/>
      <c r="D242" s="95"/>
      <c r="E242" s="14"/>
      <c r="F242" s="96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A243" s="12"/>
      <c r="D243" s="95"/>
      <c r="E243" s="14"/>
      <c r="F243" s="96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A244" s="12"/>
      <c r="D244" s="95"/>
      <c r="E244" s="14"/>
      <c r="F244" s="96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A245" s="12"/>
      <c r="D245" s="95"/>
      <c r="E245" s="14"/>
      <c r="F245" s="96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A246" s="12"/>
      <c r="D246" s="95"/>
      <c r="E246" s="14"/>
      <c r="F246" s="96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A247" s="12"/>
      <c r="D247" s="95"/>
      <c r="E247" s="14"/>
      <c r="F247" s="96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A248" s="12"/>
      <c r="D248" s="95"/>
      <c r="E248" s="14"/>
      <c r="F248" s="96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A249" s="12"/>
      <c r="D249" s="95"/>
      <c r="E249" s="14"/>
      <c r="F249" s="96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A250" s="12"/>
      <c r="D250" s="95"/>
      <c r="E250" s="14"/>
      <c r="F250" s="96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A251" s="12"/>
      <c r="D251" s="95"/>
      <c r="E251" s="14"/>
      <c r="F251" s="96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A252" s="12"/>
      <c r="D252" s="95"/>
      <c r="E252" s="14"/>
      <c r="F252" s="96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A253" s="12"/>
      <c r="D253" s="95"/>
      <c r="E253" s="14"/>
      <c r="F253" s="96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A254" s="12"/>
      <c r="D254" s="95"/>
      <c r="E254" s="14"/>
      <c r="F254" s="96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A255" s="12"/>
      <c r="D255" s="95"/>
      <c r="E255" s="14"/>
      <c r="F255" s="96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A256" s="12"/>
      <c r="D256" s="95"/>
      <c r="E256" s="14"/>
      <c r="F256" s="96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A257" s="12"/>
      <c r="D257" s="95"/>
      <c r="E257" s="14"/>
      <c r="F257" s="96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A258" s="12"/>
      <c r="D258" s="95"/>
      <c r="E258" s="14"/>
      <c r="F258" s="96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A259" s="12"/>
      <c r="D259" s="95"/>
      <c r="E259" s="14"/>
      <c r="F259" s="96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A260" s="12"/>
      <c r="D260" s="95"/>
      <c r="E260" s="14"/>
      <c r="F260" s="96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A261" s="12"/>
      <c r="D261" s="95"/>
      <c r="E261" s="14"/>
      <c r="F261" s="96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A262" s="12"/>
      <c r="D262" s="95"/>
      <c r="E262" s="14"/>
      <c r="F262" s="96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A263" s="12"/>
      <c r="D263" s="95"/>
      <c r="E263" s="14"/>
      <c r="F263" s="96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A264" s="12"/>
      <c r="D264" s="95"/>
      <c r="E264" s="14"/>
      <c r="F264" s="96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A265" s="12"/>
      <c r="D265" s="95"/>
      <c r="E265" s="14"/>
      <c r="F265" s="96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A266" s="12"/>
      <c r="D266" s="95"/>
      <c r="E266" s="14"/>
      <c r="F266" s="96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A267" s="12"/>
      <c r="D267" s="95"/>
      <c r="E267" s="14"/>
      <c r="F267" s="96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A268" s="12"/>
      <c r="D268" s="95"/>
      <c r="E268" s="14"/>
      <c r="F268" s="96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A269" s="12"/>
      <c r="D269" s="95"/>
      <c r="E269" s="14"/>
      <c r="F269" s="96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A270" s="12"/>
      <c r="D270" s="95"/>
      <c r="E270" s="14"/>
      <c r="F270" s="96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A271" s="12"/>
      <c r="D271" s="95"/>
      <c r="E271" s="14"/>
      <c r="F271" s="96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A272" s="12"/>
      <c r="D272" s="95"/>
      <c r="E272" s="14"/>
      <c r="F272" s="96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A273" s="12"/>
      <c r="D273" s="95"/>
      <c r="E273" s="14"/>
      <c r="F273" s="96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A274" s="12"/>
      <c r="D274" s="95"/>
      <c r="E274" s="14"/>
      <c r="F274" s="96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A275" s="12"/>
      <c r="D275" s="95"/>
      <c r="E275" s="14"/>
      <c r="F275" s="96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A276" s="12"/>
      <c r="D276" s="95"/>
      <c r="E276" s="14"/>
      <c r="F276" s="96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A277" s="12"/>
      <c r="D277" s="95"/>
      <c r="E277" s="14"/>
      <c r="F277" s="96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A278" s="12"/>
      <c r="D278" s="95"/>
      <c r="E278" s="14"/>
      <c r="F278" s="96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A279" s="12"/>
      <c r="D279" s="95"/>
      <c r="E279" s="14"/>
      <c r="F279" s="96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A280" s="12"/>
      <c r="D280" s="95"/>
      <c r="E280" s="14"/>
      <c r="F280" s="96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A281" s="12"/>
      <c r="D281" s="95"/>
      <c r="E281" s="14"/>
      <c r="F281" s="96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A282" s="12"/>
      <c r="D282" s="95"/>
      <c r="E282" s="14"/>
      <c r="F282" s="96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A283" s="12"/>
      <c r="D283" s="95"/>
      <c r="E283" s="14"/>
      <c r="F283" s="96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A284" s="12"/>
      <c r="D284" s="95"/>
      <c r="E284" s="14"/>
      <c r="F284" s="96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A285" s="12"/>
      <c r="D285" s="95"/>
      <c r="E285" s="14"/>
      <c r="F285" s="96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A286" s="12"/>
      <c r="D286" s="95"/>
      <c r="E286" s="14"/>
      <c r="F286" s="96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A287" s="12"/>
      <c r="D287" s="95"/>
      <c r="E287" s="14"/>
      <c r="F287" s="96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A288" s="12"/>
      <c r="D288" s="95"/>
      <c r="E288" s="14"/>
      <c r="F288" s="96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A289" s="12"/>
      <c r="D289" s="95"/>
      <c r="E289" s="14"/>
      <c r="F289" s="96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A290" s="12"/>
      <c r="D290" s="95"/>
      <c r="E290" s="14"/>
      <c r="F290" s="96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A291" s="12"/>
      <c r="D291" s="95"/>
      <c r="E291" s="14"/>
      <c r="F291" s="96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A292" s="12"/>
      <c r="D292" s="95"/>
      <c r="E292" s="14"/>
      <c r="F292" s="96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A293" s="12"/>
      <c r="D293" s="95"/>
      <c r="E293" s="14"/>
      <c r="F293" s="96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A294" s="12"/>
      <c r="D294" s="95"/>
      <c r="E294" s="14"/>
      <c r="F294" s="96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A295" s="12"/>
      <c r="D295" s="95"/>
      <c r="E295" s="14"/>
      <c r="F295" s="96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A296" s="12"/>
      <c r="D296" s="95"/>
      <c r="E296" s="14"/>
      <c r="F296" s="96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A297" s="12"/>
      <c r="D297" s="95"/>
      <c r="E297" s="14"/>
      <c r="F297" s="96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A298" s="12"/>
      <c r="D298" s="95"/>
      <c r="E298" s="14"/>
      <c r="F298" s="96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A299" s="12"/>
      <c r="D299" s="95"/>
      <c r="E299" s="14"/>
      <c r="F299" s="96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A300" s="12"/>
      <c r="D300" s="95"/>
      <c r="E300" s="14"/>
      <c r="F300" s="96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A301" s="12"/>
      <c r="D301" s="95"/>
      <c r="E301" s="14"/>
      <c r="F301" s="96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A302" s="12"/>
      <c r="D302" s="95"/>
      <c r="E302" s="14"/>
      <c r="F302" s="96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A303" s="12"/>
      <c r="D303" s="95"/>
      <c r="E303" s="14"/>
      <c r="F303" s="96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A304" s="12"/>
      <c r="D304" s="95"/>
      <c r="E304" s="14"/>
      <c r="F304" s="96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A305" s="12"/>
      <c r="D305" s="95"/>
      <c r="E305" s="14"/>
      <c r="F305" s="96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A306" s="12"/>
      <c r="D306" s="95"/>
      <c r="E306" s="14"/>
      <c r="F306" s="96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A307" s="12"/>
      <c r="D307" s="95"/>
      <c r="E307" s="14"/>
      <c r="F307" s="96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A308" s="12"/>
      <c r="D308" s="95"/>
      <c r="E308" s="14"/>
      <c r="F308" s="96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A309" s="12"/>
      <c r="D309" s="95"/>
      <c r="E309" s="14"/>
      <c r="F309" s="96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A310" s="12"/>
      <c r="D310" s="95"/>
      <c r="E310" s="14"/>
      <c r="F310" s="96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A311" s="12"/>
      <c r="D311" s="95"/>
      <c r="E311" s="14"/>
      <c r="F311" s="96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A312" s="12"/>
      <c r="D312" s="95"/>
      <c r="E312" s="14"/>
      <c r="F312" s="96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A313" s="12"/>
      <c r="D313" s="95"/>
      <c r="E313" s="14"/>
      <c r="F313" s="96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A314" s="12"/>
      <c r="D314" s="95"/>
      <c r="E314" s="14"/>
      <c r="F314" s="96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A315" s="12"/>
      <c r="D315" s="95"/>
      <c r="E315" s="14"/>
      <c r="F315" s="96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A316" s="12"/>
      <c r="D316" s="95"/>
      <c r="E316" s="14"/>
      <c r="F316" s="96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A317" s="12"/>
      <c r="D317" s="95"/>
      <c r="E317" s="14"/>
      <c r="F317" s="96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A318" s="12"/>
      <c r="D318" s="95"/>
      <c r="E318" s="14"/>
      <c r="F318" s="96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A319" s="12"/>
      <c r="D319" s="95"/>
      <c r="E319" s="14"/>
      <c r="F319" s="96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A320" s="12"/>
      <c r="D320" s="95"/>
      <c r="E320" s="14"/>
      <c r="F320" s="96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A321" s="12"/>
      <c r="D321" s="95"/>
      <c r="E321" s="14"/>
      <c r="F321" s="96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A322" s="12"/>
      <c r="D322" s="95"/>
      <c r="E322" s="14"/>
      <c r="F322" s="96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A323" s="12"/>
      <c r="D323" s="95"/>
      <c r="E323" s="14"/>
      <c r="F323" s="96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A324" s="12"/>
      <c r="D324" s="95"/>
      <c r="E324" s="14"/>
      <c r="F324" s="96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A325" s="12"/>
      <c r="D325" s="95"/>
      <c r="E325" s="14"/>
      <c r="F325" s="96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A326" s="12"/>
      <c r="D326" s="95"/>
      <c r="E326" s="14"/>
      <c r="F326" s="96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A327" s="12"/>
      <c r="D327" s="95"/>
      <c r="E327" s="14"/>
      <c r="F327" s="96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A328" s="12"/>
      <c r="D328" s="95"/>
      <c r="E328" s="14"/>
      <c r="F328" s="96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A329" s="12"/>
      <c r="D329" s="95"/>
      <c r="E329" s="14"/>
      <c r="F329" s="96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A330" s="12"/>
      <c r="D330" s="95"/>
      <c r="E330" s="14"/>
      <c r="F330" s="96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A331" s="12"/>
      <c r="D331" s="95"/>
      <c r="E331" s="14"/>
      <c r="F331" s="96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A332" s="12"/>
      <c r="D332" s="95"/>
      <c r="E332" s="14"/>
      <c r="F332" s="96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A333" s="12"/>
      <c r="D333" s="95"/>
      <c r="E333" s="14"/>
      <c r="F333" s="96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A334" s="12"/>
      <c r="D334" s="95"/>
      <c r="E334" s="14"/>
      <c r="F334" s="96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A335" s="12"/>
      <c r="D335" s="95"/>
      <c r="E335" s="14"/>
      <c r="F335" s="96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A336" s="12"/>
      <c r="D336" s="95"/>
      <c r="E336" s="14"/>
      <c r="F336" s="96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A337" s="12"/>
      <c r="D337" s="95"/>
      <c r="E337" s="14"/>
      <c r="F337" s="96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A338" s="12"/>
      <c r="D338" s="95"/>
      <c r="E338" s="14"/>
      <c r="F338" s="96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A339" s="12"/>
      <c r="D339" s="95"/>
      <c r="E339" s="14"/>
      <c r="F339" s="96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A340" s="12"/>
      <c r="D340" s="95"/>
      <c r="E340" s="14"/>
      <c r="F340" s="96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A341" s="12"/>
      <c r="D341" s="95"/>
      <c r="E341" s="14"/>
      <c r="F341" s="96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A342" s="12"/>
      <c r="D342" s="95"/>
      <c r="E342" s="14"/>
      <c r="F342" s="96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A343" s="12"/>
      <c r="D343" s="95"/>
      <c r="E343" s="14"/>
      <c r="F343" s="96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A344" s="12"/>
      <c r="D344" s="95"/>
      <c r="E344" s="14"/>
      <c r="F344" s="96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A345" s="12"/>
      <c r="D345" s="95"/>
      <c r="E345" s="14"/>
      <c r="F345" s="96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A346" s="12"/>
      <c r="D346" s="95"/>
      <c r="E346" s="14"/>
      <c r="F346" s="96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A347" s="12"/>
      <c r="D347" s="95"/>
      <c r="E347" s="14"/>
      <c r="F347" s="96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A348" s="12"/>
      <c r="D348" s="95"/>
      <c r="E348" s="14"/>
      <c r="F348" s="96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A349" s="12"/>
      <c r="D349" s="95"/>
      <c r="E349" s="14"/>
      <c r="F349" s="96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A350" s="12"/>
      <c r="D350" s="95"/>
      <c r="E350" s="14"/>
      <c r="F350" s="96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A351" s="12"/>
      <c r="D351" s="95"/>
      <c r="E351" s="14"/>
      <c r="F351" s="96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A352" s="12"/>
      <c r="D352" s="95"/>
      <c r="E352" s="14"/>
      <c r="F352" s="96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A353" s="12"/>
      <c r="D353" s="95"/>
      <c r="E353" s="14"/>
      <c r="F353" s="96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A354" s="12"/>
      <c r="D354" s="95"/>
      <c r="E354" s="14"/>
      <c r="F354" s="96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A355" s="12"/>
      <c r="D355" s="95"/>
      <c r="E355" s="14"/>
      <c r="F355" s="96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A356" s="12"/>
      <c r="D356" s="95"/>
      <c r="E356" s="14"/>
      <c r="F356" s="96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A357" s="12"/>
      <c r="D357" s="95"/>
      <c r="E357" s="14"/>
      <c r="F357" s="96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A358" s="12"/>
      <c r="D358" s="95"/>
      <c r="E358" s="14"/>
      <c r="F358" s="96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A359" s="12"/>
      <c r="D359" s="95"/>
      <c r="E359" s="14"/>
      <c r="F359" s="96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A360" s="12"/>
      <c r="D360" s="95"/>
      <c r="E360" s="14"/>
      <c r="F360" s="96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A361" s="12"/>
      <c r="D361" s="95"/>
      <c r="E361" s="14"/>
      <c r="F361" s="96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A362" s="12"/>
      <c r="D362" s="95"/>
      <c r="E362" s="14"/>
      <c r="F362" s="96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A363" s="12"/>
      <c r="D363" s="95"/>
      <c r="E363" s="14"/>
      <c r="F363" s="96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A364" s="12"/>
      <c r="D364" s="95"/>
      <c r="E364" s="14"/>
      <c r="F364" s="96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A365" s="12"/>
      <c r="D365" s="95"/>
      <c r="E365" s="14"/>
      <c r="F365" s="96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A366" s="12"/>
      <c r="D366" s="95"/>
      <c r="E366" s="14"/>
      <c r="F366" s="96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A367" s="12"/>
      <c r="D367" s="95"/>
      <c r="E367" s="14"/>
      <c r="F367" s="96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A368" s="12"/>
      <c r="D368" s="95"/>
      <c r="E368" s="14"/>
      <c r="F368" s="96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A369" s="12"/>
      <c r="D369" s="95"/>
      <c r="E369" s="14"/>
      <c r="F369" s="96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A370" s="12"/>
      <c r="D370" s="95"/>
      <c r="E370" s="14"/>
      <c r="F370" s="96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A371" s="12"/>
      <c r="D371" s="95"/>
      <c r="E371" s="14"/>
      <c r="F371" s="96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A372" s="12"/>
      <c r="D372" s="95"/>
      <c r="E372" s="14"/>
      <c r="F372" s="96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A373" s="12"/>
      <c r="D373" s="95"/>
      <c r="E373" s="14"/>
      <c r="F373" s="96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A374" s="12"/>
      <c r="D374" s="95"/>
      <c r="E374" s="14"/>
      <c r="F374" s="96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A375" s="12"/>
      <c r="D375" s="95"/>
      <c r="E375" s="14"/>
      <c r="F375" s="96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A376" s="12"/>
      <c r="D376" s="95"/>
      <c r="E376" s="14"/>
      <c r="F376" s="96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A377" s="12"/>
      <c r="D377" s="95"/>
      <c r="E377" s="14"/>
      <c r="F377" s="96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A378" s="12"/>
      <c r="D378" s="95"/>
      <c r="E378" s="14"/>
      <c r="F378" s="96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A379" s="12"/>
      <c r="D379" s="95"/>
      <c r="E379" s="14"/>
      <c r="F379" s="96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A380" s="12"/>
      <c r="D380" s="95"/>
      <c r="E380" s="14"/>
      <c r="F380" s="96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A381" s="12"/>
      <c r="D381" s="95"/>
      <c r="E381" s="14"/>
      <c r="F381" s="96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A382" s="12"/>
      <c r="D382" s="95"/>
      <c r="E382" s="14"/>
      <c r="F382" s="96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A383" s="12"/>
      <c r="D383" s="95"/>
      <c r="E383" s="14"/>
      <c r="F383" s="96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A384" s="12"/>
      <c r="D384" s="95"/>
      <c r="E384" s="14"/>
      <c r="F384" s="96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A385" s="12"/>
      <c r="D385" s="95"/>
      <c r="E385" s="14"/>
      <c r="F385" s="96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A386" s="12"/>
      <c r="D386" s="95"/>
      <c r="E386" s="14"/>
      <c r="F386" s="96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A387" s="12"/>
      <c r="D387" s="95"/>
      <c r="E387" s="14"/>
      <c r="F387" s="96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A388" s="12"/>
      <c r="D388" s="95"/>
      <c r="E388" s="14"/>
      <c r="F388" s="96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A389" s="12"/>
      <c r="D389" s="95"/>
      <c r="E389" s="14"/>
      <c r="F389" s="96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A390" s="12"/>
      <c r="D390" s="95"/>
      <c r="E390" s="14"/>
      <c r="F390" s="96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A391" s="12"/>
      <c r="D391" s="95"/>
      <c r="E391" s="14"/>
      <c r="F391" s="96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A392" s="12"/>
      <c r="D392" s="95"/>
      <c r="E392" s="14"/>
      <c r="F392" s="96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A393" s="12"/>
      <c r="D393" s="95"/>
      <c r="E393" s="14"/>
      <c r="F393" s="96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A394" s="12"/>
      <c r="D394" s="95"/>
      <c r="E394" s="14"/>
      <c r="F394" s="96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A395" s="12"/>
      <c r="D395" s="95"/>
      <c r="E395" s="14"/>
      <c r="F395" s="96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A396" s="12"/>
      <c r="D396" s="95"/>
      <c r="E396" s="14"/>
      <c r="F396" s="96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A397" s="12"/>
      <c r="D397" s="95"/>
      <c r="E397" s="14"/>
      <c r="F397" s="96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A398" s="12"/>
      <c r="D398" s="95"/>
      <c r="E398" s="14"/>
      <c r="F398" s="96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A399" s="12"/>
      <c r="D399" s="95"/>
      <c r="E399" s="14"/>
      <c r="F399" s="96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A400" s="12"/>
      <c r="D400" s="95"/>
      <c r="E400" s="14"/>
      <c r="F400" s="96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A401" s="12"/>
      <c r="D401" s="95"/>
      <c r="E401" s="14"/>
      <c r="F401" s="96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A402" s="12"/>
      <c r="D402" s="95"/>
      <c r="E402" s="14"/>
      <c r="F402" s="96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A403" s="12"/>
      <c r="D403" s="95"/>
      <c r="E403" s="14"/>
      <c r="F403" s="96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A404" s="12"/>
      <c r="D404" s="95"/>
      <c r="E404" s="14"/>
      <c r="F404" s="96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A405" s="12"/>
      <c r="D405" s="95"/>
      <c r="E405" s="14"/>
      <c r="F405" s="96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A406" s="12"/>
      <c r="D406" s="95"/>
      <c r="E406" s="14"/>
      <c r="F406" s="96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A407" s="12"/>
      <c r="D407" s="95"/>
      <c r="E407" s="14"/>
      <c r="F407" s="96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A408" s="12"/>
      <c r="D408" s="95"/>
      <c r="E408" s="14"/>
      <c r="F408" s="96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A409" s="12"/>
      <c r="D409" s="95"/>
      <c r="E409" s="14"/>
      <c r="F409" s="96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A410" s="12"/>
      <c r="D410" s="95"/>
      <c r="E410" s="14"/>
      <c r="F410" s="96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A411" s="12"/>
      <c r="D411" s="95"/>
      <c r="E411" s="14"/>
      <c r="F411" s="96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A412" s="12"/>
      <c r="D412" s="95"/>
      <c r="E412" s="14"/>
      <c r="F412" s="96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A413" s="12"/>
      <c r="D413" s="95"/>
      <c r="E413" s="14"/>
      <c r="F413" s="96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A414" s="12"/>
      <c r="D414" s="95"/>
      <c r="E414" s="14"/>
      <c r="F414" s="96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A415" s="12"/>
      <c r="D415" s="95"/>
      <c r="E415" s="14"/>
      <c r="F415" s="96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A416" s="12"/>
      <c r="D416" s="95"/>
      <c r="E416" s="14"/>
      <c r="F416" s="96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A417" s="12"/>
      <c r="D417" s="95"/>
      <c r="E417" s="14"/>
      <c r="F417" s="96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A418" s="12"/>
      <c r="D418" s="95"/>
      <c r="E418" s="14"/>
      <c r="F418" s="96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A419" s="12"/>
      <c r="D419" s="95"/>
      <c r="E419" s="14"/>
      <c r="F419" s="96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A420" s="12"/>
      <c r="D420" s="95"/>
      <c r="E420" s="14"/>
      <c r="F420" s="96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A421" s="12"/>
      <c r="D421" s="95"/>
      <c r="E421" s="14"/>
      <c r="F421" s="96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A422" s="12"/>
      <c r="D422" s="95"/>
      <c r="E422" s="14"/>
      <c r="F422" s="96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A423" s="12"/>
      <c r="D423" s="95"/>
      <c r="E423" s="14"/>
      <c r="F423" s="96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A424" s="12"/>
      <c r="D424" s="95"/>
      <c r="E424" s="14"/>
      <c r="F424" s="96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A425" s="12"/>
      <c r="D425" s="95"/>
      <c r="E425" s="14"/>
      <c r="F425" s="96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A426" s="12"/>
      <c r="D426" s="95"/>
      <c r="E426" s="14"/>
      <c r="F426" s="96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A427" s="12"/>
      <c r="D427" s="95"/>
      <c r="E427" s="14"/>
      <c r="F427" s="96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A428" s="12"/>
      <c r="D428" s="95"/>
      <c r="E428" s="14"/>
      <c r="F428" s="96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A429" s="12"/>
      <c r="D429" s="95"/>
      <c r="E429" s="14"/>
      <c r="F429" s="96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A430" s="12"/>
      <c r="D430" s="95"/>
      <c r="E430" s="14"/>
      <c r="F430" s="96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A431" s="12"/>
      <c r="D431" s="95"/>
      <c r="E431" s="14"/>
      <c r="F431" s="96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A432" s="12"/>
      <c r="D432" s="95"/>
      <c r="E432" s="14"/>
      <c r="F432" s="96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A433" s="12"/>
      <c r="D433" s="95"/>
      <c r="E433" s="14"/>
      <c r="F433" s="96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A434" s="12"/>
      <c r="D434" s="95"/>
      <c r="E434" s="14"/>
      <c r="F434" s="96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A435" s="12"/>
      <c r="D435" s="95"/>
      <c r="E435" s="14"/>
      <c r="F435" s="96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A436" s="12"/>
      <c r="D436" s="95"/>
      <c r="E436" s="14"/>
      <c r="F436" s="96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A437" s="12"/>
      <c r="D437" s="95"/>
      <c r="E437" s="14"/>
      <c r="F437" s="96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A438" s="12"/>
      <c r="D438" s="95"/>
      <c r="E438" s="14"/>
      <c r="F438" s="96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A439" s="12"/>
      <c r="D439" s="95"/>
      <c r="E439" s="14"/>
      <c r="F439" s="96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A440" s="12"/>
      <c r="D440" s="95"/>
      <c r="E440" s="14"/>
      <c r="F440" s="96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A441" s="12"/>
      <c r="D441" s="95"/>
      <c r="E441" s="14"/>
      <c r="F441" s="96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A442" s="12"/>
      <c r="D442" s="95"/>
      <c r="E442" s="14"/>
      <c r="F442" s="96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A443" s="12"/>
      <c r="D443" s="95"/>
      <c r="E443" s="14"/>
      <c r="F443" s="96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A444" s="12"/>
      <c r="D444" s="95"/>
      <c r="E444" s="14"/>
      <c r="F444" s="96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A445" s="12"/>
      <c r="D445" s="95"/>
      <c r="E445" s="14"/>
      <c r="F445" s="96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A446" s="12"/>
      <c r="D446" s="95"/>
      <c r="E446" s="14"/>
      <c r="F446" s="96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A447" s="12"/>
      <c r="D447" s="95"/>
      <c r="E447" s="14"/>
      <c r="F447" s="96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A448" s="12"/>
      <c r="D448" s="95"/>
      <c r="E448" s="14"/>
      <c r="F448" s="96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A449" s="12"/>
      <c r="D449" s="95"/>
      <c r="E449" s="14"/>
      <c r="F449" s="96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A450" s="12"/>
      <c r="D450" s="95"/>
      <c r="E450" s="14"/>
      <c r="F450" s="96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A451" s="12"/>
      <c r="D451" s="95"/>
      <c r="E451" s="14"/>
      <c r="F451" s="96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A452" s="12"/>
      <c r="D452" s="95"/>
      <c r="E452" s="14"/>
      <c r="F452" s="96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A453" s="12"/>
      <c r="D453" s="95"/>
      <c r="E453" s="14"/>
      <c r="F453" s="96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A454" s="12"/>
      <c r="D454" s="95"/>
      <c r="E454" s="14"/>
      <c r="F454" s="96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A455" s="12"/>
      <c r="D455" s="95"/>
      <c r="E455" s="14"/>
      <c r="F455" s="96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A456" s="12"/>
      <c r="D456" s="95"/>
      <c r="E456" s="14"/>
      <c r="F456" s="96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A457" s="12"/>
      <c r="D457" s="95"/>
      <c r="E457" s="14"/>
      <c r="F457" s="96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A458" s="12"/>
      <c r="D458" s="95"/>
      <c r="E458" s="14"/>
      <c r="F458" s="96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A459" s="12"/>
      <c r="D459" s="95"/>
      <c r="E459" s="14"/>
      <c r="F459" s="96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A460" s="12"/>
      <c r="D460" s="95"/>
      <c r="E460" s="14"/>
      <c r="F460" s="96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A461" s="12"/>
      <c r="D461" s="95"/>
      <c r="E461" s="14"/>
      <c r="F461" s="96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A462" s="12"/>
      <c r="D462" s="95"/>
      <c r="E462" s="14"/>
      <c r="F462" s="96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A463" s="12"/>
      <c r="D463" s="95"/>
      <c r="E463" s="14"/>
      <c r="F463" s="96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A464" s="12"/>
      <c r="D464" s="95"/>
      <c r="E464" s="14"/>
      <c r="F464" s="96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A465" s="12"/>
      <c r="D465" s="95"/>
      <c r="E465" s="14"/>
      <c r="F465" s="96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A466" s="12"/>
      <c r="D466" s="95"/>
      <c r="E466" s="14"/>
      <c r="F466" s="96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A467" s="12"/>
      <c r="D467" s="95"/>
      <c r="E467" s="14"/>
      <c r="F467" s="96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A468" s="12"/>
      <c r="D468" s="95"/>
      <c r="E468" s="14"/>
      <c r="F468" s="96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A469" s="12"/>
      <c r="D469" s="95"/>
      <c r="E469" s="14"/>
      <c r="F469" s="96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A470" s="12"/>
      <c r="D470" s="95"/>
      <c r="E470" s="14"/>
      <c r="F470" s="96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A471" s="12"/>
      <c r="D471" s="95"/>
      <c r="E471" s="14"/>
      <c r="F471" s="96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A472" s="12"/>
      <c r="D472" s="95"/>
      <c r="E472" s="14"/>
      <c r="F472" s="96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A473" s="12"/>
      <c r="D473" s="95"/>
      <c r="E473" s="14"/>
      <c r="F473" s="96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A474" s="12"/>
      <c r="D474" s="95"/>
      <c r="E474" s="14"/>
      <c r="F474" s="96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A475" s="12"/>
      <c r="D475" s="95"/>
      <c r="E475" s="14"/>
      <c r="F475" s="96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A476" s="12"/>
      <c r="D476" s="95"/>
      <c r="E476" s="14"/>
      <c r="F476" s="96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A477" s="12"/>
      <c r="D477" s="95"/>
      <c r="E477" s="14"/>
      <c r="F477" s="96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A478" s="12"/>
      <c r="D478" s="95"/>
      <c r="E478" s="14"/>
      <c r="F478" s="96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A479" s="12"/>
      <c r="D479" s="95"/>
      <c r="E479" s="14"/>
      <c r="F479" s="96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A480" s="12"/>
      <c r="D480" s="95"/>
      <c r="E480" s="14"/>
      <c r="F480" s="96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A481" s="12"/>
      <c r="D481" s="95"/>
      <c r="E481" s="14"/>
      <c r="F481" s="96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A482" s="12"/>
      <c r="D482" s="95"/>
      <c r="E482" s="14"/>
      <c r="F482" s="96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A483" s="12"/>
      <c r="D483" s="95"/>
      <c r="E483" s="14"/>
      <c r="F483" s="96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A484" s="12"/>
      <c r="D484" s="95"/>
      <c r="E484" s="14"/>
      <c r="F484" s="96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A485" s="12"/>
      <c r="D485" s="95"/>
      <c r="E485" s="14"/>
      <c r="F485" s="96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A486" s="12"/>
      <c r="D486" s="95"/>
      <c r="E486" s="14"/>
      <c r="F486" s="96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A487" s="12"/>
      <c r="D487" s="95"/>
      <c r="E487" s="14"/>
      <c r="F487" s="96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A488" s="12"/>
      <c r="D488" s="95"/>
      <c r="E488" s="14"/>
      <c r="F488" s="96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A489" s="12"/>
      <c r="D489" s="95"/>
      <c r="E489" s="14"/>
      <c r="F489" s="96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A490" s="12"/>
      <c r="D490" s="95"/>
      <c r="E490" s="14"/>
      <c r="F490" s="96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A491" s="12"/>
      <c r="D491" s="95"/>
      <c r="E491" s="14"/>
      <c r="F491" s="96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A492" s="12"/>
      <c r="D492" s="95"/>
      <c r="E492" s="14"/>
      <c r="F492" s="96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A493" s="12"/>
      <c r="D493" s="95"/>
      <c r="E493" s="14"/>
      <c r="F493" s="96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A494" s="12"/>
      <c r="D494" s="95"/>
      <c r="E494" s="14"/>
      <c r="F494" s="96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A495" s="12"/>
      <c r="D495" s="95"/>
      <c r="E495" s="14"/>
      <c r="F495" s="96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A496" s="12"/>
      <c r="D496" s="95"/>
      <c r="E496" s="14"/>
      <c r="F496" s="96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A497" s="12"/>
      <c r="D497" s="95"/>
      <c r="E497" s="14"/>
      <c r="F497" s="96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A498" s="12"/>
      <c r="D498" s="95"/>
      <c r="E498" s="14"/>
      <c r="F498" s="96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A499" s="12"/>
      <c r="D499" s="95"/>
      <c r="E499" s="14"/>
      <c r="F499" s="96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A500" s="12"/>
      <c r="D500" s="95"/>
      <c r="E500" s="14"/>
      <c r="F500" s="96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A501" s="12"/>
      <c r="D501" s="95"/>
      <c r="E501" s="14"/>
      <c r="F501" s="96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A502" s="12"/>
      <c r="D502" s="95"/>
      <c r="E502" s="14"/>
      <c r="F502" s="96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A503" s="12"/>
      <c r="D503" s="95"/>
      <c r="E503" s="14"/>
      <c r="F503" s="96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A504" s="12"/>
      <c r="D504" s="95"/>
      <c r="E504" s="14"/>
      <c r="F504" s="96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A505" s="12"/>
      <c r="D505" s="95"/>
      <c r="E505" s="14"/>
      <c r="F505" s="96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A506" s="12"/>
      <c r="D506" s="95"/>
      <c r="E506" s="14"/>
      <c r="F506" s="96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A507" s="12"/>
      <c r="D507" s="95"/>
      <c r="E507" s="14"/>
      <c r="F507" s="96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A508" s="12"/>
      <c r="D508" s="95"/>
      <c r="E508" s="14"/>
      <c r="F508" s="96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A509" s="12"/>
      <c r="D509" s="95"/>
      <c r="E509" s="14"/>
      <c r="F509" s="96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A510" s="12"/>
      <c r="D510" s="95"/>
      <c r="E510" s="14"/>
      <c r="F510" s="96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A511" s="12"/>
      <c r="D511" s="95"/>
      <c r="E511" s="14"/>
      <c r="F511" s="96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A512" s="12"/>
      <c r="D512" s="95"/>
      <c r="E512" s="14"/>
      <c r="F512" s="96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A513" s="12"/>
      <c r="D513" s="95"/>
      <c r="E513" s="14"/>
      <c r="F513" s="96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A514" s="12"/>
      <c r="D514" s="95"/>
      <c r="E514" s="14"/>
      <c r="F514" s="96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A515" s="12"/>
      <c r="D515" s="95"/>
      <c r="E515" s="14"/>
      <c r="F515" s="96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A516" s="12"/>
      <c r="D516" s="95"/>
      <c r="E516" s="14"/>
      <c r="F516" s="96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A517" s="12"/>
      <c r="D517" s="95"/>
      <c r="E517" s="14"/>
      <c r="F517" s="96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A518" s="12"/>
      <c r="D518" s="95"/>
      <c r="E518" s="14"/>
      <c r="F518" s="96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A519" s="12"/>
      <c r="D519" s="95"/>
      <c r="E519" s="14"/>
      <c r="F519" s="96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A520" s="12"/>
      <c r="D520" s="95"/>
      <c r="E520" s="14"/>
      <c r="F520" s="96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A521" s="12"/>
      <c r="D521" s="95"/>
      <c r="E521" s="14"/>
      <c r="F521" s="96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A522" s="12"/>
      <c r="D522" s="95"/>
      <c r="E522" s="14"/>
      <c r="F522" s="96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A523" s="12"/>
      <c r="D523" s="95"/>
      <c r="E523" s="14"/>
      <c r="F523" s="96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A524" s="12"/>
      <c r="D524" s="95"/>
      <c r="E524" s="14"/>
      <c r="F524" s="96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A525" s="12"/>
      <c r="D525" s="95"/>
      <c r="E525" s="14"/>
      <c r="F525" s="96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A526" s="12"/>
      <c r="D526" s="95"/>
      <c r="E526" s="14"/>
      <c r="F526" s="96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A527" s="12"/>
      <c r="D527" s="95"/>
      <c r="E527" s="14"/>
      <c r="F527" s="96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A528" s="12"/>
      <c r="D528" s="95"/>
      <c r="E528" s="14"/>
      <c r="F528" s="96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A529" s="12"/>
      <c r="D529" s="95"/>
      <c r="E529" s="14"/>
      <c r="F529" s="96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A530" s="12"/>
      <c r="D530" s="95"/>
      <c r="E530" s="14"/>
      <c r="F530" s="96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A531" s="12"/>
      <c r="D531" s="95"/>
      <c r="E531" s="14"/>
      <c r="F531" s="96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A532" s="12"/>
      <c r="D532" s="95"/>
      <c r="E532" s="14"/>
      <c r="F532" s="96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A533" s="12"/>
      <c r="D533" s="95"/>
      <c r="E533" s="14"/>
      <c r="F533" s="96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A534" s="12"/>
      <c r="D534" s="95"/>
      <c r="E534" s="14"/>
      <c r="F534" s="96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A535" s="12"/>
      <c r="D535" s="95"/>
      <c r="E535" s="14"/>
      <c r="F535" s="96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A536" s="12"/>
      <c r="D536" s="95"/>
      <c r="E536" s="14"/>
      <c r="F536" s="96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A537" s="12"/>
      <c r="D537" s="95"/>
      <c r="E537" s="14"/>
      <c r="F537" s="96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A538" s="12"/>
      <c r="D538" s="95"/>
      <c r="E538" s="14"/>
      <c r="F538" s="96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A539" s="12"/>
      <c r="D539" s="95"/>
      <c r="E539" s="14"/>
      <c r="F539" s="96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A540" s="12"/>
      <c r="D540" s="95"/>
      <c r="E540" s="14"/>
      <c r="F540" s="96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A541" s="12"/>
      <c r="D541" s="95"/>
      <c r="E541" s="14"/>
      <c r="F541" s="96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A542" s="12"/>
      <c r="D542" s="95"/>
      <c r="E542" s="14"/>
      <c r="F542" s="96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A543" s="12"/>
      <c r="D543" s="95"/>
      <c r="E543" s="14"/>
      <c r="F543" s="96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A544" s="12"/>
      <c r="D544" s="95"/>
      <c r="E544" s="14"/>
      <c r="F544" s="96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A545" s="12"/>
      <c r="D545" s="95"/>
      <c r="E545" s="14"/>
      <c r="F545" s="96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A546" s="12"/>
      <c r="D546" s="95"/>
      <c r="E546" s="14"/>
      <c r="F546" s="96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A547" s="12"/>
      <c r="D547" s="95"/>
      <c r="E547" s="14"/>
      <c r="F547" s="96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A548" s="12"/>
      <c r="D548" s="95"/>
      <c r="E548" s="14"/>
      <c r="F548" s="96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A549" s="12"/>
      <c r="D549" s="95"/>
      <c r="E549" s="14"/>
      <c r="F549" s="96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A550" s="12"/>
      <c r="D550" s="95"/>
      <c r="E550" s="14"/>
      <c r="F550" s="96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A551" s="12"/>
      <c r="D551" s="95"/>
      <c r="E551" s="14"/>
      <c r="F551" s="96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A552" s="12"/>
      <c r="D552" s="95"/>
      <c r="E552" s="14"/>
      <c r="F552" s="96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A553" s="12"/>
      <c r="D553" s="95"/>
      <c r="E553" s="14"/>
      <c r="F553" s="96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A554" s="12"/>
      <c r="D554" s="95"/>
      <c r="E554" s="14"/>
      <c r="F554" s="96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A555" s="12"/>
      <c r="D555" s="95"/>
      <c r="E555" s="14"/>
      <c r="F555" s="96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A556" s="12"/>
      <c r="D556" s="95"/>
      <c r="E556" s="14"/>
      <c r="F556" s="96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A557" s="12"/>
      <c r="D557" s="95"/>
      <c r="E557" s="14"/>
      <c r="F557" s="96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A558" s="12"/>
      <c r="D558" s="95"/>
      <c r="E558" s="14"/>
      <c r="F558" s="96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A559" s="12"/>
      <c r="D559" s="95"/>
      <c r="E559" s="14"/>
      <c r="F559" s="96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A560" s="12"/>
      <c r="D560" s="95"/>
      <c r="E560" s="14"/>
      <c r="F560" s="96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A561" s="12"/>
      <c r="D561" s="95"/>
      <c r="E561" s="14"/>
      <c r="F561" s="96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A562" s="12"/>
      <c r="D562" s="95"/>
      <c r="E562" s="14"/>
      <c r="F562" s="96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A563" s="12"/>
      <c r="D563" s="95"/>
      <c r="E563" s="14"/>
      <c r="F563" s="96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A564" s="12"/>
      <c r="D564" s="95"/>
      <c r="E564" s="14"/>
      <c r="F564" s="96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A565" s="12"/>
      <c r="D565" s="95"/>
      <c r="E565" s="14"/>
      <c r="F565" s="96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A566" s="12"/>
      <c r="D566" s="95"/>
      <c r="E566" s="14"/>
      <c r="F566" s="96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A567" s="12"/>
      <c r="D567" s="95"/>
      <c r="E567" s="14"/>
      <c r="F567" s="96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A568" s="12"/>
      <c r="D568" s="95"/>
      <c r="E568" s="14"/>
      <c r="F568" s="96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A569" s="12"/>
      <c r="D569" s="95"/>
      <c r="E569" s="14"/>
      <c r="F569" s="96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A570" s="12"/>
      <c r="D570" s="95"/>
      <c r="E570" s="14"/>
      <c r="F570" s="96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A571" s="12"/>
      <c r="D571" s="95"/>
      <c r="E571" s="14"/>
      <c r="F571" s="96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A572" s="12"/>
      <c r="D572" s="95"/>
      <c r="E572" s="14"/>
      <c r="F572" s="96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A573" s="12"/>
      <c r="D573" s="95"/>
      <c r="E573" s="14"/>
      <c r="F573" s="96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A574" s="12"/>
      <c r="D574" s="95"/>
      <c r="E574" s="14"/>
      <c r="F574" s="96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A575" s="12"/>
      <c r="D575" s="95"/>
      <c r="E575" s="14"/>
      <c r="F575" s="96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A576" s="12"/>
      <c r="D576" s="95"/>
      <c r="E576" s="14"/>
      <c r="F576" s="96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A577" s="12"/>
      <c r="D577" s="95"/>
      <c r="E577" s="14"/>
      <c r="F577" s="96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A578" s="12"/>
      <c r="D578" s="95"/>
      <c r="E578" s="14"/>
      <c r="F578" s="96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A579" s="12"/>
      <c r="D579" s="95"/>
      <c r="E579" s="14"/>
      <c r="F579" s="96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A580" s="12"/>
      <c r="D580" s="95"/>
      <c r="E580" s="14"/>
      <c r="F580" s="96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A581" s="12"/>
      <c r="D581" s="95"/>
      <c r="E581" s="14"/>
      <c r="F581" s="96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A582" s="12"/>
      <c r="D582" s="95"/>
      <c r="E582" s="14"/>
      <c r="F582" s="96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A583" s="12"/>
      <c r="D583" s="95"/>
      <c r="E583" s="14"/>
      <c r="F583" s="96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A584" s="12"/>
      <c r="D584" s="95"/>
      <c r="E584" s="14"/>
      <c r="F584" s="96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A585" s="12"/>
      <c r="D585" s="95"/>
      <c r="E585" s="14"/>
      <c r="F585" s="96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A586" s="12"/>
      <c r="D586" s="95"/>
      <c r="E586" s="14"/>
      <c r="F586" s="96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A587" s="12"/>
      <c r="D587" s="95"/>
      <c r="E587" s="14"/>
      <c r="F587" s="96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A588" s="12"/>
      <c r="D588" s="95"/>
      <c r="E588" s="14"/>
      <c r="F588" s="96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A589" s="12"/>
      <c r="D589" s="95"/>
      <c r="E589" s="14"/>
      <c r="F589" s="96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A590" s="12"/>
      <c r="D590" s="95"/>
      <c r="E590" s="14"/>
      <c r="F590" s="96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A591" s="12"/>
      <c r="D591" s="95"/>
      <c r="E591" s="14"/>
      <c r="F591" s="96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A592" s="12"/>
      <c r="D592" s="95"/>
      <c r="E592" s="14"/>
      <c r="F592" s="96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A593" s="12"/>
      <c r="D593" s="95"/>
      <c r="E593" s="14"/>
      <c r="F593" s="96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A594" s="12"/>
      <c r="D594" s="95"/>
      <c r="E594" s="14"/>
      <c r="F594" s="96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A595" s="12"/>
      <c r="D595" s="95"/>
      <c r="E595" s="14"/>
      <c r="F595" s="96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A596" s="12"/>
      <c r="D596" s="95"/>
      <c r="E596" s="14"/>
      <c r="F596" s="96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A597" s="12"/>
      <c r="D597" s="95"/>
      <c r="E597" s="14"/>
      <c r="F597" s="96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A598" s="12"/>
      <c r="D598" s="95"/>
      <c r="E598" s="14"/>
      <c r="F598" s="96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A599" s="12"/>
      <c r="D599" s="95"/>
      <c r="E599" s="14"/>
      <c r="F599" s="96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A600" s="12"/>
      <c r="D600" s="95"/>
      <c r="E600" s="14"/>
      <c r="F600" s="96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A601" s="12"/>
      <c r="D601" s="95"/>
      <c r="E601" s="14"/>
      <c r="F601" s="96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A602" s="12"/>
      <c r="D602" s="95"/>
      <c r="E602" s="14"/>
      <c r="F602" s="96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A603" s="12"/>
      <c r="D603" s="95"/>
      <c r="E603" s="14"/>
      <c r="F603" s="96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A604" s="12"/>
      <c r="D604" s="95"/>
      <c r="E604" s="14"/>
      <c r="F604" s="96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A605" s="12"/>
      <c r="D605" s="95"/>
      <c r="E605" s="14"/>
      <c r="F605" s="96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A606" s="12"/>
      <c r="D606" s="95"/>
      <c r="E606" s="14"/>
      <c r="F606" s="96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A607" s="12"/>
      <c r="D607" s="95"/>
      <c r="E607" s="14"/>
      <c r="F607" s="96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A608" s="12"/>
      <c r="D608" s="95"/>
      <c r="E608" s="14"/>
      <c r="F608" s="96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A609" s="12"/>
      <c r="D609" s="95"/>
      <c r="E609" s="14"/>
      <c r="F609" s="96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A610" s="12"/>
      <c r="D610" s="95"/>
      <c r="E610" s="14"/>
      <c r="F610" s="96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A611" s="12"/>
      <c r="D611" s="95"/>
      <c r="E611" s="14"/>
      <c r="F611" s="96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A612" s="12"/>
      <c r="D612" s="95"/>
      <c r="E612" s="14"/>
      <c r="F612" s="96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A613" s="12"/>
      <c r="D613" s="95"/>
      <c r="E613" s="14"/>
      <c r="F613" s="96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A614" s="12"/>
      <c r="D614" s="95"/>
      <c r="E614" s="14"/>
      <c r="F614" s="96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A615" s="12"/>
      <c r="D615" s="95"/>
      <c r="E615" s="14"/>
      <c r="F615" s="96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A616" s="12"/>
      <c r="D616" s="95"/>
      <c r="E616" s="14"/>
      <c r="F616" s="96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A617" s="12"/>
      <c r="D617" s="95"/>
      <c r="E617" s="14"/>
      <c r="F617" s="96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A618" s="12"/>
      <c r="D618" s="95"/>
      <c r="E618" s="14"/>
      <c r="F618" s="96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A619" s="12"/>
      <c r="D619" s="95"/>
      <c r="E619" s="14"/>
      <c r="F619" s="96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A620" s="12"/>
      <c r="D620" s="95"/>
      <c r="E620" s="14"/>
      <c r="F620" s="96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A621" s="12"/>
      <c r="D621" s="95"/>
      <c r="E621" s="14"/>
      <c r="F621" s="96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A622" s="12"/>
      <c r="D622" s="95"/>
      <c r="E622" s="14"/>
      <c r="F622" s="96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A623" s="12"/>
      <c r="D623" s="95"/>
      <c r="E623" s="14"/>
      <c r="F623" s="96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A624" s="12"/>
      <c r="D624" s="95"/>
      <c r="E624" s="14"/>
      <c r="F624" s="96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A625" s="12"/>
      <c r="D625" s="95"/>
      <c r="E625" s="14"/>
      <c r="F625" s="96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A626" s="12"/>
      <c r="D626" s="95"/>
      <c r="E626" s="14"/>
      <c r="F626" s="96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A627" s="12"/>
      <c r="D627" s="95"/>
      <c r="E627" s="14"/>
      <c r="F627" s="96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A628" s="12"/>
      <c r="D628" s="95"/>
      <c r="E628" s="14"/>
      <c r="F628" s="96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A629" s="12"/>
      <c r="D629" s="95"/>
      <c r="E629" s="14"/>
      <c r="F629" s="96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A630" s="12"/>
      <c r="D630" s="95"/>
      <c r="E630" s="14"/>
      <c r="F630" s="96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A631" s="12"/>
      <c r="D631" s="95"/>
      <c r="E631" s="14"/>
      <c r="F631" s="96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A632" s="12"/>
      <c r="D632" s="95"/>
      <c r="E632" s="14"/>
      <c r="F632" s="96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A633" s="12"/>
      <c r="D633" s="95"/>
      <c r="E633" s="14"/>
      <c r="F633" s="96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A634" s="12"/>
      <c r="D634" s="95"/>
      <c r="E634" s="14"/>
      <c r="F634" s="96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A635" s="12"/>
      <c r="D635" s="95"/>
      <c r="E635" s="14"/>
      <c r="F635" s="96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A636" s="12"/>
      <c r="D636" s="95"/>
      <c r="E636" s="14"/>
      <c r="F636" s="96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A637" s="12"/>
      <c r="D637" s="95"/>
      <c r="E637" s="14"/>
      <c r="F637" s="96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A638" s="12"/>
      <c r="D638" s="95"/>
      <c r="E638" s="14"/>
      <c r="F638" s="96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A639" s="12"/>
      <c r="D639" s="95"/>
      <c r="E639" s="14"/>
      <c r="F639" s="96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A640" s="12"/>
      <c r="D640" s="95"/>
      <c r="E640" s="14"/>
      <c r="F640" s="96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A641" s="12"/>
      <c r="D641" s="95"/>
      <c r="E641" s="14"/>
      <c r="F641" s="96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A642" s="12"/>
      <c r="D642" s="95"/>
      <c r="E642" s="14"/>
      <c r="F642" s="96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A643" s="12"/>
      <c r="D643" s="95"/>
      <c r="E643" s="14"/>
      <c r="F643" s="96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A644" s="12"/>
      <c r="D644" s="95"/>
      <c r="E644" s="14"/>
      <c r="F644" s="96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A645" s="12"/>
      <c r="D645" s="95"/>
      <c r="E645" s="14"/>
      <c r="F645" s="96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A646" s="12"/>
      <c r="D646" s="95"/>
      <c r="E646" s="14"/>
      <c r="F646" s="96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A647" s="12"/>
      <c r="D647" s="95"/>
      <c r="E647" s="14"/>
      <c r="F647" s="96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A648" s="12"/>
      <c r="D648" s="95"/>
      <c r="E648" s="14"/>
      <c r="F648" s="96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A649" s="12"/>
      <c r="D649" s="95"/>
      <c r="E649" s="14"/>
      <c r="F649" s="96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A650" s="12"/>
      <c r="D650" s="95"/>
      <c r="E650" s="14"/>
      <c r="F650" s="96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A651" s="12"/>
      <c r="D651" s="95"/>
      <c r="E651" s="14"/>
      <c r="F651" s="96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A652" s="12"/>
      <c r="D652" s="95"/>
      <c r="E652" s="14"/>
      <c r="F652" s="96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A653" s="12"/>
      <c r="D653" s="95"/>
      <c r="E653" s="14"/>
      <c r="F653" s="96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A654" s="12"/>
      <c r="D654" s="95"/>
      <c r="E654" s="14"/>
      <c r="F654" s="96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A655" s="12"/>
      <c r="D655" s="95"/>
      <c r="E655" s="14"/>
      <c r="F655" s="96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A656" s="12"/>
      <c r="D656" s="95"/>
      <c r="E656" s="14"/>
      <c r="F656" s="96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A657" s="12"/>
      <c r="D657" s="95"/>
      <c r="E657" s="14"/>
      <c r="F657" s="96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A658" s="12"/>
      <c r="D658" s="95"/>
      <c r="E658" s="14"/>
      <c r="F658" s="96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A659" s="12"/>
      <c r="D659" s="95"/>
      <c r="E659" s="14"/>
      <c r="F659" s="96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A660" s="12"/>
      <c r="D660" s="95"/>
      <c r="E660" s="14"/>
      <c r="F660" s="96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A661" s="12"/>
      <c r="D661" s="95"/>
      <c r="E661" s="14"/>
      <c r="F661" s="96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A662" s="12"/>
      <c r="D662" s="95"/>
      <c r="E662" s="14"/>
      <c r="F662" s="96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A663" s="12"/>
      <c r="D663" s="95"/>
      <c r="E663" s="14"/>
      <c r="F663" s="96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A664" s="12"/>
      <c r="D664" s="95"/>
      <c r="E664" s="14"/>
      <c r="F664" s="96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A665" s="12"/>
      <c r="D665" s="95"/>
      <c r="E665" s="14"/>
      <c r="F665" s="96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A666" s="12"/>
      <c r="D666" s="95"/>
      <c r="E666" s="14"/>
      <c r="F666" s="96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A667" s="12"/>
      <c r="D667" s="95"/>
      <c r="E667" s="14"/>
      <c r="F667" s="96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A668" s="12"/>
      <c r="D668" s="95"/>
      <c r="E668" s="14"/>
      <c r="F668" s="96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A669" s="12"/>
      <c r="D669" s="95"/>
      <c r="E669" s="14"/>
      <c r="F669" s="96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A670" s="12"/>
      <c r="D670" s="95"/>
      <c r="E670" s="14"/>
      <c r="F670" s="96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A671" s="12"/>
      <c r="D671" s="95"/>
      <c r="E671" s="14"/>
      <c r="F671" s="96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A672" s="12"/>
      <c r="D672" s="95"/>
      <c r="E672" s="14"/>
      <c r="F672" s="96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A673" s="12"/>
      <c r="D673" s="95"/>
      <c r="E673" s="14"/>
      <c r="F673" s="96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A674" s="12"/>
      <c r="D674" s="95"/>
      <c r="E674" s="14"/>
      <c r="F674" s="96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A675" s="12"/>
      <c r="D675" s="95"/>
      <c r="E675" s="14"/>
      <c r="F675" s="96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A676" s="12"/>
      <c r="D676" s="95"/>
      <c r="E676" s="14"/>
      <c r="F676" s="96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A677" s="12"/>
      <c r="D677" s="95"/>
      <c r="E677" s="14"/>
      <c r="F677" s="96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A678" s="12"/>
      <c r="D678" s="95"/>
      <c r="E678" s="14"/>
      <c r="F678" s="96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A679" s="12"/>
      <c r="D679" s="95"/>
      <c r="E679" s="14"/>
      <c r="F679" s="96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A680" s="12"/>
      <c r="D680" s="95"/>
      <c r="E680" s="14"/>
      <c r="F680" s="96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A681" s="12"/>
      <c r="D681" s="95"/>
      <c r="E681" s="14"/>
      <c r="F681" s="96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A682" s="12"/>
      <c r="D682" s="95"/>
      <c r="E682" s="14"/>
      <c r="F682" s="96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A683" s="12"/>
      <c r="D683" s="95"/>
      <c r="E683" s="14"/>
      <c r="F683" s="96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A684" s="12"/>
      <c r="D684" s="95"/>
      <c r="E684" s="14"/>
      <c r="F684" s="96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A685" s="12"/>
      <c r="D685" s="95"/>
      <c r="E685" s="14"/>
      <c r="F685" s="96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A686" s="12"/>
      <c r="D686" s="95"/>
      <c r="E686" s="14"/>
      <c r="F686" s="96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A687" s="12"/>
      <c r="D687" s="95"/>
      <c r="E687" s="14"/>
      <c r="F687" s="96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A688" s="12"/>
      <c r="D688" s="95"/>
      <c r="E688" s="14"/>
      <c r="F688" s="96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A689" s="12"/>
      <c r="D689" s="95"/>
      <c r="E689" s="14"/>
      <c r="F689" s="96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A690" s="12"/>
      <c r="D690" s="95"/>
      <c r="E690" s="14"/>
      <c r="F690" s="96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A691" s="12"/>
      <c r="D691" s="95"/>
      <c r="E691" s="14"/>
      <c r="F691" s="96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A692" s="12"/>
      <c r="D692" s="95"/>
      <c r="E692" s="14"/>
      <c r="F692" s="96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A693" s="12"/>
      <c r="D693" s="95"/>
      <c r="E693" s="14"/>
      <c r="F693" s="96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A694" s="12"/>
      <c r="D694" s="95"/>
      <c r="E694" s="14"/>
      <c r="F694" s="96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A695" s="12"/>
      <c r="D695" s="95"/>
      <c r="E695" s="14"/>
      <c r="F695" s="96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A696" s="12"/>
      <c r="D696" s="95"/>
      <c r="E696" s="14"/>
      <c r="F696" s="96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A697" s="12"/>
      <c r="D697" s="95"/>
      <c r="E697" s="14"/>
      <c r="F697" s="96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A698" s="12"/>
      <c r="D698" s="95"/>
      <c r="E698" s="14"/>
      <c r="F698" s="96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A699" s="12"/>
      <c r="D699" s="95"/>
      <c r="E699" s="14"/>
      <c r="F699" s="96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A700" s="12"/>
      <c r="D700" s="95"/>
      <c r="E700" s="14"/>
      <c r="F700" s="96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A701" s="12"/>
      <c r="D701" s="95"/>
      <c r="E701" s="14"/>
      <c r="F701" s="96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A702" s="12"/>
      <c r="D702" s="95"/>
      <c r="E702" s="14"/>
      <c r="F702" s="96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A703" s="12"/>
      <c r="D703" s="95"/>
      <c r="E703" s="14"/>
      <c r="F703" s="96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A704" s="12"/>
      <c r="D704" s="95"/>
      <c r="E704" s="14"/>
      <c r="F704" s="96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A705" s="12"/>
      <c r="D705" s="95"/>
      <c r="E705" s="14"/>
      <c r="F705" s="96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A706" s="12"/>
      <c r="D706" s="95"/>
      <c r="E706" s="14"/>
      <c r="F706" s="96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A707" s="12"/>
      <c r="D707" s="95"/>
      <c r="E707" s="14"/>
      <c r="F707" s="96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A708" s="12"/>
      <c r="D708" s="95"/>
      <c r="E708" s="14"/>
      <c r="F708" s="96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A709" s="12"/>
      <c r="D709" s="95"/>
      <c r="E709" s="14"/>
      <c r="F709" s="96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A710" s="12"/>
      <c r="D710" s="95"/>
      <c r="E710" s="14"/>
      <c r="F710" s="96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A711" s="12"/>
      <c r="D711" s="95"/>
      <c r="E711" s="14"/>
      <c r="F711" s="96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A712" s="12"/>
      <c r="D712" s="95"/>
      <c r="E712" s="14"/>
      <c r="F712" s="96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A713" s="12"/>
      <c r="D713" s="95"/>
      <c r="E713" s="14"/>
      <c r="F713" s="96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A714" s="12"/>
      <c r="D714" s="95"/>
      <c r="E714" s="14"/>
      <c r="F714" s="96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A715" s="12"/>
      <c r="D715" s="95"/>
      <c r="E715" s="14"/>
      <c r="F715" s="96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A716" s="12"/>
      <c r="D716" s="95"/>
      <c r="E716" s="14"/>
      <c r="F716" s="96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A717" s="12"/>
      <c r="D717" s="95"/>
      <c r="E717" s="14"/>
      <c r="F717" s="96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A718" s="12"/>
      <c r="D718" s="95"/>
      <c r="E718" s="14"/>
      <c r="F718" s="96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A719" s="12"/>
      <c r="D719" s="95"/>
      <c r="E719" s="14"/>
      <c r="F719" s="96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A720" s="12"/>
      <c r="D720" s="95"/>
      <c r="E720" s="14"/>
      <c r="F720" s="96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A721" s="12"/>
      <c r="D721" s="95"/>
      <c r="E721" s="14"/>
      <c r="F721" s="96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A722" s="12"/>
      <c r="D722" s="95"/>
      <c r="E722" s="14"/>
      <c r="F722" s="96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A723" s="12"/>
      <c r="D723" s="95"/>
      <c r="E723" s="14"/>
      <c r="F723" s="96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A724" s="12"/>
      <c r="D724" s="95"/>
      <c r="E724" s="14"/>
      <c r="F724" s="96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A725" s="12"/>
      <c r="D725" s="95"/>
      <c r="E725" s="14"/>
      <c r="F725" s="96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A726" s="12"/>
      <c r="D726" s="95"/>
      <c r="E726" s="14"/>
      <c r="F726" s="96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A727" s="12"/>
      <c r="D727" s="95"/>
      <c r="E727" s="14"/>
      <c r="F727" s="96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A728" s="12"/>
      <c r="D728" s="95"/>
      <c r="E728" s="14"/>
      <c r="F728" s="96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A729" s="12"/>
      <c r="D729" s="95"/>
      <c r="E729" s="14"/>
      <c r="F729" s="96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A730" s="12"/>
      <c r="D730" s="95"/>
      <c r="E730" s="14"/>
      <c r="F730" s="96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A731" s="12"/>
      <c r="D731" s="95"/>
      <c r="E731" s="14"/>
      <c r="F731" s="96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A732" s="12"/>
      <c r="D732" s="95"/>
      <c r="E732" s="14"/>
      <c r="F732" s="96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A733" s="12"/>
      <c r="D733" s="95"/>
      <c r="E733" s="14"/>
      <c r="F733" s="96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A734" s="12"/>
      <c r="D734" s="95"/>
      <c r="E734" s="14"/>
      <c r="F734" s="96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A735" s="12"/>
      <c r="D735" s="95"/>
      <c r="E735" s="14"/>
      <c r="F735" s="96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A736" s="12"/>
      <c r="D736" s="95"/>
      <c r="E736" s="14"/>
      <c r="F736" s="96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A737" s="12"/>
      <c r="D737" s="95"/>
      <c r="E737" s="14"/>
      <c r="F737" s="96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A738" s="12"/>
      <c r="D738" s="95"/>
      <c r="E738" s="14"/>
      <c r="F738" s="96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A739" s="12"/>
      <c r="D739" s="95"/>
      <c r="E739" s="14"/>
      <c r="F739" s="96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A740" s="12"/>
      <c r="D740" s="95"/>
      <c r="E740" s="14"/>
      <c r="F740" s="96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A741" s="12"/>
      <c r="D741" s="95"/>
      <c r="E741" s="14"/>
      <c r="F741" s="96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A742" s="12"/>
      <c r="D742" s="95"/>
      <c r="E742" s="14"/>
      <c r="F742" s="96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A743" s="12"/>
      <c r="D743" s="95"/>
      <c r="E743" s="14"/>
      <c r="F743" s="96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A744" s="12"/>
      <c r="D744" s="95"/>
      <c r="E744" s="14"/>
      <c r="F744" s="96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A745" s="12"/>
      <c r="D745" s="95"/>
      <c r="E745" s="14"/>
      <c r="F745" s="96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A746" s="12"/>
      <c r="D746" s="95"/>
      <c r="E746" s="14"/>
      <c r="F746" s="96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A747" s="12"/>
      <c r="D747" s="95"/>
      <c r="E747" s="14"/>
      <c r="F747" s="96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A748" s="12"/>
      <c r="D748" s="95"/>
      <c r="E748" s="14"/>
      <c r="F748" s="96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A749" s="12"/>
      <c r="D749" s="95"/>
      <c r="E749" s="14"/>
      <c r="F749" s="96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A750" s="12"/>
      <c r="D750" s="95"/>
      <c r="E750" s="14"/>
      <c r="F750" s="96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A751" s="12"/>
      <c r="D751" s="95"/>
      <c r="E751" s="14"/>
      <c r="F751" s="96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A752" s="12"/>
      <c r="D752" s="95"/>
      <c r="E752" s="14"/>
      <c r="F752" s="96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A753" s="12"/>
      <c r="D753" s="95"/>
      <c r="E753" s="14"/>
      <c r="F753" s="96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A754" s="12"/>
      <c r="D754" s="95"/>
      <c r="E754" s="14"/>
      <c r="F754" s="96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A755" s="12"/>
      <c r="D755" s="95"/>
      <c r="E755" s="14"/>
      <c r="F755" s="96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A756" s="12"/>
      <c r="D756" s="95"/>
      <c r="E756" s="14"/>
      <c r="F756" s="96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A757" s="12"/>
      <c r="D757" s="95"/>
      <c r="E757" s="14"/>
      <c r="F757" s="96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A758" s="12"/>
      <c r="D758" s="95"/>
      <c r="E758" s="14"/>
      <c r="F758" s="96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A759" s="12"/>
      <c r="D759" s="95"/>
      <c r="E759" s="14"/>
      <c r="F759" s="96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A760" s="12"/>
      <c r="D760" s="95"/>
      <c r="E760" s="14"/>
      <c r="F760" s="96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A761" s="12"/>
      <c r="D761" s="95"/>
      <c r="E761" s="14"/>
      <c r="F761" s="96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A762" s="12"/>
      <c r="D762" s="95"/>
      <c r="E762" s="14"/>
      <c r="F762" s="96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A763" s="12"/>
      <c r="D763" s="95"/>
      <c r="E763" s="14"/>
      <c r="F763" s="96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A764" s="12"/>
      <c r="D764" s="95"/>
      <c r="E764" s="14"/>
      <c r="F764" s="96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A765" s="12"/>
      <c r="D765" s="95"/>
      <c r="E765" s="14"/>
      <c r="F765" s="96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A766" s="12"/>
      <c r="D766" s="95"/>
      <c r="E766" s="14"/>
      <c r="F766" s="96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A767" s="12"/>
      <c r="D767" s="95"/>
      <c r="E767" s="14"/>
      <c r="F767" s="96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A768" s="12"/>
      <c r="D768" s="95"/>
      <c r="E768" s="14"/>
      <c r="F768" s="96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A769" s="12"/>
      <c r="D769" s="95"/>
      <c r="E769" s="14"/>
      <c r="F769" s="96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A770" s="12"/>
      <c r="D770" s="95"/>
      <c r="E770" s="14"/>
      <c r="F770" s="96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A771" s="12"/>
      <c r="D771" s="95"/>
      <c r="E771" s="14"/>
      <c r="F771" s="96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A772" s="12"/>
      <c r="D772" s="95"/>
      <c r="E772" s="14"/>
      <c r="F772" s="96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A773" s="12"/>
      <c r="D773" s="95"/>
      <c r="E773" s="14"/>
      <c r="F773" s="96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A774" s="12"/>
      <c r="D774" s="95"/>
      <c r="E774" s="14"/>
      <c r="F774" s="96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A775" s="12"/>
      <c r="D775" s="95"/>
      <c r="E775" s="14"/>
      <c r="F775" s="96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A776" s="12"/>
      <c r="D776" s="95"/>
      <c r="E776" s="14"/>
      <c r="F776" s="96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A777" s="12"/>
      <c r="D777" s="95"/>
      <c r="E777" s="14"/>
      <c r="F777" s="96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A778" s="12"/>
      <c r="D778" s="95"/>
      <c r="E778" s="14"/>
      <c r="F778" s="96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A779" s="12"/>
      <c r="D779" s="95"/>
      <c r="E779" s="14"/>
      <c r="F779" s="96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A780" s="12"/>
      <c r="D780" s="95"/>
      <c r="E780" s="14"/>
      <c r="F780" s="96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A781" s="12"/>
      <c r="D781" s="95"/>
      <c r="E781" s="14"/>
      <c r="F781" s="96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A782" s="12"/>
      <c r="D782" s="95"/>
      <c r="E782" s="14"/>
      <c r="F782" s="96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A783" s="12"/>
      <c r="D783" s="95"/>
      <c r="E783" s="14"/>
      <c r="F783" s="96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A784" s="12"/>
      <c r="D784" s="95"/>
      <c r="E784" s="14"/>
      <c r="F784" s="96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A785" s="12"/>
      <c r="D785" s="95"/>
      <c r="E785" s="14"/>
      <c r="F785" s="96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A786" s="12"/>
      <c r="D786" s="95"/>
      <c r="E786" s="14"/>
      <c r="F786" s="96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A787" s="12"/>
      <c r="D787" s="95"/>
      <c r="E787" s="14"/>
      <c r="F787" s="96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A788" s="12"/>
      <c r="D788" s="95"/>
      <c r="E788" s="14"/>
      <c r="F788" s="96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A789" s="12"/>
      <c r="D789" s="95"/>
      <c r="E789" s="14"/>
      <c r="F789" s="96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A790" s="12"/>
      <c r="D790" s="95"/>
      <c r="E790" s="14"/>
      <c r="F790" s="96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A791" s="12"/>
      <c r="D791" s="95"/>
      <c r="E791" s="14"/>
      <c r="F791" s="96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A792" s="12"/>
      <c r="D792" s="95"/>
      <c r="E792" s="14"/>
      <c r="F792" s="96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A793" s="12"/>
      <c r="D793" s="95"/>
      <c r="E793" s="14"/>
      <c r="F793" s="96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A794" s="12"/>
      <c r="D794" s="95"/>
      <c r="E794" s="14"/>
      <c r="F794" s="96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A795" s="12"/>
      <c r="D795" s="95"/>
      <c r="E795" s="14"/>
      <c r="F795" s="96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A796" s="12"/>
      <c r="D796" s="95"/>
      <c r="E796" s="14"/>
      <c r="F796" s="96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A797" s="12"/>
      <c r="D797" s="95"/>
      <c r="E797" s="14"/>
      <c r="F797" s="96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A798" s="12"/>
      <c r="D798" s="95"/>
      <c r="E798" s="14"/>
      <c r="F798" s="96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A799" s="12"/>
      <c r="D799" s="95"/>
      <c r="E799" s="14"/>
      <c r="F799" s="96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A800" s="12"/>
      <c r="D800" s="95"/>
      <c r="E800" s="14"/>
      <c r="F800" s="96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A801" s="12"/>
      <c r="D801" s="95"/>
      <c r="E801" s="14"/>
      <c r="F801" s="96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A802" s="12"/>
      <c r="D802" s="95"/>
      <c r="E802" s="14"/>
      <c r="F802" s="96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A803" s="12"/>
      <c r="D803" s="95"/>
      <c r="E803" s="14"/>
      <c r="F803" s="96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A804" s="12"/>
      <c r="D804" s="95"/>
      <c r="E804" s="14"/>
      <c r="F804" s="96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A805" s="12"/>
      <c r="D805" s="95"/>
      <c r="E805" s="14"/>
      <c r="F805" s="96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A806" s="12"/>
      <c r="D806" s="95"/>
      <c r="E806" s="14"/>
      <c r="F806" s="96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A807" s="12"/>
      <c r="D807" s="95"/>
      <c r="E807" s="14"/>
      <c r="F807" s="96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A808" s="12"/>
      <c r="D808" s="95"/>
      <c r="E808" s="14"/>
      <c r="F808" s="96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A809" s="12"/>
      <c r="D809" s="95"/>
      <c r="E809" s="14"/>
      <c r="F809" s="96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A810" s="12"/>
      <c r="D810" s="95"/>
      <c r="E810" s="14"/>
      <c r="F810" s="96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A811" s="12"/>
      <c r="D811" s="95"/>
      <c r="E811" s="14"/>
      <c r="F811" s="96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A812" s="12"/>
      <c r="D812" s="95"/>
      <c r="E812" s="14"/>
      <c r="F812" s="96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A813" s="12"/>
      <c r="D813" s="95"/>
      <c r="E813" s="14"/>
      <c r="F813" s="96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A814" s="12"/>
      <c r="D814" s="95"/>
      <c r="E814" s="14"/>
      <c r="F814" s="96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A815" s="12"/>
      <c r="D815" s="95"/>
      <c r="E815" s="14"/>
      <c r="F815" s="96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A816" s="12"/>
      <c r="D816" s="95"/>
      <c r="E816" s="14"/>
      <c r="F816" s="96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A817" s="12"/>
      <c r="D817" s="95"/>
      <c r="E817" s="14"/>
      <c r="F817" s="96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A818" s="12"/>
      <c r="D818" s="95"/>
      <c r="E818" s="14"/>
      <c r="F818" s="96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A819" s="12"/>
      <c r="D819" s="95"/>
      <c r="E819" s="14"/>
      <c r="F819" s="96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A820" s="12"/>
      <c r="D820" s="95"/>
      <c r="E820" s="14"/>
      <c r="F820" s="96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A821" s="12"/>
      <c r="D821" s="95"/>
      <c r="E821" s="14"/>
      <c r="F821" s="96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A822" s="12"/>
      <c r="D822" s="95"/>
      <c r="E822" s="14"/>
      <c r="F822" s="96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A823" s="12"/>
      <c r="D823" s="95"/>
      <c r="E823" s="14"/>
      <c r="F823" s="96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A824" s="12"/>
      <c r="D824" s="95"/>
      <c r="E824" s="14"/>
      <c r="F824" s="96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A825" s="12"/>
      <c r="D825" s="95"/>
      <c r="E825" s="14"/>
      <c r="F825" s="96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A826" s="12"/>
      <c r="D826" s="95"/>
      <c r="E826" s="14"/>
      <c r="F826" s="96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A827" s="12"/>
      <c r="D827" s="95"/>
      <c r="E827" s="14"/>
      <c r="F827" s="96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A828" s="12"/>
      <c r="D828" s="95"/>
      <c r="E828" s="14"/>
      <c r="F828" s="96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A829" s="12"/>
      <c r="D829" s="95"/>
      <c r="E829" s="14"/>
      <c r="F829" s="96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A830" s="12"/>
      <c r="D830" s="95"/>
      <c r="E830" s="14"/>
      <c r="F830" s="96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A831" s="12"/>
      <c r="D831" s="95"/>
      <c r="E831" s="14"/>
      <c r="F831" s="96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A832" s="12"/>
      <c r="D832" s="95"/>
      <c r="E832" s="14"/>
      <c r="F832" s="96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A833" s="12"/>
      <c r="D833" s="95"/>
      <c r="E833" s="14"/>
      <c r="F833" s="96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A834" s="12"/>
      <c r="D834" s="95"/>
      <c r="E834" s="14"/>
      <c r="F834" s="96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A835" s="12"/>
      <c r="D835" s="95"/>
      <c r="E835" s="14"/>
      <c r="F835" s="96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A836" s="12"/>
      <c r="D836" s="95"/>
      <c r="E836" s="14"/>
      <c r="F836" s="96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A837" s="12"/>
      <c r="D837" s="95"/>
      <c r="E837" s="14"/>
      <c r="F837" s="96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A838" s="12"/>
      <c r="D838" s="95"/>
      <c r="E838" s="14"/>
      <c r="F838" s="96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A839" s="12"/>
      <c r="D839" s="95"/>
      <c r="E839" s="14"/>
      <c r="F839" s="96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A840" s="12"/>
      <c r="D840" s="95"/>
      <c r="E840" s="14"/>
      <c r="F840" s="96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A841" s="12"/>
      <c r="D841" s="95"/>
      <c r="E841" s="14"/>
      <c r="F841" s="96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A842" s="12"/>
      <c r="D842" s="95"/>
      <c r="E842" s="14"/>
      <c r="F842" s="96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A843" s="12"/>
      <c r="D843" s="95"/>
      <c r="E843" s="14"/>
      <c r="F843" s="96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A844" s="12"/>
      <c r="D844" s="95"/>
      <c r="E844" s="14"/>
      <c r="F844" s="96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A845" s="12"/>
      <c r="D845" s="95"/>
      <c r="E845" s="14"/>
      <c r="F845" s="96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A846" s="12"/>
      <c r="D846" s="95"/>
      <c r="E846" s="14"/>
      <c r="F846" s="96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A847" s="12"/>
      <c r="D847" s="95"/>
      <c r="E847" s="14"/>
      <c r="F847" s="96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A848" s="12"/>
      <c r="D848" s="95"/>
      <c r="E848" s="14"/>
      <c r="F848" s="96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A849" s="12"/>
      <c r="D849" s="95"/>
      <c r="E849" s="14"/>
      <c r="F849" s="96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A850" s="12"/>
      <c r="D850" s="95"/>
      <c r="E850" s="14"/>
      <c r="F850" s="96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A851" s="12"/>
      <c r="D851" s="95"/>
      <c r="E851" s="14"/>
      <c r="F851" s="96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A852" s="12"/>
      <c r="D852" s="95"/>
      <c r="E852" s="14"/>
      <c r="F852" s="96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A853" s="12"/>
      <c r="D853" s="95"/>
      <c r="E853" s="14"/>
      <c r="F853" s="96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A854" s="12"/>
      <c r="D854" s="95"/>
      <c r="E854" s="14"/>
      <c r="F854" s="96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A855" s="12"/>
      <c r="D855" s="95"/>
      <c r="E855" s="14"/>
      <c r="F855" s="96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A856" s="12"/>
      <c r="D856" s="95"/>
      <c r="E856" s="14"/>
      <c r="F856" s="96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A857" s="12"/>
      <c r="D857" s="95"/>
      <c r="E857" s="14"/>
      <c r="F857" s="96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A858" s="12"/>
      <c r="D858" s="95"/>
      <c r="E858" s="14"/>
      <c r="F858" s="96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A859" s="12"/>
      <c r="D859" s="95"/>
      <c r="E859" s="14"/>
      <c r="F859" s="96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A860" s="12"/>
      <c r="D860" s="95"/>
      <c r="E860" s="14"/>
      <c r="F860" s="96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A861" s="12"/>
      <c r="D861" s="95"/>
      <c r="E861" s="14"/>
      <c r="F861" s="96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A862" s="12"/>
      <c r="D862" s="95"/>
      <c r="E862" s="14"/>
      <c r="F862" s="96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A863" s="12"/>
      <c r="D863" s="95"/>
      <c r="E863" s="14"/>
      <c r="F863" s="96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A864" s="12"/>
      <c r="D864" s="95"/>
      <c r="E864" s="14"/>
      <c r="F864" s="96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A865" s="12"/>
      <c r="D865" s="95"/>
      <c r="E865" s="14"/>
      <c r="F865" s="96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A866" s="12"/>
      <c r="D866" s="95"/>
      <c r="E866" s="14"/>
      <c r="F866" s="96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A867" s="12"/>
      <c r="D867" s="95"/>
      <c r="E867" s="14"/>
      <c r="F867" s="96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A868" s="12"/>
      <c r="D868" s="95"/>
      <c r="E868" s="14"/>
      <c r="F868" s="96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A869" s="12"/>
      <c r="D869" s="95"/>
      <c r="E869" s="14"/>
      <c r="F869" s="96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A870" s="12"/>
      <c r="D870" s="95"/>
      <c r="E870" s="14"/>
      <c r="F870" s="96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A871" s="12"/>
      <c r="D871" s="95"/>
      <c r="E871" s="14"/>
      <c r="F871" s="96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A872" s="12"/>
      <c r="D872" s="95"/>
      <c r="E872" s="14"/>
      <c r="F872" s="96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A873" s="12"/>
      <c r="D873" s="95"/>
      <c r="E873" s="14"/>
      <c r="F873" s="96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A874" s="12"/>
      <c r="D874" s="95"/>
      <c r="E874" s="14"/>
      <c r="F874" s="96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A875" s="12"/>
      <c r="D875" s="95"/>
      <c r="E875" s="14"/>
      <c r="F875" s="96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A876" s="12"/>
      <c r="D876" s="95"/>
      <c r="E876" s="14"/>
      <c r="F876" s="96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A877" s="12"/>
      <c r="D877" s="95"/>
      <c r="E877" s="14"/>
      <c r="F877" s="96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A878" s="12"/>
      <c r="D878" s="95"/>
      <c r="E878" s="14"/>
      <c r="F878" s="96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A879" s="12"/>
      <c r="D879" s="95"/>
      <c r="E879" s="14"/>
      <c r="F879" s="96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A880" s="12"/>
      <c r="D880" s="95"/>
      <c r="E880" s="14"/>
      <c r="F880" s="96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A881" s="12"/>
      <c r="D881" s="95"/>
      <c r="E881" s="14"/>
      <c r="F881" s="96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A882" s="12"/>
      <c r="D882" s="95"/>
      <c r="E882" s="14"/>
      <c r="F882" s="96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A883" s="12"/>
      <c r="D883" s="95"/>
      <c r="E883" s="14"/>
      <c r="F883" s="96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A884" s="12"/>
      <c r="D884" s="95"/>
      <c r="E884" s="14"/>
      <c r="F884" s="96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A885" s="12"/>
      <c r="D885" s="95"/>
      <c r="E885" s="14"/>
      <c r="F885" s="96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A886" s="12"/>
      <c r="D886" s="95"/>
      <c r="E886" s="14"/>
      <c r="F886" s="96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A887" s="12"/>
      <c r="D887" s="95"/>
      <c r="E887" s="14"/>
      <c r="F887" s="96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A888" s="12"/>
      <c r="D888" s="95"/>
      <c r="E888" s="14"/>
      <c r="F888" s="96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A889" s="12"/>
      <c r="D889" s="95"/>
      <c r="E889" s="14"/>
      <c r="F889" s="96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A890" s="12"/>
      <c r="D890" s="95"/>
      <c r="E890" s="14"/>
      <c r="F890" s="96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A891" s="12"/>
      <c r="D891" s="95"/>
      <c r="E891" s="14"/>
      <c r="F891" s="96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A892" s="12"/>
      <c r="D892" s="95"/>
      <c r="E892" s="14"/>
      <c r="F892" s="96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A893" s="12"/>
      <c r="D893" s="95"/>
      <c r="E893" s="14"/>
      <c r="F893" s="96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A894" s="12"/>
      <c r="D894" s="95"/>
      <c r="E894" s="14"/>
      <c r="F894" s="96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A895" s="12"/>
      <c r="D895" s="95"/>
      <c r="E895" s="14"/>
      <c r="F895" s="96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A896" s="12"/>
      <c r="D896" s="95"/>
      <c r="E896" s="14"/>
      <c r="F896" s="96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A897" s="12"/>
      <c r="D897" s="95"/>
      <c r="E897" s="14"/>
      <c r="F897" s="96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A898" s="12"/>
      <c r="D898" s="95"/>
      <c r="E898" s="14"/>
      <c r="F898" s="96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A899" s="12"/>
      <c r="D899" s="95"/>
      <c r="E899" s="14"/>
      <c r="F899" s="96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A900" s="12"/>
      <c r="D900" s="95"/>
      <c r="E900" s="14"/>
      <c r="F900" s="96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A901" s="12"/>
      <c r="D901" s="95"/>
      <c r="E901" s="14"/>
      <c r="F901" s="96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A902" s="12"/>
      <c r="D902" s="95"/>
      <c r="E902" s="14"/>
      <c r="F902" s="96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A903" s="12"/>
      <c r="D903" s="95"/>
      <c r="E903" s="14"/>
      <c r="F903" s="96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A904" s="12"/>
      <c r="D904" s="95"/>
      <c r="E904" s="14"/>
      <c r="F904" s="96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A905" s="12"/>
      <c r="D905" s="95"/>
      <c r="E905" s="14"/>
      <c r="F905" s="96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A906" s="12"/>
      <c r="D906" s="95"/>
      <c r="E906" s="14"/>
      <c r="F906" s="96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A907" s="12"/>
      <c r="D907" s="95"/>
      <c r="E907" s="14"/>
      <c r="F907" s="96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A908" s="12"/>
      <c r="D908" s="95"/>
      <c r="E908" s="14"/>
      <c r="F908" s="96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A909" s="12"/>
      <c r="D909" s="95"/>
      <c r="E909" s="14"/>
      <c r="F909" s="96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A910" s="12"/>
      <c r="D910" s="95"/>
      <c r="E910" s="14"/>
      <c r="F910" s="96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A911" s="12"/>
      <c r="D911" s="95"/>
      <c r="E911" s="14"/>
      <c r="F911" s="96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A912" s="12"/>
      <c r="D912" s="95"/>
      <c r="E912" s="14"/>
      <c r="F912" s="96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A913" s="12"/>
      <c r="D913" s="95"/>
      <c r="E913" s="14"/>
      <c r="F913" s="96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A914" s="12"/>
      <c r="D914" s="95"/>
      <c r="E914" s="14"/>
      <c r="F914" s="96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A915" s="12"/>
      <c r="D915" s="95"/>
      <c r="E915" s="14"/>
      <c r="F915" s="96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A916" s="12"/>
      <c r="D916" s="95"/>
      <c r="E916" s="14"/>
      <c r="F916" s="96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A917" s="12"/>
      <c r="D917" s="95"/>
      <c r="E917" s="14"/>
      <c r="F917" s="96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A918" s="12"/>
      <c r="D918" s="95"/>
      <c r="E918" s="14"/>
      <c r="F918" s="96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A919" s="12"/>
      <c r="D919" s="95"/>
      <c r="E919" s="14"/>
      <c r="F919" s="96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A920" s="12"/>
      <c r="D920" s="95"/>
      <c r="E920" s="14"/>
      <c r="F920" s="96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A921" s="12"/>
      <c r="D921" s="95"/>
      <c r="E921" s="14"/>
      <c r="F921" s="96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A922" s="12"/>
      <c r="D922" s="95"/>
      <c r="E922" s="14"/>
      <c r="F922" s="96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A923" s="12"/>
      <c r="D923" s="95"/>
      <c r="E923" s="14"/>
      <c r="F923" s="96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A924" s="12"/>
      <c r="D924" s="95"/>
      <c r="E924" s="14"/>
      <c r="F924" s="96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A925" s="12"/>
      <c r="D925" s="95"/>
      <c r="E925" s="14"/>
      <c r="F925" s="96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A926" s="12"/>
      <c r="D926" s="95"/>
      <c r="E926" s="14"/>
      <c r="F926" s="96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A927" s="12"/>
      <c r="D927" s="95"/>
      <c r="E927" s="14"/>
      <c r="F927" s="96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A928" s="12"/>
      <c r="D928" s="95"/>
      <c r="E928" s="14"/>
      <c r="F928" s="96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A929" s="12"/>
      <c r="D929" s="95"/>
      <c r="E929" s="14"/>
      <c r="F929" s="96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A930" s="12"/>
      <c r="D930" s="95"/>
      <c r="E930" s="14"/>
      <c r="F930" s="96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A931" s="12"/>
      <c r="D931" s="95"/>
      <c r="E931" s="14"/>
      <c r="F931" s="96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A932" s="12"/>
      <c r="D932" s="95"/>
      <c r="E932" s="14"/>
      <c r="F932" s="96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A933" s="12"/>
      <c r="D933" s="95"/>
      <c r="E933" s="14"/>
      <c r="F933" s="96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A934" s="12"/>
      <c r="D934" s="95"/>
      <c r="E934" s="14"/>
      <c r="F934" s="96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A935" s="12"/>
      <c r="D935" s="95"/>
      <c r="E935" s="14"/>
      <c r="F935" s="96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A936" s="12"/>
      <c r="D936" s="95"/>
      <c r="E936" s="14"/>
      <c r="F936" s="96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A937" s="12"/>
      <c r="D937" s="95"/>
      <c r="E937" s="14"/>
      <c r="F937" s="96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A938" s="12"/>
      <c r="D938" s="95"/>
      <c r="E938" s="14"/>
      <c r="F938" s="96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A939" s="12"/>
      <c r="D939" s="95"/>
      <c r="E939" s="14"/>
      <c r="F939" s="96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A940" s="12"/>
      <c r="D940" s="95"/>
      <c r="E940" s="14"/>
      <c r="F940" s="96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A941" s="12"/>
      <c r="D941" s="95"/>
      <c r="E941" s="14"/>
      <c r="F941" s="96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A942" s="12"/>
      <c r="D942" s="95"/>
      <c r="E942" s="14"/>
      <c r="F942" s="96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A943" s="12"/>
      <c r="D943" s="95"/>
      <c r="E943" s="14"/>
      <c r="F943" s="96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A944" s="12"/>
      <c r="D944" s="95"/>
      <c r="E944" s="14"/>
      <c r="F944" s="96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A945" s="12"/>
      <c r="D945" s="95"/>
      <c r="E945" s="14"/>
      <c r="F945" s="96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A946" s="12"/>
      <c r="D946" s="95"/>
      <c r="E946" s="14"/>
      <c r="F946" s="96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A947" s="12"/>
      <c r="D947" s="95"/>
      <c r="E947" s="14"/>
      <c r="F947" s="96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A948" s="12"/>
      <c r="D948" s="95"/>
      <c r="E948" s="14"/>
      <c r="F948" s="96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A949" s="12"/>
      <c r="D949" s="95"/>
      <c r="E949" s="14"/>
      <c r="F949" s="96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A950" s="12"/>
      <c r="D950" s="95"/>
      <c r="E950" s="14"/>
      <c r="F950" s="96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A951" s="12"/>
      <c r="D951" s="95"/>
      <c r="E951" s="14"/>
      <c r="F951" s="96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A952" s="12"/>
      <c r="D952" s="95"/>
      <c r="E952" s="14"/>
      <c r="F952" s="96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A953" s="12"/>
      <c r="D953" s="95"/>
      <c r="E953" s="14"/>
      <c r="F953" s="96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A954" s="12"/>
      <c r="D954" s="95"/>
      <c r="E954" s="14"/>
      <c r="F954" s="96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A955" s="12"/>
      <c r="D955" s="95"/>
      <c r="E955" s="14"/>
      <c r="F955" s="96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A956" s="12"/>
      <c r="D956" s="95"/>
      <c r="E956" s="14"/>
      <c r="F956" s="96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A957" s="12"/>
      <c r="D957" s="95"/>
      <c r="E957" s="14"/>
      <c r="F957" s="96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A958" s="12"/>
      <c r="D958" s="95"/>
      <c r="E958" s="14"/>
      <c r="F958" s="96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A959" s="12"/>
      <c r="D959" s="95"/>
      <c r="E959" s="14"/>
      <c r="F959" s="96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A960" s="12"/>
      <c r="D960" s="95"/>
      <c r="E960" s="14"/>
      <c r="F960" s="96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A961" s="12"/>
      <c r="D961" s="95"/>
      <c r="E961" s="14"/>
      <c r="F961" s="96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A962" s="12"/>
      <c r="D962" s="95"/>
      <c r="E962" s="14"/>
      <c r="F962" s="96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A963" s="12"/>
      <c r="D963" s="95"/>
      <c r="E963" s="14"/>
      <c r="F963" s="96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A964" s="12"/>
      <c r="D964" s="95"/>
      <c r="E964" s="14"/>
      <c r="F964" s="96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A965" s="12"/>
      <c r="D965" s="95"/>
      <c r="E965" s="14"/>
      <c r="F965" s="96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A966" s="12"/>
      <c r="D966" s="95"/>
      <c r="E966" s="14"/>
      <c r="F966" s="96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A967" s="12"/>
      <c r="D967" s="95"/>
      <c r="E967" s="14"/>
      <c r="F967" s="96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A968" s="12"/>
      <c r="D968" s="95"/>
      <c r="E968" s="14"/>
      <c r="F968" s="96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A969" s="12"/>
      <c r="D969" s="95"/>
      <c r="E969" s="14"/>
      <c r="F969" s="96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A970" s="12"/>
      <c r="D970" s="95"/>
      <c r="E970" s="14"/>
      <c r="F970" s="96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A971" s="12"/>
      <c r="D971" s="95"/>
      <c r="E971" s="14"/>
      <c r="F971" s="96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A972" s="12"/>
      <c r="D972" s="95"/>
      <c r="E972" s="14"/>
      <c r="F972" s="96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A973" s="12"/>
      <c r="D973" s="95"/>
      <c r="E973" s="14"/>
      <c r="F973" s="96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A974" s="12"/>
      <c r="D974" s="95"/>
      <c r="E974" s="14"/>
      <c r="F974" s="96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A975" s="12"/>
      <c r="D975" s="95"/>
      <c r="E975" s="14"/>
      <c r="F975" s="96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A976" s="12"/>
      <c r="D976" s="95"/>
      <c r="E976" s="14"/>
      <c r="F976" s="96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A977" s="12"/>
      <c r="D977" s="95"/>
      <c r="E977" s="14"/>
      <c r="F977" s="96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A978" s="12"/>
      <c r="D978" s="95"/>
      <c r="E978" s="14"/>
      <c r="F978" s="96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A979" s="12"/>
      <c r="D979" s="95"/>
      <c r="E979" s="14"/>
      <c r="F979" s="96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A980" s="12"/>
      <c r="D980" s="95"/>
      <c r="E980" s="14"/>
      <c r="F980" s="96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A981" s="12"/>
      <c r="D981" s="95"/>
      <c r="E981" s="14"/>
      <c r="F981" s="96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A982" s="12"/>
      <c r="D982" s="95"/>
      <c r="E982" s="14"/>
      <c r="F982" s="96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A983" s="12"/>
      <c r="D983" s="95"/>
      <c r="E983" s="14"/>
      <c r="F983" s="96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A984" s="12"/>
      <c r="D984" s="95"/>
      <c r="E984" s="14"/>
      <c r="F984" s="96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A985" s="12"/>
      <c r="D985" s="95"/>
      <c r="E985" s="14"/>
      <c r="F985" s="96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A986" s="12"/>
      <c r="D986" s="95"/>
      <c r="E986" s="14"/>
      <c r="F986" s="96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A987" s="12"/>
      <c r="D987" s="95"/>
      <c r="E987" s="14"/>
      <c r="F987" s="96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A988" s="12"/>
      <c r="D988" s="95"/>
      <c r="E988" s="14"/>
      <c r="F988" s="96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A989" s="12"/>
      <c r="D989" s="95"/>
      <c r="E989" s="14"/>
      <c r="F989" s="96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A990" s="12"/>
      <c r="D990" s="95"/>
      <c r="E990" s="14"/>
      <c r="F990" s="96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A991" s="12"/>
      <c r="D991" s="95"/>
      <c r="E991" s="14"/>
      <c r="F991" s="96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A992" s="12"/>
      <c r="D992" s="95"/>
      <c r="E992" s="14"/>
      <c r="F992" s="96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A993" s="12"/>
      <c r="D993" s="95"/>
      <c r="E993" s="14"/>
      <c r="F993" s="96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A994" s="12"/>
      <c r="D994" s="95"/>
      <c r="E994" s="14"/>
      <c r="F994" s="96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A995" s="12"/>
      <c r="D995" s="95"/>
      <c r="E995" s="14"/>
      <c r="F995" s="96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A996" s="12"/>
      <c r="D996" s="95"/>
      <c r="E996" s="14"/>
      <c r="F996" s="96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A997" s="12"/>
      <c r="D997" s="95"/>
      <c r="E997" s="14"/>
      <c r="F997" s="96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A998" s="12"/>
      <c r="D998" s="95"/>
      <c r="E998" s="14"/>
      <c r="F998" s="96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A999" s="12"/>
      <c r="D999" s="95"/>
      <c r="E999" s="14"/>
      <c r="F999" s="96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A1000" s="12"/>
      <c r="D1000" s="95"/>
      <c r="E1000" s="14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>
      <c r="A1001" s="12"/>
      <c r="D1001" s="95"/>
      <c r="E1001" s="14"/>
      <c r="F1001" s="96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>
      <c r="A1002" s="12"/>
      <c r="D1002" s="95"/>
      <c r="E1002" s="14"/>
      <c r="F1002" s="96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  <row r="1003">
      <c r="A1003" s="12"/>
      <c r="D1003" s="95"/>
      <c r="E1003" s="14"/>
      <c r="F1003" s="96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</row>
    <row r="1004">
      <c r="A1004" s="12"/>
      <c r="D1004" s="95"/>
      <c r="E1004" s="14"/>
      <c r="F1004" s="96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</row>
    <row r="1005">
      <c r="A1005" s="12"/>
      <c r="D1005" s="95"/>
      <c r="E1005" s="14"/>
      <c r="F1005" s="96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</row>
  </sheetData>
  <conditionalFormatting sqref="H2:Q36">
    <cfRule type="cellIs" dxfId="20" priority="1" operator="equal">
      <formula>0</formula>
    </cfRule>
  </conditionalFormatting>
  <conditionalFormatting sqref="H2:H36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6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6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6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6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6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6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Q36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6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43:C50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3:F50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9:F40">
      <formula1>OR(NOT(ISERROR(DATEVALUE(F39))), AND(ISNUMBER(F39), LEFT(CELL("format", F39))="D"))</formula1>
    </dataValidation>
    <dataValidation type="list" allowBlank="1" showDropDown="1" sqref="C2:C36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9.25"/>
    <col customWidth="1" min="3" max="3" width="15.5"/>
    <col customWidth="1" min="4" max="4" width="33.88"/>
    <col customWidth="1" min="5" max="5" width="9.25"/>
    <col customWidth="1" min="6" max="6" width="38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13"/>
    <col customWidth="1" min="17" max="17" width="17.75"/>
  </cols>
  <sheetData>
    <row r="1" ht="22.5" customHeight="1">
      <c r="A1" s="524" t="s">
        <v>48</v>
      </c>
      <c r="B1" s="525" t="s">
        <v>49</v>
      </c>
      <c r="C1" s="525" t="s">
        <v>50</v>
      </c>
      <c r="D1" s="526" t="s">
        <v>56</v>
      </c>
      <c r="E1" s="524" t="s">
        <v>57</v>
      </c>
      <c r="F1" s="527" t="s">
        <v>52</v>
      </c>
      <c r="G1" s="528" t="s">
        <v>53</v>
      </c>
      <c r="H1" s="524" t="s">
        <v>4</v>
      </c>
      <c r="I1" s="524" t="s">
        <v>58</v>
      </c>
      <c r="J1" s="524" t="s">
        <v>59</v>
      </c>
      <c r="K1" s="524" t="s">
        <v>60</v>
      </c>
      <c r="L1" s="524" t="s">
        <v>61</v>
      </c>
      <c r="M1" s="524" t="s">
        <v>62</v>
      </c>
      <c r="N1" s="524" t="s">
        <v>63</v>
      </c>
      <c r="O1" s="529" t="s">
        <v>387</v>
      </c>
      <c r="P1" s="529" t="s">
        <v>64</v>
      </c>
      <c r="Q1" s="524" t="s">
        <v>65</v>
      </c>
    </row>
    <row r="2" ht="22.5" customHeight="1">
      <c r="A2" s="530">
        <v>1.0</v>
      </c>
      <c r="B2" s="531" t="s">
        <v>840</v>
      </c>
      <c r="C2" s="532" t="s">
        <v>67</v>
      </c>
      <c r="D2" s="533" t="s">
        <v>111</v>
      </c>
      <c r="E2" s="534" t="str">
        <f>IMAGE("https://flagcdn.com/w320/hr.png")</f>
        <v/>
      </c>
      <c r="F2" s="535">
        <v>36566.0</v>
      </c>
      <c r="G2" s="536">
        <f t="shared" ref="G2:G30" si="1">DATEDIF(F2,TODAY(),"Y")</f>
        <v>25</v>
      </c>
      <c r="H2" s="537">
        <f>1+1+1+1+1+1+1</f>
        <v>7</v>
      </c>
      <c r="I2" s="537">
        <f>90+90+90+90+90+90+90</f>
        <v>630</v>
      </c>
      <c r="J2" s="537"/>
      <c r="K2" s="537"/>
      <c r="L2" s="537"/>
      <c r="M2" s="537"/>
      <c r="N2" s="537"/>
      <c r="O2" s="537"/>
      <c r="P2" s="537">
        <f t="shared" ref="P2:P30" si="2">J2+K2</f>
        <v>0</v>
      </c>
      <c r="Q2" s="537"/>
    </row>
    <row r="3" ht="22.5" customHeight="1">
      <c r="A3" s="530">
        <v>4.0</v>
      </c>
      <c r="B3" s="531" t="s">
        <v>841</v>
      </c>
      <c r="C3" s="532" t="s">
        <v>70</v>
      </c>
      <c r="D3" s="533" t="s">
        <v>842</v>
      </c>
      <c r="E3" s="534" t="str">
        <f>IMAGE("https://flagcdn.com/w320/zw.png")</f>
        <v/>
      </c>
      <c r="F3" s="535">
        <v>36909.0</v>
      </c>
      <c r="G3" s="536">
        <f t="shared" si="1"/>
        <v>25</v>
      </c>
      <c r="H3" s="538">
        <f>1+1+1+1</f>
        <v>4</v>
      </c>
      <c r="I3" s="538">
        <f>16+19+1+10</f>
        <v>46</v>
      </c>
      <c r="J3" s="537"/>
      <c r="K3" s="537"/>
      <c r="L3" s="537"/>
      <c r="M3" s="537"/>
      <c r="N3" s="537"/>
      <c r="O3" s="537"/>
      <c r="P3" s="537">
        <f t="shared" si="2"/>
        <v>0</v>
      </c>
      <c r="Q3" s="537"/>
    </row>
    <row r="4" ht="22.5" customHeight="1">
      <c r="A4" s="530">
        <v>5.0</v>
      </c>
      <c r="B4" s="539" t="s">
        <v>843</v>
      </c>
      <c r="C4" s="532" t="s">
        <v>70</v>
      </c>
      <c r="D4" s="533" t="s">
        <v>182</v>
      </c>
      <c r="E4" s="534" t="str">
        <f>IMAGE("https://flagcdn.com/w320/br.png")</f>
        <v/>
      </c>
      <c r="F4" s="535">
        <v>36653.0</v>
      </c>
      <c r="G4" s="536">
        <f t="shared" si="1"/>
        <v>25</v>
      </c>
      <c r="H4" s="537">
        <f>1+1+1+1+1+1+1</f>
        <v>7</v>
      </c>
      <c r="I4" s="537">
        <f>90+90+90+71+90+90+90</f>
        <v>611</v>
      </c>
      <c r="J4" s="537"/>
      <c r="K4" s="537"/>
      <c r="L4" s="537">
        <f>1</f>
        <v>1</v>
      </c>
      <c r="M4" s="537"/>
      <c r="N4" s="537"/>
      <c r="O4" s="537"/>
      <c r="P4" s="537">
        <f t="shared" si="2"/>
        <v>0</v>
      </c>
      <c r="Q4" s="537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>
      <c r="A5" s="530">
        <v>6.0</v>
      </c>
      <c r="B5" s="531" t="s">
        <v>844</v>
      </c>
      <c r="C5" s="532" t="s">
        <v>70</v>
      </c>
      <c r="D5" s="533" t="s">
        <v>845</v>
      </c>
      <c r="E5" s="534" t="str">
        <f>IMAGE("https://flagcdn.com/w320/gr.png")</f>
        <v/>
      </c>
      <c r="F5" s="535">
        <v>35448.0</v>
      </c>
      <c r="G5" s="536">
        <f t="shared" si="1"/>
        <v>29</v>
      </c>
      <c r="H5" s="537">
        <f>1+1+1+1+1+1</f>
        <v>6</v>
      </c>
      <c r="I5" s="537">
        <f>90+68+74+90+90+55</f>
        <v>467</v>
      </c>
      <c r="J5" s="537"/>
      <c r="K5" s="537"/>
      <c r="L5" s="537">
        <f>1+1</f>
        <v>2</v>
      </c>
      <c r="M5" s="537"/>
      <c r="N5" s="537"/>
      <c r="O5" s="537">
        <f>1</f>
        <v>1</v>
      </c>
      <c r="P5" s="537">
        <f t="shared" si="2"/>
        <v>0</v>
      </c>
      <c r="Q5" s="537"/>
    </row>
    <row r="6" ht="22.5" customHeight="1">
      <c r="A6" s="530">
        <v>7.0</v>
      </c>
      <c r="B6" s="531" t="s">
        <v>846</v>
      </c>
      <c r="C6" s="532" t="s">
        <v>82</v>
      </c>
      <c r="D6" s="533" t="s">
        <v>481</v>
      </c>
      <c r="E6" s="534" t="str">
        <f>IMAGE("https://flagcdn.com/w320/se.png")</f>
        <v/>
      </c>
      <c r="F6" s="535">
        <v>33605.0</v>
      </c>
      <c r="G6" s="536">
        <f t="shared" si="1"/>
        <v>34</v>
      </c>
      <c r="H6" s="537">
        <f>1+1+1+1+1+1+1</f>
        <v>7</v>
      </c>
      <c r="I6" s="537">
        <f>22+45+90+19+90+10+10</f>
        <v>286</v>
      </c>
      <c r="J6" s="537"/>
      <c r="K6" s="537"/>
      <c r="L6" s="537"/>
      <c r="M6" s="537"/>
      <c r="N6" s="537"/>
      <c r="O6" s="537"/>
      <c r="P6" s="537">
        <f t="shared" si="2"/>
        <v>0</v>
      </c>
      <c r="Q6" s="537"/>
    </row>
    <row r="7" ht="22.5" customHeight="1">
      <c r="A7" s="530">
        <v>8.0</v>
      </c>
      <c r="B7" s="531" t="s">
        <v>847</v>
      </c>
      <c r="C7" s="532" t="s">
        <v>79</v>
      </c>
      <c r="D7" s="533" t="s">
        <v>848</v>
      </c>
      <c r="E7" s="534" t="str">
        <f>IMAGE("https://flagcdn.com/w320/dk.png")</f>
        <v/>
      </c>
      <c r="F7" s="535">
        <v>36216.0</v>
      </c>
      <c r="G7" s="536">
        <f t="shared" si="1"/>
        <v>26</v>
      </c>
      <c r="H7" s="537"/>
      <c r="I7" s="537"/>
      <c r="J7" s="537"/>
      <c r="K7" s="537"/>
      <c r="L7" s="537"/>
      <c r="M7" s="537"/>
      <c r="N7" s="537"/>
      <c r="O7" s="537"/>
      <c r="P7" s="537">
        <f t="shared" si="2"/>
        <v>0</v>
      </c>
      <c r="Q7" s="537"/>
    </row>
    <row r="8" ht="22.5" customHeight="1">
      <c r="A8" s="530">
        <v>9.0</v>
      </c>
      <c r="B8" s="531" t="s">
        <v>849</v>
      </c>
      <c r="C8" s="532" t="s">
        <v>82</v>
      </c>
      <c r="D8" s="533" t="s">
        <v>850</v>
      </c>
      <c r="E8" s="534" t="str">
        <f>IMAGE("https://flagcdn.com/w320/de.png")</f>
        <v/>
      </c>
      <c r="F8" s="535">
        <v>38311.0</v>
      </c>
      <c r="G8" s="536">
        <f t="shared" si="1"/>
        <v>21</v>
      </c>
      <c r="H8" s="537">
        <f>1+1+1+1+1</f>
        <v>5</v>
      </c>
      <c r="I8" s="537">
        <f>68+45+90+71+12</f>
        <v>286</v>
      </c>
      <c r="J8" s="537"/>
      <c r="K8" s="537"/>
      <c r="L8" s="537"/>
      <c r="M8" s="537"/>
      <c r="N8" s="537"/>
      <c r="O8" s="537"/>
      <c r="P8" s="537">
        <f t="shared" si="2"/>
        <v>0</v>
      </c>
      <c r="Q8" s="537"/>
    </row>
    <row r="9" ht="22.5" customHeight="1">
      <c r="A9" s="530">
        <v>10.0</v>
      </c>
      <c r="B9" s="531" t="s">
        <v>851</v>
      </c>
      <c r="C9" s="532" t="s">
        <v>82</v>
      </c>
      <c r="D9" s="533" t="s">
        <v>96</v>
      </c>
      <c r="E9" s="534" t="str">
        <f>IMAGE("https://flagcdn.com/w320/no.png")</f>
        <v/>
      </c>
      <c r="F9" s="535">
        <v>34550.0</v>
      </c>
      <c r="G9" s="536">
        <f t="shared" si="1"/>
        <v>31</v>
      </c>
      <c r="H9" s="537">
        <f>1+1+1+1+1+1</f>
        <v>6</v>
      </c>
      <c r="I9" s="537">
        <f>90+90+71+22+90+90</f>
        <v>453</v>
      </c>
      <c r="J9" s="537">
        <f t="shared" ref="J9:L9" si="3">1</f>
        <v>1</v>
      </c>
      <c r="K9" s="537">
        <f t="shared" si="3"/>
        <v>1</v>
      </c>
      <c r="L9" s="537">
        <f t="shared" si="3"/>
        <v>1</v>
      </c>
      <c r="M9" s="537"/>
      <c r="N9" s="537"/>
      <c r="O9" s="537"/>
      <c r="P9" s="537">
        <f t="shared" si="2"/>
        <v>2</v>
      </c>
      <c r="Q9" s="537"/>
    </row>
    <row r="10" ht="22.5" customHeight="1">
      <c r="A10" s="530">
        <v>11.0</v>
      </c>
      <c r="B10" s="531" t="s">
        <v>852</v>
      </c>
      <c r="C10" s="532" t="s">
        <v>82</v>
      </c>
      <c r="D10" s="533" t="s">
        <v>853</v>
      </c>
      <c r="E10" s="534" t="str">
        <f>IMAGE("https://flagcdn.com/w320/se.png")</f>
        <v/>
      </c>
      <c r="F10" s="535">
        <v>35601.0</v>
      </c>
      <c r="G10" s="536">
        <f t="shared" si="1"/>
        <v>28</v>
      </c>
      <c r="H10" s="537">
        <f>1+1+1+1+1+1+1</f>
        <v>7</v>
      </c>
      <c r="I10" s="537">
        <f>78+90+74+45+68+90+28</f>
        <v>473</v>
      </c>
      <c r="J10" s="537">
        <f>1+1+1</f>
        <v>3</v>
      </c>
      <c r="K10" s="537"/>
      <c r="L10" s="537"/>
      <c r="M10" s="537"/>
      <c r="N10" s="537"/>
      <c r="O10" s="537"/>
      <c r="P10" s="537">
        <f t="shared" si="2"/>
        <v>3</v>
      </c>
      <c r="Q10" s="537"/>
    </row>
    <row r="11" ht="22.5" hidden="1" customHeight="1">
      <c r="A11" s="530">
        <v>12.0</v>
      </c>
      <c r="B11" s="531" t="s">
        <v>854</v>
      </c>
      <c r="C11" s="532" t="s">
        <v>79</v>
      </c>
      <c r="D11" s="533" t="s">
        <v>73</v>
      </c>
      <c r="E11" s="534" t="str">
        <f>IMAGE("https://flagcdn.com/w320/dk.png")</f>
        <v/>
      </c>
      <c r="F11" s="535">
        <v>34162.0</v>
      </c>
      <c r="G11" s="536">
        <f t="shared" si="1"/>
        <v>32</v>
      </c>
      <c r="H11" s="537">
        <f>1+1+1+1+1</f>
        <v>5</v>
      </c>
      <c r="I11" s="537">
        <f>90+90+90+90+90</f>
        <v>450</v>
      </c>
      <c r="J11" s="537"/>
      <c r="K11" s="537"/>
      <c r="L11" s="537">
        <f>1+1+1</f>
        <v>3</v>
      </c>
      <c r="M11" s="537"/>
      <c r="N11" s="537"/>
      <c r="O11" s="537"/>
      <c r="P11" s="537">
        <f t="shared" si="2"/>
        <v>0</v>
      </c>
      <c r="Q11" s="537"/>
    </row>
    <row r="12" ht="22.5" customHeight="1">
      <c r="A12" s="530">
        <v>13.0</v>
      </c>
      <c r="B12" s="531" t="s">
        <v>855</v>
      </c>
      <c r="C12" s="532" t="s">
        <v>70</v>
      </c>
      <c r="D12" s="533" t="s">
        <v>856</v>
      </c>
      <c r="E12" s="534" t="str">
        <f>IMAGE("https://flagcdn.com/w320/mx.png")</f>
        <v/>
      </c>
      <c r="F12" s="535">
        <v>37882.0</v>
      </c>
      <c r="G12" s="536">
        <f t="shared" si="1"/>
        <v>22</v>
      </c>
      <c r="H12" s="537">
        <f>1+1</f>
        <v>2</v>
      </c>
      <c r="I12" s="537">
        <f>90+14</f>
        <v>104</v>
      </c>
      <c r="J12" s="537"/>
      <c r="K12" s="537">
        <f>1</f>
        <v>1</v>
      </c>
      <c r="L12" s="537"/>
      <c r="M12" s="537"/>
      <c r="N12" s="537"/>
      <c r="O12" s="537"/>
      <c r="P12" s="537">
        <f t="shared" si="2"/>
        <v>1</v>
      </c>
      <c r="Q12" s="537"/>
    </row>
    <row r="13" ht="22.5" customHeight="1">
      <c r="A13" s="530">
        <v>14.0</v>
      </c>
      <c r="B13" s="531" t="s">
        <v>857</v>
      </c>
      <c r="C13" s="532" t="s">
        <v>82</v>
      </c>
      <c r="D13" s="533" t="s">
        <v>73</v>
      </c>
      <c r="E13" s="534" t="str">
        <f>IMAGE("https://flagcdn.com/w320/dk.png")</f>
        <v/>
      </c>
      <c r="F13" s="535">
        <v>34044.0</v>
      </c>
      <c r="G13" s="536">
        <f t="shared" si="1"/>
        <v>32</v>
      </c>
      <c r="H13" s="537">
        <f>1+1+1</f>
        <v>3</v>
      </c>
      <c r="I13" s="537">
        <f>19+20+62</f>
        <v>101</v>
      </c>
      <c r="J13" s="537">
        <f>1</f>
        <v>1</v>
      </c>
      <c r="K13" s="537"/>
      <c r="L13" s="537">
        <f>1</f>
        <v>1</v>
      </c>
      <c r="M13" s="537"/>
      <c r="N13" s="537"/>
      <c r="O13" s="537"/>
      <c r="P13" s="537">
        <f t="shared" si="2"/>
        <v>1</v>
      </c>
      <c r="Q13" s="537"/>
    </row>
    <row r="14" ht="22.5" customHeight="1">
      <c r="A14" s="530">
        <v>15.0</v>
      </c>
      <c r="B14" s="531" t="s">
        <v>858</v>
      </c>
      <c r="C14" s="532" t="s">
        <v>70</v>
      </c>
      <c r="D14" s="533" t="s">
        <v>859</v>
      </c>
      <c r="E14" s="534" t="str">
        <f>IMAGE("https://flagcdn.com/w320/pe.png")</f>
        <v/>
      </c>
      <c r="F14" s="535">
        <v>36484.0</v>
      </c>
      <c r="G14" s="536">
        <f t="shared" si="1"/>
        <v>26</v>
      </c>
      <c r="H14" s="537">
        <f>1+1+1+1+1+1+1</f>
        <v>7</v>
      </c>
      <c r="I14" s="537">
        <f>90+90+28+90+90+90+90</f>
        <v>568</v>
      </c>
      <c r="J14" s="537"/>
      <c r="K14" s="537">
        <f t="shared" ref="K14:K16" si="4">1</f>
        <v>1</v>
      </c>
      <c r="L14" s="537">
        <f>1+1</f>
        <v>2</v>
      </c>
      <c r="M14" s="537"/>
      <c r="N14" s="537"/>
      <c r="O14" s="537"/>
      <c r="P14" s="537">
        <f t="shared" si="2"/>
        <v>1</v>
      </c>
      <c r="Q14" s="537"/>
    </row>
    <row r="15" ht="22.5" customHeight="1">
      <c r="A15" s="530">
        <v>16.0</v>
      </c>
      <c r="B15" s="539" t="s">
        <v>860</v>
      </c>
      <c r="C15" s="532" t="s">
        <v>82</v>
      </c>
      <c r="D15" s="533" t="s">
        <v>182</v>
      </c>
      <c r="E15" s="534" t="str">
        <f>IMAGE("https://flagcdn.com/w320/br.png")</f>
        <v/>
      </c>
      <c r="F15" s="535">
        <v>38455.0</v>
      </c>
      <c r="G15" s="536">
        <f t="shared" si="1"/>
        <v>20</v>
      </c>
      <c r="H15" s="537">
        <f>1+1+1+1+1</f>
        <v>5</v>
      </c>
      <c r="I15" s="537">
        <f>12+45+15+78+45</f>
        <v>195</v>
      </c>
      <c r="J15" s="537">
        <f>1+1</f>
        <v>2</v>
      </c>
      <c r="K15" s="537">
        <f t="shared" si="4"/>
        <v>1</v>
      </c>
      <c r="L15" s="537"/>
      <c r="M15" s="537"/>
      <c r="N15" s="537"/>
      <c r="O15" s="537"/>
      <c r="P15" s="537">
        <f t="shared" si="2"/>
        <v>3</v>
      </c>
      <c r="Q15" s="537"/>
    </row>
    <row r="16" ht="22.5" customHeight="1">
      <c r="A16" s="530">
        <v>20.0</v>
      </c>
      <c r="B16" s="531" t="s">
        <v>861</v>
      </c>
      <c r="C16" s="532" t="s">
        <v>70</v>
      </c>
      <c r="D16" s="533" t="s">
        <v>75</v>
      </c>
      <c r="E16" s="534" t="str">
        <f>IMAGE("https://flagcdn.com/w320/jp.png")</f>
        <v/>
      </c>
      <c r="F16" s="535">
        <v>37937.0</v>
      </c>
      <c r="G16" s="536">
        <f t="shared" si="1"/>
        <v>22</v>
      </c>
      <c r="H16" s="538">
        <f t="shared" ref="H16:H17" si="5">1+1+1+1+1+1</f>
        <v>6</v>
      </c>
      <c r="I16" s="538">
        <f>45+90+90+68+90+90</f>
        <v>473</v>
      </c>
      <c r="J16" s="537"/>
      <c r="K16" s="537">
        <f t="shared" si="4"/>
        <v>1</v>
      </c>
      <c r="L16" s="537">
        <f>1</f>
        <v>1</v>
      </c>
      <c r="M16" s="537"/>
      <c r="N16" s="537"/>
      <c r="O16" s="537"/>
      <c r="P16" s="537">
        <f t="shared" si="2"/>
        <v>1</v>
      </c>
      <c r="Q16" s="537"/>
    </row>
    <row r="17" ht="22.5" customHeight="1">
      <c r="A17" s="530">
        <v>21.0</v>
      </c>
      <c r="B17" s="531" t="s">
        <v>862</v>
      </c>
      <c r="C17" s="532" t="s">
        <v>79</v>
      </c>
      <c r="D17" s="533" t="s">
        <v>73</v>
      </c>
      <c r="E17" s="534" t="str">
        <f>IMAGE("https://flagcdn.com/w320/dk.png")</f>
        <v/>
      </c>
      <c r="F17" s="535">
        <v>35809.0</v>
      </c>
      <c r="G17" s="536">
        <f t="shared" si="1"/>
        <v>28</v>
      </c>
      <c r="H17" s="537">
        <f t="shared" si="5"/>
        <v>6</v>
      </c>
      <c r="I17" s="537">
        <f>36+13+10+22+80+80</f>
        <v>241</v>
      </c>
      <c r="J17" s="537"/>
      <c r="K17" s="537"/>
      <c r="L17" s="537"/>
      <c r="M17" s="537"/>
      <c r="N17" s="537"/>
      <c r="O17" s="537"/>
      <c r="P17" s="537">
        <f t="shared" si="2"/>
        <v>0</v>
      </c>
      <c r="Q17" s="537"/>
    </row>
    <row r="18" ht="22.5" customHeight="1">
      <c r="A18" s="530">
        <v>22.0</v>
      </c>
      <c r="B18" s="531" t="s">
        <v>863</v>
      </c>
      <c r="C18" s="532" t="s">
        <v>70</v>
      </c>
      <c r="D18" s="533" t="s">
        <v>864</v>
      </c>
      <c r="E18" s="534" t="str">
        <f>IMAGE("https://flagcdn.com/w320/fr.png")</f>
        <v/>
      </c>
      <c r="F18" s="535">
        <v>38852.0</v>
      </c>
      <c r="G18" s="536">
        <f t="shared" si="1"/>
        <v>19</v>
      </c>
      <c r="H18" s="537">
        <f>1+1+1+1+1</f>
        <v>5</v>
      </c>
      <c r="I18" s="537">
        <f>12+76+10+22+70</f>
        <v>190</v>
      </c>
      <c r="J18" s="537"/>
      <c r="K18" s="537">
        <f t="shared" ref="K18:L18" si="6">1</f>
        <v>1</v>
      </c>
      <c r="L18" s="537">
        <f t="shared" si="6"/>
        <v>1</v>
      </c>
      <c r="M18" s="537"/>
      <c r="N18" s="537"/>
      <c r="O18" s="537"/>
      <c r="P18" s="537">
        <f t="shared" si="2"/>
        <v>1</v>
      </c>
      <c r="Q18" s="537"/>
    </row>
    <row r="19" ht="22.5" customHeight="1">
      <c r="A19" s="530">
        <v>23.0</v>
      </c>
      <c r="B19" s="531" t="s">
        <v>865</v>
      </c>
      <c r="C19" s="532" t="s">
        <v>79</v>
      </c>
      <c r="D19" s="533" t="s">
        <v>521</v>
      </c>
      <c r="E19" s="534" t="str">
        <f>IMAGE("https://flagcdn.com/w320/pl.png")</f>
        <v/>
      </c>
      <c r="F19" s="535">
        <v>39380.0</v>
      </c>
      <c r="G19" s="536">
        <f t="shared" si="1"/>
        <v>18</v>
      </c>
      <c r="H19" s="538">
        <v>0.0</v>
      </c>
      <c r="I19" s="538">
        <v>0.0</v>
      </c>
      <c r="J19" s="537"/>
      <c r="K19" s="537"/>
      <c r="L19" s="537"/>
      <c r="M19" s="537"/>
      <c r="N19" s="537"/>
      <c r="O19" s="537"/>
      <c r="P19" s="537">
        <f t="shared" si="2"/>
        <v>0</v>
      </c>
      <c r="Q19" s="537"/>
    </row>
    <row r="20" ht="22.5" customHeight="1">
      <c r="A20" s="530">
        <v>24.0</v>
      </c>
      <c r="B20" s="531" t="s">
        <v>866</v>
      </c>
      <c r="C20" s="532" t="s">
        <v>70</v>
      </c>
      <c r="D20" s="533" t="s">
        <v>96</v>
      </c>
      <c r="E20" s="534" t="str">
        <f>IMAGE("https://flagcdn.com/w320/no.png")</f>
        <v/>
      </c>
      <c r="F20" s="535">
        <v>34685.0</v>
      </c>
      <c r="G20" s="536">
        <f t="shared" si="1"/>
        <v>31</v>
      </c>
      <c r="H20" s="538">
        <f>1+1+1</f>
        <v>3</v>
      </c>
      <c r="I20" s="538">
        <f>62+20+80</f>
        <v>162</v>
      </c>
      <c r="J20" s="537"/>
      <c r="K20" s="537"/>
      <c r="L20" s="537"/>
      <c r="M20" s="537"/>
      <c r="N20" s="537"/>
      <c r="O20" s="537"/>
      <c r="P20" s="537">
        <f t="shared" si="2"/>
        <v>0</v>
      </c>
      <c r="Q20" s="537"/>
    </row>
    <row r="21" ht="22.5" customHeight="1">
      <c r="A21" s="530">
        <v>27.0</v>
      </c>
      <c r="B21" s="531" t="s">
        <v>867</v>
      </c>
      <c r="C21" s="532" t="s">
        <v>79</v>
      </c>
      <c r="D21" s="533" t="s">
        <v>868</v>
      </c>
      <c r="E21" s="534" t="str">
        <f t="shared" ref="E21:E22" si="8">IMAGE("https://flagcdn.com/w320/dk.png")</f>
        <v/>
      </c>
      <c r="F21" s="535">
        <v>33484.0</v>
      </c>
      <c r="G21" s="536">
        <f t="shared" si="1"/>
        <v>34</v>
      </c>
      <c r="H21" s="537">
        <f>1+1+1+1</f>
        <v>4</v>
      </c>
      <c r="I21" s="537">
        <f>54+77+10+34</f>
        <v>175</v>
      </c>
      <c r="J21" s="537"/>
      <c r="K21" s="537"/>
      <c r="L21" s="537">
        <f t="shared" ref="L21:M21" si="7">1</f>
        <v>1</v>
      </c>
      <c r="M21" s="537">
        <f t="shared" si="7"/>
        <v>1</v>
      </c>
      <c r="N21" s="537"/>
      <c r="O21" s="537"/>
      <c r="P21" s="537">
        <f t="shared" si="2"/>
        <v>0</v>
      </c>
      <c r="Q21" s="537"/>
    </row>
    <row r="22" ht="22.5" customHeight="1">
      <c r="A22" s="540">
        <v>29.0</v>
      </c>
      <c r="B22" s="541" t="s">
        <v>869</v>
      </c>
      <c r="C22" s="542" t="s">
        <v>79</v>
      </c>
      <c r="D22" s="543" t="s">
        <v>73</v>
      </c>
      <c r="E22" s="544" t="str">
        <f t="shared" si="8"/>
        <v/>
      </c>
      <c r="F22" s="545">
        <v>39114.0</v>
      </c>
      <c r="G22" s="546">
        <f t="shared" si="1"/>
        <v>18</v>
      </c>
      <c r="H22" s="547"/>
      <c r="I22" s="547"/>
      <c r="J22" s="547"/>
      <c r="K22" s="547"/>
      <c r="L22" s="547"/>
      <c r="M22" s="547"/>
      <c r="N22" s="547"/>
      <c r="O22" s="547"/>
      <c r="P22" s="547">
        <f t="shared" si="2"/>
        <v>0</v>
      </c>
      <c r="Q22" s="547"/>
    </row>
    <row r="23" ht="22.5" customHeight="1">
      <c r="A23" s="530">
        <v>30.0</v>
      </c>
      <c r="B23" s="531" t="s">
        <v>870</v>
      </c>
      <c r="C23" s="532" t="s">
        <v>82</v>
      </c>
      <c r="D23" s="533" t="s">
        <v>871</v>
      </c>
      <c r="E23" s="534" t="str">
        <f>IMAGE("https://flagcdn.com/w320/tn.png")</f>
        <v/>
      </c>
      <c r="F23" s="535">
        <v>36201.0</v>
      </c>
      <c r="G23" s="536">
        <f t="shared" si="1"/>
        <v>26</v>
      </c>
      <c r="H23" s="537">
        <f>1+1+1+1+1+1</f>
        <v>6</v>
      </c>
      <c r="I23" s="537">
        <f>78+22+80+75+45+62</f>
        <v>362</v>
      </c>
      <c r="J23" s="537">
        <f t="shared" ref="J23:L23" si="9">1</f>
        <v>1</v>
      </c>
      <c r="K23" s="537">
        <f t="shared" si="9"/>
        <v>1</v>
      </c>
      <c r="L23" s="537">
        <f t="shared" si="9"/>
        <v>1</v>
      </c>
      <c r="M23" s="537"/>
      <c r="N23" s="537"/>
      <c r="O23" s="537"/>
      <c r="P23" s="537">
        <f t="shared" si="2"/>
        <v>2</v>
      </c>
      <c r="Q23" s="537"/>
    </row>
    <row r="24" ht="22.5" customHeight="1">
      <c r="A24" s="530">
        <v>31.0</v>
      </c>
      <c r="B24" s="531" t="s">
        <v>872</v>
      </c>
      <c r="C24" s="532" t="s">
        <v>67</v>
      </c>
      <c r="D24" s="533" t="s">
        <v>873</v>
      </c>
      <c r="E24" s="534" t="str">
        <f>IMAGE("https://flagcdn.com/w320/is.png")</f>
        <v/>
      </c>
      <c r="F24" s="535">
        <v>34748.0</v>
      </c>
      <c r="G24" s="536">
        <f t="shared" si="1"/>
        <v>30</v>
      </c>
      <c r="H24" s="538">
        <v>0.0</v>
      </c>
      <c r="I24" s="538">
        <v>0.0</v>
      </c>
      <c r="J24" s="537"/>
      <c r="K24" s="537"/>
      <c r="L24" s="537"/>
      <c r="M24" s="537"/>
      <c r="N24" s="537"/>
      <c r="O24" s="537"/>
      <c r="P24" s="537">
        <f t="shared" si="2"/>
        <v>0</v>
      </c>
      <c r="Q24" s="537"/>
    </row>
    <row r="25" ht="22.5" customHeight="1">
      <c r="A25" s="530">
        <v>36.0</v>
      </c>
      <c r="B25" s="531" t="s">
        <v>874</v>
      </c>
      <c r="C25" s="532" t="s">
        <v>79</v>
      </c>
      <c r="D25" s="533" t="s">
        <v>875</v>
      </c>
      <c r="E25" s="534" t="str">
        <f t="shared" ref="E25:E27" si="10">IMAGE("https://flagcdn.com/w320/dk.png")</f>
        <v/>
      </c>
      <c r="F25" s="535">
        <v>38158.0</v>
      </c>
      <c r="G25" s="536">
        <f t="shared" si="1"/>
        <v>21</v>
      </c>
      <c r="H25" s="538">
        <f>1+1+1+1+1</f>
        <v>5</v>
      </c>
      <c r="I25" s="538">
        <f>80+90+68+80+28</f>
        <v>346</v>
      </c>
      <c r="J25" s="537"/>
      <c r="K25" s="537"/>
      <c r="L25" s="537">
        <f>1</f>
        <v>1</v>
      </c>
      <c r="M25" s="537"/>
      <c r="N25" s="537"/>
      <c r="O25" s="537"/>
      <c r="P25" s="537">
        <f t="shared" si="2"/>
        <v>0</v>
      </c>
      <c r="Q25" s="537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22.5" customHeight="1">
      <c r="A26" s="540">
        <v>37.0</v>
      </c>
      <c r="B26" s="541" t="s">
        <v>876</v>
      </c>
      <c r="C26" s="542" t="s">
        <v>79</v>
      </c>
      <c r="D26" s="543" t="s">
        <v>877</v>
      </c>
      <c r="E26" s="544" t="str">
        <f t="shared" si="10"/>
        <v/>
      </c>
      <c r="F26" s="545">
        <v>39599.0</v>
      </c>
      <c r="G26" s="546">
        <f t="shared" si="1"/>
        <v>17</v>
      </c>
      <c r="H26" s="547"/>
      <c r="I26" s="547"/>
      <c r="J26" s="547"/>
      <c r="K26" s="547"/>
      <c r="L26" s="547"/>
      <c r="M26" s="547"/>
      <c r="N26" s="547"/>
      <c r="O26" s="547"/>
      <c r="P26" s="547">
        <f t="shared" si="2"/>
        <v>0</v>
      </c>
      <c r="Q26" s="547"/>
    </row>
    <row r="27" ht="22.5" customHeight="1">
      <c r="A27" s="540">
        <v>38.0</v>
      </c>
      <c r="B27" s="541" t="s">
        <v>878</v>
      </c>
      <c r="C27" s="542" t="s">
        <v>79</v>
      </c>
      <c r="D27" s="543" t="s">
        <v>73</v>
      </c>
      <c r="E27" s="544" t="str">
        <f t="shared" si="10"/>
        <v/>
      </c>
      <c r="F27" s="545">
        <v>39106.0</v>
      </c>
      <c r="G27" s="546">
        <f t="shared" si="1"/>
        <v>19</v>
      </c>
      <c r="H27" s="548">
        <v>0.0</v>
      </c>
      <c r="I27" s="548">
        <v>0.0</v>
      </c>
      <c r="J27" s="547"/>
      <c r="K27" s="547"/>
      <c r="L27" s="547"/>
      <c r="M27" s="547"/>
      <c r="N27" s="547"/>
      <c r="O27" s="547"/>
      <c r="P27" s="547">
        <f t="shared" si="2"/>
        <v>0</v>
      </c>
      <c r="Q27" s="547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ht="22.5" customHeight="1">
      <c r="A28" s="540">
        <v>39.0</v>
      </c>
      <c r="B28" s="541" t="s">
        <v>879</v>
      </c>
      <c r="C28" s="542" t="s">
        <v>82</v>
      </c>
      <c r="D28" s="543" t="s">
        <v>873</v>
      </c>
      <c r="E28" s="544" t="str">
        <f>IMAGE("https://flagcdn.com/w320/is.png")</f>
        <v/>
      </c>
      <c r="F28" s="545">
        <v>39629.0</v>
      </c>
      <c r="G28" s="546">
        <f t="shared" si="1"/>
        <v>17</v>
      </c>
      <c r="H28" s="547">
        <f>1+1+1+1+1</f>
        <v>5</v>
      </c>
      <c r="I28" s="547">
        <f>16+45+89+70+35</f>
        <v>255</v>
      </c>
      <c r="J28" s="547">
        <f>1+1</f>
        <v>2</v>
      </c>
      <c r="K28" s="547"/>
      <c r="L28" s="547"/>
      <c r="M28" s="547"/>
      <c r="N28" s="547"/>
      <c r="O28" s="547"/>
      <c r="P28" s="547">
        <f t="shared" si="2"/>
        <v>2</v>
      </c>
      <c r="Q28" s="547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ht="22.5" customHeight="1">
      <c r="A29" s="540">
        <v>42.0</v>
      </c>
      <c r="B29" s="541" t="s">
        <v>880</v>
      </c>
      <c r="C29" s="542" t="s">
        <v>70</v>
      </c>
      <c r="D29" s="543" t="s">
        <v>73</v>
      </c>
      <c r="E29" s="544" t="str">
        <f t="shared" ref="E29:E30" si="11">IMAGE("https://flagcdn.com/w320/dk.png")</f>
        <v/>
      </c>
      <c r="F29" s="545">
        <v>39335.0</v>
      </c>
      <c r="G29" s="546">
        <f t="shared" si="1"/>
        <v>18</v>
      </c>
      <c r="H29" s="548">
        <v>0.0</v>
      </c>
      <c r="I29" s="548">
        <v>0.0</v>
      </c>
      <c r="J29" s="547"/>
      <c r="K29" s="547"/>
      <c r="L29" s="547"/>
      <c r="M29" s="547"/>
      <c r="N29" s="547"/>
      <c r="O29" s="547"/>
      <c r="P29" s="547">
        <f t="shared" si="2"/>
        <v>0</v>
      </c>
      <c r="Q29" s="547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ht="22.5" customHeight="1">
      <c r="A30" s="540">
        <v>61.0</v>
      </c>
      <c r="B30" s="541" t="s">
        <v>881</v>
      </c>
      <c r="C30" s="542" t="s">
        <v>67</v>
      </c>
      <c r="D30" s="543" t="s">
        <v>73</v>
      </c>
      <c r="E30" s="544" t="str">
        <f t="shared" si="11"/>
        <v/>
      </c>
      <c r="F30" s="545">
        <v>39019.0</v>
      </c>
      <c r="G30" s="546">
        <f t="shared" si="1"/>
        <v>19</v>
      </c>
      <c r="H30" s="548">
        <v>0.0</v>
      </c>
      <c r="I30" s="548">
        <v>0.0</v>
      </c>
      <c r="J30" s="547"/>
      <c r="K30" s="547"/>
      <c r="L30" s="547"/>
      <c r="M30" s="547"/>
      <c r="N30" s="547"/>
      <c r="O30" s="547"/>
      <c r="P30" s="547">
        <f t="shared" si="2"/>
        <v>0</v>
      </c>
      <c r="Q30" s="547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11"/>
      <c r="B31" s="18"/>
      <c r="C31" s="18"/>
      <c r="D31" s="64"/>
      <c r="E31" s="65"/>
      <c r="F31" s="66"/>
      <c r="G31" s="18"/>
      <c r="H31" s="11">
        <f>SUM(H2:H30)</f>
        <v>111</v>
      </c>
      <c r="I31" s="11">
        <f>SUM(I2:I30)+56</f>
        <v>6930</v>
      </c>
      <c r="J31" s="11">
        <f t="shared" ref="J31:Q31" si="12">SUM(J2:J30)</f>
        <v>10</v>
      </c>
      <c r="K31" s="11">
        <f t="shared" si="12"/>
        <v>7</v>
      </c>
      <c r="L31" s="11">
        <f t="shared" si="12"/>
        <v>15</v>
      </c>
      <c r="M31" s="11">
        <f t="shared" si="12"/>
        <v>1</v>
      </c>
      <c r="N31" s="11">
        <f t="shared" si="12"/>
        <v>0</v>
      </c>
      <c r="O31" s="11">
        <f t="shared" si="12"/>
        <v>1</v>
      </c>
      <c r="P31" s="11">
        <f t="shared" si="12"/>
        <v>17</v>
      </c>
      <c r="Q31" s="11">
        <f t="shared" si="12"/>
        <v>0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ht="22.5" customHeight="1">
      <c r="A32" s="524" t="s">
        <v>150</v>
      </c>
      <c r="B32" s="525" t="s">
        <v>49</v>
      </c>
      <c r="C32" s="525" t="s">
        <v>265</v>
      </c>
      <c r="D32" s="549" t="s">
        <v>56</v>
      </c>
      <c r="E32" s="525" t="s">
        <v>57</v>
      </c>
      <c r="F32" s="525" t="s">
        <v>52</v>
      </c>
      <c r="G32" s="525" t="s">
        <v>53</v>
      </c>
      <c r="H32" s="550" t="s">
        <v>4</v>
      </c>
      <c r="I32" s="550" t="s">
        <v>5</v>
      </c>
      <c r="J32" s="550" t="s">
        <v>6</v>
      </c>
      <c r="K32" s="550" t="s">
        <v>7</v>
      </c>
      <c r="L32" s="550" t="s">
        <v>8</v>
      </c>
      <c r="M32" s="550" t="s">
        <v>9</v>
      </c>
      <c r="N32" s="550" t="s">
        <v>10</v>
      </c>
      <c r="O32" s="12"/>
      <c r="P32" s="12"/>
      <c r="Q32" s="12"/>
    </row>
    <row r="33" ht="22.5" customHeight="1">
      <c r="A33" s="551"/>
      <c r="B33" s="531" t="s">
        <v>882</v>
      </c>
      <c r="C33" s="531" t="s">
        <v>153</v>
      </c>
      <c r="D33" s="533" t="s">
        <v>73</v>
      </c>
      <c r="E33" s="552" t="str">
        <f>IMAGE("https://flagcdn.com/w320/dk.png")</f>
        <v/>
      </c>
      <c r="F33" s="535">
        <v>32210.0</v>
      </c>
      <c r="G33" s="536">
        <f>DATEDIF(F33,TODAY(),"Y")</f>
        <v>37</v>
      </c>
      <c r="H33" s="553">
        <f>L33+M33+N33</f>
        <v>7</v>
      </c>
      <c r="I33" s="553">
        <f>(3*L33)+M33</f>
        <v>8</v>
      </c>
      <c r="J33" s="553">
        <f>2+2+3+3+1</f>
        <v>11</v>
      </c>
      <c r="K33" s="553">
        <f>2+2+4+4+2+2+1</f>
        <v>17</v>
      </c>
      <c r="L33" s="554">
        <f t="shared" ref="L33:M33" si="13">1+1</f>
        <v>2</v>
      </c>
      <c r="M33" s="555">
        <f t="shared" si="13"/>
        <v>2</v>
      </c>
      <c r="N33" s="556">
        <f>1+1+1</f>
        <v>3</v>
      </c>
      <c r="O33" s="12"/>
      <c r="P33" s="12"/>
      <c r="Q33" s="12"/>
    </row>
    <row r="34">
      <c r="A34" s="11"/>
      <c r="B34" s="18"/>
      <c r="C34" s="18"/>
      <c r="D34" s="64"/>
      <c r="E34" s="65"/>
      <c r="F34" s="66"/>
      <c r="G34" s="18"/>
      <c r="H34" s="11">
        <f t="shared" ref="H34:N34" si="14">SUM(H33)</f>
        <v>7</v>
      </c>
      <c r="I34" s="11">
        <f t="shared" si="14"/>
        <v>8</v>
      </c>
      <c r="J34" s="11">
        <f t="shared" si="14"/>
        <v>11</v>
      </c>
      <c r="K34" s="11">
        <f t="shared" si="14"/>
        <v>17</v>
      </c>
      <c r="L34" s="11">
        <f t="shared" si="14"/>
        <v>2</v>
      </c>
      <c r="M34" s="11">
        <f t="shared" si="14"/>
        <v>2</v>
      </c>
      <c r="N34" s="11">
        <f t="shared" si="14"/>
        <v>3</v>
      </c>
      <c r="O34" s="11"/>
      <c r="P34" s="11"/>
      <c r="Q34" s="11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ht="22.5" customHeight="1">
      <c r="A35" s="524" t="s">
        <v>156</v>
      </c>
      <c r="B35" s="524" t="s">
        <v>157</v>
      </c>
      <c r="C35" s="524" t="s">
        <v>158</v>
      </c>
      <c r="D35" s="528" t="s">
        <v>883</v>
      </c>
      <c r="E35" s="524" t="s">
        <v>160</v>
      </c>
      <c r="F35" s="524" t="s">
        <v>161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22.5" customHeight="1">
      <c r="A36" s="197">
        <v>1.0</v>
      </c>
      <c r="B36" s="198" t="s">
        <v>34</v>
      </c>
      <c r="C36" s="198" t="s">
        <v>31</v>
      </c>
      <c r="D36" s="264" t="s">
        <v>884</v>
      </c>
      <c r="E36" s="265">
        <v>45690.0</v>
      </c>
      <c r="F36" s="198" t="s">
        <v>505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ht="22.5" customHeight="1">
      <c r="A37" s="77">
        <v>2.0</v>
      </c>
      <c r="B37" s="78" t="s">
        <v>32</v>
      </c>
      <c r="C37" s="78" t="s">
        <v>34</v>
      </c>
      <c r="D37" s="79"/>
      <c r="E37" s="80" t="s">
        <v>271</v>
      </c>
      <c r="F37" s="78" t="s">
        <v>170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22.5" customHeight="1">
      <c r="A38" s="77">
        <v>3.0</v>
      </c>
      <c r="B38" s="78" t="s">
        <v>34</v>
      </c>
      <c r="C38" s="78" t="s">
        <v>21</v>
      </c>
      <c r="D38" s="83" t="s">
        <v>885</v>
      </c>
      <c r="E38" s="84">
        <v>45692.0</v>
      </c>
      <c r="F38" s="78" t="s">
        <v>505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22.5" customHeight="1">
      <c r="A39" s="77">
        <v>4.0</v>
      </c>
      <c r="B39" s="78" t="s">
        <v>20</v>
      </c>
      <c r="C39" s="78" t="s">
        <v>34</v>
      </c>
      <c r="D39" s="79"/>
      <c r="E39" s="80" t="s">
        <v>164</v>
      </c>
      <c r="F39" s="78" t="s">
        <v>510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22.5" customHeight="1">
      <c r="A40" s="86">
        <v>5.0</v>
      </c>
      <c r="B40" s="87" t="s">
        <v>34</v>
      </c>
      <c r="C40" s="87" t="s">
        <v>47</v>
      </c>
      <c r="D40" s="88" t="s">
        <v>886</v>
      </c>
      <c r="E40" s="89">
        <v>45718.0</v>
      </c>
      <c r="F40" s="87" t="s">
        <v>505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22.5" customHeight="1">
      <c r="A41" s="86">
        <v>6.0</v>
      </c>
      <c r="B41" s="87" t="s">
        <v>46</v>
      </c>
      <c r="C41" s="87" t="s">
        <v>34</v>
      </c>
      <c r="D41" s="88" t="s">
        <v>887</v>
      </c>
      <c r="E41" s="89">
        <v>45691.0</v>
      </c>
      <c r="F41" s="87" t="s">
        <v>172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22.5" customHeight="1">
      <c r="A42" s="197">
        <v>7.0</v>
      </c>
      <c r="B42" s="198" t="s">
        <v>34</v>
      </c>
      <c r="C42" s="198" t="s">
        <v>33</v>
      </c>
      <c r="D42" s="264" t="s">
        <v>888</v>
      </c>
      <c r="E42" s="265">
        <v>46023.0</v>
      </c>
      <c r="F42" s="198" t="s">
        <v>505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22.5" customHeight="1">
      <c r="A43" s="90">
        <v>8.0</v>
      </c>
      <c r="B43" s="91" t="s">
        <v>25</v>
      </c>
      <c r="C43" s="91" t="s">
        <v>34</v>
      </c>
      <c r="D43" s="92"/>
      <c r="E43" s="93"/>
      <c r="F43" s="94" t="s">
        <v>562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>
      <c r="A44" s="12"/>
      <c r="D44" s="95"/>
      <c r="E44" s="14"/>
      <c r="F44" s="96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>
      <c r="A45" s="12"/>
      <c r="D45" s="95"/>
      <c r="E45" s="14"/>
      <c r="F45" s="96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>
      <c r="A46" s="12"/>
      <c r="D46" s="95"/>
      <c r="E46" s="14"/>
      <c r="F46" s="96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>
      <c r="A47" s="12"/>
      <c r="D47" s="95"/>
      <c r="E47" s="14"/>
      <c r="F47" s="96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>
      <c r="A48" s="12"/>
      <c r="D48" s="95"/>
      <c r="E48" s="14"/>
      <c r="F48" s="96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>
      <c r="A49" s="12"/>
      <c r="D49" s="95"/>
      <c r="E49" s="14"/>
      <c r="F49" s="96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>
      <c r="A50" s="12"/>
      <c r="D50" s="95"/>
      <c r="E50" s="14"/>
      <c r="F50" s="96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A51" s="12"/>
      <c r="D51" s="95"/>
      <c r="E51" s="14"/>
      <c r="F51" s="96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A52" s="12"/>
      <c r="D52" s="95"/>
      <c r="E52" s="14"/>
      <c r="F52" s="96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A53" s="12"/>
      <c r="D53" s="95"/>
      <c r="E53" s="14"/>
      <c r="F53" s="96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A54" s="12"/>
      <c r="D54" s="95"/>
      <c r="E54" s="14"/>
      <c r="F54" s="96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A55" s="12"/>
      <c r="D55" s="95"/>
      <c r="E55" s="14"/>
      <c r="F55" s="96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A56" s="12"/>
      <c r="D56" s="95"/>
      <c r="E56" s="14"/>
      <c r="F56" s="96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A57" s="12"/>
      <c r="D57" s="95"/>
      <c r="E57" s="14"/>
      <c r="F57" s="96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A58" s="12"/>
      <c r="D58" s="95"/>
      <c r="E58" s="14"/>
      <c r="F58" s="96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A59" s="12"/>
      <c r="D59" s="95"/>
      <c r="E59" s="14"/>
      <c r="F59" s="96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A60" s="12"/>
      <c r="D60" s="95"/>
      <c r="E60" s="14"/>
      <c r="F60" s="96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A61" s="12"/>
      <c r="D61" s="95"/>
      <c r="E61" s="14"/>
      <c r="F61" s="96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A62" s="12"/>
      <c r="D62" s="95"/>
      <c r="E62" s="14"/>
      <c r="F62" s="96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A63" s="12"/>
      <c r="D63" s="95"/>
      <c r="E63" s="14"/>
      <c r="F63" s="96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A64" s="12"/>
      <c r="D64" s="95"/>
      <c r="E64" s="14"/>
      <c r="F64" s="96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A65" s="12"/>
      <c r="D65" s="95"/>
      <c r="E65" s="14"/>
      <c r="F65" s="96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A66" s="12"/>
      <c r="D66" s="95"/>
      <c r="E66" s="14"/>
      <c r="F66" s="96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A67" s="12"/>
      <c r="D67" s="95"/>
      <c r="E67" s="14"/>
      <c r="F67" s="96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A68" s="12"/>
      <c r="D68" s="95"/>
      <c r="E68" s="14"/>
      <c r="F68" s="96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A69" s="12"/>
      <c r="D69" s="95"/>
      <c r="E69" s="14"/>
      <c r="F69" s="96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A70" s="12"/>
      <c r="D70" s="95"/>
      <c r="E70" s="14"/>
      <c r="F70" s="96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A71" s="12"/>
      <c r="D71" s="95"/>
      <c r="E71" s="14"/>
      <c r="F71" s="96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A72" s="12"/>
      <c r="D72" s="95"/>
      <c r="E72" s="14"/>
      <c r="F72" s="96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A73" s="12"/>
      <c r="D73" s="95"/>
      <c r="E73" s="14"/>
      <c r="F73" s="96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A74" s="12"/>
      <c r="D74" s="95"/>
      <c r="E74" s="14"/>
      <c r="F74" s="96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A75" s="12"/>
      <c r="D75" s="95"/>
      <c r="E75" s="14"/>
      <c r="F75" s="96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A76" s="12"/>
      <c r="D76" s="95"/>
      <c r="E76" s="14"/>
      <c r="F76" s="96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A77" s="12"/>
      <c r="D77" s="95"/>
      <c r="E77" s="14"/>
      <c r="F77" s="96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A78" s="12"/>
      <c r="D78" s="95"/>
      <c r="E78" s="14"/>
      <c r="F78" s="96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A79" s="12"/>
      <c r="D79" s="95"/>
      <c r="E79" s="14"/>
      <c r="F79" s="96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A80" s="12"/>
      <c r="D80" s="95"/>
      <c r="E80" s="14"/>
      <c r="F80" s="96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A81" s="12"/>
      <c r="D81" s="95"/>
      <c r="E81" s="14"/>
      <c r="F81" s="96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A82" s="12"/>
      <c r="D82" s="95"/>
      <c r="E82" s="14"/>
      <c r="F82" s="96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A83" s="12"/>
      <c r="D83" s="95"/>
      <c r="E83" s="14"/>
      <c r="F83" s="96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A84" s="12"/>
      <c r="D84" s="95"/>
      <c r="E84" s="14"/>
      <c r="F84" s="96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A85" s="12"/>
      <c r="D85" s="95"/>
      <c r="E85" s="14"/>
      <c r="F85" s="96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A86" s="12"/>
      <c r="D86" s="95"/>
      <c r="E86" s="14"/>
      <c r="F86" s="96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A87" s="12"/>
      <c r="D87" s="95"/>
      <c r="E87" s="14"/>
      <c r="F87" s="96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A88" s="12"/>
      <c r="D88" s="95"/>
      <c r="E88" s="14"/>
      <c r="F88" s="96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A89" s="12"/>
      <c r="D89" s="95"/>
      <c r="E89" s="14"/>
      <c r="F89" s="96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A90" s="12"/>
      <c r="D90" s="95"/>
      <c r="E90" s="14"/>
      <c r="F90" s="96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A91" s="12"/>
      <c r="D91" s="95"/>
      <c r="E91" s="14"/>
      <c r="F91" s="96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A92" s="12"/>
      <c r="D92" s="95"/>
      <c r="E92" s="14"/>
      <c r="F92" s="96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A93" s="12"/>
      <c r="D93" s="95"/>
      <c r="E93" s="14"/>
      <c r="F93" s="96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A94" s="12"/>
      <c r="D94" s="95"/>
      <c r="E94" s="14"/>
      <c r="F94" s="96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A95" s="12"/>
      <c r="D95" s="95"/>
      <c r="E95" s="14"/>
      <c r="F95" s="96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A96" s="12"/>
      <c r="D96" s="95"/>
      <c r="E96" s="14"/>
      <c r="F96" s="96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A97" s="12"/>
      <c r="D97" s="95"/>
      <c r="E97" s="14"/>
      <c r="F97" s="96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A98" s="12"/>
      <c r="D98" s="95"/>
      <c r="E98" s="14"/>
      <c r="F98" s="96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A99" s="12"/>
      <c r="D99" s="95"/>
      <c r="E99" s="14"/>
      <c r="F99" s="96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A100" s="12"/>
      <c r="D100" s="95"/>
      <c r="E100" s="14"/>
      <c r="F100" s="96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A101" s="12"/>
      <c r="D101" s="95"/>
      <c r="E101" s="14"/>
      <c r="F101" s="96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A102" s="12"/>
      <c r="D102" s="95"/>
      <c r="E102" s="14"/>
      <c r="F102" s="96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A103" s="12"/>
      <c r="D103" s="95"/>
      <c r="E103" s="14"/>
      <c r="F103" s="96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12"/>
      <c r="D104" s="95"/>
      <c r="E104" s="14"/>
      <c r="F104" s="96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12"/>
      <c r="D105" s="95"/>
      <c r="E105" s="14"/>
      <c r="F105" s="96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12"/>
      <c r="D106" s="95"/>
      <c r="E106" s="14"/>
      <c r="F106" s="96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12"/>
      <c r="D107" s="95"/>
      <c r="E107" s="14"/>
      <c r="F107" s="96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A108" s="12"/>
      <c r="D108" s="95"/>
      <c r="E108" s="14"/>
      <c r="F108" s="96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A109" s="12"/>
      <c r="D109" s="95"/>
      <c r="E109" s="14"/>
      <c r="F109" s="96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A110" s="12"/>
      <c r="D110" s="95"/>
      <c r="E110" s="14"/>
      <c r="F110" s="96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A111" s="12"/>
      <c r="D111" s="95"/>
      <c r="E111" s="14"/>
      <c r="F111" s="96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A112" s="12"/>
      <c r="D112" s="95"/>
      <c r="E112" s="14"/>
      <c r="F112" s="96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A113" s="12"/>
      <c r="D113" s="95"/>
      <c r="E113" s="14"/>
      <c r="F113" s="96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A114" s="12"/>
      <c r="D114" s="95"/>
      <c r="E114" s="14"/>
      <c r="F114" s="96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A115" s="12"/>
      <c r="D115" s="95"/>
      <c r="E115" s="14"/>
      <c r="F115" s="96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A116" s="12"/>
      <c r="D116" s="95"/>
      <c r="E116" s="14"/>
      <c r="F116" s="96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A117" s="12"/>
      <c r="D117" s="95"/>
      <c r="E117" s="14"/>
      <c r="F117" s="96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A118" s="12"/>
      <c r="D118" s="95"/>
      <c r="E118" s="14"/>
      <c r="F118" s="96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A119" s="12"/>
      <c r="D119" s="95"/>
      <c r="E119" s="14"/>
      <c r="F119" s="96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A120" s="12"/>
      <c r="D120" s="95"/>
      <c r="E120" s="14"/>
      <c r="F120" s="96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A121" s="12"/>
      <c r="D121" s="95"/>
      <c r="E121" s="14"/>
      <c r="F121" s="96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A122" s="12"/>
      <c r="D122" s="95"/>
      <c r="E122" s="14"/>
      <c r="F122" s="96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A123" s="12"/>
      <c r="D123" s="95"/>
      <c r="E123" s="14"/>
      <c r="F123" s="96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A124" s="12"/>
      <c r="D124" s="95"/>
      <c r="E124" s="14"/>
      <c r="F124" s="96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A125" s="12"/>
      <c r="D125" s="95"/>
      <c r="E125" s="14"/>
      <c r="F125" s="96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A126" s="12"/>
      <c r="D126" s="95"/>
      <c r="E126" s="14"/>
      <c r="F126" s="96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A127" s="12"/>
      <c r="D127" s="95"/>
      <c r="E127" s="14"/>
      <c r="F127" s="96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A128" s="12"/>
      <c r="D128" s="95"/>
      <c r="E128" s="14"/>
      <c r="F128" s="96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A129" s="12"/>
      <c r="D129" s="95"/>
      <c r="E129" s="14"/>
      <c r="F129" s="96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A130" s="12"/>
      <c r="D130" s="95"/>
      <c r="E130" s="14"/>
      <c r="F130" s="96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A131" s="12"/>
      <c r="D131" s="95"/>
      <c r="E131" s="14"/>
      <c r="F131" s="96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A132" s="12"/>
      <c r="D132" s="95"/>
      <c r="E132" s="14"/>
      <c r="F132" s="96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A133" s="12"/>
      <c r="D133" s="95"/>
      <c r="E133" s="14"/>
      <c r="F133" s="96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A134" s="12"/>
      <c r="D134" s="95"/>
      <c r="E134" s="14"/>
      <c r="F134" s="96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A135" s="12"/>
      <c r="D135" s="95"/>
      <c r="E135" s="14"/>
      <c r="F135" s="96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A136" s="12"/>
      <c r="D136" s="95"/>
      <c r="E136" s="14"/>
      <c r="F136" s="96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A137" s="12"/>
      <c r="D137" s="95"/>
      <c r="E137" s="14"/>
      <c r="F137" s="96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A138" s="12"/>
      <c r="D138" s="95"/>
      <c r="E138" s="14"/>
      <c r="F138" s="96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A139" s="12"/>
      <c r="D139" s="95"/>
      <c r="E139" s="14"/>
      <c r="F139" s="96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A140" s="12"/>
      <c r="D140" s="95"/>
      <c r="E140" s="14"/>
      <c r="F140" s="96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A141" s="12"/>
      <c r="D141" s="95"/>
      <c r="E141" s="14"/>
      <c r="F141" s="96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A142" s="12"/>
      <c r="D142" s="95"/>
      <c r="E142" s="14"/>
      <c r="F142" s="96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A143" s="12"/>
      <c r="D143" s="95"/>
      <c r="E143" s="14"/>
      <c r="F143" s="96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A144" s="12"/>
      <c r="D144" s="95"/>
      <c r="E144" s="14"/>
      <c r="F144" s="96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A145" s="12"/>
      <c r="D145" s="95"/>
      <c r="E145" s="14"/>
      <c r="F145" s="96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A146" s="12"/>
      <c r="D146" s="95"/>
      <c r="E146" s="14"/>
      <c r="F146" s="96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A147" s="12"/>
      <c r="D147" s="95"/>
      <c r="E147" s="14"/>
      <c r="F147" s="96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A148" s="12"/>
      <c r="D148" s="95"/>
      <c r="E148" s="14"/>
      <c r="F148" s="96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A149" s="12"/>
      <c r="D149" s="95"/>
      <c r="E149" s="14"/>
      <c r="F149" s="96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A150" s="12"/>
      <c r="D150" s="95"/>
      <c r="E150" s="14"/>
      <c r="F150" s="96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A151" s="12"/>
      <c r="D151" s="95"/>
      <c r="E151" s="14"/>
      <c r="F151" s="96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A152" s="12"/>
      <c r="D152" s="95"/>
      <c r="E152" s="14"/>
      <c r="F152" s="96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A153" s="12"/>
      <c r="D153" s="95"/>
      <c r="E153" s="14"/>
      <c r="F153" s="96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A154" s="12"/>
      <c r="D154" s="95"/>
      <c r="E154" s="14"/>
      <c r="F154" s="96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A155" s="12"/>
      <c r="D155" s="95"/>
      <c r="E155" s="14"/>
      <c r="F155" s="96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A156" s="12"/>
      <c r="D156" s="95"/>
      <c r="E156" s="14"/>
      <c r="F156" s="96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A157" s="12"/>
      <c r="D157" s="95"/>
      <c r="E157" s="14"/>
      <c r="F157" s="96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A158" s="12"/>
      <c r="D158" s="95"/>
      <c r="E158" s="14"/>
      <c r="F158" s="96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A159" s="12"/>
      <c r="D159" s="95"/>
      <c r="E159" s="14"/>
      <c r="F159" s="96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A160" s="12"/>
      <c r="D160" s="95"/>
      <c r="E160" s="14"/>
      <c r="F160" s="96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A161" s="12"/>
      <c r="D161" s="95"/>
      <c r="E161" s="14"/>
      <c r="F161" s="96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A162" s="12"/>
      <c r="D162" s="95"/>
      <c r="E162" s="14"/>
      <c r="F162" s="96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A163" s="12"/>
      <c r="D163" s="95"/>
      <c r="E163" s="14"/>
      <c r="F163" s="96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A164" s="12"/>
      <c r="D164" s="95"/>
      <c r="E164" s="14"/>
      <c r="F164" s="96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A165" s="12"/>
      <c r="D165" s="95"/>
      <c r="E165" s="14"/>
      <c r="F165" s="96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A166" s="12"/>
      <c r="D166" s="95"/>
      <c r="E166" s="14"/>
      <c r="F166" s="96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A167" s="12"/>
      <c r="D167" s="95"/>
      <c r="E167" s="14"/>
      <c r="F167" s="96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A168" s="12"/>
      <c r="D168" s="95"/>
      <c r="E168" s="14"/>
      <c r="F168" s="96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A169" s="12"/>
      <c r="D169" s="95"/>
      <c r="E169" s="14"/>
      <c r="F169" s="96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A170" s="12"/>
      <c r="D170" s="95"/>
      <c r="E170" s="14"/>
      <c r="F170" s="96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A171" s="12"/>
      <c r="D171" s="95"/>
      <c r="E171" s="14"/>
      <c r="F171" s="96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A172" s="12"/>
      <c r="D172" s="95"/>
      <c r="E172" s="14"/>
      <c r="F172" s="96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2"/>
      <c r="D173" s="95"/>
      <c r="E173" s="14"/>
      <c r="F173" s="96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A174" s="12"/>
      <c r="D174" s="95"/>
      <c r="E174" s="14"/>
      <c r="F174" s="96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A175" s="12"/>
      <c r="D175" s="95"/>
      <c r="E175" s="14"/>
      <c r="F175" s="96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A176" s="12"/>
      <c r="D176" s="95"/>
      <c r="E176" s="14"/>
      <c r="F176" s="96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A177" s="12"/>
      <c r="D177" s="95"/>
      <c r="E177" s="14"/>
      <c r="F177" s="96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A178" s="12"/>
      <c r="D178" s="95"/>
      <c r="E178" s="14"/>
      <c r="F178" s="96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A179" s="12"/>
      <c r="D179" s="95"/>
      <c r="E179" s="14"/>
      <c r="F179" s="96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A180" s="12"/>
      <c r="D180" s="95"/>
      <c r="E180" s="14"/>
      <c r="F180" s="96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A181" s="12"/>
      <c r="D181" s="95"/>
      <c r="E181" s="14"/>
      <c r="F181" s="96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A182" s="12"/>
      <c r="D182" s="95"/>
      <c r="E182" s="14"/>
      <c r="F182" s="96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A183" s="12"/>
      <c r="D183" s="95"/>
      <c r="E183" s="14"/>
      <c r="F183" s="96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A184" s="12"/>
      <c r="D184" s="95"/>
      <c r="E184" s="14"/>
      <c r="F184" s="96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A185" s="12"/>
      <c r="D185" s="95"/>
      <c r="E185" s="14"/>
      <c r="F185" s="96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A186" s="12"/>
      <c r="D186" s="95"/>
      <c r="E186" s="14"/>
      <c r="F186" s="96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A187" s="12"/>
      <c r="D187" s="95"/>
      <c r="E187" s="14"/>
      <c r="F187" s="96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A188" s="12"/>
      <c r="D188" s="95"/>
      <c r="E188" s="14"/>
      <c r="F188" s="96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A189" s="12"/>
      <c r="D189" s="95"/>
      <c r="E189" s="14"/>
      <c r="F189" s="96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A190" s="12"/>
      <c r="D190" s="95"/>
      <c r="E190" s="14"/>
      <c r="F190" s="96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A191" s="12"/>
      <c r="D191" s="95"/>
      <c r="E191" s="14"/>
      <c r="F191" s="96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A192" s="12"/>
      <c r="D192" s="95"/>
      <c r="E192" s="14"/>
      <c r="F192" s="96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A193" s="12"/>
      <c r="D193" s="95"/>
      <c r="E193" s="14"/>
      <c r="F193" s="96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A194" s="12"/>
      <c r="D194" s="95"/>
      <c r="E194" s="14"/>
      <c r="F194" s="96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A195" s="12"/>
      <c r="D195" s="95"/>
      <c r="E195" s="14"/>
      <c r="F195" s="96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A196" s="12"/>
      <c r="D196" s="95"/>
      <c r="E196" s="14"/>
      <c r="F196" s="96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A197" s="12"/>
      <c r="D197" s="95"/>
      <c r="E197" s="14"/>
      <c r="F197" s="96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A198" s="12"/>
      <c r="D198" s="95"/>
      <c r="E198" s="14"/>
      <c r="F198" s="96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A199" s="12"/>
      <c r="D199" s="95"/>
      <c r="E199" s="14"/>
      <c r="F199" s="96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A200" s="12"/>
      <c r="D200" s="95"/>
      <c r="E200" s="14"/>
      <c r="F200" s="96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A201" s="12"/>
      <c r="D201" s="95"/>
      <c r="E201" s="14"/>
      <c r="F201" s="96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A202" s="12"/>
      <c r="D202" s="95"/>
      <c r="E202" s="14"/>
      <c r="F202" s="96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A203" s="12"/>
      <c r="D203" s="95"/>
      <c r="E203" s="14"/>
      <c r="F203" s="96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A204" s="12"/>
      <c r="D204" s="95"/>
      <c r="E204" s="14"/>
      <c r="F204" s="96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A205" s="12"/>
      <c r="D205" s="95"/>
      <c r="E205" s="14"/>
      <c r="F205" s="96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A206" s="12"/>
      <c r="D206" s="95"/>
      <c r="E206" s="14"/>
      <c r="F206" s="96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A207" s="12"/>
      <c r="D207" s="95"/>
      <c r="E207" s="14"/>
      <c r="F207" s="96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A208" s="12"/>
      <c r="D208" s="95"/>
      <c r="E208" s="14"/>
      <c r="F208" s="96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A209" s="12"/>
      <c r="D209" s="95"/>
      <c r="E209" s="14"/>
      <c r="F209" s="96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A210" s="12"/>
      <c r="D210" s="95"/>
      <c r="E210" s="14"/>
      <c r="F210" s="96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A211" s="12"/>
      <c r="D211" s="95"/>
      <c r="E211" s="14"/>
      <c r="F211" s="96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A212" s="12"/>
      <c r="D212" s="95"/>
      <c r="E212" s="14"/>
      <c r="F212" s="96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A213" s="12"/>
      <c r="D213" s="95"/>
      <c r="E213" s="14"/>
      <c r="F213" s="96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A214" s="12"/>
      <c r="D214" s="95"/>
      <c r="E214" s="14"/>
      <c r="F214" s="96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A215" s="12"/>
      <c r="D215" s="95"/>
      <c r="E215" s="14"/>
      <c r="F215" s="96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A216" s="12"/>
      <c r="D216" s="95"/>
      <c r="E216" s="14"/>
      <c r="F216" s="96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A217" s="12"/>
      <c r="D217" s="95"/>
      <c r="E217" s="14"/>
      <c r="F217" s="96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A218" s="12"/>
      <c r="D218" s="95"/>
      <c r="E218" s="14"/>
      <c r="F218" s="96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A219" s="12"/>
      <c r="D219" s="95"/>
      <c r="E219" s="14"/>
      <c r="F219" s="96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A220" s="12"/>
      <c r="D220" s="95"/>
      <c r="E220" s="14"/>
      <c r="F220" s="96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A221" s="12"/>
      <c r="D221" s="95"/>
      <c r="E221" s="14"/>
      <c r="F221" s="96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A222" s="12"/>
      <c r="D222" s="95"/>
      <c r="E222" s="14"/>
      <c r="F222" s="96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A223" s="12"/>
      <c r="D223" s="95"/>
      <c r="E223" s="14"/>
      <c r="F223" s="96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A224" s="12"/>
      <c r="D224" s="95"/>
      <c r="E224" s="14"/>
      <c r="F224" s="96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A225" s="12"/>
      <c r="D225" s="95"/>
      <c r="E225" s="14"/>
      <c r="F225" s="96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A226" s="12"/>
      <c r="D226" s="95"/>
      <c r="E226" s="14"/>
      <c r="F226" s="96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A227" s="12"/>
      <c r="D227" s="95"/>
      <c r="E227" s="14"/>
      <c r="F227" s="96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A228" s="12"/>
      <c r="D228" s="95"/>
      <c r="E228" s="14"/>
      <c r="F228" s="96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A229" s="12"/>
      <c r="D229" s="95"/>
      <c r="E229" s="14"/>
      <c r="F229" s="96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A230" s="12"/>
      <c r="D230" s="95"/>
      <c r="E230" s="14"/>
      <c r="F230" s="96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A231" s="12"/>
      <c r="D231" s="95"/>
      <c r="E231" s="14"/>
      <c r="F231" s="96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A232" s="12"/>
      <c r="D232" s="95"/>
      <c r="E232" s="14"/>
      <c r="F232" s="96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A233" s="12"/>
      <c r="D233" s="95"/>
      <c r="E233" s="14"/>
      <c r="F233" s="96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A234" s="12"/>
      <c r="D234" s="95"/>
      <c r="E234" s="14"/>
      <c r="F234" s="96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A235" s="12"/>
      <c r="D235" s="95"/>
      <c r="E235" s="14"/>
      <c r="F235" s="96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A236" s="12"/>
      <c r="D236" s="95"/>
      <c r="E236" s="14"/>
      <c r="F236" s="96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A237" s="12"/>
      <c r="D237" s="95"/>
      <c r="E237" s="14"/>
      <c r="F237" s="96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A238" s="12"/>
      <c r="D238" s="95"/>
      <c r="E238" s="14"/>
      <c r="F238" s="96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A239" s="12"/>
      <c r="D239" s="95"/>
      <c r="E239" s="14"/>
      <c r="F239" s="96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A240" s="12"/>
      <c r="D240" s="95"/>
      <c r="E240" s="14"/>
      <c r="F240" s="96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A241" s="12"/>
      <c r="D241" s="95"/>
      <c r="E241" s="14"/>
      <c r="F241" s="96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A242" s="12"/>
      <c r="D242" s="95"/>
      <c r="E242" s="14"/>
      <c r="F242" s="96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A243" s="12"/>
      <c r="D243" s="95"/>
      <c r="E243" s="14"/>
      <c r="F243" s="96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A244" s="12"/>
      <c r="D244" s="95"/>
      <c r="E244" s="14"/>
      <c r="F244" s="96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A245" s="12"/>
      <c r="D245" s="95"/>
      <c r="E245" s="14"/>
      <c r="F245" s="96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A246" s="12"/>
      <c r="D246" s="95"/>
      <c r="E246" s="14"/>
      <c r="F246" s="96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A247" s="12"/>
      <c r="D247" s="95"/>
      <c r="E247" s="14"/>
      <c r="F247" s="96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A248" s="12"/>
      <c r="D248" s="95"/>
      <c r="E248" s="14"/>
      <c r="F248" s="96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A249" s="12"/>
      <c r="D249" s="95"/>
      <c r="E249" s="14"/>
      <c r="F249" s="96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A250" s="12"/>
      <c r="D250" s="95"/>
      <c r="E250" s="14"/>
      <c r="F250" s="96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A251" s="12"/>
      <c r="D251" s="95"/>
      <c r="E251" s="14"/>
      <c r="F251" s="96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A252" s="12"/>
      <c r="D252" s="95"/>
      <c r="E252" s="14"/>
      <c r="F252" s="96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A253" s="12"/>
      <c r="D253" s="95"/>
      <c r="E253" s="14"/>
      <c r="F253" s="96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A254" s="12"/>
      <c r="D254" s="95"/>
      <c r="E254" s="14"/>
      <c r="F254" s="96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A255" s="12"/>
      <c r="D255" s="95"/>
      <c r="E255" s="14"/>
      <c r="F255" s="96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A256" s="12"/>
      <c r="D256" s="95"/>
      <c r="E256" s="14"/>
      <c r="F256" s="96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A257" s="12"/>
      <c r="D257" s="95"/>
      <c r="E257" s="14"/>
      <c r="F257" s="96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A258" s="12"/>
      <c r="D258" s="95"/>
      <c r="E258" s="14"/>
      <c r="F258" s="96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A259" s="12"/>
      <c r="D259" s="95"/>
      <c r="E259" s="14"/>
      <c r="F259" s="96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A260" s="12"/>
      <c r="D260" s="95"/>
      <c r="E260" s="14"/>
      <c r="F260" s="96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A261" s="12"/>
      <c r="D261" s="95"/>
      <c r="E261" s="14"/>
      <c r="F261" s="96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A262" s="12"/>
      <c r="D262" s="95"/>
      <c r="E262" s="14"/>
      <c r="F262" s="96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A263" s="12"/>
      <c r="D263" s="95"/>
      <c r="E263" s="14"/>
      <c r="F263" s="96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A264" s="12"/>
      <c r="D264" s="95"/>
      <c r="E264" s="14"/>
      <c r="F264" s="96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A265" s="12"/>
      <c r="D265" s="95"/>
      <c r="E265" s="14"/>
      <c r="F265" s="96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A266" s="12"/>
      <c r="D266" s="95"/>
      <c r="E266" s="14"/>
      <c r="F266" s="96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A267" s="12"/>
      <c r="D267" s="95"/>
      <c r="E267" s="14"/>
      <c r="F267" s="96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A268" s="12"/>
      <c r="D268" s="95"/>
      <c r="E268" s="14"/>
      <c r="F268" s="96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A269" s="12"/>
      <c r="D269" s="95"/>
      <c r="E269" s="14"/>
      <c r="F269" s="96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A270" s="12"/>
      <c r="D270" s="95"/>
      <c r="E270" s="14"/>
      <c r="F270" s="96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A271" s="12"/>
      <c r="D271" s="95"/>
      <c r="E271" s="14"/>
      <c r="F271" s="96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A272" s="12"/>
      <c r="D272" s="95"/>
      <c r="E272" s="14"/>
      <c r="F272" s="96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A273" s="12"/>
      <c r="D273" s="95"/>
      <c r="E273" s="14"/>
      <c r="F273" s="96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A274" s="12"/>
      <c r="D274" s="95"/>
      <c r="E274" s="14"/>
      <c r="F274" s="96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A275" s="12"/>
      <c r="D275" s="95"/>
      <c r="E275" s="14"/>
      <c r="F275" s="96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A276" s="12"/>
      <c r="D276" s="95"/>
      <c r="E276" s="14"/>
      <c r="F276" s="96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A277" s="12"/>
      <c r="D277" s="95"/>
      <c r="E277" s="14"/>
      <c r="F277" s="96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A278" s="12"/>
      <c r="D278" s="95"/>
      <c r="E278" s="14"/>
      <c r="F278" s="96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A279" s="12"/>
      <c r="D279" s="95"/>
      <c r="E279" s="14"/>
      <c r="F279" s="96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A280" s="12"/>
      <c r="D280" s="95"/>
      <c r="E280" s="14"/>
      <c r="F280" s="96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A281" s="12"/>
      <c r="D281" s="95"/>
      <c r="E281" s="14"/>
      <c r="F281" s="96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A282" s="12"/>
      <c r="D282" s="95"/>
      <c r="E282" s="14"/>
      <c r="F282" s="96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A283" s="12"/>
      <c r="D283" s="95"/>
      <c r="E283" s="14"/>
      <c r="F283" s="96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A284" s="12"/>
      <c r="D284" s="95"/>
      <c r="E284" s="14"/>
      <c r="F284" s="96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A285" s="12"/>
      <c r="D285" s="95"/>
      <c r="E285" s="14"/>
      <c r="F285" s="96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A286" s="12"/>
      <c r="D286" s="95"/>
      <c r="E286" s="14"/>
      <c r="F286" s="96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A287" s="12"/>
      <c r="D287" s="95"/>
      <c r="E287" s="14"/>
      <c r="F287" s="96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A288" s="12"/>
      <c r="D288" s="95"/>
      <c r="E288" s="14"/>
      <c r="F288" s="96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A289" s="12"/>
      <c r="D289" s="95"/>
      <c r="E289" s="14"/>
      <c r="F289" s="96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A290" s="12"/>
      <c r="D290" s="95"/>
      <c r="E290" s="14"/>
      <c r="F290" s="96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A291" s="12"/>
      <c r="D291" s="95"/>
      <c r="E291" s="14"/>
      <c r="F291" s="96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A292" s="12"/>
      <c r="D292" s="95"/>
      <c r="E292" s="14"/>
      <c r="F292" s="96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A293" s="12"/>
      <c r="D293" s="95"/>
      <c r="E293" s="14"/>
      <c r="F293" s="96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A294" s="12"/>
      <c r="D294" s="95"/>
      <c r="E294" s="14"/>
      <c r="F294" s="96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A295" s="12"/>
      <c r="D295" s="95"/>
      <c r="E295" s="14"/>
      <c r="F295" s="96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A296" s="12"/>
      <c r="D296" s="95"/>
      <c r="E296" s="14"/>
      <c r="F296" s="96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A297" s="12"/>
      <c r="D297" s="95"/>
      <c r="E297" s="14"/>
      <c r="F297" s="96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A298" s="12"/>
      <c r="D298" s="95"/>
      <c r="E298" s="14"/>
      <c r="F298" s="96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A299" s="12"/>
      <c r="D299" s="95"/>
      <c r="E299" s="14"/>
      <c r="F299" s="96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A300" s="12"/>
      <c r="D300" s="95"/>
      <c r="E300" s="14"/>
      <c r="F300" s="96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A301" s="12"/>
      <c r="D301" s="95"/>
      <c r="E301" s="14"/>
      <c r="F301" s="96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A302" s="12"/>
      <c r="D302" s="95"/>
      <c r="E302" s="14"/>
      <c r="F302" s="96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A303" s="12"/>
      <c r="D303" s="95"/>
      <c r="E303" s="14"/>
      <c r="F303" s="96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A304" s="12"/>
      <c r="D304" s="95"/>
      <c r="E304" s="14"/>
      <c r="F304" s="96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A305" s="12"/>
      <c r="D305" s="95"/>
      <c r="E305" s="14"/>
      <c r="F305" s="96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A306" s="12"/>
      <c r="D306" s="95"/>
      <c r="E306" s="14"/>
      <c r="F306" s="96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A307" s="12"/>
      <c r="D307" s="95"/>
      <c r="E307" s="14"/>
      <c r="F307" s="96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A308" s="12"/>
      <c r="D308" s="95"/>
      <c r="E308" s="14"/>
      <c r="F308" s="96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A309" s="12"/>
      <c r="D309" s="95"/>
      <c r="E309" s="14"/>
      <c r="F309" s="96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A310" s="12"/>
      <c r="D310" s="95"/>
      <c r="E310" s="14"/>
      <c r="F310" s="96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A311" s="12"/>
      <c r="D311" s="95"/>
      <c r="E311" s="14"/>
      <c r="F311" s="96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A312" s="12"/>
      <c r="D312" s="95"/>
      <c r="E312" s="14"/>
      <c r="F312" s="96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A313" s="12"/>
      <c r="D313" s="95"/>
      <c r="E313" s="14"/>
      <c r="F313" s="96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A314" s="12"/>
      <c r="D314" s="95"/>
      <c r="E314" s="14"/>
      <c r="F314" s="96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A315" s="12"/>
      <c r="D315" s="95"/>
      <c r="E315" s="14"/>
      <c r="F315" s="96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A316" s="12"/>
      <c r="D316" s="95"/>
      <c r="E316" s="14"/>
      <c r="F316" s="96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A317" s="12"/>
      <c r="D317" s="95"/>
      <c r="E317" s="14"/>
      <c r="F317" s="96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A318" s="12"/>
      <c r="D318" s="95"/>
      <c r="E318" s="14"/>
      <c r="F318" s="96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A319" s="12"/>
      <c r="D319" s="95"/>
      <c r="E319" s="14"/>
      <c r="F319" s="96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A320" s="12"/>
      <c r="D320" s="95"/>
      <c r="E320" s="14"/>
      <c r="F320" s="96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A321" s="12"/>
      <c r="D321" s="95"/>
      <c r="E321" s="14"/>
      <c r="F321" s="96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A322" s="12"/>
      <c r="D322" s="95"/>
      <c r="E322" s="14"/>
      <c r="F322" s="96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A323" s="12"/>
      <c r="D323" s="95"/>
      <c r="E323" s="14"/>
      <c r="F323" s="96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A324" s="12"/>
      <c r="D324" s="95"/>
      <c r="E324" s="14"/>
      <c r="F324" s="96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A325" s="12"/>
      <c r="D325" s="95"/>
      <c r="E325" s="14"/>
      <c r="F325" s="96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A326" s="12"/>
      <c r="D326" s="95"/>
      <c r="E326" s="14"/>
      <c r="F326" s="96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A327" s="12"/>
      <c r="D327" s="95"/>
      <c r="E327" s="14"/>
      <c r="F327" s="96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A328" s="12"/>
      <c r="D328" s="95"/>
      <c r="E328" s="14"/>
      <c r="F328" s="96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A329" s="12"/>
      <c r="D329" s="95"/>
      <c r="E329" s="14"/>
      <c r="F329" s="96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A330" s="12"/>
      <c r="D330" s="95"/>
      <c r="E330" s="14"/>
      <c r="F330" s="96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A331" s="12"/>
      <c r="D331" s="95"/>
      <c r="E331" s="14"/>
      <c r="F331" s="96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A332" s="12"/>
      <c r="D332" s="95"/>
      <c r="E332" s="14"/>
      <c r="F332" s="96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A333" s="12"/>
      <c r="D333" s="95"/>
      <c r="E333" s="14"/>
      <c r="F333" s="96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A334" s="12"/>
      <c r="D334" s="95"/>
      <c r="E334" s="14"/>
      <c r="F334" s="96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A335" s="12"/>
      <c r="D335" s="95"/>
      <c r="E335" s="14"/>
      <c r="F335" s="96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A336" s="12"/>
      <c r="D336" s="95"/>
      <c r="E336" s="14"/>
      <c r="F336" s="96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A337" s="12"/>
      <c r="D337" s="95"/>
      <c r="E337" s="14"/>
      <c r="F337" s="96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A338" s="12"/>
      <c r="D338" s="95"/>
      <c r="E338" s="14"/>
      <c r="F338" s="96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A339" s="12"/>
      <c r="D339" s="95"/>
      <c r="E339" s="14"/>
      <c r="F339" s="96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A340" s="12"/>
      <c r="D340" s="95"/>
      <c r="E340" s="14"/>
      <c r="F340" s="96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A341" s="12"/>
      <c r="D341" s="95"/>
      <c r="E341" s="14"/>
      <c r="F341" s="96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A342" s="12"/>
      <c r="D342" s="95"/>
      <c r="E342" s="14"/>
      <c r="F342" s="96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A343" s="12"/>
      <c r="D343" s="95"/>
      <c r="E343" s="14"/>
      <c r="F343" s="96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A344" s="12"/>
      <c r="D344" s="95"/>
      <c r="E344" s="14"/>
      <c r="F344" s="96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A345" s="12"/>
      <c r="D345" s="95"/>
      <c r="E345" s="14"/>
      <c r="F345" s="96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A346" s="12"/>
      <c r="D346" s="95"/>
      <c r="E346" s="14"/>
      <c r="F346" s="96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A347" s="12"/>
      <c r="D347" s="95"/>
      <c r="E347" s="14"/>
      <c r="F347" s="96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A348" s="12"/>
      <c r="D348" s="95"/>
      <c r="E348" s="14"/>
      <c r="F348" s="96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A349" s="12"/>
      <c r="D349" s="95"/>
      <c r="E349" s="14"/>
      <c r="F349" s="96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A350" s="12"/>
      <c r="D350" s="95"/>
      <c r="E350" s="14"/>
      <c r="F350" s="96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A351" s="12"/>
      <c r="D351" s="95"/>
      <c r="E351" s="14"/>
      <c r="F351" s="96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A352" s="12"/>
      <c r="D352" s="95"/>
      <c r="E352" s="14"/>
      <c r="F352" s="96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A353" s="12"/>
      <c r="D353" s="95"/>
      <c r="E353" s="14"/>
      <c r="F353" s="96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A354" s="12"/>
      <c r="D354" s="95"/>
      <c r="E354" s="14"/>
      <c r="F354" s="96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A355" s="12"/>
      <c r="D355" s="95"/>
      <c r="E355" s="14"/>
      <c r="F355" s="96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A356" s="12"/>
      <c r="D356" s="95"/>
      <c r="E356" s="14"/>
      <c r="F356" s="96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A357" s="12"/>
      <c r="D357" s="95"/>
      <c r="E357" s="14"/>
      <c r="F357" s="96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A358" s="12"/>
      <c r="D358" s="95"/>
      <c r="E358" s="14"/>
      <c r="F358" s="96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A359" s="12"/>
      <c r="D359" s="95"/>
      <c r="E359" s="14"/>
      <c r="F359" s="96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A360" s="12"/>
      <c r="D360" s="95"/>
      <c r="E360" s="14"/>
      <c r="F360" s="96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A361" s="12"/>
      <c r="D361" s="95"/>
      <c r="E361" s="14"/>
      <c r="F361" s="96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A362" s="12"/>
      <c r="D362" s="95"/>
      <c r="E362" s="14"/>
      <c r="F362" s="96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A363" s="12"/>
      <c r="D363" s="95"/>
      <c r="E363" s="14"/>
      <c r="F363" s="96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A364" s="12"/>
      <c r="D364" s="95"/>
      <c r="E364" s="14"/>
      <c r="F364" s="96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A365" s="12"/>
      <c r="D365" s="95"/>
      <c r="E365" s="14"/>
      <c r="F365" s="96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A366" s="12"/>
      <c r="D366" s="95"/>
      <c r="E366" s="14"/>
      <c r="F366" s="96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A367" s="12"/>
      <c r="D367" s="95"/>
      <c r="E367" s="14"/>
      <c r="F367" s="96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A368" s="12"/>
      <c r="D368" s="95"/>
      <c r="E368" s="14"/>
      <c r="F368" s="96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A369" s="12"/>
      <c r="D369" s="95"/>
      <c r="E369" s="14"/>
      <c r="F369" s="96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A370" s="12"/>
      <c r="D370" s="95"/>
      <c r="E370" s="14"/>
      <c r="F370" s="96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A371" s="12"/>
      <c r="D371" s="95"/>
      <c r="E371" s="14"/>
      <c r="F371" s="96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A372" s="12"/>
      <c r="D372" s="95"/>
      <c r="E372" s="14"/>
      <c r="F372" s="96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A373" s="12"/>
      <c r="D373" s="95"/>
      <c r="E373" s="14"/>
      <c r="F373" s="96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A374" s="12"/>
      <c r="D374" s="95"/>
      <c r="E374" s="14"/>
      <c r="F374" s="96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A375" s="12"/>
      <c r="D375" s="95"/>
      <c r="E375" s="14"/>
      <c r="F375" s="96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A376" s="12"/>
      <c r="D376" s="95"/>
      <c r="E376" s="14"/>
      <c r="F376" s="96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A377" s="12"/>
      <c r="D377" s="95"/>
      <c r="E377" s="14"/>
      <c r="F377" s="96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A378" s="12"/>
      <c r="D378" s="95"/>
      <c r="E378" s="14"/>
      <c r="F378" s="96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A379" s="12"/>
      <c r="D379" s="95"/>
      <c r="E379" s="14"/>
      <c r="F379" s="96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A380" s="12"/>
      <c r="D380" s="95"/>
      <c r="E380" s="14"/>
      <c r="F380" s="96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A381" s="12"/>
      <c r="D381" s="95"/>
      <c r="E381" s="14"/>
      <c r="F381" s="96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A382" s="12"/>
      <c r="D382" s="95"/>
      <c r="E382" s="14"/>
      <c r="F382" s="96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A383" s="12"/>
      <c r="D383" s="95"/>
      <c r="E383" s="14"/>
      <c r="F383" s="96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A384" s="12"/>
      <c r="D384" s="95"/>
      <c r="E384" s="14"/>
      <c r="F384" s="96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A385" s="12"/>
      <c r="D385" s="95"/>
      <c r="E385" s="14"/>
      <c r="F385" s="96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A386" s="12"/>
      <c r="D386" s="95"/>
      <c r="E386" s="14"/>
      <c r="F386" s="96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A387" s="12"/>
      <c r="D387" s="95"/>
      <c r="E387" s="14"/>
      <c r="F387" s="96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A388" s="12"/>
      <c r="D388" s="95"/>
      <c r="E388" s="14"/>
      <c r="F388" s="96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A389" s="12"/>
      <c r="D389" s="95"/>
      <c r="E389" s="14"/>
      <c r="F389" s="96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A390" s="12"/>
      <c r="D390" s="95"/>
      <c r="E390" s="14"/>
      <c r="F390" s="96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A391" s="12"/>
      <c r="D391" s="95"/>
      <c r="E391" s="14"/>
      <c r="F391" s="96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A392" s="12"/>
      <c r="D392" s="95"/>
      <c r="E392" s="14"/>
      <c r="F392" s="96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A393" s="12"/>
      <c r="D393" s="95"/>
      <c r="E393" s="14"/>
      <c r="F393" s="96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A394" s="12"/>
      <c r="D394" s="95"/>
      <c r="E394" s="14"/>
      <c r="F394" s="96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A395" s="12"/>
      <c r="D395" s="95"/>
      <c r="E395" s="14"/>
      <c r="F395" s="96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A396" s="12"/>
      <c r="D396" s="95"/>
      <c r="E396" s="14"/>
      <c r="F396" s="96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A397" s="12"/>
      <c r="D397" s="95"/>
      <c r="E397" s="14"/>
      <c r="F397" s="96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A398" s="12"/>
      <c r="D398" s="95"/>
      <c r="E398" s="14"/>
      <c r="F398" s="96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A399" s="12"/>
      <c r="D399" s="95"/>
      <c r="E399" s="14"/>
      <c r="F399" s="96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A400" s="12"/>
      <c r="D400" s="95"/>
      <c r="E400" s="14"/>
      <c r="F400" s="96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A401" s="12"/>
      <c r="D401" s="95"/>
      <c r="E401" s="14"/>
      <c r="F401" s="96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A402" s="12"/>
      <c r="D402" s="95"/>
      <c r="E402" s="14"/>
      <c r="F402" s="96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A403" s="12"/>
      <c r="D403" s="95"/>
      <c r="E403" s="14"/>
      <c r="F403" s="96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A404" s="12"/>
      <c r="D404" s="95"/>
      <c r="E404" s="14"/>
      <c r="F404" s="96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A405" s="12"/>
      <c r="D405" s="95"/>
      <c r="E405" s="14"/>
      <c r="F405" s="96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A406" s="12"/>
      <c r="D406" s="95"/>
      <c r="E406" s="14"/>
      <c r="F406" s="96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A407" s="12"/>
      <c r="D407" s="95"/>
      <c r="E407" s="14"/>
      <c r="F407" s="96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A408" s="12"/>
      <c r="D408" s="95"/>
      <c r="E408" s="14"/>
      <c r="F408" s="96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A409" s="12"/>
      <c r="D409" s="95"/>
      <c r="E409" s="14"/>
      <c r="F409" s="96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A410" s="12"/>
      <c r="D410" s="95"/>
      <c r="E410" s="14"/>
      <c r="F410" s="96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A411" s="12"/>
      <c r="D411" s="95"/>
      <c r="E411" s="14"/>
      <c r="F411" s="96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A412" s="12"/>
      <c r="D412" s="95"/>
      <c r="E412" s="14"/>
      <c r="F412" s="96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A413" s="12"/>
      <c r="D413" s="95"/>
      <c r="E413" s="14"/>
      <c r="F413" s="96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A414" s="12"/>
      <c r="D414" s="95"/>
      <c r="E414" s="14"/>
      <c r="F414" s="96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A415" s="12"/>
      <c r="D415" s="95"/>
      <c r="E415" s="14"/>
      <c r="F415" s="96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A416" s="12"/>
      <c r="D416" s="95"/>
      <c r="E416" s="14"/>
      <c r="F416" s="96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A417" s="12"/>
      <c r="D417" s="95"/>
      <c r="E417" s="14"/>
      <c r="F417" s="96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A418" s="12"/>
      <c r="D418" s="95"/>
      <c r="E418" s="14"/>
      <c r="F418" s="96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A419" s="12"/>
      <c r="D419" s="95"/>
      <c r="E419" s="14"/>
      <c r="F419" s="96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A420" s="12"/>
      <c r="D420" s="95"/>
      <c r="E420" s="14"/>
      <c r="F420" s="96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A421" s="12"/>
      <c r="D421" s="95"/>
      <c r="E421" s="14"/>
      <c r="F421" s="96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A422" s="12"/>
      <c r="D422" s="95"/>
      <c r="E422" s="14"/>
      <c r="F422" s="96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A423" s="12"/>
      <c r="D423" s="95"/>
      <c r="E423" s="14"/>
      <c r="F423" s="96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A424" s="12"/>
      <c r="D424" s="95"/>
      <c r="E424" s="14"/>
      <c r="F424" s="96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A425" s="12"/>
      <c r="D425" s="95"/>
      <c r="E425" s="14"/>
      <c r="F425" s="96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A426" s="12"/>
      <c r="D426" s="95"/>
      <c r="E426" s="14"/>
      <c r="F426" s="96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A427" s="12"/>
      <c r="D427" s="95"/>
      <c r="E427" s="14"/>
      <c r="F427" s="96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A428" s="12"/>
      <c r="D428" s="95"/>
      <c r="E428" s="14"/>
      <c r="F428" s="96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A429" s="12"/>
      <c r="D429" s="95"/>
      <c r="E429" s="14"/>
      <c r="F429" s="96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A430" s="12"/>
      <c r="D430" s="95"/>
      <c r="E430" s="14"/>
      <c r="F430" s="96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A431" s="12"/>
      <c r="D431" s="95"/>
      <c r="E431" s="14"/>
      <c r="F431" s="96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A432" s="12"/>
      <c r="D432" s="95"/>
      <c r="E432" s="14"/>
      <c r="F432" s="96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A433" s="12"/>
      <c r="D433" s="95"/>
      <c r="E433" s="14"/>
      <c r="F433" s="96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A434" s="12"/>
      <c r="D434" s="95"/>
      <c r="E434" s="14"/>
      <c r="F434" s="96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A435" s="12"/>
      <c r="D435" s="95"/>
      <c r="E435" s="14"/>
      <c r="F435" s="96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A436" s="12"/>
      <c r="D436" s="95"/>
      <c r="E436" s="14"/>
      <c r="F436" s="96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A437" s="12"/>
      <c r="D437" s="95"/>
      <c r="E437" s="14"/>
      <c r="F437" s="96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A438" s="12"/>
      <c r="D438" s="95"/>
      <c r="E438" s="14"/>
      <c r="F438" s="96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A439" s="12"/>
      <c r="D439" s="95"/>
      <c r="E439" s="14"/>
      <c r="F439" s="96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A440" s="12"/>
      <c r="D440" s="95"/>
      <c r="E440" s="14"/>
      <c r="F440" s="96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A441" s="12"/>
      <c r="D441" s="95"/>
      <c r="E441" s="14"/>
      <c r="F441" s="96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A442" s="12"/>
      <c r="D442" s="95"/>
      <c r="E442" s="14"/>
      <c r="F442" s="96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A443" s="12"/>
      <c r="D443" s="95"/>
      <c r="E443" s="14"/>
      <c r="F443" s="96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A444" s="12"/>
      <c r="D444" s="95"/>
      <c r="E444" s="14"/>
      <c r="F444" s="96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A445" s="12"/>
      <c r="D445" s="95"/>
      <c r="E445" s="14"/>
      <c r="F445" s="96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A446" s="12"/>
      <c r="D446" s="95"/>
      <c r="E446" s="14"/>
      <c r="F446" s="96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A447" s="12"/>
      <c r="D447" s="95"/>
      <c r="E447" s="14"/>
      <c r="F447" s="96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A448" s="12"/>
      <c r="D448" s="95"/>
      <c r="E448" s="14"/>
      <c r="F448" s="96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A449" s="12"/>
      <c r="D449" s="95"/>
      <c r="E449" s="14"/>
      <c r="F449" s="96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A450" s="12"/>
      <c r="D450" s="95"/>
      <c r="E450" s="14"/>
      <c r="F450" s="96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A451" s="12"/>
      <c r="D451" s="95"/>
      <c r="E451" s="14"/>
      <c r="F451" s="96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A452" s="12"/>
      <c r="D452" s="95"/>
      <c r="E452" s="14"/>
      <c r="F452" s="96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A453" s="12"/>
      <c r="D453" s="95"/>
      <c r="E453" s="14"/>
      <c r="F453" s="96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A454" s="12"/>
      <c r="D454" s="95"/>
      <c r="E454" s="14"/>
      <c r="F454" s="96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A455" s="12"/>
      <c r="D455" s="95"/>
      <c r="E455" s="14"/>
      <c r="F455" s="96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A456" s="12"/>
      <c r="D456" s="95"/>
      <c r="E456" s="14"/>
      <c r="F456" s="96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A457" s="12"/>
      <c r="D457" s="95"/>
      <c r="E457" s="14"/>
      <c r="F457" s="96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A458" s="12"/>
      <c r="D458" s="95"/>
      <c r="E458" s="14"/>
      <c r="F458" s="96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A459" s="12"/>
      <c r="D459" s="95"/>
      <c r="E459" s="14"/>
      <c r="F459" s="96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A460" s="12"/>
      <c r="D460" s="95"/>
      <c r="E460" s="14"/>
      <c r="F460" s="96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A461" s="12"/>
      <c r="D461" s="95"/>
      <c r="E461" s="14"/>
      <c r="F461" s="96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A462" s="12"/>
      <c r="D462" s="95"/>
      <c r="E462" s="14"/>
      <c r="F462" s="96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A463" s="12"/>
      <c r="D463" s="95"/>
      <c r="E463" s="14"/>
      <c r="F463" s="96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A464" s="12"/>
      <c r="D464" s="95"/>
      <c r="E464" s="14"/>
      <c r="F464" s="96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A465" s="12"/>
      <c r="D465" s="95"/>
      <c r="E465" s="14"/>
      <c r="F465" s="96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A466" s="12"/>
      <c r="D466" s="95"/>
      <c r="E466" s="14"/>
      <c r="F466" s="96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A467" s="12"/>
      <c r="D467" s="95"/>
      <c r="E467" s="14"/>
      <c r="F467" s="96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A468" s="12"/>
      <c r="D468" s="95"/>
      <c r="E468" s="14"/>
      <c r="F468" s="96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A469" s="12"/>
      <c r="D469" s="95"/>
      <c r="E469" s="14"/>
      <c r="F469" s="96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A470" s="12"/>
      <c r="D470" s="95"/>
      <c r="E470" s="14"/>
      <c r="F470" s="96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A471" s="12"/>
      <c r="D471" s="95"/>
      <c r="E471" s="14"/>
      <c r="F471" s="96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A472" s="12"/>
      <c r="D472" s="95"/>
      <c r="E472" s="14"/>
      <c r="F472" s="96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A473" s="12"/>
      <c r="D473" s="95"/>
      <c r="E473" s="14"/>
      <c r="F473" s="96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A474" s="12"/>
      <c r="D474" s="95"/>
      <c r="E474" s="14"/>
      <c r="F474" s="96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A475" s="12"/>
      <c r="D475" s="95"/>
      <c r="E475" s="14"/>
      <c r="F475" s="96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A476" s="12"/>
      <c r="D476" s="95"/>
      <c r="E476" s="14"/>
      <c r="F476" s="96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A477" s="12"/>
      <c r="D477" s="95"/>
      <c r="E477" s="14"/>
      <c r="F477" s="96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A478" s="12"/>
      <c r="D478" s="95"/>
      <c r="E478" s="14"/>
      <c r="F478" s="96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A479" s="12"/>
      <c r="D479" s="95"/>
      <c r="E479" s="14"/>
      <c r="F479" s="96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A480" s="12"/>
      <c r="D480" s="95"/>
      <c r="E480" s="14"/>
      <c r="F480" s="96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A481" s="12"/>
      <c r="D481" s="95"/>
      <c r="E481" s="14"/>
      <c r="F481" s="96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A482" s="12"/>
      <c r="D482" s="95"/>
      <c r="E482" s="14"/>
      <c r="F482" s="96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A483" s="12"/>
      <c r="D483" s="95"/>
      <c r="E483" s="14"/>
      <c r="F483" s="96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A484" s="12"/>
      <c r="D484" s="95"/>
      <c r="E484" s="14"/>
      <c r="F484" s="96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A485" s="12"/>
      <c r="D485" s="95"/>
      <c r="E485" s="14"/>
      <c r="F485" s="96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A486" s="12"/>
      <c r="D486" s="95"/>
      <c r="E486" s="14"/>
      <c r="F486" s="96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A487" s="12"/>
      <c r="D487" s="95"/>
      <c r="E487" s="14"/>
      <c r="F487" s="96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A488" s="12"/>
      <c r="D488" s="95"/>
      <c r="E488" s="14"/>
      <c r="F488" s="96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A489" s="12"/>
      <c r="D489" s="95"/>
      <c r="E489" s="14"/>
      <c r="F489" s="96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A490" s="12"/>
      <c r="D490" s="95"/>
      <c r="E490" s="14"/>
      <c r="F490" s="96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A491" s="12"/>
      <c r="D491" s="95"/>
      <c r="E491" s="14"/>
      <c r="F491" s="96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A492" s="12"/>
      <c r="D492" s="95"/>
      <c r="E492" s="14"/>
      <c r="F492" s="96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A493" s="12"/>
      <c r="D493" s="95"/>
      <c r="E493" s="14"/>
      <c r="F493" s="96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A494" s="12"/>
      <c r="D494" s="95"/>
      <c r="E494" s="14"/>
      <c r="F494" s="96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A495" s="12"/>
      <c r="D495" s="95"/>
      <c r="E495" s="14"/>
      <c r="F495" s="96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A496" s="12"/>
      <c r="D496" s="95"/>
      <c r="E496" s="14"/>
      <c r="F496" s="96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A497" s="12"/>
      <c r="D497" s="95"/>
      <c r="E497" s="14"/>
      <c r="F497" s="96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A498" s="12"/>
      <c r="D498" s="95"/>
      <c r="E498" s="14"/>
      <c r="F498" s="96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A499" s="12"/>
      <c r="D499" s="95"/>
      <c r="E499" s="14"/>
      <c r="F499" s="96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A500" s="12"/>
      <c r="D500" s="95"/>
      <c r="E500" s="14"/>
      <c r="F500" s="96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A501" s="12"/>
      <c r="D501" s="95"/>
      <c r="E501" s="14"/>
      <c r="F501" s="96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A502" s="12"/>
      <c r="D502" s="95"/>
      <c r="E502" s="14"/>
      <c r="F502" s="96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A503" s="12"/>
      <c r="D503" s="95"/>
      <c r="E503" s="14"/>
      <c r="F503" s="96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A504" s="12"/>
      <c r="D504" s="95"/>
      <c r="E504" s="14"/>
      <c r="F504" s="96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A505" s="12"/>
      <c r="D505" s="95"/>
      <c r="E505" s="14"/>
      <c r="F505" s="96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A506" s="12"/>
      <c r="D506" s="95"/>
      <c r="E506" s="14"/>
      <c r="F506" s="96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A507" s="12"/>
      <c r="D507" s="95"/>
      <c r="E507" s="14"/>
      <c r="F507" s="96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A508" s="12"/>
      <c r="D508" s="95"/>
      <c r="E508" s="14"/>
      <c r="F508" s="96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A509" s="12"/>
      <c r="D509" s="95"/>
      <c r="E509" s="14"/>
      <c r="F509" s="96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A510" s="12"/>
      <c r="D510" s="95"/>
      <c r="E510" s="14"/>
      <c r="F510" s="96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A511" s="12"/>
      <c r="D511" s="95"/>
      <c r="E511" s="14"/>
      <c r="F511" s="96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A512" s="12"/>
      <c r="D512" s="95"/>
      <c r="E512" s="14"/>
      <c r="F512" s="96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A513" s="12"/>
      <c r="D513" s="95"/>
      <c r="E513" s="14"/>
      <c r="F513" s="96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A514" s="12"/>
      <c r="D514" s="95"/>
      <c r="E514" s="14"/>
      <c r="F514" s="96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A515" s="12"/>
      <c r="D515" s="95"/>
      <c r="E515" s="14"/>
      <c r="F515" s="96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A516" s="12"/>
      <c r="D516" s="95"/>
      <c r="E516" s="14"/>
      <c r="F516" s="96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A517" s="12"/>
      <c r="D517" s="95"/>
      <c r="E517" s="14"/>
      <c r="F517" s="96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A518" s="12"/>
      <c r="D518" s="95"/>
      <c r="E518" s="14"/>
      <c r="F518" s="96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A519" s="12"/>
      <c r="D519" s="95"/>
      <c r="E519" s="14"/>
      <c r="F519" s="96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A520" s="12"/>
      <c r="D520" s="95"/>
      <c r="E520" s="14"/>
      <c r="F520" s="96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A521" s="12"/>
      <c r="D521" s="95"/>
      <c r="E521" s="14"/>
      <c r="F521" s="96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A522" s="12"/>
      <c r="D522" s="95"/>
      <c r="E522" s="14"/>
      <c r="F522" s="96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A523" s="12"/>
      <c r="D523" s="95"/>
      <c r="E523" s="14"/>
      <c r="F523" s="96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A524" s="12"/>
      <c r="D524" s="95"/>
      <c r="E524" s="14"/>
      <c r="F524" s="96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A525" s="12"/>
      <c r="D525" s="95"/>
      <c r="E525" s="14"/>
      <c r="F525" s="96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A526" s="12"/>
      <c r="D526" s="95"/>
      <c r="E526" s="14"/>
      <c r="F526" s="96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A527" s="12"/>
      <c r="D527" s="95"/>
      <c r="E527" s="14"/>
      <c r="F527" s="96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A528" s="12"/>
      <c r="D528" s="95"/>
      <c r="E528" s="14"/>
      <c r="F528" s="96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A529" s="12"/>
      <c r="D529" s="95"/>
      <c r="E529" s="14"/>
      <c r="F529" s="96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A530" s="12"/>
      <c r="D530" s="95"/>
      <c r="E530" s="14"/>
      <c r="F530" s="96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A531" s="12"/>
      <c r="D531" s="95"/>
      <c r="E531" s="14"/>
      <c r="F531" s="96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A532" s="12"/>
      <c r="D532" s="95"/>
      <c r="E532" s="14"/>
      <c r="F532" s="96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A533" s="12"/>
      <c r="D533" s="95"/>
      <c r="E533" s="14"/>
      <c r="F533" s="96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A534" s="12"/>
      <c r="D534" s="95"/>
      <c r="E534" s="14"/>
      <c r="F534" s="96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A535" s="12"/>
      <c r="D535" s="95"/>
      <c r="E535" s="14"/>
      <c r="F535" s="96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A536" s="12"/>
      <c r="D536" s="95"/>
      <c r="E536" s="14"/>
      <c r="F536" s="96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A537" s="12"/>
      <c r="D537" s="95"/>
      <c r="E537" s="14"/>
      <c r="F537" s="96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A538" s="12"/>
      <c r="D538" s="95"/>
      <c r="E538" s="14"/>
      <c r="F538" s="96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A539" s="12"/>
      <c r="D539" s="95"/>
      <c r="E539" s="14"/>
      <c r="F539" s="96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A540" s="12"/>
      <c r="D540" s="95"/>
      <c r="E540" s="14"/>
      <c r="F540" s="96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A541" s="12"/>
      <c r="D541" s="95"/>
      <c r="E541" s="14"/>
      <c r="F541" s="96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A542" s="12"/>
      <c r="D542" s="95"/>
      <c r="E542" s="14"/>
      <c r="F542" s="96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A543" s="12"/>
      <c r="D543" s="95"/>
      <c r="E543" s="14"/>
      <c r="F543" s="96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A544" s="12"/>
      <c r="D544" s="95"/>
      <c r="E544" s="14"/>
      <c r="F544" s="96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A545" s="12"/>
      <c r="D545" s="95"/>
      <c r="E545" s="14"/>
      <c r="F545" s="96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A546" s="12"/>
      <c r="D546" s="95"/>
      <c r="E546" s="14"/>
      <c r="F546" s="96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A547" s="12"/>
      <c r="D547" s="95"/>
      <c r="E547" s="14"/>
      <c r="F547" s="96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A548" s="12"/>
      <c r="D548" s="95"/>
      <c r="E548" s="14"/>
      <c r="F548" s="96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A549" s="12"/>
      <c r="D549" s="95"/>
      <c r="E549" s="14"/>
      <c r="F549" s="96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A550" s="12"/>
      <c r="D550" s="95"/>
      <c r="E550" s="14"/>
      <c r="F550" s="96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A551" s="12"/>
      <c r="D551" s="95"/>
      <c r="E551" s="14"/>
      <c r="F551" s="96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A552" s="12"/>
      <c r="D552" s="95"/>
      <c r="E552" s="14"/>
      <c r="F552" s="96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A553" s="12"/>
      <c r="D553" s="95"/>
      <c r="E553" s="14"/>
      <c r="F553" s="96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A554" s="12"/>
      <c r="D554" s="95"/>
      <c r="E554" s="14"/>
      <c r="F554" s="96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A555" s="12"/>
      <c r="D555" s="95"/>
      <c r="E555" s="14"/>
      <c r="F555" s="96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A556" s="12"/>
      <c r="D556" s="95"/>
      <c r="E556" s="14"/>
      <c r="F556" s="96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A557" s="12"/>
      <c r="D557" s="95"/>
      <c r="E557" s="14"/>
      <c r="F557" s="96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A558" s="12"/>
      <c r="D558" s="95"/>
      <c r="E558" s="14"/>
      <c r="F558" s="96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A559" s="12"/>
      <c r="D559" s="95"/>
      <c r="E559" s="14"/>
      <c r="F559" s="96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A560" s="12"/>
      <c r="D560" s="95"/>
      <c r="E560" s="14"/>
      <c r="F560" s="96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A561" s="12"/>
      <c r="D561" s="95"/>
      <c r="E561" s="14"/>
      <c r="F561" s="96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A562" s="12"/>
      <c r="D562" s="95"/>
      <c r="E562" s="14"/>
      <c r="F562" s="96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A563" s="12"/>
      <c r="D563" s="95"/>
      <c r="E563" s="14"/>
      <c r="F563" s="96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A564" s="12"/>
      <c r="D564" s="95"/>
      <c r="E564" s="14"/>
      <c r="F564" s="96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A565" s="12"/>
      <c r="D565" s="95"/>
      <c r="E565" s="14"/>
      <c r="F565" s="96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A566" s="12"/>
      <c r="D566" s="95"/>
      <c r="E566" s="14"/>
      <c r="F566" s="96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A567" s="12"/>
      <c r="D567" s="95"/>
      <c r="E567" s="14"/>
      <c r="F567" s="96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A568" s="12"/>
      <c r="D568" s="95"/>
      <c r="E568" s="14"/>
      <c r="F568" s="96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A569" s="12"/>
      <c r="D569" s="95"/>
      <c r="E569" s="14"/>
      <c r="F569" s="96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A570" s="12"/>
      <c r="D570" s="95"/>
      <c r="E570" s="14"/>
      <c r="F570" s="96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A571" s="12"/>
      <c r="D571" s="95"/>
      <c r="E571" s="14"/>
      <c r="F571" s="96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A572" s="12"/>
      <c r="D572" s="95"/>
      <c r="E572" s="14"/>
      <c r="F572" s="96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A573" s="12"/>
      <c r="D573" s="95"/>
      <c r="E573" s="14"/>
      <c r="F573" s="96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A574" s="12"/>
      <c r="D574" s="95"/>
      <c r="E574" s="14"/>
      <c r="F574" s="96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A575" s="12"/>
      <c r="D575" s="95"/>
      <c r="E575" s="14"/>
      <c r="F575" s="96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A576" s="12"/>
      <c r="D576" s="95"/>
      <c r="E576" s="14"/>
      <c r="F576" s="96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A577" s="12"/>
      <c r="D577" s="95"/>
      <c r="E577" s="14"/>
      <c r="F577" s="96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A578" s="12"/>
      <c r="D578" s="95"/>
      <c r="E578" s="14"/>
      <c r="F578" s="96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A579" s="12"/>
      <c r="D579" s="95"/>
      <c r="E579" s="14"/>
      <c r="F579" s="96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A580" s="12"/>
      <c r="D580" s="95"/>
      <c r="E580" s="14"/>
      <c r="F580" s="96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A581" s="12"/>
      <c r="D581" s="95"/>
      <c r="E581" s="14"/>
      <c r="F581" s="96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A582" s="12"/>
      <c r="D582" s="95"/>
      <c r="E582" s="14"/>
      <c r="F582" s="96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A583" s="12"/>
      <c r="D583" s="95"/>
      <c r="E583" s="14"/>
      <c r="F583" s="96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A584" s="12"/>
      <c r="D584" s="95"/>
      <c r="E584" s="14"/>
      <c r="F584" s="96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A585" s="12"/>
      <c r="D585" s="95"/>
      <c r="E585" s="14"/>
      <c r="F585" s="96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A586" s="12"/>
      <c r="D586" s="95"/>
      <c r="E586" s="14"/>
      <c r="F586" s="96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A587" s="12"/>
      <c r="D587" s="95"/>
      <c r="E587" s="14"/>
      <c r="F587" s="96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A588" s="12"/>
      <c r="D588" s="95"/>
      <c r="E588" s="14"/>
      <c r="F588" s="96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A589" s="12"/>
      <c r="D589" s="95"/>
      <c r="E589" s="14"/>
      <c r="F589" s="96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A590" s="12"/>
      <c r="D590" s="95"/>
      <c r="E590" s="14"/>
      <c r="F590" s="96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A591" s="12"/>
      <c r="D591" s="95"/>
      <c r="E591" s="14"/>
      <c r="F591" s="96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A592" s="12"/>
      <c r="D592" s="95"/>
      <c r="E592" s="14"/>
      <c r="F592" s="96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A593" s="12"/>
      <c r="D593" s="95"/>
      <c r="E593" s="14"/>
      <c r="F593" s="96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A594" s="12"/>
      <c r="D594" s="95"/>
      <c r="E594" s="14"/>
      <c r="F594" s="96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A595" s="12"/>
      <c r="D595" s="95"/>
      <c r="E595" s="14"/>
      <c r="F595" s="96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A596" s="12"/>
      <c r="D596" s="95"/>
      <c r="E596" s="14"/>
      <c r="F596" s="96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A597" s="12"/>
      <c r="D597" s="95"/>
      <c r="E597" s="14"/>
      <c r="F597" s="96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A598" s="12"/>
      <c r="D598" s="95"/>
      <c r="E598" s="14"/>
      <c r="F598" s="96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A599" s="12"/>
      <c r="D599" s="95"/>
      <c r="E599" s="14"/>
      <c r="F599" s="96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A600" s="12"/>
      <c r="D600" s="95"/>
      <c r="E600" s="14"/>
      <c r="F600" s="96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A601" s="12"/>
      <c r="D601" s="95"/>
      <c r="E601" s="14"/>
      <c r="F601" s="96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A602" s="12"/>
      <c r="D602" s="95"/>
      <c r="E602" s="14"/>
      <c r="F602" s="96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A603" s="12"/>
      <c r="D603" s="95"/>
      <c r="E603" s="14"/>
      <c r="F603" s="96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A604" s="12"/>
      <c r="D604" s="95"/>
      <c r="E604" s="14"/>
      <c r="F604" s="96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A605" s="12"/>
      <c r="D605" s="95"/>
      <c r="E605" s="14"/>
      <c r="F605" s="96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A606" s="12"/>
      <c r="D606" s="95"/>
      <c r="E606" s="14"/>
      <c r="F606" s="96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A607" s="12"/>
      <c r="D607" s="95"/>
      <c r="E607" s="14"/>
      <c r="F607" s="96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A608" s="12"/>
      <c r="D608" s="95"/>
      <c r="E608" s="14"/>
      <c r="F608" s="96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A609" s="12"/>
      <c r="D609" s="95"/>
      <c r="E609" s="14"/>
      <c r="F609" s="96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A610" s="12"/>
      <c r="D610" s="95"/>
      <c r="E610" s="14"/>
      <c r="F610" s="96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A611" s="12"/>
      <c r="D611" s="95"/>
      <c r="E611" s="14"/>
      <c r="F611" s="96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A612" s="12"/>
      <c r="D612" s="95"/>
      <c r="E612" s="14"/>
      <c r="F612" s="96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A613" s="12"/>
      <c r="D613" s="95"/>
      <c r="E613" s="14"/>
      <c r="F613" s="96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A614" s="12"/>
      <c r="D614" s="95"/>
      <c r="E614" s="14"/>
      <c r="F614" s="96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A615" s="12"/>
      <c r="D615" s="95"/>
      <c r="E615" s="14"/>
      <c r="F615" s="96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A616" s="12"/>
      <c r="D616" s="95"/>
      <c r="E616" s="14"/>
      <c r="F616" s="96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A617" s="12"/>
      <c r="D617" s="95"/>
      <c r="E617" s="14"/>
      <c r="F617" s="96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A618" s="12"/>
      <c r="D618" s="95"/>
      <c r="E618" s="14"/>
      <c r="F618" s="96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A619" s="12"/>
      <c r="D619" s="95"/>
      <c r="E619" s="14"/>
      <c r="F619" s="96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A620" s="12"/>
      <c r="D620" s="95"/>
      <c r="E620" s="14"/>
      <c r="F620" s="96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A621" s="12"/>
      <c r="D621" s="95"/>
      <c r="E621" s="14"/>
      <c r="F621" s="96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A622" s="12"/>
      <c r="D622" s="95"/>
      <c r="E622" s="14"/>
      <c r="F622" s="96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A623" s="12"/>
      <c r="D623" s="95"/>
      <c r="E623" s="14"/>
      <c r="F623" s="96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A624" s="12"/>
      <c r="D624" s="95"/>
      <c r="E624" s="14"/>
      <c r="F624" s="96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A625" s="12"/>
      <c r="D625" s="95"/>
      <c r="E625" s="14"/>
      <c r="F625" s="96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A626" s="12"/>
      <c r="D626" s="95"/>
      <c r="E626" s="14"/>
      <c r="F626" s="96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A627" s="12"/>
      <c r="D627" s="95"/>
      <c r="E627" s="14"/>
      <c r="F627" s="96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A628" s="12"/>
      <c r="D628" s="95"/>
      <c r="E628" s="14"/>
      <c r="F628" s="96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A629" s="12"/>
      <c r="D629" s="95"/>
      <c r="E629" s="14"/>
      <c r="F629" s="96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A630" s="12"/>
      <c r="D630" s="95"/>
      <c r="E630" s="14"/>
      <c r="F630" s="96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A631" s="12"/>
      <c r="D631" s="95"/>
      <c r="E631" s="14"/>
      <c r="F631" s="96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A632" s="12"/>
      <c r="D632" s="95"/>
      <c r="E632" s="14"/>
      <c r="F632" s="96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A633" s="12"/>
      <c r="D633" s="95"/>
      <c r="E633" s="14"/>
      <c r="F633" s="96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A634" s="12"/>
      <c r="D634" s="95"/>
      <c r="E634" s="14"/>
      <c r="F634" s="96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A635" s="12"/>
      <c r="D635" s="95"/>
      <c r="E635" s="14"/>
      <c r="F635" s="96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A636" s="12"/>
      <c r="D636" s="95"/>
      <c r="E636" s="14"/>
      <c r="F636" s="96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A637" s="12"/>
      <c r="D637" s="95"/>
      <c r="E637" s="14"/>
      <c r="F637" s="96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A638" s="12"/>
      <c r="D638" s="95"/>
      <c r="E638" s="14"/>
      <c r="F638" s="96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A639" s="12"/>
      <c r="D639" s="95"/>
      <c r="E639" s="14"/>
      <c r="F639" s="96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A640" s="12"/>
      <c r="D640" s="95"/>
      <c r="E640" s="14"/>
      <c r="F640" s="96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A641" s="12"/>
      <c r="D641" s="95"/>
      <c r="E641" s="14"/>
      <c r="F641" s="96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A642" s="12"/>
      <c r="D642" s="95"/>
      <c r="E642" s="14"/>
      <c r="F642" s="96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A643" s="12"/>
      <c r="D643" s="95"/>
      <c r="E643" s="14"/>
      <c r="F643" s="96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A644" s="12"/>
      <c r="D644" s="95"/>
      <c r="E644" s="14"/>
      <c r="F644" s="96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A645" s="12"/>
      <c r="D645" s="95"/>
      <c r="E645" s="14"/>
      <c r="F645" s="96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A646" s="12"/>
      <c r="D646" s="95"/>
      <c r="E646" s="14"/>
      <c r="F646" s="96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A647" s="12"/>
      <c r="D647" s="95"/>
      <c r="E647" s="14"/>
      <c r="F647" s="96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A648" s="12"/>
      <c r="D648" s="95"/>
      <c r="E648" s="14"/>
      <c r="F648" s="96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A649" s="12"/>
      <c r="D649" s="95"/>
      <c r="E649" s="14"/>
      <c r="F649" s="96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A650" s="12"/>
      <c r="D650" s="95"/>
      <c r="E650" s="14"/>
      <c r="F650" s="96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A651" s="12"/>
      <c r="D651" s="95"/>
      <c r="E651" s="14"/>
      <c r="F651" s="96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A652" s="12"/>
      <c r="D652" s="95"/>
      <c r="E652" s="14"/>
      <c r="F652" s="96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A653" s="12"/>
      <c r="D653" s="95"/>
      <c r="E653" s="14"/>
      <c r="F653" s="96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A654" s="12"/>
      <c r="D654" s="95"/>
      <c r="E654" s="14"/>
      <c r="F654" s="96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A655" s="12"/>
      <c r="D655" s="95"/>
      <c r="E655" s="14"/>
      <c r="F655" s="96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A656" s="12"/>
      <c r="D656" s="95"/>
      <c r="E656" s="14"/>
      <c r="F656" s="96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A657" s="12"/>
      <c r="D657" s="95"/>
      <c r="E657" s="14"/>
      <c r="F657" s="96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A658" s="12"/>
      <c r="D658" s="95"/>
      <c r="E658" s="14"/>
      <c r="F658" s="96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A659" s="12"/>
      <c r="D659" s="95"/>
      <c r="E659" s="14"/>
      <c r="F659" s="96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A660" s="12"/>
      <c r="D660" s="95"/>
      <c r="E660" s="14"/>
      <c r="F660" s="96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A661" s="12"/>
      <c r="D661" s="95"/>
      <c r="E661" s="14"/>
      <c r="F661" s="96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A662" s="12"/>
      <c r="D662" s="95"/>
      <c r="E662" s="14"/>
      <c r="F662" s="96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A663" s="12"/>
      <c r="D663" s="95"/>
      <c r="E663" s="14"/>
      <c r="F663" s="96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A664" s="12"/>
      <c r="D664" s="95"/>
      <c r="E664" s="14"/>
      <c r="F664" s="96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A665" s="12"/>
      <c r="D665" s="95"/>
      <c r="E665" s="14"/>
      <c r="F665" s="96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A666" s="12"/>
      <c r="D666" s="95"/>
      <c r="E666" s="14"/>
      <c r="F666" s="96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A667" s="12"/>
      <c r="D667" s="95"/>
      <c r="E667" s="14"/>
      <c r="F667" s="96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A668" s="12"/>
      <c r="D668" s="95"/>
      <c r="E668" s="14"/>
      <c r="F668" s="96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A669" s="12"/>
      <c r="D669" s="95"/>
      <c r="E669" s="14"/>
      <c r="F669" s="96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A670" s="12"/>
      <c r="D670" s="95"/>
      <c r="E670" s="14"/>
      <c r="F670" s="96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A671" s="12"/>
      <c r="D671" s="95"/>
      <c r="E671" s="14"/>
      <c r="F671" s="96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A672" s="12"/>
      <c r="D672" s="95"/>
      <c r="E672" s="14"/>
      <c r="F672" s="96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A673" s="12"/>
      <c r="D673" s="95"/>
      <c r="E673" s="14"/>
      <c r="F673" s="96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A674" s="12"/>
      <c r="D674" s="95"/>
      <c r="E674" s="14"/>
      <c r="F674" s="96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A675" s="12"/>
      <c r="D675" s="95"/>
      <c r="E675" s="14"/>
      <c r="F675" s="96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A676" s="12"/>
      <c r="D676" s="95"/>
      <c r="E676" s="14"/>
      <c r="F676" s="96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A677" s="12"/>
      <c r="D677" s="95"/>
      <c r="E677" s="14"/>
      <c r="F677" s="96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A678" s="12"/>
      <c r="D678" s="95"/>
      <c r="E678" s="14"/>
      <c r="F678" s="96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A679" s="12"/>
      <c r="D679" s="95"/>
      <c r="E679" s="14"/>
      <c r="F679" s="96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A680" s="12"/>
      <c r="D680" s="95"/>
      <c r="E680" s="14"/>
      <c r="F680" s="96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A681" s="12"/>
      <c r="D681" s="95"/>
      <c r="E681" s="14"/>
      <c r="F681" s="96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A682" s="12"/>
      <c r="D682" s="95"/>
      <c r="E682" s="14"/>
      <c r="F682" s="96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A683" s="12"/>
      <c r="D683" s="95"/>
      <c r="E683" s="14"/>
      <c r="F683" s="96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A684" s="12"/>
      <c r="D684" s="95"/>
      <c r="E684" s="14"/>
      <c r="F684" s="96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A685" s="12"/>
      <c r="D685" s="95"/>
      <c r="E685" s="14"/>
      <c r="F685" s="96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A686" s="12"/>
      <c r="D686" s="95"/>
      <c r="E686" s="14"/>
      <c r="F686" s="96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A687" s="12"/>
      <c r="D687" s="95"/>
      <c r="E687" s="14"/>
      <c r="F687" s="96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A688" s="12"/>
      <c r="D688" s="95"/>
      <c r="E688" s="14"/>
      <c r="F688" s="96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A689" s="12"/>
      <c r="D689" s="95"/>
      <c r="E689" s="14"/>
      <c r="F689" s="96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A690" s="12"/>
      <c r="D690" s="95"/>
      <c r="E690" s="14"/>
      <c r="F690" s="96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A691" s="12"/>
      <c r="D691" s="95"/>
      <c r="E691" s="14"/>
      <c r="F691" s="96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A692" s="12"/>
      <c r="D692" s="95"/>
      <c r="E692" s="14"/>
      <c r="F692" s="96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A693" s="12"/>
      <c r="D693" s="95"/>
      <c r="E693" s="14"/>
      <c r="F693" s="96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A694" s="12"/>
      <c r="D694" s="95"/>
      <c r="E694" s="14"/>
      <c r="F694" s="96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A695" s="12"/>
      <c r="D695" s="95"/>
      <c r="E695" s="14"/>
      <c r="F695" s="96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A696" s="12"/>
      <c r="D696" s="95"/>
      <c r="E696" s="14"/>
      <c r="F696" s="96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A697" s="12"/>
      <c r="D697" s="95"/>
      <c r="E697" s="14"/>
      <c r="F697" s="96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A698" s="12"/>
      <c r="D698" s="95"/>
      <c r="E698" s="14"/>
      <c r="F698" s="96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A699" s="12"/>
      <c r="D699" s="95"/>
      <c r="E699" s="14"/>
      <c r="F699" s="96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A700" s="12"/>
      <c r="D700" s="95"/>
      <c r="E700" s="14"/>
      <c r="F700" s="96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A701" s="12"/>
      <c r="D701" s="95"/>
      <c r="E701" s="14"/>
      <c r="F701" s="96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A702" s="12"/>
      <c r="D702" s="95"/>
      <c r="E702" s="14"/>
      <c r="F702" s="96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A703" s="12"/>
      <c r="D703" s="95"/>
      <c r="E703" s="14"/>
      <c r="F703" s="96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A704" s="12"/>
      <c r="D704" s="95"/>
      <c r="E704" s="14"/>
      <c r="F704" s="96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A705" s="12"/>
      <c r="D705" s="95"/>
      <c r="E705" s="14"/>
      <c r="F705" s="96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A706" s="12"/>
      <c r="D706" s="95"/>
      <c r="E706" s="14"/>
      <c r="F706" s="96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A707" s="12"/>
      <c r="D707" s="95"/>
      <c r="E707" s="14"/>
      <c r="F707" s="96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A708" s="12"/>
      <c r="D708" s="95"/>
      <c r="E708" s="14"/>
      <c r="F708" s="96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A709" s="12"/>
      <c r="D709" s="95"/>
      <c r="E709" s="14"/>
      <c r="F709" s="96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A710" s="12"/>
      <c r="D710" s="95"/>
      <c r="E710" s="14"/>
      <c r="F710" s="96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A711" s="12"/>
      <c r="D711" s="95"/>
      <c r="E711" s="14"/>
      <c r="F711" s="96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A712" s="12"/>
      <c r="D712" s="95"/>
      <c r="E712" s="14"/>
      <c r="F712" s="96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A713" s="12"/>
      <c r="D713" s="95"/>
      <c r="E713" s="14"/>
      <c r="F713" s="96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A714" s="12"/>
      <c r="D714" s="95"/>
      <c r="E714" s="14"/>
      <c r="F714" s="96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A715" s="12"/>
      <c r="D715" s="95"/>
      <c r="E715" s="14"/>
      <c r="F715" s="96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A716" s="12"/>
      <c r="D716" s="95"/>
      <c r="E716" s="14"/>
      <c r="F716" s="96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A717" s="12"/>
      <c r="D717" s="95"/>
      <c r="E717" s="14"/>
      <c r="F717" s="96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A718" s="12"/>
      <c r="D718" s="95"/>
      <c r="E718" s="14"/>
      <c r="F718" s="96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A719" s="12"/>
      <c r="D719" s="95"/>
      <c r="E719" s="14"/>
      <c r="F719" s="96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A720" s="12"/>
      <c r="D720" s="95"/>
      <c r="E720" s="14"/>
      <c r="F720" s="96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A721" s="12"/>
      <c r="D721" s="95"/>
      <c r="E721" s="14"/>
      <c r="F721" s="96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A722" s="12"/>
      <c r="D722" s="95"/>
      <c r="E722" s="14"/>
      <c r="F722" s="96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A723" s="12"/>
      <c r="D723" s="95"/>
      <c r="E723" s="14"/>
      <c r="F723" s="96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A724" s="12"/>
      <c r="D724" s="95"/>
      <c r="E724" s="14"/>
      <c r="F724" s="96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A725" s="12"/>
      <c r="D725" s="95"/>
      <c r="E725" s="14"/>
      <c r="F725" s="96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A726" s="12"/>
      <c r="D726" s="95"/>
      <c r="E726" s="14"/>
      <c r="F726" s="96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A727" s="12"/>
      <c r="D727" s="95"/>
      <c r="E727" s="14"/>
      <c r="F727" s="96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A728" s="12"/>
      <c r="D728" s="95"/>
      <c r="E728" s="14"/>
      <c r="F728" s="96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A729" s="12"/>
      <c r="D729" s="95"/>
      <c r="E729" s="14"/>
      <c r="F729" s="96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A730" s="12"/>
      <c r="D730" s="95"/>
      <c r="E730" s="14"/>
      <c r="F730" s="96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A731" s="12"/>
      <c r="D731" s="95"/>
      <c r="E731" s="14"/>
      <c r="F731" s="96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A732" s="12"/>
      <c r="D732" s="95"/>
      <c r="E732" s="14"/>
      <c r="F732" s="96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A733" s="12"/>
      <c r="D733" s="95"/>
      <c r="E733" s="14"/>
      <c r="F733" s="96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A734" s="12"/>
      <c r="D734" s="95"/>
      <c r="E734" s="14"/>
      <c r="F734" s="96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A735" s="12"/>
      <c r="D735" s="95"/>
      <c r="E735" s="14"/>
      <c r="F735" s="96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A736" s="12"/>
      <c r="D736" s="95"/>
      <c r="E736" s="14"/>
      <c r="F736" s="96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A737" s="12"/>
      <c r="D737" s="95"/>
      <c r="E737" s="14"/>
      <c r="F737" s="96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A738" s="12"/>
      <c r="D738" s="95"/>
      <c r="E738" s="14"/>
      <c r="F738" s="96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A739" s="12"/>
      <c r="D739" s="95"/>
      <c r="E739" s="14"/>
      <c r="F739" s="96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A740" s="12"/>
      <c r="D740" s="95"/>
      <c r="E740" s="14"/>
      <c r="F740" s="96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A741" s="12"/>
      <c r="D741" s="95"/>
      <c r="E741" s="14"/>
      <c r="F741" s="96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A742" s="12"/>
      <c r="D742" s="95"/>
      <c r="E742" s="14"/>
      <c r="F742" s="96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A743" s="12"/>
      <c r="D743" s="95"/>
      <c r="E743" s="14"/>
      <c r="F743" s="96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A744" s="12"/>
      <c r="D744" s="95"/>
      <c r="E744" s="14"/>
      <c r="F744" s="96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A745" s="12"/>
      <c r="D745" s="95"/>
      <c r="E745" s="14"/>
      <c r="F745" s="96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A746" s="12"/>
      <c r="D746" s="95"/>
      <c r="E746" s="14"/>
      <c r="F746" s="96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A747" s="12"/>
      <c r="D747" s="95"/>
      <c r="E747" s="14"/>
      <c r="F747" s="96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A748" s="12"/>
      <c r="D748" s="95"/>
      <c r="E748" s="14"/>
      <c r="F748" s="96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A749" s="12"/>
      <c r="D749" s="95"/>
      <c r="E749" s="14"/>
      <c r="F749" s="96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A750" s="12"/>
      <c r="D750" s="95"/>
      <c r="E750" s="14"/>
      <c r="F750" s="96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A751" s="12"/>
      <c r="D751" s="95"/>
      <c r="E751" s="14"/>
      <c r="F751" s="96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A752" s="12"/>
      <c r="D752" s="95"/>
      <c r="E752" s="14"/>
      <c r="F752" s="96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A753" s="12"/>
      <c r="D753" s="95"/>
      <c r="E753" s="14"/>
      <c r="F753" s="96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A754" s="12"/>
      <c r="D754" s="95"/>
      <c r="E754" s="14"/>
      <c r="F754" s="96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A755" s="12"/>
      <c r="D755" s="95"/>
      <c r="E755" s="14"/>
      <c r="F755" s="96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A756" s="12"/>
      <c r="D756" s="95"/>
      <c r="E756" s="14"/>
      <c r="F756" s="96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A757" s="12"/>
      <c r="D757" s="95"/>
      <c r="E757" s="14"/>
      <c r="F757" s="96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A758" s="12"/>
      <c r="D758" s="95"/>
      <c r="E758" s="14"/>
      <c r="F758" s="96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A759" s="12"/>
      <c r="D759" s="95"/>
      <c r="E759" s="14"/>
      <c r="F759" s="96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A760" s="12"/>
      <c r="D760" s="95"/>
      <c r="E760" s="14"/>
      <c r="F760" s="96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A761" s="12"/>
      <c r="D761" s="95"/>
      <c r="E761" s="14"/>
      <c r="F761" s="96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A762" s="12"/>
      <c r="D762" s="95"/>
      <c r="E762" s="14"/>
      <c r="F762" s="96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A763" s="12"/>
      <c r="D763" s="95"/>
      <c r="E763" s="14"/>
      <c r="F763" s="96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A764" s="12"/>
      <c r="D764" s="95"/>
      <c r="E764" s="14"/>
      <c r="F764" s="96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A765" s="12"/>
      <c r="D765" s="95"/>
      <c r="E765" s="14"/>
      <c r="F765" s="96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A766" s="12"/>
      <c r="D766" s="95"/>
      <c r="E766" s="14"/>
      <c r="F766" s="96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A767" s="12"/>
      <c r="D767" s="95"/>
      <c r="E767" s="14"/>
      <c r="F767" s="96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A768" s="12"/>
      <c r="D768" s="95"/>
      <c r="E768" s="14"/>
      <c r="F768" s="96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A769" s="12"/>
      <c r="D769" s="95"/>
      <c r="E769" s="14"/>
      <c r="F769" s="96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A770" s="12"/>
      <c r="D770" s="95"/>
      <c r="E770" s="14"/>
      <c r="F770" s="96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A771" s="12"/>
      <c r="D771" s="95"/>
      <c r="E771" s="14"/>
      <c r="F771" s="96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A772" s="12"/>
      <c r="D772" s="95"/>
      <c r="E772" s="14"/>
      <c r="F772" s="96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A773" s="12"/>
      <c r="D773" s="95"/>
      <c r="E773" s="14"/>
      <c r="F773" s="96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A774" s="12"/>
      <c r="D774" s="95"/>
      <c r="E774" s="14"/>
      <c r="F774" s="96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A775" s="12"/>
      <c r="D775" s="95"/>
      <c r="E775" s="14"/>
      <c r="F775" s="96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A776" s="12"/>
      <c r="D776" s="95"/>
      <c r="E776" s="14"/>
      <c r="F776" s="96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A777" s="12"/>
      <c r="D777" s="95"/>
      <c r="E777" s="14"/>
      <c r="F777" s="96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A778" s="12"/>
      <c r="D778" s="95"/>
      <c r="E778" s="14"/>
      <c r="F778" s="96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A779" s="12"/>
      <c r="D779" s="95"/>
      <c r="E779" s="14"/>
      <c r="F779" s="96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A780" s="12"/>
      <c r="D780" s="95"/>
      <c r="E780" s="14"/>
      <c r="F780" s="96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A781" s="12"/>
      <c r="D781" s="95"/>
      <c r="E781" s="14"/>
      <c r="F781" s="96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A782" s="12"/>
      <c r="D782" s="95"/>
      <c r="E782" s="14"/>
      <c r="F782" s="96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A783" s="12"/>
      <c r="D783" s="95"/>
      <c r="E783" s="14"/>
      <c r="F783" s="96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A784" s="12"/>
      <c r="D784" s="95"/>
      <c r="E784" s="14"/>
      <c r="F784" s="96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A785" s="12"/>
      <c r="D785" s="95"/>
      <c r="E785" s="14"/>
      <c r="F785" s="96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A786" s="12"/>
      <c r="D786" s="95"/>
      <c r="E786" s="14"/>
      <c r="F786" s="96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A787" s="12"/>
      <c r="D787" s="95"/>
      <c r="E787" s="14"/>
      <c r="F787" s="96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A788" s="12"/>
      <c r="D788" s="95"/>
      <c r="E788" s="14"/>
      <c r="F788" s="96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A789" s="12"/>
      <c r="D789" s="95"/>
      <c r="E789" s="14"/>
      <c r="F789" s="96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A790" s="12"/>
      <c r="D790" s="95"/>
      <c r="E790" s="14"/>
      <c r="F790" s="96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A791" s="12"/>
      <c r="D791" s="95"/>
      <c r="E791" s="14"/>
      <c r="F791" s="96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A792" s="12"/>
      <c r="D792" s="95"/>
      <c r="E792" s="14"/>
      <c r="F792" s="96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A793" s="12"/>
      <c r="D793" s="95"/>
      <c r="E793" s="14"/>
      <c r="F793" s="96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A794" s="12"/>
      <c r="D794" s="95"/>
      <c r="E794" s="14"/>
      <c r="F794" s="96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A795" s="12"/>
      <c r="D795" s="95"/>
      <c r="E795" s="14"/>
      <c r="F795" s="96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A796" s="12"/>
      <c r="D796" s="95"/>
      <c r="E796" s="14"/>
      <c r="F796" s="96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A797" s="12"/>
      <c r="D797" s="95"/>
      <c r="E797" s="14"/>
      <c r="F797" s="96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A798" s="12"/>
      <c r="D798" s="95"/>
      <c r="E798" s="14"/>
      <c r="F798" s="96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A799" s="12"/>
      <c r="D799" s="95"/>
      <c r="E799" s="14"/>
      <c r="F799" s="96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A800" s="12"/>
      <c r="D800" s="95"/>
      <c r="E800" s="14"/>
      <c r="F800" s="96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A801" s="12"/>
      <c r="D801" s="95"/>
      <c r="E801" s="14"/>
      <c r="F801" s="96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A802" s="12"/>
      <c r="D802" s="95"/>
      <c r="E802" s="14"/>
      <c r="F802" s="96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A803" s="12"/>
      <c r="D803" s="95"/>
      <c r="E803" s="14"/>
      <c r="F803" s="96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A804" s="12"/>
      <c r="D804" s="95"/>
      <c r="E804" s="14"/>
      <c r="F804" s="96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A805" s="12"/>
      <c r="D805" s="95"/>
      <c r="E805" s="14"/>
      <c r="F805" s="96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A806" s="12"/>
      <c r="D806" s="95"/>
      <c r="E806" s="14"/>
      <c r="F806" s="96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A807" s="12"/>
      <c r="D807" s="95"/>
      <c r="E807" s="14"/>
      <c r="F807" s="96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A808" s="12"/>
      <c r="D808" s="95"/>
      <c r="E808" s="14"/>
      <c r="F808" s="96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A809" s="12"/>
      <c r="D809" s="95"/>
      <c r="E809" s="14"/>
      <c r="F809" s="96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A810" s="12"/>
      <c r="D810" s="95"/>
      <c r="E810" s="14"/>
      <c r="F810" s="96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A811" s="12"/>
      <c r="D811" s="95"/>
      <c r="E811" s="14"/>
      <c r="F811" s="96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A812" s="12"/>
      <c r="D812" s="95"/>
      <c r="E812" s="14"/>
      <c r="F812" s="96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A813" s="12"/>
      <c r="D813" s="95"/>
      <c r="E813" s="14"/>
      <c r="F813" s="96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A814" s="12"/>
      <c r="D814" s="95"/>
      <c r="E814" s="14"/>
      <c r="F814" s="96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A815" s="12"/>
      <c r="D815" s="95"/>
      <c r="E815" s="14"/>
      <c r="F815" s="96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A816" s="12"/>
      <c r="D816" s="95"/>
      <c r="E816" s="14"/>
      <c r="F816" s="96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A817" s="12"/>
      <c r="D817" s="95"/>
      <c r="E817" s="14"/>
      <c r="F817" s="96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A818" s="12"/>
      <c r="D818" s="95"/>
      <c r="E818" s="14"/>
      <c r="F818" s="96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A819" s="12"/>
      <c r="D819" s="95"/>
      <c r="E819" s="14"/>
      <c r="F819" s="96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A820" s="12"/>
      <c r="D820" s="95"/>
      <c r="E820" s="14"/>
      <c r="F820" s="96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A821" s="12"/>
      <c r="D821" s="95"/>
      <c r="E821" s="14"/>
      <c r="F821" s="96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A822" s="12"/>
      <c r="D822" s="95"/>
      <c r="E822" s="14"/>
      <c r="F822" s="96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A823" s="12"/>
      <c r="D823" s="95"/>
      <c r="E823" s="14"/>
      <c r="F823" s="96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A824" s="12"/>
      <c r="D824" s="95"/>
      <c r="E824" s="14"/>
      <c r="F824" s="96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A825" s="12"/>
      <c r="D825" s="95"/>
      <c r="E825" s="14"/>
      <c r="F825" s="96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A826" s="12"/>
      <c r="D826" s="95"/>
      <c r="E826" s="14"/>
      <c r="F826" s="96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A827" s="12"/>
      <c r="D827" s="95"/>
      <c r="E827" s="14"/>
      <c r="F827" s="96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A828" s="12"/>
      <c r="D828" s="95"/>
      <c r="E828" s="14"/>
      <c r="F828" s="96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A829" s="12"/>
      <c r="D829" s="95"/>
      <c r="E829" s="14"/>
      <c r="F829" s="96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A830" s="12"/>
      <c r="D830" s="95"/>
      <c r="E830" s="14"/>
      <c r="F830" s="96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A831" s="12"/>
      <c r="D831" s="95"/>
      <c r="E831" s="14"/>
      <c r="F831" s="96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A832" s="12"/>
      <c r="D832" s="95"/>
      <c r="E832" s="14"/>
      <c r="F832" s="96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A833" s="12"/>
      <c r="D833" s="95"/>
      <c r="E833" s="14"/>
      <c r="F833" s="96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A834" s="12"/>
      <c r="D834" s="95"/>
      <c r="E834" s="14"/>
      <c r="F834" s="96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A835" s="12"/>
      <c r="D835" s="95"/>
      <c r="E835" s="14"/>
      <c r="F835" s="96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A836" s="12"/>
      <c r="D836" s="95"/>
      <c r="E836" s="14"/>
      <c r="F836" s="96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A837" s="12"/>
      <c r="D837" s="95"/>
      <c r="E837" s="14"/>
      <c r="F837" s="96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A838" s="12"/>
      <c r="D838" s="95"/>
      <c r="E838" s="14"/>
      <c r="F838" s="96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A839" s="12"/>
      <c r="D839" s="95"/>
      <c r="E839" s="14"/>
      <c r="F839" s="96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A840" s="12"/>
      <c r="D840" s="95"/>
      <c r="E840" s="14"/>
      <c r="F840" s="96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A841" s="12"/>
      <c r="D841" s="95"/>
      <c r="E841" s="14"/>
      <c r="F841" s="96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A842" s="12"/>
      <c r="D842" s="95"/>
      <c r="E842" s="14"/>
      <c r="F842" s="96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A843" s="12"/>
      <c r="D843" s="95"/>
      <c r="E843" s="14"/>
      <c r="F843" s="96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A844" s="12"/>
      <c r="D844" s="95"/>
      <c r="E844" s="14"/>
      <c r="F844" s="96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A845" s="12"/>
      <c r="D845" s="95"/>
      <c r="E845" s="14"/>
      <c r="F845" s="96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A846" s="12"/>
      <c r="D846" s="95"/>
      <c r="E846" s="14"/>
      <c r="F846" s="96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A847" s="12"/>
      <c r="D847" s="95"/>
      <c r="E847" s="14"/>
      <c r="F847" s="96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A848" s="12"/>
      <c r="D848" s="95"/>
      <c r="E848" s="14"/>
      <c r="F848" s="96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A849" s="12"/>
      <c r="D849" s="95"/>
      <c r="E849" s="14"/>
      <c r="F849" s="96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A850" s="12"/>
      <c r="D850" s="95"/>
      <c r="E850" s="14"/>
      <c r="F850" s="96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A851" s="12"/>
      <c r="D851" s="95"/>
      <c r="E851" s="14"/>
      <c r="F851" s="96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A852" s="12"/>
      <c r="D852" s="95"/>
      <c r="E852" s="14"/>
      <c r="F852" s="96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A853" s="12"/>
      <c r="D853" s="95"/>
      <c r="E853" s="14"/>
      <c r="F853" s="96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A854" s="12"/>
      <c r="D854" s="95"/>
      <c r="E854" s="14"/>
      <c r="F854" s="96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A855" s="12"/>
      <c r="D855" s="95"/>
      <c r="E855" s="14"/>
      <c r="F855" s="96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A856" s="12"/>
      <c r="D856" s="95"/>
      <c r="E856" s="14"/>
      <c r="F856" s="96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A857" s="12"/>
      <c r="D857" s="95"/>
      <c r="E857" s="14"/>
      <c r="F857" s="96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A858" s="12"/>
      <c r="D858" s="95"/>
      <c r="E858" s="14"/>
      <c r="F858" s="96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A859" s="12"/>
      <c r="D859" s="95"/>
      <c r="E859" s="14"/>
      <c r="F859" s="96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A860" s="12"/>
      <c r="D860" s="95"/>
      <c r="E860" s="14"/>
      <c r="F860" s="96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A861" s="12"/>
      <c r="D861" s="95"/>
      <c r="E861" s="14"/>
      <c r="F861" s="96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A862" s="12"/>
      <c r="D862" s="95"/>
      <c r="E862" s="14"/>
      <c r="F862" s="96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A863" s="12"/>
      <c r="D863" s="95"/>
      <c r="E863" s="14"/>
      <c r="F863" s="96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A864" s="12"/>
      <c r="D864" s="95"/>
      <c r="E864" s="14"/>
      <c r="F864" s="96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A865" s="12"/>
      <c r="D865" s="95"/>
      <c r="E865" s="14"/>
      <c r="F865" s="96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A866" s="12"/>
      <c r="D866" s="95"/>
      <c r="E866" s="14"/>
      <c r="F866" s="96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A867" s="12"/>
      <c r="D867" s="95"/>
      <c r="E867" s="14"/>
      <c r="F867" s="96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A868" s="12"/>
      <c r="D868" s="95"/>
      <c r="E868" s="14"/>
      <c r="F868" s="96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A869" s="12"/>
      <c r="D869" s="95"/>
      <c r="E869" s="14"/>
      <c r="F869" s="96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A870" s="12"/>
      <c r="D870" s="95"/>
      <c r="E870" s="14"/>
      <c r="F870" s="96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A871" s="12"/>
      <c r="D871" s="95"/>
      <c r="E871" s="14"/>
      <c r="F871" s="96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A872" s="12"/>
      <c r="D872" s="95"/>
      <c r="E872" s="14"/>
      <c r="F872" s="96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A873" s="12"/>
      <c r="D873" s="95"/>
      <c r="E873" s="14"/>
      <c r="F873" s="96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A874" s="12"/>
      <c r="D874" s="95"/>
      <c r="E874" s="14"/>
      <c r="F874" s="96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A875" s="12"/>
      <c r="D875" s="95"/>
      <c r="E875" s="14"/>
      <c r="F875" s="96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A876" s="12"/>
      <c r="D876" s="95"/>
      <c r="E876" s="14"/>
      <c r="F876" s="96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A877" s="12"/>
      <c r="D877" s="95"/>
      <c r="E877" s="14"/>
      <c r="F877" s="96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A878" s="12"/>
      <c r="D878" s="95"/>
      <c r="E878" s="14"/>
      <c r="F878" s="96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A879" s="12"/>
      <c r="D879" s="95"/>
      <c r="E879" s="14"/>
      <c r="F879" s="96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A880" s="12"/>
      <c r="D880" s="95"/>
      <c r="E880" s="14"/>
      <c r="F880" s="96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A881" s="12"/>
      <c r="D881" s="95"/>
      <c r="E881" s="14"/>
      <c r="F881" s="96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A882" s="12"/>
      <c r="D882" s="95"/>
      <c r="E882" s="14"/>
      <c r="F882" s="96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A883" s="12"/>
      <c r="D883" s="95"/>
      <c r="E883" s="14"/>
      <c r="F883" s="96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A884" s="12"/>
      <c r="D884" s="95"/>
      <c r="E884" s="14"/>
      <c r="F884" s="96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A885" s="12"/>
      <c r="D885" s="95"/>
      <c r="E885" s="14"/>
      <c r="F885" s="96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A886" s="12"/>
      <c r="D886" s="95"/>
      <c r="E886" s="14"/>
      <c r="F886" s="96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A887" s="12"/>
      <c r="D887" s="95"/>
      <c r="E887" s="14"/>
      <c r="F887" s="96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A888" s="12"/>
      <c r="D888" s="95"/>
      <c r="E888" s="14"/>
      <c r="F888" s="96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A889" s="12"/>
      <c r="D889" s="95"/>
      <c r="E889" s="14"/>
      <c r="F889" s="96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A890" s="12"/>
      <c r="D890" s="95"/>
      <c r="E890" s="14"/>
      <c r="F890" s="96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A891" s="12"/>
      <c r="D891" s="95"/>
      <c r="E891" s="14"/>
      <c r="F891" s="96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A892" s="12"/>
      <c r="D892" s="95"/>
      <c r="E892" s="14"/>
      <c r="F892" s="96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A893" s="12"/>
      <c r="D893" s="95"/>
      <c r="E893" s="14"/>
      <c r="F893" s="96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A894" s="12"/>
      <c r="D894" s="95"/>
      <c r="E894" s="14"/>
      <c r="F894" s="96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A895" s="12"/>
      <c r="D895" s="95"/>
      <c r="E895" s="14"/>
      <c r="F895" s="96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A896" s="12"/>
      <c r="D896" s="95"/>
      <c r="E896" s="14"/>
      <c r="F896" s="96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A897" s="12"/>
      <c r="D897" s="95"/>
      <c r="E897" s="14"/>
      <c r="F897" s="96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A898" s="12"/>
      <c r="D898" s="95"/>
      <c r="E898" s="14"/>
      <c r="F898" s="96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A899" s="12"/>
      <c r="D899" s="95"/>
      <c r="E899" s="14"/>
      <c r="F899" s="96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A900" s="12"/>
      <c r="D900" s="95"/>
      <c r="E900" s="14"/>
      <c r="F900" s="96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A901" s="12"/>
      <c r="D901" s="95"/>
      <c r="E901" s="14"/>
      <c r="F901" s="96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A902" s="12"/>
      <c r="D902" s="95"/>
      <c r="E902" s="14"/>
      <c r="F902" s="96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A903" s="12"/>
      <c r="D903" s="95"/>
      <c r="E903" s="14"/>
      <c r="F903" s="96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A904" s="12"/>
      <c r="D904" s="95"/>
      <c r="E904" s="14"/>
      <c r="F904" s="96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A905" s="12"/>
      <c r="D905" s="95"/>
      <c r="E905" s="14"/>
      <c r="F905" s="96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A906" s="12"/>
      <c r="D906" s="95"/>
      <c r="E906" s="14"/>
      <c r="F906" s="96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A907" s="12"/>
      <c r="D907" s="95"/>
      <c r="E907" s="14"/>
      <c r="F907" s="96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A908" s="12"/>
      <c r="D908" s="95"/>
      <c r="E908" s="14"/>
      <c r="F908" s="96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A909" s="12"/>
      <c r="D909" s="95"/>
      <c r="E909" s="14"/>
      <c r="F909" s="96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A910" s="12"/>
      <c r="D910" s="95"/>
      <c r="E910" s="14"/>
      <c r="F910" s="96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A911" s="12"/>
      <c r="D911" s="95"/>
      <c r="E911" s="14"/>
      <c r="F911" s="96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A912" s="12"/>
      <c r="D912" s="95"/>
      <c r="E912" s="14"/>
      <c r="F912" s="96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A913" s="12"/>
      <c r="D913" s="95"/>
      <c r="E913" s="14"/>
      <c r="F913" s="96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A914" s="12"/>
      <c r="D914" s="95"/>
      <c r="E914" s="14"/>
      <c r="F914" s="96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A915" s="12"/>
      <c r="D915" s="95"/>
      <c r="E915" s="14"/>
      <c r="F915" s="96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A916" s="12"/>
      <c r="D916" s="95"/>
      <c r="E916" s="14"/>
      <c r="F916" s="96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A917" s="12"/>
      <c r="D917" s="95"/>
      <c r="E917" s="14"/>
      <c r="F917" s="96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A918" s="12"/>
      <c r="D918" s="95"/>
      <c r="E918" s="14"/>
      <c r="F918" s="96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A919" s="12"/>
      <c r="D919" s="95"/>
      <c r="E919" s="14"/>
      <c r="F919" s="96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A920" s="12"/>
      <c r="D920" s="95"/>
      <c r="E920" s="14"/>
      <c r="F920" s="96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A921" s="12"/>
      <c r="D921" s="95"/>
      <c r="E921" s="14"/>
      <c r="F921" s="96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A922" s="12"/>
      <c r="D922" s="95"/>
      <c r="E922" s="14"/>
      <c r="F922" s="96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A923" s="12"/>
      <c r="D923" s="95"/>
      <c r="E923" s="14"/>
      <c r="F923" s="96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A924" s="12"/>
      <c r="D924" s="95"/>
      <c r="E924" s="14"/>
      <c r="F924" s="96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A925" s="12"/>
      <c r="D925" s="95"/>
      <c r="E925" s="14"/>
      <c r="F925" s="96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A926" s="12"/>
      <c r="D926" s="95"/>
      <c r="E926" s="14"/>
      <c r="F926" s="96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A927" s="12"/>
      <c r="D927" s="95"/>
      <c r="E927" s="14"/>
      <c r="F927" s="96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A928" s="12"/>
      <c r="D928" s="95"/>
      <c r="E928" s="14"/>
      <c r="F928" s="96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A929" s="12"/>
      <c r="D929" s="95"/>
      <c r="E929" s="14"/>
      <c r="F929" s="96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A930" s="12"/>
      <c r="D930" s="95"/>
      <c r="E930" s="14"/>
      <c r="F930" s="96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A931" s="12"/>
      <c r="D931" s="95"/>
      <c r="E931" s="14"/>
      <c r="F931" s="96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A932" s="12"/>
      <c r="D932" s="95"/>
      <c r="E932" s="14"/>
      <c r="F932" s="96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A933" s="12"/>
      <c r="D933" s="95"/>
      <c r="E933" s="14"/>
      <c r="F933" s="96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A934" s="12"/>
      <c r="D934" s="95"/>
      <c r="E934" s="14"/>
      <c r="F934" s="96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A935" s="12"/>
      <c r="D935" s="95"/>
      <c r="E935" s="14"/>
      <c r="F935" s="96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A936" s="12"/>
      <c r="D936" s="95"/>
      <c r="E936" s="14"/>
      <c r="F936" s="96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A937" s="12"/>
      <c r="D937" s="95"/>
      <c r="E937" s="14"/>
      <c r="F937" s="96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A938" s="12"/>
      <c r="D938" s="95"/>
      <c r="E938" s="14"/>
      <c r="F938" s="96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A939" s="12"/>
      <c r="D939" s="95"/>
      <c r="E939" s="14"/>
      <c r="F939" s="96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A940" s="12"/>
      <c r="D940" s="95"/>
      <c r="E940" s="14"/>
      <c r="F940" s="96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A941" s="12"/>
      <c r="D941" s="95"/>
      <c r="E941" s="14"/>
      <c r="F941" s="96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A942" s="12"/>
      <c r="D942" s="95"/>
      <c r="E942" s="14"/>
      <c r="F942" s="96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A943" s="12"/>
      <c r="D943" s="95"/>
      <c r="E943" s="14"/>
      <c r="F943" s="96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A944" s="12"/>
      <c r="D944" s="95"/>
      <c r="E944" s="14"/>
      <c r="F944" s="96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A945" s="12"/>
      <c r="D945" s="95"/>
      <c r="E945" s="14"/>
      <c r="F945" s="96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A946" s="12"/>
      <c r="D946" s="95"/>
      <c r="E946" s="14"/>
      <c r="F946" s="96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A947" s="12"/>
      <c r="D947" s="95"/>
      <c r="E947" s="14"/>
      <c r="F947" s="96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A948" s="12"/>
      <c r="D948" s="95"/>
      <c r="E948" s="14"/>
      <c r="F948" s="96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A949" s="12"/>
      <c r="D949" s="95"/>
      <c r="E949" s="14"/>
      <c r="F949" s="96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A950" s="12"/>
      <c r="D950" s="95"/>
      <c r="E950" s="14"/>
      <c r="F950" s="96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A951" s="12"/>
      <c r="D951" s="95"/>
      <c r="E951" s="14"/>
      <c r="F951" s="96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A952" s="12"/>
      <c r="D952" s="95"/>
      <c r="E952" s="14"/>
      <c r="F952" s="96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A953" s="12"/>
      <c r="D953" s="95"/>
      <c r="E953" s="14"/>
      <c r="F953" s="96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A954" s="12"/>
      <c r="D954" s="95"/>
      <c r="E954" s="14"/>
      <c r="F954" s="96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A955" s="12"/>
      <c r="D955" s="95"/>
      <c r="E955" s="14"/>
      <c r="F955" s="96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A956" s="12"/>
      <c r="D956" s="95"/>
      <c r="E956" s="14"/>
      <c r="F956" s="96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A957" s="12"/>
      <c r="D957" s="95"/>
      <c r="E957" s="14"/>
      <c r="F957" s="96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A958" s="12"/>
      <c r="D958" s="95"/>
      <c r="E958" s="14"/>
      <c r="F958" s="96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A959" s="12"/>
      <c r="D959" s="95"/>
      <c r="E959" s="14"/>
      <c r="F959" s="96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A960" s="12"/>
      <c r="D960" s="95"/>
      <c r="E960" s="14"/>
      <c r="F960" s="96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A961" s="12"/>
      <c r="D961" s="95"/>
      <c r="E961" s="14"/>
      <c r="F961" s="96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A962" s="12"/>
      <c r="D962" s="95"/>
      <c r="E962" s="14"/>
      <c r="F962" s="96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A963" s="12"/>
      <c r="D963" s="95"/>
      <c r="E963" s="14"/>
      <c r="F963" s="96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A964" s="12"/>
      <c r="D964" s="95"/>
      <c r="E964" s="14"/>
      <c r="F964" s="96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A965" s="12"/>
      <c r="D965" s="95"/>
      <c r="E965" s="14"/>
      <c r="F965" s="96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A966" s="12"/>
      <c r="D966" s="95"/>
      <c r="E966" s="14"/>
      <c r="F966" s="96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A967" s="12"/>
      <c r="D967" s="95"/>
      <c r="E967" s="14"/>
      <c r="F967" s="96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A968" s="12"/>
      <c r="D968" s="95"/>
      <c r="E968" s="14"/>
      <c r="F968" s="96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A969" s="12"/>
      <c r="D969" s="95"/>
      <c r="E969" s="14"/>
      <c r="F969" s="96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A970" s="12"/>
      <c r="D970" s="95"/>
      <c r="E970" s="14"/>
      <c r="F970" s="96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A971" s="12"/>
      <c r="D971" s="95"/>
      <c r="E971" s="14"/>
      <c r="F971" s="96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A972" s="12"/>
      <c r="D972" s="95"/>
      <c r="E972" s="14"/>
      <c r="F972" s="96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A973" s="12"/>
      <c r="D973" s="95"/>
      <c r="E973" s="14"/>
      <c r="F973" s="96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A974" s="12"/>
      <c r="D974" s="95"/>
      <c r="E974" s="14"/>
      <c r="F974" s="96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A975" s="12"/>
      <c r="D975" s="95"/>
      <c r="E975" s="14"/>
      <c r="F975" s="96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A976" s="12"/>
      <c r="D976" s="95"/>
      <c r="E976" s="14"/>
      <c r="F976" s="96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A977" s="12"/>
      <c r="D977" s="95"/>
      <c r="E977" s="14"/>
      <c r="F977" s="96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A978" s="12"/>
      <c r="D978" s="95"/>
      <c r="E978" s="14"/>
      <c r="F978" s="96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A979" s="12"/>
      <c r="D979" s="95"/>
      <c r="E979" s="14"/>
      <c r="F979" s="96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A980" s="12"/>
      <c r="D980" s="95"/>
      <c r="E980" s="14"/>
      <c r="F980" s="96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A981" s="12"/>
      <c r="D981" s="95"/>
      <c r="E981" s="14"/>
      <c r="F981" s="96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A982" s="12"/>
      <c r="D982" s="95"/>
      <c r="E982" s="14"/>
      <c r="F982" s="96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A983" s="12"/>
      <c r="D983" s="95"/>
      <c r="E983" s="14"/>
      <c r="F983" s="96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A984" s="12"/>
      <c r="D984" s="95"/>
      <c r="E984" s="14"/>
      <c r="F984" s="96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A985" s="12"/>
      <c r="D985" s="95"/>
      <c r="E985" s="14"/>
      <c r="F985" s="96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A986" s="12"/>
      <c r="D986" s="95"/>
      <c r="E986" s="14"/>
      <c r="F986" s="96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A987" s="12"/>
      <c r="D987" s="95"/>
      <c r="E987" s="14"/>
      <c r="F987" s="96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A988" s="12"/>
      <c r="D988" s="95"/>
      <c r="E988" s="14"/>
      <c r="F988" s="96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A989" s="12"/>
      <c r="D989" s="95"/>
      <c r="E989" s="14"/>
      <c r="F989" s="96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A990" s="12"/>
      <c r="D990" s="95"/>
      <c r="E990" s="14"/>
      <c r="F990" s="96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A991" s="12"/>
      <c r="D991" s="95"/>
      <c r="E991" s="14"/>
      <c r="F991" s="96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A992" s="12"/>
      <c r="D992" s="95"/>
      <c r="E992" s="14"/>
      <c r="F992" s="96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A993" s="12"/>
      <c r="D993" s="95"/>
      <c r="E993" s="14"/>
      <c r="F993" s="96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A994" s="12"/>
      <c r="D994" s="95"/>
      <c r="E994" s="14"/>
      <c r="F994" s="96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A995" s="12"/>
      <c r="D995" s="95"/>
      <c r="E995" s="14"/>
      <c r="F995" s="96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A996" s="12"/>
      <c r="D996" s="95"/>
      <c r="E996" s="14"/>
      <c r="F996" s="96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A997" s="12"/>
      <c r="D997" s="95"/>
      <c r="E997" s="14"/>
      <c r="F997" s="96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A998" s="12"/>
      <c r="D998" s="95"/>
      <c r="E998" s="14"/>
      <c r="F998" s="96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A999" s="12"/>
      <c r="D999" s="95"/>
      <c r="E999" s="14"/>
      <c r="F999" s="96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A1000" s="12"/>
      <c r="D1000" s="95"/>
      <c r="E1000" s="14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>
      <c r="A1001" s="12"/>
      <c r="D1001" s="95"/>
      <c r="E1001" s="14"/>
      <c r="F1001" s="96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</sheetData>
  <conditionalFormatting sqref="H2:Q30">
    <cfRule type="cellIs" dxfId="21" priority="1" operator="equal">
      <formula>0</formula>
    </cfRule>
  </conditionalFormatting>
  <conditionalFormatting sqref="H2:H30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0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0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0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0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0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Q30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0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36:C4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6:F4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3">
      <formula1>OR(NOT(ISERROR(DATEVALUE(F33))), AND(ISNUMBER(F33), LEFT(CELL("format", F33))="D"))</formula1>
    </dataValidation>
    <dataValidation type="list" allowBlank="1" showDropDown="1" sqref="C2:C30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63"/>
    <col customWidth="1" min="3" max="3" width="16.25"/>
    <col customWidth="1" min="4" max="4" width="31.63"/>
    <col customWidth="1" min="5" max="5" width="9.25"/>
    <col customWidth="1" min="6" max="6" width="38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557" t="s">
        <v>48</v>
      </c>
      <c r="B1" s="558" t="s">
        <v>49</v>
      </c>
      <c r="C1" s="558" t="s">
        <v>50</v>
      </c>
      <c r="D1" s="559" t="s">
        <v>56</v>
      </c>
      <c r="E1" s="557" t="s">
        <v>57</v>
      </c>
      <c r="F1" s="560" t="s">
        <v>52</v>
      </c>
      <c r="G1" s="561" t="s">
        <v>53</v>
      </c>
      <c r="H1" s="557" t="s">
        <v>4</v>
      </c>
      <c r="I1" s="557" t="s">
        <v>58</v>
      </c>
      <c r="J1" s="557" t="s">
        <v>59</v>
      </c>
      <c r="K1" s="557" t="s">
        <v>60</v>
      </c>
      <c r="L1" s="557" t="s">
        <v>61</v>
      </c>
      <c r="M1" s="557" t="s">
        <v>62</v>
      </c>
      <c r="N1" s="557" t="s">
        <v>63</v>
      </c>
      <c r="O1" s="562" t="s">
        <v>64</v>
      </c>
      <c r="P1" s="557" t="s">
        <v>65</v>
      </c>
    </row>
    <row r="2" ht="22.5" customHeight="1">
      <c r="A2" s="563">
        <v>2.0</v>
      </c>
      <c r="B2" s="564" t="s">
        <v>889</v>
      </c>
      <c r="C2" s="565" t="s">
        <v>70</v>
      </c>
      <c r="D2" s="566" t="s">
        <v>204</v>
      </c>
      <c r="E2" s="567" t="str">
        <f>IMAGE("https://flagcdn.com/w320/de.png")</f>
        <v/>
      </c>
      <c r="F2" s="568">
        <v>38651.0</v>
      </c>
      <c r="G2" s="569">
        <f t="shared" ref="G2:G34" si="1">DATEDIF(F2,TODAY(),"Y")</f>
        <v>20</v>
      </c>
      <c r="H2" s="570">
        <v>0.0</v>
      </c>
      <c r="I2" s="570">
        <v>0.0</v>
      </c>
      <c r="J2" s="571"/>
      <c r="K2" s="571"/>
      <c r="L2" s="571"/>
      <c r="M2" s="571"/>
      <c r="N2" s="571"/>
      <c r="O2" s="571">
        <f t="shared" ref="O2:O34" si="2">J2+K2</f>
        <v>0</v>
      </c>
      <c r="P2" s="571"/>
    </row>
    <row r="3" ht="22.5" customHeight="1">
      <c r="A3" s="563">
        <v>3.0</v>
      </c>
      <c r="B3" s="564" t="s">
        <v>890</v>
      </c>
      <c r="C3" s="565" t="s">
        <v>70</v>
      </c>
      <c r="D3" s="566" t="s">
        <v>89</v>
      </c>
      <c r="E3" s="567" t="str">
        <f>IMAGE("https://flagcdn.com/w320/be.png")</f>
        <v/>
      </c>
      <c r="F3" s="568">
        <v>36671.0</v>
      </c>
      <c r="G3" s="569">
        <f t="shared" si="1"/>
        <v>25</v>
      </c>
      <c r="H3" s="571">
        <f t="shared" ref="H3:H4" si="3">1+1+1+1+1+1+1</f>
        <v>7</v>
      </c>
      <c r="I3" s="571">
        <f>90+90+90+90+90+90+90</f>
        <v>630</v>
      </c>
      <c r="J3" s="571"/>
      <c r="K3" s="571"/>
      <c r="L3" s="571"/>
      <c r="M3" s="571"/>
      <c r="N3" s="571"/>
      <c r="O3" s="571">
        <f t="shared" si="2"/>
        <v>0</v>
      </c>
      <c r="P3" s="571"/>
    </row>
    <row r="4" ht="22.5" customHeight="1">
      <c r="A4" s="563">
        <v>4.0</v>
      </c>
      <c r="B4" s="564" t="s">
        <v>891</v>
      </c>
      <c r="C4" s="565" t="s">
        <v>70</v>
      </c>
      <c r="D4" s="566" t="s">
        <v>204</v>
      </c>
      <c r="E4" s="567" t="str">
        <f>IMAGE("https://flagcdn.com/w320/de.png")</f>
        <v/>
      </c>
      <c r="F4" s="568">
        <v>35263.0</v>
      </c>
      <c r="G4" s="569">
        <f t="shared" si="1"/>
        <v>29</v>
      </c>
      <c r="H4" s="571">
        <f t="shared" si="3"/>
        <v>7</v>
      </c>
      <c r="I4" s="571">
        <f>78+90+90+90+90+90+90</f>
        <v>618</v>
      </c>
      <c r="J4" s="571"/>
      <c r="K4" s="571"/>
      <c r="L4" s="571"/>
      <c r="M4" s="571"/>
      <c r="N4" s="571"/>
      <c r="O4" s="571">
        <f t="shared" si="2"/>
        <v>0</v>
      </c>
      <c r="P4" s="571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ht="22.5" customHeight="1">
      <c r="A5" s="563">
        <v>5.0</v>
      </c>
      <c r="B5" s="564" t="s">
        <v>892</v>
      </c>
      <c r="C5" s="565" t="s">
        <v>70</v>
      </c>
      <c r="D5" s="566" t="s">
        <v>893</v>
      </c>
      <c r="E5" s="567" t="str">
        <f>IMAGE("https://flagcdn.com/w320/ch.png")</f>
        <v/>
      </c>
      <c r="F5" s="568">
        <v>37833.0</v>
      </c>
      <c r="G5" s="569">
        <f t="shared" si="1"/>
        <v>22</v>
      </c>
      <c r="H5" s="571">
        <f>1+1+1+1</f>
        <v>4</v>
      </c>
      <c r="I5" s="571">
        <f>12+33+90+1</f>
        <v>136</v>
      </c>
      <c r="J5" s="571"/>
      <c r="K5" s="571"/>
      <c r="L5" s="571">
        <f>1</f>
        <v>1</v>
      </c>
      <c r="M5" s="571"/>
      <c r="N5" s="571"/>
      <c r="O5" s="571">
        <f t="shared" si="2"/>
        <v>0</v>
      </c>
      <c r="P5" s="571"/>
    </row>
    <row r="6" ht="22.5" customHeight="1">
      <c r="A6" s="563">
        <v>6.0</v>
      </c>
      <c r="B6" s="564" t="s">
        <v>894</v>
      </c>
      <c r="C6" s="565" t="s">
        <v>79</v>
      </c>
      <c r="D6" s="566" t="s">
        <v>73</v>
      </c>
      <c r="E6" s="567" t="str">
        <f>IMAGE("https://flagcdn.com/w320/dk.png")</f>
        <v/>
      </c>
      <c r="F6" s="568">
        <v>38356.0</v>
      </c>
      <c r="G6" s="569">
        <f t="shared" si="1"/>
        <v>21</v>
      </c>
      <c r="H6" s="570">
        <f>1+1</f>
        <v>2</v>
      </c>
      <c r="I6" s="570">
        <f>33+6</f>
        <v>39</v>
      </c>
      <c r="J6" s="571"/>
      <c r="K6" s="571"/>
      <c r="L6" s="571"/>
      <c r="M6" s="571"/>
      <c r="N6" s="571"/>
      <c r="O6" s="571">
        <f t="shared" si="2"/>
        <v>0</v>
      </c>
      <c r="P6" s="57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ht="22.5" customHeight="1">
      <c r="A7" s="563">
        <v>7.0</v>
      </c>
      <c r="B7" s="564" t="s">
        <v>895</v>
      </c>
      <c r="C7" s="565" t="s">
        <v>82</v>
      </c>
      <c r="D7" s="566" t="s">
        <v>896</v>
      </c>
      <c r="E7" s="567" t="str">
        <f>IMAGE("https://flagcdn.com/w320/de.png")</f>
        <v/>
      </c>
      <c r="F7" s="568">
        <v>37266.0</v>
      </c>
      <c r="G7" s="569">
        <f t="shared" si="1"/>
        <v>24</v>
      </c>
      <c r="H7" s="571">
        <f t="shared" ref="H7:H8" si="5">1+1+1+1+1+1+1</f>
        <v>7</v>
      </c>
      <c r="I7" s="571">
        <f>90+90+75+26+77+67+78</f>
        <v>503</v>
      </c>
      <c r="J7" s="571">
        <f>1+1</f>
        <v>2</v>
      </c>
      <c r="K7" s="571">
        <f t="shared" ref="K7:L7" si="4">1</f>
        <v>1</v>
      </c>
      <c r="L7" s="571">
        <f t="shared" si="4"/>
        <v>1</v>
      </c>
      <c r="M7" s="571"/>
      <c r="N7" s="571"/>
      <c r="O7" s="571">
        <f t="shared" si="2"/>
        <v>3</v>
      </c>
      <c r="P7" s="571"/>
    </row>
    <row r="8" ht="22.5" customHeight="1">
      <c r="A8" s="563">
        <v>8.0</v>
      </c>
      <c r="B8" s="564" t="s">
        <v>897</v>
      </c>
      <c r="C8" s="565" t="s">
        <v>79</v>
      </c>
      <c r="D8" s="566" t="s">
        <v>898</v>
      </c>
      <c r="E8" s="567" t="str">
        <f>IMAGE("https://flagcdn.com/w320/dz.png")</f>
        <v/>
      </c>
      <c r="F8" s="568">
        <v>37588.0</v>
      </c>
      <c r="G8" s="569">
        <f t="shared" si="1"/>
        <v>23</v>
      </c>
      <c r="H8" s="571">
        <f t="shared" si="5"/>
        <v>7</v>
      </c>
      <c r="I8" s="571">
        <f>90+90+27+89+90+76+20</f>
        <v>482</v>
      </c>
      <c r="J8" s="571">
        <f t="shared" ref="J8:K8" si="6">1</f>
        <v>1</v>
      </c>
      <c r="K8" s="571">
        <f t="shared" si="6"/>
        <v>1</v>
      </c>
      <c r="L8" s="571"/>
      <c r="M8" s="571"/>
      <c r="N8" s="571"/>
      <c r="O8" s="571">
        <f t="shared" si="2"/>
        <v>2</v>
      </c>
      <c r="P8" s="571"/>
    </row>
    <row r="9" ht="22.5" customHeight="1">
      <c r="A9" s="563">
        <v>9.0</v>
      </c>
      <c r="B9" s="564" t="s">
        <v>899</v>
      </c>
      <c r="C9" s="565" t="s">
        <v>82</v>
      </c>
      <c r="D9" s="566" t="s">
        <v>204</v>
      </c>
      <c r="E9" s="567" t="str">
        <f>IMAGE("https://flagcdn.com/w320/de.png")</f>
        <v/>
      </c>
      <c r="F9" s="568">
        <v>36718.0</v>
      </c>
      <c r="G9" s="569">
        <f t="shared" si="1"/>
        <v>25</v>
      </c>
      <c r="H9" s="571">
        <f>1+1+1+1+1</f>
        <v>5</v>
      </c>
      <c r="I9" s="571">
        <f>70+90+32+90+58</f>
        <v>340</v>
      </c>
      <c r="J9" s="571">
        <f>2+1</f>
        <v>3</v>
      </c>
      <c r="K9" s="571">
        <f t="shared" ref="K9:L9" si="7">1</f>
        <v>1</v>
      </c>
      <c r="L9" s="571">
        <f t="shared" si="7"/>
        <v>1</v>
      </c>
      <c r="M9" s="571"/>
      <c r="N9" s="571"/>
      <c r="O9" s="571">
        <f t="shared" si="2"/>
        <v>4</v>
      </c>
      <c r="P9" s="571"/>
    </row>
    <row r="10" ht="22.5" customHeight="1">
      <c r="A10" s="563">
        <v>13.0</v>
      </c>
      <c r="B10" s="564" t="s">
        <v>900</v>
      </c>
      <c r="C10" s="565" t="s">
        <v>70</v>
      </c>
      <c r="D10" s="566" t="s">
        <v>73</v>
      </c>
      <c r="E10" s="567" t="str">
        <f>IMAGE("https://flagcdn.com/w320/dk.png")</f>
        <v/>
      </c>
      <c r="F10" s="568">
        <v>35622.0</v>
      </c>
      <c r="G10" s="569">
        <f t="shared" si="1"/>
        <v>28</v>
      </c>
      <c r="H10" s="571">
        <f>1+1+1+1</f>
        <v>4</v>
      </c>
      <c r="I10" s="571">
        <f>58+90+90+90</f>
        <v>328</v>
      </c>
      <c r="J10" s="571">
        <f>1</f>
        <v>1</v>
      </c>
      <c r="K10" s="571"/>
      <c r="L10" s="571">
        <f>1</f>
        <v>1</v>
      </c>
      <c r="M10" s="571"/>
      <c r="N10" s="571"/>
      <c r="O10" s="571">
        <f t="shared" si="2"/>
        <v>1</v>
      </c>
      <c r="P10" s="571"/>
    </row>
    <row r="11" ht="22.5" customHeight="1">
      <c r="A11" s="563">
        <v>15.0</v>
      </c>
      <c r="B11" s="564" t="s">
        <v>901</v>
      </c>
      <c r="C11" s="565" t="s">
        <v>79</v>
      </c>
      <c r="D11" s="566" t="s">
        <v>902</v>
      </c>
      <c r="E11" s="567" t="str">
        <f>IMAGE("https://flagcdn.com/w320/tn.png")</f>
        <v/>
      </c>
      <c r="F11" s="568">
        <v>34829.0</v>
      </c>
      <c r="G11" s="569">
        <f t="shared" si="1"/>
        <v>30</v>
      </c>
      <c r="H11" s="571">
        <f>1+1+1+1+1+1+1</f>
        <v>7</v>
      </c>
      <c r="I11" s="571">
        <f>12+57+15+12+22+90+90</f>
        <v>298</v>
      </c>
      <c r="J11" s="571"/>
      <c r="K11" s="571"/>
      <c r="L11" s="571"/>
      <c r="M11" s="571"/>
      <c r="N11" s="571"/>
      <c r="O11" s="571">
        <f t="shared" si="2"/>
        <v>0</v>
      </c>
      <c r="P11" s="571"/>
    </row>
    <row r="12" ht="22.5" customHeight="1">
      <c r="A12" s="572">
        <v>16.0</v>
      </c>
      <c r="B12" s="573" t="s">
        <v>903</v>
      </c>
      <c r="C12" s="574" t="s">
        <v>79</v>
      </c>
      <c r="D12" s="575" t="s">
        <v>481</v>
      </c>
      <c r="E12" s="576" t="str">
        <f>IMAGE("https://flagcdn.com/w320/se.png")</f>
        <v/>
      </c>
      <c r="F12" s="577">
        <v>38165.0</v>
      </c>
      <c r="G12" s="578">
        <f t="shared" si="1"/>
        <v>21</v>
      </c>
      <c r="H12" s="579">
        <f>1+1+1+1+1+1</f>
        <v>6</v>
      </c>
      <c r="I12" s="579">
        <f>78+33+90+78+67+84</f>
        <v>430</v>
      </c>
      <c r="J12" s="579"/>
      <c r="K12" s="579"/>
      <c r="L12" s="579"/>
      <c r="M12" s="579"/>
      <c r="N12" s="579"/>
      <c r="O12" s="579">
        <f t="shared" si="2"/>
        <v>0</v>
      </c>
      <c r="P12" s="579"/>
    </row>
    <row r="13" ht="22.5" customHeight="1">
      <c r="A13" s="563">
        <v>17.0</v>
      </c>
      <c r="B13" s="564" t="s">
        <v>904</v>
      </c>
      <c r="C13" s="565" t="s">
        <v>82</v>
      </c>
      <c r="D13" s="566" t="s">
        <v>905</v>
      </c>
      <c r="E13" s="567" t="str">
        <f>IMAGE("https://flagcdn.com/w320/fr.png")</f>
        <v/>
      </c>
      <c r="F13" s="568">
        <v>37623.0</v>
      </c>
      <c r="G13" s="569">
        <f t="shared" si="1"/>
        <v>23</v>
      </c>
      <c r="H13" s="571">
        <f t="shared" ref="H13:H14" si="8">1+1+1</f>
        <v>3</v>
      </c>
      <c r="I13" s="571">
        <f>20+13+23</f>
        <v>56</v>
      </c>
      <c r="J13" s="571"/>
      <c r="K13" s="571">
        <f>1</f>
        <v>1</v>
      </c>
      <c r="L13" s="571"/>
      <c r="M13" s="571"/>
      <c r="N13" s="571"/>
      <c r="O13" s="571">
        <f t="shared" si="2"/>
        <v>1</v>
      </c>
      <c r="P13" s="571"/>
    </row>
    <row r="14" ht="22.5" customHeight="1">
      <c r="A14" s="563">
        <v>18.0</v>
      </c>
      <c r="B14" s="564" t="s">
        <v>906</v>
      </c>
      <c r="C14" s="565" t="s">
        <v>79</v>
      </c>
      <c r="D14" s="566" t="s">
        <v>907</v>
      </c>
      <c r="E14" s="567" t="str">
        <f>IMAGE("https://flagcdn.com/w320/sy.png")</f>
        <v/>
      </c>
      <c r="F14" s="568">
        <v>35065.0</v>
      </c>
      <c r="G14" s="569">
        <f t="shared" si="1"/>
        <v>30</v>
      </c>
      <c r="H14" s="570">
        <f t="shared" si="8"/>
        <v>3</v>
      </c>
      <c r="I14" s="570">
        <f>1+68+23</f>
        <v>92</v>
      </c>
      <c r="J14" s="571"/>
      <c r="K14" s="571"/>
      <c r="L14" s="571"/>
      <c r="M14" s="571"/>
      <c r="N14" s="571"/>
      <c r="O14" s="571">
        <f t="shared" si="2"/>
        <v>0</v>
      </c>
      <c r="P14" s="571"/>
    </row>
    <row r="15" ht="22.5" customHeight="1">
      <c r="A15" s="563">
        <v>19.0</v>
      </c>
      <c r="B15" s="564" t="s">
        <v>908</v>
      </c>
      <c r="C15" s="565" t="s">
        <v>82</v>
      </c>
      <c r="D15" s="566" t="s">
        <v>909</v>
      </c>
      <c r="E15" s="567" t="str">
        <f>IMAGE("https://flagcdn.com/w320/fr.png")</f>
        <v/>
      </c>
      <c r="F15" s="568">
        <v>38479.0</v>
      </c>
      <c r="G15" s="569">
        <f t="shared" si="1"/>
        <v>20</v>
      </c>
      <c r="H15" s="571">
        <f>1+1+1+1+1+1+1</f>
        <v>7</v>
      </c>
      <c r="I15" s="571">
        <f>20+20+58+64+32+14+12</f>
        <v>220</v>
      </c>
      <c r="J15" s="571"/>
      <c r="K15" s="571"/>
      <c r="L15" s="571"/>
      <c r="M15" s="571"/>
      <c r="N15" s="571"/>
      <c r="O15" s="571">
        <f t="shared" si="2"/>
        <v>0</v>
      </c>
      <c r="P15" s="571"/>
    </row>
    <row r="16" ht="22.5" customHeight="1">
      <c r="A16" s="563">
        <v>20.0</v>
      </c>
      <c r="B16" s="564" t="s">
        <v>910</v>
      </c>
      <c r="C16" s="565" t="s">
        <v>82</v>
      </c>
      <c r="D16" s="566" t="s">
        <v>75</v>
      </c>
      <c r="E16" s="567" t="str">
        <f>IMAGE("https://flagcdn.com/w320/jp.png")</f>
        <v/>
      </c>
      <c r="F16" s="568">
        <v>35962.0</v>
      </c>
      <c r="G16" s="569">
        <f t="shared" si="1"/>
        <v>27</v>
      </c>
      <c r="H16" s="571">
        <f>1+1+1+1+1+1</f>
        <v>6</v>
      </c>
      <c r="I16" s="571">
        <f>83+73+63+77+88+70</f>
        <v>454</v>
      </c>
      <c r="J16" s="571"/>
      <c r="K16" s="571"/>
      <c r="L16" s="571">
        <f t="shared" ref="L16:L17" si="9">1</f>
        <v>1</v>
      </c>
      <c r="M16" s="571"/>
      <c r="N16" s="571"/>
      <c r="O16" s="571">
        <f t="shared" si="2"/>
        <v>0</v>
      </c>
      <c r="P16" s="571"/>
    </row>
    <row r="17" ht="22.5" customHeight="1">
      <c r="A17" s="563">
        <v>21.0</v>
      </c>
      <c r="B17" s="564" t="s">
        <v>911</v>
      </c>
      <c r="C17" s="565" t="s">
        <v>70</v>
      </c>
      <c r="D17" s="566" t="s">
        <v>912</v>
      </c>
      <c r="E17" s="567" t="str">
        <f>IMAGE("https://flagcdn.com/w320/de.png")</f>
        <v/>
      </c>
      <c r="F17" s="568">
        <v>37788.0</v>
      </c>
      <c r="G17" s="569">
        <f t="shared" si="1"/>
        <v>22</v>
      </c>
      <c r="H17" s="571">
        <f>1+1+1+1+1+1+1</f>
        <v>7</v>
      </c>
      <c r="I17" s="571">
        <f>90+57+90+89+90+90+90</f>
        <v>596</v>
      </c>
      <c r="J17" s="571"/>
      <c r="K17" s="571">
        <f>1+1</f>
        <v>2</v>
      </c>
      <c r="L17" s="571">
        <f t="shared" si="9"/>
        <v>1</v>
      </c>
      <c r="M17" s="571"/>
      <c r="N17" s="571"/>
      <c r="O17" s="571">
        <f t="shared" si="2"/>
        <v>2</v>
      </c>
      <c r="P17" s="571"/>
    </row>
    <row r="18" ht="22.5" customHeight="1">
      <c r="A18" s="563">
        <v>22.0</v>
      </c>
      <c r="B18" s="564" t="s">
        <v>913</v>
      </c>
      <c r="C18" s="565" t="s">
        <v>70</v>
      </c>
      <c r="D18" s="566" t="s">
        <v>914</v>
      </c>
      <c r="E18" s="567" t="str">
        <f>IMAGE("https://flagcdn.com/w320/us.png")</f>
        <v/>
      </c>
      <c r="F18" s="568">
        <v>32961.0</v>
      </c>
      <c r="G18" s="569">
        <f t="shared" si="1"/>
        <v>35</v>
      </c>
      <c r="H18" s="570">
        <v>0.0</v>
      </c>
      <c r="I18" s="570">
        <v>0.0</v>
      </c>
      <c r="J18" s="571"/>
      <c r="K18" s="571"/>
      <c r="L18" s="571"/>
      <c r="M18" s="571"/>
      <c r="N18" s="571"/>
      <c r="O18" s="571">
        <f t="shared" si="2"/>
        <v>0</v>
      </c>
      <c r="P18" s="571"/>
    </row>
    <row r="19" ht="22.5" customHeight="1">
      <c r="A19" s="563">
        <v>23.0</v>
      </c>
      <c r="B19" s="564" t="s">
        <v>915</v>
      </c>
      <c r="C19" s="565" t="s">
        <v>67</v>
      </c>
      <c r="D19" s="566" t="s">
        <v>204</v>
      </c>
      <c r="E19" s="567" t="str">
        <f>IMAGE("https://flagcdn.com/w320/de.png")</f>
        <v/>
      </c>
      <c r="F19" s="568">
        <v>34892.0</v>
      </c>
      <c r="G19" s="569">
        <f t="shared" si="1"/>
        <v>30</v>
      </c>
      <c r="H19" s="571">
        <f>1+1+1+1+1</f>
        <v>5</v>
      </c>
      <c r="I19" s="571">
        <f>90+90+90+90+90</f>
        <v>450</v>
      </c>
      <c r="J19" s="571"/>
      <c r="K19" s="571"/>
      <c r="L19" s="571">
        <f>1</f>
        <v>1</v>
      </c>
      <c r="M19" s="571"/>
      <c r="N19" s="571">
        <f>1</f>
        <v>1</v>
      </c>
      <c r="O19" s="571">
        <f t="shared" si="2"/>
        <v>0</v>
      </c>
      <c r="P19" s="571"/>
    </row>
    <row r="20" ht="22.5" customHeight="1">
      <c r="A20" s="563">
        <v>24.0</v>
      </c>
      <c r="B20" s="580" t="s">
        <v>916</v>
      </c>
      <c r="C20" s="565" t="s">
        <v>70</v>
      </c>
      <c r="D20" s="566" t="s">
        <v>917</v>
      </c>
      <c r="E20" s="567" t="str">
        <f>IMAGE("https://flagcdn.com/w320/pt.png")</f>
        <v/>
      </c>
      <c r="F20" s="568">
        <v>35471.0</v>
      </c>
      <c r="G20" s="569">
        <f t="shared" si="1"/>
        <v>28</v>
      </c>
      <c r="H20" s="570">
        <f>1</f>
        <v>1</v>
      </c>
      <c r="I20" s="570">
        <f>13</f>
        <v>13</v>
      </c>
      <c r="J20" s="571"/>
      <c r="K20" s="571"/>
      <c r="L20" s="571"/>
      <c r="M20" s="571"/>
      <c r="N20" s="571"/>
      <c r="O20" s="571">
        <f t="shared" si="2"/>
        <v>0</v>
      </c>
      <c r="P20" s="571"/>
    </row>
    <row r="21" ht="22.5" customHeight="1">
      <c r="A21" s="563">
        <v>27.0</v>
      </c>
      <c r="B21" s="564" t="s">
        <v>918</v>
      </c>
      <c r="C21" s="565" t="s">
        <v>79</v>
      </c>
      <c r="D21" s="566" t="s">
        <v>204</v>
      </c>
      <c r="E21" s="567" t="str">
        <f>IMAGE("https://flagcdn.com/w320/de.png")</f>
        <v/>
      </c>
      <c r="F21" s="568">
        <v>33758.0</v>
      </c>
      <c r="G21" s="569">
        <f t="shared" si="1"/>
        <v>33</v>
      </c>
      <c r="H21" s="571">
        <f>1+1+1+1+1+1</f>
        <v>6</v>
      </c>
      <c r="I21" s="571">
        <f>17+63+90+68+76+20</f>
        <v>334</v>
      </c>
      <c r="J21" s="571"/>
      <c r="K21" s="571">
        <f>1</f>
        <v>1</v>
      </c>
      <c r="L21" s="571"/>
      <c r="M21" s="571"/>
      <c r="N21" s="571"/>
      <c r="O21" s="571">
        <f t="shared" si="2"/>
        <v>1</v>
      </c>
      <c r="P21" s="571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22.5" customHeight="1">
      <c r="A22" s="563">
        <v>30.0</v>
      </c>
      <c r="B22" s="564" t="s">
        <v>919</v>
      </c>
      <c r="C22" s="565" t="s">
        <v>82</v>
      </c>
      <c r="D22" s="566" t="s">
        <v>920</v>
      </c>
      <c r="E22" s="567" t="str">
        <f>IMAGE("https://flagcdn.com/w320/be.png")</f>
        <v/>
      </c>
      <c r="F22" s="568">
        <v>34244.0</v>
      </c>
      <c r="G22" s="569">
        <f t="shared" si="1"/>
        <v>32</v>
      </c>
      <c r="H22" s="571">
        <f>1+1</f>
        <v>2</v>
      </c>
      <c r="I22" s="571">
        <f>7+22</f>
        <v>29</v>
      </c>
      <c r="J22" s="571"/>
      <c r="K22" s="571"/>
      <c r="L22" s="571"/>
      <c r="M22" s="571"/>
      <c r="N22" s="571"/>
      <c r="O22" s="571">
        <f t="shared" si="2"/>
        <v>0</v>
      </c>
      <c r="P22" s="571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22.5" customHeight="1">
      <c r="A23" s="581">
        <v>32.0</v>
      </c>
      <c r="B23" s="582" t="s">
        <v>921</v>
      </c>
      <c r="C23" s="583" t="s">
        <v>82</v>
      </c>
      <c r="D23" s="584" t="s">
        <v>922</v>
      </c>
      <c r="E23" s="585" t="str">
        <f t="shared" ref="E23:E27" si="10">IMAGE("https://flagcdn.com/w320/de.png")</f>
        <v/>
      </c>
      <c r="F23" s="586">
        <v>36727.0</v>
      </c>
      <c r="G23" s="587">
        <f t="shared" si="1"/>
        <v>25</v>
      </c>
      <c r="H23" s="588">
        <f>1</f>
        <v>1</v>
      </c>
      <c r="I23" s="588">
        <f>2</f>
        <v>2</v>
      </c>
      <c r="J23" s="589"/>
      <c r="K23" s="589"/>
      <c r="L23" s="589"/>
      <c r="M23" s="589"/>
      <c r="N23" s="589"/>
      <c r="O23" s="589">
        <f t="shared" si="2"/>
        <v>0</v>
      </c>
      <c r="P23" s="589"/>
      <c r="Q23" s="590"/>
      <c r="R23" s="590"/>
      <c r="S23" s="590"/>
      <c r="T23" s="590"/>
      <c r="U23" s="590"/>
      <c r="V23" s="590"/>
      <c r="W23" s="590"/>
      <c r="X23" s="590"/>
      <c r="Y23" s="590"/>
      <c r="Z23" s="590"/>
      <c r="AA23" s="590"/>
    </row>
    <row r="24" ht="22.5" customHeight="1">
      <c r="A24" s="563">
        <v>33.0</v>
      </c>
      <c r="B24" s="564" t="s">
        <v>923</v>
      </c>
      <c r="C24" s="565" t="s">
        <v>67</v>
      </c>
      <c r="D24" s="566" t="s">
        <v>204</v>
      </c>
      <c r="E24" s="567" t="str">
        <f t="shared" si="10"/>
        <v/>
      </c>
      <c r="F24" s="568">
        <v>32408.0</v>
      </c>
      <c r="G24" s="569">
        <f t="shared" si="1"/>
        <v>37</v>
      </c>
      <c r="H24" s="570">
        <v>0.0</v>
      </c>
      <c r="I24" s="570">
        <v>0.0</v>
      </c>
      <c r="J24" s="571"/>
      <c r="K24" s="571"/>
      <c r="L24" s="571"/>
      <c r="M24" s="571"/>
      <c r="N24" s="571"/>
      <c r="O24" s="571">
        <f t="shared" si="2"/>
        <v>0</v>
      </c>
      <c r="P24" s="571"/>
    </row>
    <row r="25" ht="22.5" customHeight="1">
      <c r="A25" s="572">
        <v>34.0</v>
      </c>
      <c r="B25" s="573" t="s">
        <v>924</v>
      </c>
      <c r="C25" s="574" t="s">
        <v>70</v>
      </c>
      <c r="D25" s="575" t="s">
        <v>925</v>
      </c>
      <c r="E25" s="576" t="str">
        <f t="shared" si="10"/>
        <v/>
      </c>
      <c r="F25" s="577">
        <v>37996.0</v>
      </c>
      <c r="G25" s="578">
        <f t="shared" si="1"/>
        <v>22</v>
      </c>
      <c r="H25" s="579">
        <f>1+1+1+1+1+1</f>
        <v>6</v>
      </c>
      <c r="I25" s="579">
        <f>90+70+32+90+90+84</f>
        <v>456</v>
      </c>
      <c r="J25" s="579"/>
      <c r="K25" s="579"/>
      <c r="L25" s="579"/>
      <c r="M25" s="579"/>
      <c r="N25" s="579"/>
      <c r="O25" s="579">
        <f t="shared" si="2"/>
        <v>0</v>
      </c>
      <c r="P25" s="579"/>
    </row>
    <row r="26" ht="22.5" customHeight="1">
      <c r="A26" s="572">
        <v>38.0</v>
      </c>
      <c r="B26" s="573" t="s">
        <v>926</v>
      </c>
      <c r="C26" s="574" t="s">
        <v>79</v>
      </c>
      <c r="D26" s="575" t="s">
        <v>927</v>
      </c>
      <c r="E26" s="576" t="str">
        <f t="shared" si="10"/>
        <v/>
      </c>
      <c r="F26" s="577">
        <v>39722.0</v>
      </c>
      <c r="G26" s="578">
        <f t="shared" si="1"/>
        <v>17</v>
      </c>
      <c r="H26" s="579"/>
      <c r="I26" s="579"/>
      <c r="J26" s="579"/>
      <c r="K26" s="579"/>
      <c r="L26" s="579"/>
      <c r="M26" s="579"/>
      <c r="N26" s="579"/>
      <c r="O26" s="579">
        <f t="shared" si="2"/>
        <v>0</v>
      </c>
      <c r="P26" s="579"/>
    </row>
    <row r="27" ht="22.5" customHeight="1">
      <c r="A27" s="572">
        <v>39.0</v>
      </c>
      <c r="B27" s="573" t="s">
        <v>928</v>
      </c>
      <c r="C27" s="574" t="s">
        <v>67</v>
      </c>
      <c r="D27" s="575" t="s">
        <v>929</v>
      </c>
      <c r="E27" s="576" t="str">
        <f t="shared" si="10"/>
        <v/>
      </c>
      <c r="F27" s="577">
        <v>39101.0</v>
      </c>
      <c r="G27" s="578">
        <f t="shared" si="1"/>
        <v>19</v>
      </c>
      <c r="H27" s="579"/>
      <c r="I27" s="579"/>
      <c r="J27" s="579"/>
      <c r="K27" s="579"/>
      <c r="L27" s="579"/>
      <c r="M27" s="579"/>
      <c r="N27" s="579"/>
      <c r="O27" s="579">
        <f t="shared" si="2"/>
        <v>0</v>
      </c>
      <c r="P27" s="579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563">
        <v>40.0</v>
      </c>
      <c r="B28" s="580" t="s">
        <v>930</v>
      </c>
      <c r="C28" s="565" t="s">
        <v>67</v>
      </c>
      <c r="D28" s="566" t="s">
        <v>182</v>
      </c>
      <c r="E28" s="567" t="str">
        <f>IMAGE("https://flagcdn.com/w320/br.png")</f>
        <v/>
      </c>
      <c r="F28" s="568">
        <v>37722.0</v>
      </c>
      <c r="G28" s="569">
        <f t="shared" si="1"/>
        <v>22</v>
      </c>
      <c r="H28" s="570">
        <f>1+1</f>
        <v>2</v>
      </c>
      <c r="I28" s="570">
        <f>90+90</f>
        <v>180</v>
      </c>
      <c r="J28" s="571"/>
      <c r="K28" s="571"/>
      <c r="L28" s="571"/>
      <c r="M28" s="571"/>
      <c r="N28" s="571"/>
      <c r="O28" s="571">
        <f t="shared" si="2"/>
        <v>0</v>
      </c>
      <c r="P28" s="571"/>
    </row>
    <row r="29" ht="22.5" customHeight="1">
      <c r="A29" s="572">
        <v>41.0</v>
      </c>
      <c r="B29" s="573" t="s">
        <v>931</v>
      </c>
      <c r="C29" s="574" t="s">
        <v>70</v>
      </c>
      <c r="D29" s="575" t="s">
        <v>932</v>
      </c>
      <c r="E29" s="576" t="str">
        <f>IMAGE("https://flagcdn.com/w320/de.png")</f>
        <v/>
      </c>
      <c r="F29" s="577">
        <v>38406.0</v>
      </c>
      <c r="G29" s="578">
        <f t="shared" si="1"/>
        <v>20</v>
      </c>
      <c r="H29" s="591">
        <v>0.0</v>
      </c>
      <c r="I29" s="591">
        <v>0.0</v>
      </c>
      <c r="J29" s="579"/>
      <c r="K29" s="579"/>
      <c r="L29" s="579"/>
      <c r="M29" s="579"/>
      <c r="N29" s="579"/>
      <c r="O29" s="579">
        <f t="shared" si="2"/>
        <v>0</v>
      </c>
      <c r="P29" s="579"/>
    </row>
    <row r="30" ht="22.5" customHeight="1">
      <c r="A30" s="563">
        <v>42.0</v>
      </c>
      <c r="B30" s="564" t="s">
        <v>933</v>
      </c>
      <c r="C30" s="565" t="s">
        <v>79</v>
      </c>
      <c r="D30" s="566" t="s">
        <v>934</v>
      </c>
      <c r="E30" s="567" t="str">
        <f>IMAGE("https://flagcdn.com/w320/tr.png")</f>
        <v/>
      </c>
      <c r="F30" s="568">
        <v>38667.0</v>
      </c>
      <c r="G30" s="569">
        <f t="shared" si="1"/>
        <v>20</v>
      </c>
      <c r="H30" s="571">
        <f>1+1+1+1+1</f>
        <v>5</v>
      </c>
      <c r="I30" s="571">
        <f>70+57+27+14+70</f>
        <v>238</v>
      </c>
      <c r="J30" s="571">
        <f>1+1</f>
        <v>2</v>
      </c>
      <c r="K30" s="571"/>
      <c r="L30" s="571"/>
      <c r="M30" s="571"/>
      <c r="N30" s="571"/>
      <c r="O30" s="571">
        <f t="shared" si="2"/>
        <v>2</v>
      </c>
      <c r="P30" s="571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ht="22.5" customHeight="1">
      <c r="A31" s="572">
        <v>43.0</v>
      </c>
      <c r="B31" s="573" t="s">
        <v>935</v>
      </c>
      <c r="C31" s="574" t="s">
        <v>67</v>
      </c>
      <c r="D31" s="575" t="s">
        <v>936</v>
      </c>
      <c r="E31" s="576" t="str">
        <f>IMAGE("https://flagcdn.com/w320/de.png")</f>
        <v/>
      </c>
      <c r="F31" s="577">
        <v>38625.0</v>
      </c>
      <c r="G31" s="578">
        <f t="shared" si="1"/>
        <v>20</v>
      </c>
      <c r="H31" s="579"/>
      <c r="I31" s="579"/>
      <c r="J31" s="579"/>
      <c r="K31" s="579"/>
      <c r="L31" s="579"/>
      <c r="M31" s="579"/>
      <c r="N31" s="579"/>
      <c r="O31" s="579">
        <f t="shared" si="2"/>
        <v>0</v>
      </c>
      <c r="P31" s="579"/>
    </row>
    <row r="32" ht="22.5" customHeight="1">
      <c r="A32" s="572">
        <v>45.0</v>
      </c>
      <c r="B32" s="573" t="s">
        <v>937</v>
      </c>
      <c r="C32" s="574" t="s">
        <v>79</v>
      </c>
      <c r="D32" s="575" t="s">
        <v>938</v>
      </c>
      <c r="E32" s="576" t="str">
        <f>IMAGE("https://flagcdn.com/w320/us.png")</f>
        <v/>
      </c>
      <c r="F32" s="577">
        <v>39197.0</v>
      </c>
      <c r="G32" s="578">
        <f t="shared" si="1"/>
        <v>18</v>
      </c>
      <c r="H32" s="591">
        <v>0.0</v>
      </c>
      <c r="I32" s="591">
        <v>0.0</v>
      </c>
      <c r="J32" s="579"/>
      <c r="K32" s="579"/>
      <c r="L32" s="579"/>
      <c r="M32" s="579"/>
      <c r="N32" s="579"/>
      <c r="O32" s="579">
        <f t="shared" si="2"/>
        <v>0</v>
      </c>
      <c r="P32" s="579"/>
    </row>
    <row r="33" ht="22.5" customHeight="1">
      <c r="A33" s="563">
        <v>47.0</v>
      </c>
      <c r="B33" s="564" t="s">
        <v>939</v>
      </c>
      <c r="C33" s="565" t="s">
        <v>79</v>
      </c>
      <c r="D33" s="566" t="s">
        <v>940</v>
      </c>
      <c r="E33" s="567" t="str">
        <f>IMAGE("https://flagcdn.com/w320/hu.png")</f>
        <v/>
      </c>
      <c r="F33" s="568">
        <v>38747.0</v>
      </c>
      <c r="G33" s="569">
        <f t="shared" si="1"/>
        <v>19</v>
      </c>
      <c r="H33" s="571"/>
      <c r="I33" s="571"/>
      <c r="J33" s="571"/>
      <c r="K33" s="571"/>
      <c r="L33" s="571"/>
      <c r="M33" s="571"/>
      <c r="N33" s="571"/>
      <c r="O33" s="571">
        <f t="shared" si="2"/>
        <v>0</v>
      </c>
      <c r="P33" s="571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ht="22.5" customHeight="1">
      <c r="A34" s="572">
        <v>53.0</v>
      </c>
      <c r="B34" s="573" t="s">
        <v>941</v>
      </c>
      <c r="C34" s="574" t="s">
        <v>82</v>
      </c>
      <c r="D34" s="575" t="s">
        <v>942</v>
      </c>
      <c r="E34" s="576" t="str">
        <f>IMAGE("https://flagcdn.com/w320/de.png")</f>
        <v/>
      </c>
      <c r="F34" s="577">
        <v>39611.0</v>
      </c>
      <c r="G34" s="578">
        <f t="shared" si="1"/>
        <v>17</v>
      </c>
      <c r="H34" s="579">
        <f>1</f>
        <v>1</v>
      </c>
      <c r="I34" s="579">
        <f>6</f>
        <v>6</v>
      </c>
      <c r="J34" s="579"/>
      <c r="K34" s="579"/>
      <c r="L34" s="579">
        <f>1</f>
        <v>1</v>
      </c>
      <c r="M34" s="579"/>
      <c r="N34" s="579"/>
      <c r="O34" s="579">
        <f t="shared" si="2"/>
        <v>0</v>
      </c>
      <c r="P34" s="579"/>
    </row>
    <row r="35">
      <c r="A35" s="11"/>
      <c r="B35" s="18"/>
      <c r="C35" s="18"/>
      <c r="D35" s="64"/>
      <c r="E35" s="65"/>
      <c r="F35" s="66"/>
      <c r="G35" s="18"/>
      <c r="H35" s="11">
        <f t="shared" ref="H35:P35" si="11">SUM(H2:H34)</f>
        <v>111</v>
      </c>
      <c r="I35" s="11">
        <f t="shared" si="11"/>
        <v>6930</v>
      </c>
      <c r="J35" s="11">
        <f t="shared" si="11"/>
        <v>9</v>
      </c>
      <c r="K35" s="11">
        <f t="shared" si="11"/>
        <v>7</v>
      </c>
      <c r="L35" s="11">
        <f t="shared" si="11"/>
        <v>8</v>
      </c>
      <c r="M35" s="11">
        <f t="shared" si="11"/>
        <v>0</v>
      </c>
      <c r="N35" s="11">
        <f t="shared" si="11"/>
        <v>1</v>
      </c>
      <c r="O35" s="11">
        <f t="shared" si="11"/>
        <v>16</v>
      </c>
      <c r="P35" s="11">
        <f t="shared" si="11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22.5" customHeight="1">
      <c r="A36" s="557" t="s">
        <v>150</v>
      </c>
      <c r="B36" s="558" t="s">
        <v>49</v>
      </c>
      <c r="C36" s="558" t="s">
        <v>265</v>
      </c>
      <c r="D36" s="592" t="s">
        <v>56</v>
      </c>
      <c r="E36" s="558" t="s">
        <v>57</v>
      </c>
      <c r="F36" s="558" t="s">
        <v>52</v>
      </c>
      <c r="G36" s="558" t="s">
        <v>53</v>
      </c>
      <c r="H36" s="593" t="s">
        <v>4</v>
      </c>
      <c r="I36" s="593" t="s">
        <v>5</v>
      </c>
      <c r="J36" s="593" t="s">
        <v>6</v>
      </c>
      <c r="K36" s="593" t="s">
        <v>7</v>
      </c>
      <c r="L36" s="593" t="s">
        <v>8</v>
      </c>
      <c r="M36" s="593" t="s">
        <v>9</v>
      </c>
      <c r="N36" s="593" t="s">
        <v>10</v>
      </c>
      <c r="O36" s="12"/>
      <c r="P36" s="12"/>
    </row>
    <row r="37" ht="22.5" customHeight="1">
      <c r="A37" s="594"/>
      <c r="B37" s="564" t="s">
        <v>943</v>
      </c>
      <c r="C37" s="564" t="s">
        <v>153</v>
      </c>
      <c r="D37" s="566" t="s">
        <v>204</v>
      </c>
      <c r="E37" s="595" t="str">
        <f t="shared" ref="E37:E38" si="13">IMAGE("https://flagcdn.com/w320/de.png")</f>
        <v/>
      </c>
      <c r="F37" s="568">
        <v>29548.0</v>
      </c>
      <c r="G37" s="569">
        <f t="shared" ref="G37:G38" si="14">DATEDIF(F37,TODAY(),"Y")</f>
        <v>45</v>
      </c>
      <c r="H37" s="596">
        <f t="shared" ref="H37:H38" si="15">L37+M37+N37</f>
        <v>6</v>
      </c>
      <c r="I37" s="596">
        <f t="shared" ref="I37:I38" si="16">(3*L37)+M37</f>
        <v>4</v>
      </c>
      <c r="J37" s="596">
        <f>5+1+1+1</f>
        <v>8</v>
      </c>
      <c r="K37" s="596">
        <f>1+5+5+3+2</f>
        <v>16</v>
      </c>
      <c r="L37" s="597">
        <f t="shared" ref="L37:M37" si="12">1</f>
        <v>1</v>
      </c>
      <c r="M37" s="598">
        <f t="shared" si="12"/>
        <v>1</v>
      </c>
      <c r="N37" s="599">
        <f>1+1+1+1</f>
        <v>4</v>
      </c>
      <c r="O37" s="12"/>
      <c r="P37" s="12"/>
    </row>
    <row r="38" ht="22.5" customHeight="1">
      <c r="A38" s="594"/>
      <c r="B38" s="564" t="s">
        <v>944</v>
      </c>
      <c r="C38" s="564" t="s">
        <v>155</v>
      </c>
      <c r="D38" s="566" t="s">
        <v>204</v>
      </c>
      <c r="E38" s="595" t="str">
        <f t="shared" si="13"/>
        <v/>
      </c>
      <c r="F38" s="568">
        <v>34116.0</v>
      </c>
      <c r="G38" s="569">
        <f t="shared" si="14"/>
        <v>32</v>
      </c>
      <c r="H38" s="596">
        <f t="shared" si="15"/>
        <v>1</v>
      </c>
      <c r="I38" s="596">
        <f t="shared" si="16"/>
        <v>0</v>
      </c>
      <c r="J38" s="596">
        <f>2</f>
        <v>2</v>
      </c>
      <c r="K38" s="596">
        <f>3</f>
        <v>3</v>
      </c>
      <c r="L38" s="597">
        <f>0</f>
        <v>0</v>
      </c>
      <c r="M38" s="600">
        <v>0.0</v>
      </c>
      <c r="N38" s="599">
        <f>1</f>
        <v>1</v>
      </c>
      <c r="O38" s="12"/>
      <c r="P38" s="12"/>
    </row>
    <row r="39">
      <c r="A39" s="11"/>
      <c r="B39" s="18"/>
      <c r="C39" s="18"/>
      <c r="D39" s="64"/>
      <c r="E39" s="65"/>
      <c r="F39" s="66"/>
      <c r="G39" s="18"/>
      <c r="H39" s="11">
        <f t="shared" ref="H39:N39" si="17">SUM(H37:H38)</f>
        <v>7</v>
      </c>
      <c r="I39" s="11">
        <f t="shared" si="17"/>
        <v>4</v>
      </c>
      <c r="J39" s="11">
        <f t="shared" si="17"/>
        <v>10</v>
      </c>
      <c r="K39" s="11">
        <f t="shared" si="17"/>
        <v>19</v>
      </c>
      <c r="L39" s="11">
        <f t="shared" si="17"/>
        <v>1</v>
      </c>
      <c r="M39" s="11">
        <f t="shared" si="17"/>
        <v>1</v>
      </c>
      <c r="N39" s="11">
        <f t="shared" si="17"/>
        <v>5</v>
      </c>
      <c r="O39" s="11"/>
      <c r="P39" s="11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22.5" customHeight="1">
      <c r="A40" s="557" t="s">
        <v>156</v>
      </c>
      <c r="B40" s="557" t="s">
        <v>157</v>
      </c>
      <c r="C40" s="557" t="s">
        <v>158</v>
      </c>
      <c r="D40" s="561" t="s">
        <v>945</v>
      </c>
      <c r="E40" s="557" t="s">
        <v>160</v>
      </c>
      <c r="F40" s="557" t="s">
        <v>161</v>
      </c>
      <c r="H40" s="12"/>
      <c r="I40" s="12"/>
      <c r="J40" s="12"/>
      <c r="K40" s="12"/>
      <c r="L40" s="12"/>
      <c r="M40" s="12"/>
      <c r="N40" s="12"/>
      <c r="O40" s="12"/>
      <c r="P40" s="12"/>
    </row>
    <row r="41" ht="22.5" customHeight="1">
      <c r="A41" s="86">
        <v>1.0</v>
      </c>
      <c r="B41" s="87" t="s">
        <v>41</v>
      </c>
      <c r="C41" s="87" t="s">
        <v>27</v>
      </c>
      <c r="D41" s="88" t="s">
        <v>946</v>
      </c>
      <c r="E41" s="89">
        <v>45778.0</v>
      </c>
      <c r="F41" s="87" t="s">
        <v>335</v>
      </c>
      <c r="H41" s="12"/>
      <c r="I41" s="12"/>
      <c r="J41" s="12"/>
      <c r="K41" s="12"/>
      <c r="L41" s="12"/>
      <c r="M41" s="12"/>
      <c r="N41" s="12"/>
      <c r="O41" s="12"/>
      <c r="P41" s="12"/>
    </row>
    <row r="42" ht="22.5" customHeight="1">
      <c r="A42" s="77">
        <v>2.0</v>
      </c>
      <c r="B42" s="78" t="s">
        <v>273</v>
      </c>
      <c r="C42" s="78" t="s">
        <v>41</v>
      </c>
      <c r="D42" s="83" t="s">
        <v>947</v>
      </c>
      <c r="E42" s="84">
        <v>45778.0</v>
      </c>
      <c r="F42" s="78" t="s">
        <v>447</v>
      </c>
      <c r="H42" s="12"/>
      <c r="I42" s="12"/>
      <c r="J42" s="12"/>
      <c r="K42" s="12"/>
      <c r="L42" s="12"/>
      <c r="M42" s="12"/>
      <c r="N42" s="12"/>
      <c r="O42" s="12"/>
      <c r="P42" s="12"/>
    </row>
    <row r="43" ht="22.5" customHeight="1">
      <c r="A43" s="77">
        <v>3.0</v>
      </c>
      <c r="B43" s="78" t="s">
        <v>41</v>
      </c>
      <c r="C43" s="78" t="s">
        <v>18</v>
      </c>
      <c r="D43" s="83" t="s">
        <v>948</v>
      </c>
      <c r="E43" s="84">
        <v>45662.0</v>
      </c>
      <c r="F43" s="78" t="s">
        <v>335</v>
      </c>
      <c r="H43" s="12"/>
      <c r="I43" s="12"/>
      <c r="J43" s="12"/>
      <c r="K43" s="12"/>
      <c r="L43" s="12"/>
      <c r="M43" s="12"/>
      <c r="N43" s="12"/>
      <c r="O43" s="12"/>
      <c r="P43" s="12"/>
    </row>
    <row r="44" ht="22.5" customHeight="1">
      <c r="A44" s="197">
        <v>4.0</v>
      </c>
      <c r="B44" s="198" t="s">
        <v>33</v>
      </c>
      <c r="C44" s="198" t="s">
        <v>18</v>
      </c>
      <c r="D44" s="199"/>
      <c r="E44" s="200" t="s">
        <v>331</v>
      </c>
      <c r="F44" s="198" t="s">
        <v>785</v>
      </c>
      <c r="H44" s="12"/>
      <c r="I44" s="12"/>
      <c r="J44" s="12"/>
      <c r="K44" s="12"/>
      <c r="L44" s="12"/>
      <c r="M44" s="12"/>
      <c r="N44" s="12"/>
      <c r="O44" s="12"/>
      <c r="P44" s="12"/>
    </row>
    <row r="45" ht="22.5" customHeight="1">
      <c r="A45" s="77">
        <v>5.0</v>
      </c>
      <c r="B45" s="78" t="s">
        <v>41</v>
      </c>
      <c r="C45" s="78" t="s">
        <v>14</v>
      </c>
      <c r="D45" s="79"/>
      <c r="E45" s="80" t="s">
        <v>168</v>
      </c>
      <c r="F45" s="78" t="s">
        <v>335</v>
      </c>
      <c r="H45" s="12"/>
      <c r="I45" s="12"/>
      <c r="J45" s="12"/>
      <c r="K45" s="12"/>
      <c r="L45" s="12"/>
      <c r="M45" s="12"/>
      <c r="N45" s="12"/>
      <c r="O45" s="12"/>
      <c r="P45" s="12"/>
    </row>
    <row r="46" ht="22.5" customHeight="1">
      <c r="A46" s="77">
        <v>6.0</v>
      </c>
      <c r="B46" s="78" t="s">
        <v>25</v>
      </c>
      <c r="C46" s="78" t="s">
        <v>41</v>
      </c>
      <c r="D46" s="83" t="s">
        <v>949</v>
      </c>
      <c r="E46" s="84">
        <v>45689.0</v>
      </c>
      <c r="F46" s="78" t="s">
        <v>562</v>
      </c>
      <c r="H46" s="12"/>
      <c r="I46" s="12"/>
      <c r="J46" s="12"/>
      <c r="K46" s="12"/>
      <c r="L46" s="12"/>
      <c r="M46" s="12"/>
      <c r="N46" s="12"/>
      <c r="O46" s="12"/>
      <c r="P46" s="12"/>
    </row>
    <row r="47" ht="22.5" customHeight="1">
      <c r="A47" s="77">
        <v>7.0</v>
      </c>
      <c r="B47" s="78" t="s">
        <v>32</v>
      </c>
      <c r="C47" s="78" t="s">
        <v>41</v>
      </c>
      <c r="D47" s="83" t="s">
        <v>950</v>
      </c>
      <c r="E47" s="84">
        <v>46083.0</v>
      </c>
      <c r="F47" s="78" t="s">
        <v>170</v>
      </c>
      <c r="H47" s="12"/>
      <c r="I47" s="12"/>
      <c r="J47" s="12"/>
      <c r="K47" s="12"/>
      <c r="L47" s="12"/>
      <c r="M47" s="12"/>
      <c r="N47" s="12"/>
      <c r="O47" s="12"/>
      <c r="P47" s="12"/>
    </row>
    <row r="48" ht="22.5" customHeight="1">
      <c r="A48" s="90">
        <v>8.0</v>
      </c>
      <c r="B48" s="91" t="s">
        <v>41</v>
      </c>
      <c r="C48" s="91" t="s">
        <v>20</v>
      </c>
      <c r="D48" s="92"/>
      <c r="E48" s="93"/>
      <c r="F48" s="94" t="s">
        <v>335</v>
      </c>
      <c r="H48" s="12"/>
      <c r="I48" s="12"/>
      <c r="J48" s="12"/>
      <c r="K48" s="12"/>
      <c r="L48" s="12"/>
      <c r="M48" s="12"/>
      <c r="N48" s="12"/>
      <c r="O48" s="12"/>
      <c r="P48" s="12"/>
    </row>
    <row r="49">
      <c r="A49" s="12"/>
      <c r="D49" s="95"/>
      <c r="E49" s="14"/>
      <c r="F49" s="96"/>
      <c r="H49" s="12"/>
      <c r="I49" s="12"/>
      <c r="J49" s="12"/>
      <c r="K49" s="12"/>
      <c r="L49" s="12"/>
      <c r="M49" s="12"/>
      <c r="N49" s="12"/>
      <c r="O49" s="12"/>
      <c r="P49" s="12"/>
    </row>
    <row r="50">
      <c r="A50" s="12"/>
      <c r="D50" s="95"/>
      <c r="E50" s="14"/>
      <c r="F50" s="96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12"/>
      <c r="D51" s="95"/>
      <c r="E51" s="14"/>
      <c r="F51" s="96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2"/>
      <c r="D52" s="95"/>
      <c r="E52" s="14"/>
      <c r="F52" s="96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2"/>
      <c r="D53" s="95"/>
      <c r="E53" s="14"/>
      <c r="F53" s="96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2"/>
      <c r="D54" s="95"/>
      <c r="E54" s="14"/>
      <c r="F54" s="96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2"/>
      <c r="D55" s="95"/>
      <c r="E55" s="14"/>
      <c r="F55" s="96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2"/>
      <c r="D56" s="95"/>
      <c r="E56" s="14"/>
      <c r="F56" s="96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12"/>
      <c r="D57" s="95"/>
      <c r="E57" s="14"/>
      <c r="F57" s="96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12"/>
      <c r="D58" s="95"/>
      <c r="E58" s="14"/>
      <c r="F58" s="96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2"/>
      <c r="D59" s="95"/>
      <c r="E59" s="14"/>
      <c r="F59" s="96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12"/>
      <c r="D60" s="95"/>
      <c r="E60" s="14"/>
      <c r="F60" s="96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12"/>
      <c r="D61" s="95"/>
      <c r="E61" s="14"/>
      <c r="F61" s="96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12"/>
      <c r="D62" s="95"/>
      <c r="E62" s="14"/>
      <c r="F62" s="96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2"/>
      <c r="D63" s="95"/>
      <c r="E63" s="14"/>
      <c r="F63" s="96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12"/>
      <c r="D64" s="95"/>
      <c r="E64" s="14"/>
      <c r="F64" s="96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12"/>
      <c r="D65" s="95"/>
      <c r="E65" s="14"/>
      <c r="F65" s="96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12"/>
      <c r="D66" s="95"/>
      <c r="E66" s="14"/>
      <c r="F66" s="96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12"/>
      <c r="D67" s="95"/>
      <c r="E67" s="14"/>
      <c r="F67" s="96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2"/>
      <c r="D68" s="95"/>
      <c r="E68" s="14"/>
      <c r="F68" s="96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2"/>
      <c r="D69" s="95"/>
      <c r="E69" s="14"/>
      <c r="F69" s="96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12"/>
      <c r="D70" s="95"/>
      <c r="E70" s="14"/>
      <c r="F70" s="96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12"/>
      <c r="D71" s="95"/>
      <c r="E71" s="14"/>
      <c r="F71" s="96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12"/>
      <c r="D72" s="95"/>
      <c r="E72" s="14"/>
      <c r="F72" s="96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12"/>
      <c r="D73" s="95"/>
      <c r="E73" s="14"/>
      <c r="F73" s="96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12"/>
      <c r="D74" s="95"/>
      <c r="E74" s="14"/>
      <c r="F74" s="96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12"/>
      <c r="D75" s="95"/>
      <c r="E75" s="14"/>
      <c r="F75" s="96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12"/>
      <c r="D76" s="95"/>
      <c r="E76" s="14"/>
      <c r="F76" s="96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2"/>
      <c r="D77" s="95"/>
      <c r="E77" s="14"/>
      <c r="F77" s="96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2"/>
      <c r="D78" s="95"/>
      <c r="E78" s="14"/>
      <c r="F78" s="96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2"/>
      <c r="D79" s="95"/>
      <c r="E79" s="14"/>
      <c r="F79" s="96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2"/>
      <c r="D80" s="95"/>
      <c r="E80" s="14"/>
      <c r="F80" s="96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2"/>
      <c r="D81" s="95"/>
      <c r="E81" s="14"/>
      <c r="F81" s="96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2"/>
      <c r="D82" s="95"/>
      <c r="E82" s="14"/>
      <c r="F82" s="96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12"/>
      <c r="D83" s="95"/>
      <c r="E83" s="14"/>
      <c r="F83" s="96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12"/>
      <c r="D84" s="95"/>
      <c r="E84" s="14"/>
      <c r="F84" s="96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2"/>
      <c r="D85" s="95"/>
      <c r="E85" s="14"/>
      <c r="F85" s="96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12"/>
      <c r="D86" s="95"/>
      <c r="E86" s="14"/>
      <c r="F86" s="96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2"/>
      <c r="D87" s="95"/>
      <c r="E87" s="14"/>
      <c r="F87" s="96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12"/>
      <c r="D88" s="95"/>
      <c r="E88" s="14"/>
      <c r="F88" s="96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12"/>
      <c r="D89" s="95"/>
      <c r="E89" s="14"/>
      <c r="F89" s="96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2"/>
      <c r="D90" s="95"/>
      <c r="E90" s="14"/>
      <c r="F90" s="96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12"/>
      <c r="D91" s="95"/>
      <c r="E91" s="14"/>
      <c r="F91" s="96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12"/>
      <c r="D92" s="95"/>
      <c r="E92" s="14"/>
      <c r="F92" s="96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12"/>
      <c r="D93" s="95"/>
      <c r="E93" s="14"/>
      <c r="F93" s="96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12"/>
      <c r="D94" s="95"/>
      <c r="E94" s="14"/>
      <c r="F94" s="96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12"/>
      <c r="D95" s="95"/>
      <c r="E95" s="14"/>
      <c r="F95" s="96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2"/>
      <c r="D96" s="95"/>
      <c r="E96" s="14"/>
      <c r="F96" s="96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12"/>
      <c r="D97" s="95"/>
      <c r="E97" s="14"/>
      <c r="F97" s="96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12"/>
      <c r="D98" s="95"/>
      <c r="E98" s="14"/>
      <c r="F98" s="96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12"/>
      <c r="D99" s="95"/>
      <c r="E99" s="14"/>
      <c r="F99" s="96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2"/>
      <c r="D100" s="95"/>
      <c r="E100" s="14"/>
      <c r="F100" s="96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A101" s="12"/>
      <c r="D101" s="95"/>
      <c r="E101" s="14"/>
      <c r="F101" s="96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A102" s="12"/>
      <c r="D102" s="95"/>
      <c r="E102" s="14"/>
      <c r="F102" s="96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2"/>
      <c r="D103" s="95"/>
      <c r="E103" s="14"/>
      <c r="F103" s="96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A104" s="12"/>
      <c r="D104" s="95"/>
      <c r="E104" s="14"/>
      <c r="F104" s="96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A105" s="12"/>
      <c r="D105" s="95"/>
      <c r="E105" s="14"/>
      <c r="F105" s="96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A106" s="12"/>
      <c r="D106" s="95"/>
      <c r="E106" s="14"/>
      <c r="F106" s="96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A107" s="12"/>
      <c r="D107" s="95"/>
      <c r="E107" s="14"/>
      <c r="F107" s="96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A108" s="12"/>
      <c r="D108" s="95"/>
      <c r="E108" s="14"/>
      <c r="F108" s="96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A109" s="12"/>
      <c r="D109" s="95"/>
      <c r="E109" s="14"/>
      <c r="F109" s="96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A110" s="12"/>
      <c r="D110" s="95"/>
      <c r="E110" s="14"/>
      <c r="F110" s="96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A111" s="12"/>
      <c r="D111" s="95"/>
      <c r="E111" s="14"/>
      <c r="F111" s="96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A112" s="12"/>
      <c r="D112" s="95"/>
      <c r="E112" s="14"/>
      <c r="F112" s="96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A113" s="12"/>
      <c r="D113" s="95"/>
      <c r="E113" s="14"/>
      <c r="F113" s="96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A114" s="12"/>
      <c r="D114" s="95"/>
      <c r="E114" s="14"/>
      <c r="F114" s="96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A115" s="12"/>
      <c r="D115" s="95"/>
      <c r="E115" s="14"/>
      <c r="F115" s="96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A116" s="12"/>
      <c r="D116" s="95"/>
      <c r="E116" s="14"/>
      <c r="F116" s="96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A117" s="12"/>
      <c r="D117" s="95"/>
      <c r="E117" s="14"/>
      <c r="F117" s="96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A118" s="12"/>
      <c r="D118" s="95"/>
      <c r="E118" s="14"/>
      <c r="F118" s="96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A119" s="12"/>
      <c r="D119" s="95"/>
      <c r="E119" s="14"/>
      <c r="F119" s="96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A120" s="12"/>
      <c r="D120" s="95"/>
      <c r="E120" s="14"/>
      <c r="F120" s="96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A121" s="12"/>
      <c r="D121" s="95"/>
      <c r="E121" s="14"/>
      <c r="F121" s="96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A122" s="12"/>
      <c r="D122" s="95"/>
      <c r="E122" s="14"/>
      <c r="F122" s="96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A123" s="12"/>
      <c r="D123" s="95"/>
      <c r="E123" s="14"/>
      <c r="F123" s="96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A124" s="12"/>
      <c r="D124" s="95"/>
      <c r="E124" s="14"/>
      <c r="F124" s="96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A125" s="12"/>
      <c r="D125" s="95"/>
      <c r="E125" s="14"/>
      <c r="F125" s="96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A126" s="12"/>
      <c r="D126" s="95"/>
      <c r="E126" s="14"/>
      <c r="F126" s="96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A127" s="12"/>
      <c r="D127" s="95"/>
      <c r="E127" s="14"/>
      <c r="F127" s="96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A128" s="12"/>
      <c r="D128" s="95"/>
      <c r="E128" s="14"/>
      <c r="F128" s="96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A129" s="12"/>
      <c r="D129" s="95"/>
      <c r="E129" s="14"/>
      <c r="F129" s="96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A130" s="12"/>
      <c r="D130" s="95"/>
      <c r="E130" s="14"/>
      <c r="F130" s="96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A131" s="12"/>
      <c r="D131" s="95"/>
      <c r="E131" s="14"/>
      <c r="F131" s="96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A132" s="12"/>
      <c r="D132" s="95"/>
      <c r="E132" s="14"/>
      <c r="F132" s="96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A133" s="12"/>
      <c r="D133" s="95"/>
      <c r="E133" s="14"/>
      <c r="F133" s="96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A134" s="12"/>
      <c r="D134" s="95"/>
      <c r="E134" s="14"/>
      <c r="F134" s="96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A135" s="12"/>
      <c r="D135" s="95"/>
      <c r="E135" s="14"/>
      <c r="F135" s="96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A136" s="12"/>
      <c r="D136" s="95"/>
      <c r="E136" s="14"/>
      <c r="F136" s="96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A137" s="12"/>
      <c r="D137" s="95"/>
      <c r="E137" s="14"/>
      <c r="F137" s="96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A138" s="12"/>
      <c r="D138" s="95"/>
      <c r="E138" s="14"/>
      <c r="F138" s="96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A139" s="12"/>
      <c r="D139" s="95"/>
      <c r="E139" s="14"/>
      <c r="F139" s="96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A140" s="12"/>
      <c r="D140" s="95"/>
      <c r="E140" s="14"/>
      <c r="F140" s="96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A141" s="12"/>
      <c r="D141" s="95"/>
      <c r="E141" s="14"/>
      <c r="F141" s="96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A142" s="12"/>
      <c r="D142" s="95"/>
      <c r="E142" s="14"/>
      <c r="F142" s="96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A143" s="12"/>
      <c r="D143" s="95"/>
      <c r="E143" s="14"/>
      <c r="F143" s="96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A144" s="12"/>
      <c r="D144" s="95"/>
      <c r="E144" s="14"/>
      <c r="F144" s="96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A145" s="12"/>
      <c r="D145" s="95"/>
      <c r="E145" s="14"/>
      <c r="F145" s="96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A146" s="12"/>
      <c r="D146" s="95"/>
      <c r="E146" s="14"/>
      <c r="F146" s="96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A147" s="12"/>
      <c r="D147" s="95"/>
      <c r="E147" s="14"/>
      <c r="F147" s="96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A148" s="12"/>
      <c r="D148" s="95"/>
      <c r="E148" s="14"/>
      <c r="F148" s="96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A149" s="12"/>
      <c r="D149" s="95"/>
      <c r="E149" s="14"/>
      <c r="F149" s="96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A150" s="12"/>
      <c r="D150" s="95"/>
      <c r="E150" s="14"/>
      <c r="F150" s="96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A151" s="12"/>
      <c r="D151" s="95"/>
      <c r="E151" s="14"/>
      <c r="F151" s="96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A152" s="12"/>
      <c r="D152" s="95"/>
      <c r="E152" s="14"/>
      <c r="F152" s="96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A153" s="12"/>
      <c r="D153" s="95"/>
      <c r="E153" s="14"/>
      <c r="F153" s="96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A154" s="12"/>
      <c r="D154" s="95"/>
      <c r="E154" s="14"/>
      <c r="F154" s="96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A155" s="12"/>
      <c r="D155" s="95"/>
      <c r="E155" s="14"/>
      <c r="F155" s="96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A156" s="12"/>
      <c r="D156" s="95"/>
      <c r="E156" s="14"/>
      <c r="F156" s="96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A157" s="12"/>
      <c r="D157" s="95"/>
      <c r="E157" s="14"/>
      <c r="F157" s="96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A158" s="12"/>
      <c r="D158" s="95"/>
      <c r="E158" s="14"/>
      <c r="F158" s="96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A159" s="12"/>
      <c r="D159" s="95"/>
      <c r="E159" s="14"/>
      <c r="F159" s="96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A160" s="12"/>
      <c r="D160" s="95"/>
      <c r="E160" s="14"/>
      <c r="F160" s="96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A161" s="12"/>
      <c r="D161" s="95"/>
      <c r="E161" s="14"/>
      <c r="F161" s="96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A162" s="12"/>
      <c r="D162" s="95"/>
      <c r="E162" s="14"/>
      <c r="F162" s="96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A163" s="12"/>
      <c r="D163" s="95"/>
      <c r="E163" s="14"/>
      <c r="F163" s="96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A164" s="12"/>
      <c r="D164" s="95"/>
      <c r="E164" s="14"/>
      <c r="F164" s="96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A165" s="12"/>
      <c r="D165" s="95"/>
      <c r="E165" s="14"/>
      <c r="F165" s="96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A166" s="12"/>
      <c r="D166" s="95"/>
      <c r="E166" s="14"/>
      <c r="F166" s="96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A167" s="12"/>
      <c r="D167" s="95"/>
      <c r="E167" s="14"/>
      <c r="F167" s="96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A168" s="12"/>
      <c r="D168" s="95"/>
      <c r="E168" s="14"/>
      <c r="F168" s="96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A169" s="12"/>
      <c r="D169" s="95"/>
      <c r="E169" s="14"/>
      <c r="F169" s="96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A170" s="12"/>
      <c r="D170" s="95"/>
      <c r="E170" s="14"/>
      <c r="F170" s="96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A171" s="12"/>
      <c r="D171" s="95"/>
      <c r="E171" s="14"/>
      <c r="F171" s="96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A172" s="12"/>
      <c r="D172" s="95"/>
      <c r="E172" s="14"/>
      <c r="F172" s="96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A173" s="12"/>
      <c r="D173" s="95"/>
      <c r="E173" s="14"/>
      <c r="F173" s="96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A174" s="12"/>
      <c r="D174" s="95"/>
      <c r="E174" s="14"/>
      <c r="F174" s="96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A175" s="12"/>
      <c r="D175" s="95"/>
      <c r="E175" s="14"/>
      <c r="F175" s="96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A176" s="12"/>
      <c r="D176" s="95"/>
      <c r="E176" s="14"/>
      <c r="F176" s="96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A177" s="12"/>
      <c r="D177" s="95"/>
      <c r="E177" s="14"/>
      <c r="F177" s="96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A178" s="12"/>
      <c r="D178" s="95"/>
      <c r="E178" s="14"/>
      <c r="F178" s="96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A179" s="12"/>
      <c r="D179" s="95"/>
      <c r="E179" s="14"/>
      <c r="F179" s="96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A180" s="12"/>
      <c r="D180" s="95"/>
      <c r="E180" s="14"/>
      <c r="F180" s="96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A181" s="12"/>
      <c r="D181" s="95"/>
      <c r="E181" s="14"/>
      <c r="F181" s="96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A182" s="12"/>
      <c r="D182" s="95"/>
      <c r="E182" s="14"/>
      <c r="F182" s="96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A183" s="12"/>
      <c r="D183" s="95"/>
      <c r="E183" s="14"/>
      <c r="F183" s="96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A184" s="12"/>
      <c r="D184" s="95"/>
      <c r="E184" s="14"/>
      <c r="F184" s="96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A185" s="12"/>
      <c r="D185" s="95"/>
      <c r="E185" s="14"/>
      <c r="F185" s="96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A186" s="12"/>
      <c r="D186" s="95"/>
      <c r="E186" s="14"/>
      <c r="F186" s="96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A187" s="12"/>
      <c r="D187" s="95"/>
      <c r="E187" s="14"/>
      <c r="F187" s="96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A188" s="12"/>
      <c r="D188" s="95"/>
      <c r="E188" s="14"/>
      <c r="F188" s="96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A189" s="12"/>
      <c r="D189" s="95"/>
      <c r="E189" s="14"/>
      <c r="F189" s="96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A190" s="12"/>
      <c r="D190" s="95"/>
      <c r="E190" s="14"/>
      <c r="F190" s="96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A191" s="12"/>
      <c r="D191" s="95"/>
      <c r="E191" s="14"/>
      <c r="F191" s="96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A192" s="12"/>
      <c r="D192" s="95"/>
      <c r="E192" s="14"/>
      <c r="F192" s="96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A193" s="12"/>
      <c r="D193" s="95"/>
      <c r="E193" s="14"/>
      <c r="F193" s="96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A194" s="12"/>
      <c r="D194" s="95"/>
      <c r="E194" s="14"/>
      <c r="F194" s="96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A195" s="12"/>
      <c r="D195" s="95"/>
      <c r="E195" s="14"/>
      <c r="F195" s="96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A196" s="12"/>
      <c r="D196" s="95"/>
      <c r="E196" s="14"/>
      <c r="F196" s="96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A197" s="12"/>
      <c r="D197" s="95"/>
      <c r="E197" s="14"/>
      <c r="F197" s="96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A198" s="12"/>
      <c r="D198" s="95"/>
      <c r="E198" s="14"/>
      <c r="F198" s="96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A199" s="12"/>
      <c r="D199" s="95"/>
      <c r="E199" s="14"/>
      <c r="F199" s="96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A200" s="12"/>
      <c r="D200" s="95"/>
      <c r="E200" s="14"/>
      <c r="F200" s="96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A201" s="12"/>
      <c r="D201" s="95"/>
      <c r="E201" s="14"/>
      <c r="F201" s="96"/>
      <c r="H201" s="12"/>
      <c r="I201" s="12"/>
      <c r="J201" s="12"/>
      <c r="K201" s="12"/>
      <c r="L201" s="12"/>
      <c r="M201" s="12"/>
      <c r="N201" s="12"/>
      <c r="O201" s="12"/>
      <c r="P201" s="12"/>
    </row>
    <row r="202">
      <c r="A202" s="12"/>
      <c r="D202" s="95"/>
      <c r="E202" s="14"/>
      <c r="F202" s="96"/>
      <c r="H202" s="12"/>
      <c r="I202" s="12"/>
      <c r="J202" s="12"/>
      <c r="K202" s="12"/>
      <c r="L202" s="12"/>
      <c r="M202" s="12"/>
      <c r="N202" s="12"/>
      <c r="O202" s="12"/>
      <c r="P202" s="12"/>
    </row>
    <row r="203">
      <c r="A203" s="12"/>
      <c r="D203" s="95"/>
      <c r="E203" s="14"/>
      <c r="F203" s="96"/>
      <c r="H203" s="12"/>
      <c r="I203" s="12"/>
      <c r="J203" s="12"/>
      <c r="K203" s="12"/>
      <c r="L203" s="12"/>
      <c r="M203" s="12"/>
      <c r="N203" s="12"/>
      <c r="O203" s="12"/>
      <c r="P203" s="12"/>
    </row>
    <row r="204">
      <c r="A204" s="12"/>
      <c r="D204" s="95"/>
      <c r="E204" s="14"/>
      <c r="F204" s="96"/>
      <c r="H204" s="12"/>
      <c r="I204" s="12"/>
      <c r="J204" s="12"/>
      <c r="K204" s="12"/>
      <c r="L204" s="12"/>
      <c r="M204" s="12"/>
      <c r="N204" s="12"/>
      <c r="O204" s="12"/>
      <c r="P204" s="12"/>
    </row>
    <row r="205">
      <c r="A205" s="12"/>
      <c r="D205" s="95"/>
      <c r="E205" s="14"/>
      <c r="F205" s="96"/>
      <c r="H205" s="12"/>
      <c r="I205" s="12"/>
      <c r="J205" s="12"/>
      <c r="K205" s="12"/>
      <c r="L205" s="12"/>
      <c r="M205" s="12"/>
      <c r="N205" s="12"/>
      <c r="O205" s="12"/>
      <c r="P205" s="12"/>
    </row>
    <row r="206">
      <c r="A206" s="12"/>
      <c r="D206" s="95"/>
      <c r="E206" s="14"/>
      <c r="F206" s="96"/>
      <c r="H206" s="12"/>
      <c r="I206" s="12"/>
      <c r="J206" s="12"/>
      <c r="K206" s="12"/>
      <c r="L206" s="12"/>
      <c r="M206" s="12"/>
      <c r="N206" s="12"/>
      <c r="O206" s="12"/>
      <c r="P206" s="12"/>
    </row>
    <row r="207">
      <c r="A207" s="12"/>
      <c r="D207" s="95"/>
      <c r="E207" s="14"/>
      <c r="F207" s="96"/>
      <c r="H207" s="12"/>
      <c r="I207" s="12"/>
      <c r="J207" s="12"/>
      <c r="K207" s="12"/>
      <c r="L207" s="12"/>
      <c r="M207" s="12"/>
      <c r="N207" s="12"/>
      <c r="O207" s="12"/>
      <c r="P207" s="12"/>
    </row>
    <row r="208">
      <c r="A208" s="12"/>
      <c r="D208" s="95"/>
      <c r="E208" s="14"/>
      <c r="F208" s="96"/>
      <c r="H208" s="12"/>
      <c r="I208" s="12"/>
      <c r="J208" s="12"/>
      <c r="K208" s="12"/>
      <c r="L208" s="12"/>
      <c r="M208" s="12"/>
      <c r="N208" s="12"/>
      <c r="O208" s="12"/>
      <c r="P208" s="12"/>
    </row>
    <row r="209">
      <c r="A209" s="12"/>
      <c r="D209" s="95"/>
      <c r="E209" s="14"/>
      <c r="F209" s="96"/>
      <c r="H209" s="12"/>
      <c r="I209" s="12"/>
      <c r="J209" s="12"/>
      <c r="K209" s="12"/>
      <c r="L209" s="12"/>
      <c r="M209" s="12"/>
      <c r="N209" s="12"/>
      <c r="O209" s="12"/>
      <c r="P209" s="12"/>
    </row>
    <row r="210">
      <c r="A210" s="12"/>
      <c r="D210" s="95"/>
      <c r="E210" s="14"/>
      <c r="F210" s="96"/>
      <c r="H210" s="12"/>
      <c r="I210" s="12"/>
      <c r="J210" s="12"/>
      <c r="K210" s="12"/>
      <c r="L210" s="12"/>
      <c r="M210" s="12"/>
      <c r="N210" s="12"/>
      <c r="O210" s="12"/>
      <c r="P210" s="12"/>
    </row>
    <row r="211">
      <c r="A211" s="12"/>
      <c r="D211" s="95"/>
      <c r="E211" s="14"/>
      <c r="F211" s="96"/>
      <c r="H211" s="12"/>
      <c r="I211" s="12"/>
      <c r="J211" s="12"/>
      <c r="K211" s="12"/>
      <c r="L211" s="12"/>
      <c r="M211" s="12"/>
      <c r="N211" s="12"/>
      <c r="O211" s="12"/>
      <c r="P211" s="12"/>
    </row>
    <row r="212">
      <c r="A212" s="12"/>
      <c r="D212" s="95"/>
      <c r="E212" s="14"/>
      <c r="F212" s="96"/>
      <c r="H212" s="12"/>
      <c r="I212" s="12"/>
      <c r="J212" s="12"/>
      <c r="K212" s="12"/>
      <c r="L212" s="12"/>
      <c r="M212" s="12"/>
      <c r="N212" s="12"/>
      <c r="O212" s="12"/>
      <c r="P212" s="12"/>
    </row>
    <row r="213">
      <c r="A213" s="12"/>
      <c r="D213" s="95"/>
      <c r="E213" s="14"/>
      <c r="F213" s="96"/>
      <c r="H213" s="12"/>
      <c r="I213" s="12"/>
      <c r="J213" s="12"/>
      <c r="K213" s="12"/>
      <c r="L213" s="12"/>
      <c r="M213" s="12"/>
      <c r="N213" s="12"/>
      <c r="O213" s="12"/>
      <c r="P213" s="12"/>
    </row>
    <row r="214">
      <c r="A214" s="12"/>
      <c r="D214" s="95"/>
      <c r="E214" s="14"/>
      <c r="F214" s="96"/>
      <c r="H214" s="12"/>
      <c r="I214" s="12"/>
      <c r="J214" s="12"/>
      <c r="K214" s="12"/>
      <c r="L214" s="12"/>
      <c r="M214" s="12"/>
      <c r="N214" s="12"/>
      <c r="O214" s="12"/>
      <c r="P214" s="12"/>
    </row>
    <row r="215">
      <c r="A215" s="12"/>
      <c r="D215" s="95"/>
      <c r="E215" s="14"/>
      <c r="F215" s="96"/>
      <c r="H215" s="12"/>
      <c r="I215" s="12"/>
      <c r="J215" s="12"/>
      <c r="K215" s="12"/>
      <c r="L215" s="12"/>
      <c r="M215" s="12"/>
      <c r="N215" s="12"/>
      <c r="O215" s="12"/>
      <c r="P215" s="12"/>
    </row>
    <row r="216">
      <c r="A216" s="12"/>
      <c r="D216" s="95"/>
      <c r="E216" s="14"/>
      <c r="F216" s="96"/>
      <c r="H216" s="12"/>
      <c r="I216" s="12"/>
      <c r="J216" s="12"/>
      <c r="K216" s="12"/>
      <c r="L216" s="12"/>
      <c r="M216" s="12"/>
      <c r="N216" s="12"/>
      <c r="O216" s="12"/>
      <c r="P216" s="12"/>
    </row>
    <row r="217">
      <c r="A217" s="12"/>
      <c r="D217" s="95"/>
      <c r="E217" s="14"/>
      <c r="F217" s="96"/>
      <c r="H217" s="12"/>
      <c r="I217" s="12"/>
      <c r="J217" s="12"/>
      <c r="K217" s="12"/>
      <c r="L217" s="12"/>
      <c r="M217" s="12"/>
      <c r="N217" s="12"/>
      <c r="O217" s="12"/>
      <c r="P217" s="12"/>
    </row>
    <row r="218">
      <c r="A218" s="12"/>
      <c r="D218" s="95"/>
      <c r="E218" s="14"/>
      <c r="F218" s="96"/>
      <c r="H218" s="12"/>
      <c r="I218" s="12"/>
      <c r="J218" s="12"/>
      <c r="K218" s="12"/>
      <c r="L218" s="12"/>
      <c r="M218" s="12"/>
      <c r="N218" s="12"/>
      <c r="O218" s="12"/>
      <c r="P218" s="12"/>
    </row>
    <row r="219">
      <c r="A219" s="12"/>
      <c r="D219" s="95"/>
      <c r="E219" s="14"/>
      <c r="F219" s="96"/>
      <c r="H219" s="12"/>
      <c r="I219" s="12"/>
      <c r="J219" s="12"/>
      <c r="K219" s="12"/>
      <c r="L219" s="12"/>
      <c r="M219" s="12"/>
      <c r="N219" s="12"/>
      <c r="O219" s="12"/>
      <c r="P219" s="12"/>
    </row>
    <row r="220">
      <c r="A220" s="12"/>
      <c r="D220" s="95"/>
      <c r="E220" s="14"/>
      <c r="F220" s="96"/>
      <c r="H220" s="12"/>
      <c r="I220" s="12"/>
      <c r="J220" s="12"/>
      <c r="K220" s="12"/>
      <c r="L220" s="12"/>
      <c r="M220" s="12"/>
      <c r="N220" s="12"/>
      <c r="O220" s="12"/>
      <c r="P220" s="12"/>
    </row>
    <row r="221">
      <c r="A221" s="12"/>
      <c r="D221" s="95"/>
      <c r="E221" s="14"/>
      <c r="F221" s="96"/>
      <c r="H221" s="12"/>
      <c r="I221" s="12"/>
      <c r="J221" s="12"/>
      <c r="K221" s="12"/>
      <c r="L221" s="12"/>
      <c r="M221" s="12"/>
      <c r="N221" s="12"/>
      <c r="O221" s="12"/>
      <c r="P221" s="12"/>
    </row>
    <row r="222">
      <c r="A222" s="12"/>
      <c r="D222" s="95"/>
      <c r="E222" s="14"/>
      <c r="F222" s="96"/>
      <c r="H222" s="12"/>
      <c r="I222" s="12"/>
      <c r="J222" s="12"/>
      <c r="K222" s="12"/>
      <c r="L222" s="12"/>
      <c r="M222" s="12"/>
      <c r="N222" s="12"/>
      <c r="O222" s="12"/>
      <c r="P222" s="12"/>
    </row>
    <row r="223">
      <c r="A223" s="12"/>
      <c r="D223" s="95"/>
      <c r="E223" s="14"/>
      <c r="F223" s="96"/>
      <c r="H223" s="12"/>
      <c r="I223" s="12"/>
      <c r="J223" s="12"/>
      <c r="K223" s="12"/>
      <c r="L223" s="12"/>
      <c r="M223" s="12"/>
      <c r="N223" s="12"/>
      <c r="O223" s="12"/>
      <c r="P223" s="12"/>
    </row>
    <row r="224">
      <c r="A224" s="12"/>
      <c r="D224" s="95"/>
      <c r="E224" s="14"/>
      <c r="F224" s="96"/>
      <c r="H224" s="12"/>
      <c r="I224" s="12"/>
      <c r="J224" s="12"/>
      <c r="K224" s="12"/>
      <c r="L224" s="12"/>
      <c r="M224" s="12"/>
      <c r="N224" s="12"/>
      <c r="O224" s="12"/>
      <c r="P224" s="12"/>
    </row>
    <row r="225">
      <c r="A225" s="12"/>
      <c r="D225" s="95"/>
      <c r="E225" s="14"/>
      <c r="F225" s="96"/>
      <c r="H225" s="12"/>
      <c r="I225" s="12"/>
      <c r="J225" s="12"/>
      <c r="K225" s="12"/>
      <c r="L225" s="12"/>
      <c r="M225" s="12"/>
      <c r="N225" s="12"/>
      <c r="O225" s="12"/>
      <c r="P225" s="12"/>
    </row>
    <row r="226">
      <c r="A226" s="12"/>
      <c r="D226" s="95"/>
      <c r="E226" s="14"/>
      <c r="F226" s="96"/>
      <c r="H226" s="12"/>
      <c r="I226" s="12"/>
      <c r="J226" s="12"/>
      <c r="K226" s="12"/>
      <c r="L226" s="12"/>
      <c r="M226" s="12"/>
      <c r="N226" s="12"/>
      <c r="O226" s="12"/>
      <c r="P226" s="12"/>
    </row>
    <row r="227">
      <c r="A227" s="12"/>
      <c r="D227" s="95"/>
      <c r="E227" s="14"/>
      <c r="F227" s="96"/>
      <c r="H227" s="12"/>
      <c r="I227" s="12"/>
      <c r="J227" s="12"/>
      <c r="K227" s="12"/>
      <c r="L227" s="12"/>
      <c r="M227" s="12"/>
      <c r="N227" s="12"/>
      <c r="O227" s="12"/>
      <c r="P227" s="12"/>
    </row>
    <row r="228">
      <c r="A228" s="12"/>
      <c r="D228" s="95"/>
      <c r="E228" s="14"/>
      <c r="F228" s="96"/>
      <c r="H228" s="12"/>
      <c r="I228" s="12"/>
      <c r="J228" s="12"/>
      <c r="K228" s="12"/>
      <c r="L228" s="12"/>
      <c r="M228" s="12"/>
      <c r="N228" s="12"/>
      <c r="O228" s="12"/>
      <c r="P228" s="12"/>
    </row>
    <row r="229">
      <c r="A229" s="12"/>
      <c r="D229" s="95"/>
      <c r="E229" s="14"/>
      <c r="F229" s="96"/>
      <c r="H229" s="12"/>
      <c r="I229" s="12"/>
      <c r="J229" s="12"/>
      <c r="K229" s="12"/>
      <c r="L229" s="12"/>
      <c r="M229" s="12"/>
      <c r="N229" s="12"/>
      <c r="O229" s="12"/>
      <c r="P229" s="12"/>
    </row>
    <row r="230">
      <c r="A230" s="12"/>
      <c r="D230" s="95"/>
      <c r="E230" s="14"/>
      <c r="F230" s="96"/>
      <c r="H230" s="12"/>
      <c r="I230" s="12"/>
      <c r="J230" s="12"/>
      <c r="K230" s="12"/>
      <c r="L230" s="12"/>
      <c r="M230" s="12"/>
      <c r="N230" s="12"/>
      <c r="O230" s="12"/>
      <c r="P230" s="12"/>
    </row>
    <row r="231">
      <c r="A231" s="12"/>
      <c r="D231" s="95"/>
      <c r="E231" s="14"/>
      <c r="F231" s="96"/>
      <c r="H231" s="12"/>
      <c r="I231" s="12"/>
      <c r="J231" s="12"/>
      <c r="K231" s="12"/>
      <c r="L231" s="12"/>
      <c r="M231" s="12"/>
      <c r="N231" s="12"/>
      <c r="O231" s="12"/>
      <c r="P231" s="12"/>
    </row>
    <row r="232">
      <c r="A232" s="12"/>
      <c r="D232" s="95"/>
      <c r="E232" s="14"/>
      <c r="F232" s="96"/>
      <c r="H232" s="12"/>
      <c r="I232" s="12"/>
      <c r="J232" s="12"/>
      <c r="K232" s="12"/>
      <c r="L232" s="12"/>
      <c r="M232" s="12"/>
      <c r="N232" s="12"/>
      <c r="O232" s="12"/>
      <c r="P232" s="12"/>
    </row>
    <row r="233">
      <c r="A233" s="12"/>
      <c r="D233" s="95"/>
      <c r="E233" s="14"/>
      <c r="F233" s="96"/>
      <c r="H233" s="12"/>
      <c r="I233" s="12"/>
      <c r="J233" s="12"/>
      <c r="K233" s="12"/>
      <c r="L233" s="12"/>
      <c r="M233" s="12"/>
      <c r="N233" s="12"/>
      <c r="O233" s="12"/>
      <c r="P233" s="12"/>
    </row>
    <row r="234">
      <c r="A234" s="12"/>
      <c r="D234" s="95"/>
      <c r="E234" s="14"/>
      <c r="F234" s="96"/>
      <c r="H234" s="12"/>
      <c r="I234" s="12"/>
      <c r="J234" s="12"/>
      <c r="K234" s="12"/>
      <c r="L234" s="12"/>
      <c r="M234" s="12"/>
      <c r="N234" s="12"/>
      <c r="O234" s="12"/>
      <c r="P234" s="12"/>
    </row>
    <row r="235">
      <c r="A235" s="12"/>
      <c r="D235" s="95"/>
      <c r="E235" s="14"/>
      <c r="F235" s="96"/>
      <c r="H235" s="12"/>
      <c r="I235" s="12"/>
      <c r="J235" s="12"/>
      <c r="K235" s="12"/>
      <c r="L235" s="12"/>
      <c r="M235" s="12"/>
      <c r="N235" s="12"/>
      <c r="O235" s="12"/>
      <c r="P235" s="12"/>
    </row>
    <row r="236">
      <c r="A236" s="12"/>
      <c r="D236" s="95"/>
      <c r="E236" s="14"/>
      <c r="F236" s="96"/>
      <c r="H236" s="12"/>
      <c r="I236" s="12"/>
      <c r="J236" s="12"/>
      <c r="K236" s="12"/>
      <c r="L236" s="12"/>
      <c r="M236" s="12"/>
      <c r="N236" s="12"/>
      <c r="O236" s="12"/>
      <c r="P236" s="12"/>
    </row>
    <row r="237">
      <c r="A237" s="12"/>
      <c r="D237" s="95"/>
      <c r="E237" s="14"/>
      <c r="F237" s="96"/>
      <c r="H237" s="12"/>
      <c r="I237" s="12"/>
      <c r="J237" s="12"/>
      <c r="K237" s="12"/>
      <c r="L237" s="12"/>
      <c r="M237" s="12"/>
      <c r="N237" s="12"/>
      <c r="O237" s="12"/>
      <c r="P237" s="12"/>
    </row>
    <row r="238">
      <c r="A238" s="12"/>
      <c r="D238" s="95"/>
      <c r="E238" s="14"/>
      <c r="F238" s="96"/>
      <c r="H238" s="12"/>
      <c r="I238" s="12"/>
      <c r="J238" s="12"/>
      <c r="K238" s="12"/>
      <c r="L238" s="12"/>
      <c r="M238" s="12"/>
      <c r="N238" s="12"/>
      <c r="O238" s="12"/>
      <c r="P238" s="12"/>
    </row>
    <row r="239">
      <c r="A239" s="12"/>
      <c r="D239" s="95"/>
      <c r="E239" s="14"/>
      <c r="F239" s="96"/>
      <c r="H239" s="12"/>
      <c r="I239" s="12"/>
      <c r="J239" s="12"/>
      <c r="K239" s="12"/>
      <c r="L239" s="12"/>
      <c r="M239" s="12"/>
      <c r="N239" s="12"/>
      <c r="O239" s="12"/>
      <c r="P239" s="12"/>
    </row>
    <row r="240">
      <c r="A240" s="12"/>
      <c r="D240" s="95"/>
      <c r="E240" s="14"/>
      <c r="F240" s="96"/>
      <c r="H240" s="12"/>
      <c r="I240" s="12"/>
      <c r="J240" s="12"/>
      <c r="K240" s="12"/>
      <c r="L240" s="12"/>
      <c r="M240" s="12"/>
      <c r="N240" s="12"/>
      <c r="O240" s="12"/>
      <c r="P240" s="12"/>
    </row>
    <row r="241">
      <c r="A241" s="12"/>
      <c r="D241" s="95"/>
      <c r="E241" s="14"/>
      <c r="F241" s="96"/>
      <c r="H241" s="12"/>
      <c r="I241" s="12"/>
      <c r="J241" s="12"/>
      <c r="K241" s="12"/>
      <c r="L241" s="12"/>
      <c r="M241" s="12"/>
      <c r="N241" s="12"/>
      <c r="O241" s="12"/>
      <c r="P241" s="12"/>
    </row>
    <row r="242">
      <c r="A242" s="12"/>
      <c r="D242" s="95"/>
      <c r="E242" s="14"/>
      <c r="F242" s="96"/>
      <c r="H242" s="12"/>
      <c r="I242" s="12"/>
      <c r="J242" s="12"/>
      <c r="K242" s="12"/>
      <c r="L242" s="12"/>
      <c r="M242" s="12"/>
      <c r="N242" s="12"/>
      <c r="O242" s="12"/>
      <c r="P242" s="12"/>
    </row>
    <row r="243">
      <c r="A243" s="12"/>
      <c r="D243" s="95"/>
      <c r="E243" s="14"/>
      <c r="F243" s="96"/>
      <c r="H243" s="12"/>
      <c r="I243" s="12"/>
      <c r="J243" s="12"/>
      <c r="K243" s="12"/>
      <c r="L243" s="12"/>
      <c r="M243" s="12"/>
      <c r="N243" s="12"/>
      <c r="O243" s="12"/>
      <c r="P243" s="12"/>
    </row>
    <row r="244">
      <c r="A244" s="12"/>
      <c r="D244" s="95"/>
      <c r="E244" s="14"/>
      <c r="F244" s="96"/>
      <c r="H244" s="12"/>
      <c r="I244" s="12"/>
      <c r="J244" s="12"/>
      <c r="K244" s="12"/>
      <c r="L244" s="12"/>
      <c r="M244" s="12"/>
      <c r="N244" s="12"/>
      <c r="O244" s="12"/>
      <c r="P244" s="12"/>
    </row>
    <row r="245">
      <c r="A245" s="12"/>
      <c r="D245" s="95"/>
      <c r="E245" s="14"/>
      <c r="F245" s="96"/>
      <c r="H245" s="12"/>
      <c r="I245" s="12"/>
      <c r="J245" s="12"/>
      <c r="K245" s="12"/>
      <c r="L245" s="12"/>
      <c r="M245" s="12"/>
      <c r="N245" s="12"/>
      <c r="O245" s="12"/>
      <c r="P245" s="12"/>
    </row>
    <row r="246">
      <c r="A246" s="12"/>
      <c r="D246" s="95"/>
      <c r="E246" s="14"/>
      <c r="F246" s="96"/>
      <c r="H246" s="12"/>
      <c r="I246" s="12"/>
      <c r="J246" s="12"/>
      <c r="K246" s="12"/>
      <c r="L246" s="12"/>
      <c r="M246" s="12"/>
      <c r="N246" s="12"/>
      <c r="O246" s="12"/>
      <c r="P246" s="12"/>
    </row>
    <row r="247">
      <c r="A247" s="12"/>
      <c r="D247" s="95"/>
      <c r="E247" s="14"/>
      <c r="F247" s="96"/>
      <c r="H247" s="12"/>
      <c r="I247" s="12"/>
      <c r="J247" s="12"/>
      <c r="K247" s="12"/>
      <c r="L247" s="12"/>
      <c r="M247" s="12"/>
      <c r="N247" s="12"/>
      <c r="O247" s="12"/>
      <c r="P247" s="12"/>
    </row>
    <row r="248">
      <c r="A248" s="12"/>
      <c r="D248" s="95"/>
      <c r="E248" s="14"/>
      <c r="F248" s="96"/>
      <c r="H248" s="12"/>
      <c r="I248" s="12"/>
      <c r="J248" s="12"/>
      <c r="K248" s="12"/>
      <c r="L248" s="12"/>
      <c r="M248" s="12"/>
      <c r="N248" s="12"/>
      <c r="O248" s="12"/>
      <c r="P248" s="12"/>
    </row>
    <row r="249">
      <c r="A249" s="12"/>
      <c r="D249" s="95"/>
      <c r="E249" s="14"/>
      <c r="F249" s="96"/>
      <c r="H249" s="12"/>
      <c r="I249" s="12"/>
      <c r="J249" s="12"/>
      <c r="K249" s="12"/>
      <c r="L249" s="12"/>
      <c r="M249" s="12"/>
      <c r="N249" s="12"/>
      <c r="O249" s="12"/>
      <c r="P249" s="12"/>
    </row>
    <row r="250">
      <c r="A250" s="12"/>
      <c r="D250" s="95"/>
      <c r="E250" s="14"/>
      <c r="F250" s="96"/>
      <c r="H250" s="12"/>
      <c r="I250" s="12"/>
      <c r="J250" s="12"/>
      <c r="K250" s="12"/>
      <c r="L250" s="12"/>
      <c r="M250" s="12"/>
      <c r="N250" s="12"/>
      <c r="O250" s="12"/>
      <c r="P250" s="12"/>
    </row>
    <row r="251">
      <c r="A251" s="12"/>
      <c r="D251" s="95"/>
      <c r="E251" s="14"/>
      <c r="F251" s="96"/>
      <c r="H251" s="12"/>
      <c r="I251" s="12"/>
      <c r="J251" s="12"/>
      <c r="K251" s="12"/>
      <c r="L251" s="12"/>
      <c r="M251" s="12"/>
      <c r="N251" s="12"/>
      <c r="O251" s="12"/>
      <c r="P251" s="12"/>
    </row>
    <row r="252">
      <c r="A252" s="12"/>
      <c r="D252" s="95"/>
      <c r="E252" s="14"/>
      <c r="F252" s="96"/>
      <c r="H252" s="12"/>
      <c r="I252" s="12"/>
      <c r="J252" s="12"/>
      <c r="K252" s="12"/>
      <c r="L252" s="12"/>
      <c r="M252" s="12"/>
      <c r="N252" s="12"/>
      <c r="O252" s="12"/>
      <c r="P252" s="12"/>
    </row>
    <row r="253">
      <c r="A253" s="12"/>
      <c r="D253" s="95"/>
      <c r="E253" s="14"/>
      <c r="F253" s="96"/>
      <c r="H253" s="12"/>
      <c r="I253" s="12"/>
      <c r="J253" s="12"/>
      <c r="K253" s="12"/>
      <c r="L253" s="12"/>
      <c r="M253" s="12"/>
      <c r="N253" s="12"/>
      <c r="O253" s="12"/>
      <c r="P253" s="12"/>
    </row>
    <row r="254">
      <c r="A254" s="12"/>
      <c r="D254" s="95"/>
      <c r="E254" s="14"/>
      <c r="F254" s="96"/>
      <c r="H254" s="12"/>
      <c r="I254" s="12"/>
      <c r="J254" s="12"/>
      <c r="K254" s="12"/>
      <c r="L254" s="12"/>
      <c r="M254" s="12"/>
      <c r="N254" s="12"/>
      <c r="O254" s="12"/>
      <c r="P254" s="12"/>
    </row>
    <row r="255">
      <c r="A255" s="12"/>
      <c r="D255" s="95"/>
      <c r="E255" s="14"/>
      <c r="F255" s="96"/>
      <c r="H255" s="12"/>
      <c r="I255" s="12"/>
      <c r="J255" s="12"/>
      <c r="K255" s="12"/>
      <c r="L255" s="12"/>
      <c r="M255" s="12"/>
      <c r="N255" s="12"/>
      <c r="O255" s="12"/>
      <c r="P255" s="12"/>
    </row>
    <row r="256">
      <c r="A256" s="12"/>
      <c r="D256" s="95"/>
      <c r="E256" s="14"/>
      <c r="F256" s="96"/>
      <c r="H256" s="12"/>
      <c r="I256" s="12"/>
      <c r="J256" s="12"/>
      <c r="K256" s="12"/>
      <c r="L256" s="12"/>
      <c r="M256" s="12"/>
      <c r="N256" s="12"/>
      <c r="O256" s="12"/>
      <c r="P256" s="12"/>
    </row>
    <row r="257">
      <c r="A257" s="12"/>
      <c r="D257" s="95"/>
      <c r="E257" s="14"/>
      <c r="F257" s="96"/>
      <c r="H257" s="12"/>
      <c r="I257" s="12"/>
      <c r="J257" s="12"/>
      <c r="K257" s="12"/>
      <c r="L257" s="12"/>
      <c r="M257" s="12"/>
      <c r="N257" s="12"/>
      <c r="O257" s="12"/>
      <c r="P257" s="12"/>
    </row>
    <row r="258">
      <c r="A258" s="12"/>
      <c r="D258" s="95"/>
      <c r="E258" s="14"/>
      <c r="F258" s="96"/>
      <c r="H258" s="12"/>
      <c r="I258" s="12"/>
      <c r="J258" s="12"/>
      <c r="K258" s="12"/>
      <c r="L258" s="12"/>
      <c r="M258" s="12"/>
      <c r="N258" s="12"/>
      <c r="O258" s="12"/>
      <c r="P258" s="12"/>
    </row>
    <row r="259">
      <c r="A259" s="12"/>
      <c r="D259" s="95"/>
      <c r="E259" s="14"/>
      <c r="F259" s="96"/>
      <c r="H259" s="12"/>
      <c r="I259" s="12"/>
      <c r="J259" s="12"/>
      <c r="K259" s="12"/>
      <c r="L259" s="12"/>
      <c r="M259" s="12"/>
      <c r="N259" s="12"/>
      <c r="O259" s="12"/>
      <c r="P259" s="12"/>
    </row>
    <row r="260">
      <c r="A260" s="12"/>
      <c r="D260" s="95"/>
      <c r="E260" s="14"/>
      <c r="F260" s="96"/>
      <c r="H260" s="12"/>
      <c r="I260" s="12"/>
      <c r="J260" s="12"/>
      <c r="K260" s="12"/>
      <c r="L260" s="12"/>
      <c r="M260" s="12"/>
      <c r="N260" s="12"/>
      <c r="O260" s="12"/>
      <c r="P260" s="12"/>
    </row>
    <row r="261">
      <c r="A261" s="12"/>
      <c r="D261" s="95"/>
      <c r="E261" s="14"/>
      <c r="F261" s="96"/>
      <c r="H261" s="12"/>
      <c r="I261" s="12"/>
      <c r="J261" s="12"/>
      <c r="K261" s="12"/>
      <c r="L261" s="12"/>
      <c r="M261" s="12"/>
      <c r="N261" s="12"/>
      <c r="O261" s="12"/>
      <c r="P261" s="12"/>
    </row>
    <row r="262">
      <c r="A262" s="12"/>
      <c r="D262" s="95"/>
      <c r="E262" s="14"/>
      <c r="F262" s="96"/>
      <c r="H262" s="12"/>
      <c r="I262" s="12"/>
      <c r="J262" s="12"/>
      <c r="K262" s="12"/>
      <c r="L262" s="12"/>
      <c r="M262" s="12"/>
      <c r="N262" s="12"/>
      <c r="O262" s="12"/>
      <c r="P262" s="12"/>
    </row>
    <row r="263">
      <c r="A263" s="12"/>
      <c r="D263" s="95"/>
      <c r="E263" s="14"/>
      <c r="F263" s="96"/>
      <c r="H263" s="12"/>
      <c r="I263" s="12"/>
      <c r="J263" s="12"/>
      <c r="K263" s="12"/>
      <c r="L263" s="12"/>
      <c r="M263" s="12"/>
      <c r="N263" s="12"/>
      <c r="O263" s="12"/>
      <c r="P263" s="12"/>
    </row>
    <row r="264">
      <c r="A264" s="12"/>
      <c r="D264" s="95"/>
      <c r="E264" s="14"/>
      <c r="F264" s="96"/>
      <c r="H264" s="12"/>
      <c r="I264" s="12"/>
      <c r="J264" s="12"/>
      <c r="K264" s="12"/>
      <c r="L264" s="12"/>
      <c r="M264" s="12"/>
      <c r="N264" s="12"/>
      <c r="O264" s="12"/>
      <c r="P264" s="12"/>
    </row>
    <row r="265">
      <c r="A265" s="12"/>
      <c r="D265" s="95"/>
      <c r="E265" s="14"/>
      <c r="F265" s="96"/>
      <c r="H265" s="12"/>
      <c r="I265" s="12"/>
      <c r="J265" s="12"/>
      <c r="K265" s="12"/>
      <c r="L265" s="12"/>
      <c r="M265" s="12"/>
      <c r="N265" s="12"/>
      <c r="O265" s="12"/>
      <c r="P265" s="12"/>
    </row>
    <row r="266">
      <c r="A266" s="12"/>
      <c r="D266" s="95"/>
      <c r="E266" s="14"/>
      <c r="F266" s="96"/>
      <c r="H266" s="12"/>
      <c r="I266" s="12"/>
      <c r="J266" s="12"/>
      <c r="K266" s="12"/>
      <c r="L266" s="12"/>
      <c r="M266" s="12"/>
      <c r="N266" s="12"/>
      <c r="O266" s="12"/>
      <c r="P266" s="12"/>
    </row>
    <row r="267">
      <c r="A267" s="12"/>
      <c r="D267" s="95"/>
      <c r="E267" s="14"/>
      <c r="F267" s="96"/>
      <c r="H267" s="12"/>
      <c r="I267" s="12"/>
      <c r="J267" s="12"/>
      <c r="K267" s="12"/>
      <c r="L267" s="12"/>
      <c r="M267" s="12"/>
      <c r="N267" s="12"/>
      <c r="O267" s="12"/>
      <c r="P267" s="12"/>
    </row>
    <row r="268">
      <c r="A268" s="12"/>
      <c r="D268" s="95"/>
      <c r="E268" s="14"/>
      <c r="F268" s="96"/>
      <c r="H268" s="12"/>
      <c r="I268" s="12"/>
      <c r="J268" s="12"/>
      <c r="K268" s="12"/>
      <c r="L268" s="12"/>
      <c r="M268" s="12"/>
      <c r="N268" s="12"/>
      <c r="O268" s="12"/>
      <c r="P268" s="12"/>
    </row>
    <row r="269">
      <c r="A269" s="12"/>
      <c r="D269" s="95"/>
      <c r="E269" s="14"/>
      <c r="F269" s="96"/>
      <c r="H269" s="12"/>
      <c r="I269" s="12"/>
      <c r="J269" s="12"/>
      <c r="K269" s="12"/>
      <c r="L269" s="12"/>
      <c r="M269" s="12"/>
      <c r="N269" s="12"/>
      <c r="O269" s="12"/>
      <c r="P269" s="12"/>
    </row>
    <row r="270">
      <c r="A270" s="12"/>
      <c r="D270" s="95"/>
      <c r="E270" s="14"/>
      <c r="F270" s="96"/>
      <c r="H270" s="12"/>
      <c r="I270" s="12"/>
      <c r="J270" s="12"/>
      <c r="K270" s="12"/>
      <c r="L270" s="12"/>
      <c r="M270" s="12"/>
      <c r="N270" s="12"/>
      <c r="O270" s="12"/>
      <c r="P270" s="12"/>
    </row>
    <row r="271">
      <c r="A271" s="12"/>
      <c r="D271" s="95"/>
      <c r="E271" s="14"/>
      <c r="F271" s="96"/>
      <c r="H271" s="12"/>
      <c r="I271" s="12"/>
      <c r="J271" s="12"/>
      <c r="K271" s="12"/>
      <c r="L271" s="12"/>
      <c r="M271" s="12"/>
      <c r="N271" s="12"/>
      <c r="O271" s="12"/>
      <c r="P271" s="12"/>
    </row>
    <row r="272">
      <c r="A272" s="12"/>
      <c r="D272" s="95"/>
      <c r="E272" s="14"/>
      <c r="F272" s="96"/>
      <c r="H272" s="12"/>
      <c r="I272" s="12"/>
      <c r="J272" s="12"/>
      <c r="K272" s="12"/>
      <c r="L272" s="12"/>
      <c r="M272" s="12"/>
      <c r="N272" s="12"/>
      <c r="O272" s="12"/>
      <c r="P272" s="12"/>
    </row>
    <row r="273">
      <c r="A273" s="12"/>
      <c r="D273" s="95"/>
      <c r="E273" s="14"/>
      <c r="F273" s="96"/>
      <c r="H273" s="12"/>
      <c r="I273" s="12"/>
      <c r="J273" s="12"/>
      <c r="K273" s="12"/>
      <c r="L273" s="12"/>
      <c r="M273" s="12"/>
      <c r="N273" s="12"/>
      <c r="O273" s="12"/>
      <c r="P273" s="12"/>
    </row>
    <row r="274">
      <c r="A274" s="12"/>
      <c r="D274" s="95"/>
      <c r="E274" s="14"/>
      <c r="F274" s="96"/>
      <c r="H274" s="12"/>
      <c r="I274" s="12"/>
      <c r="J274" s="12"/>
      <c r="K274" s="12"/>
      <c r="L274" s="12"/>
      <c r="M274" s="12"/>
      <c r="N274" s="12"/>
      <c r="O274" s="12"/>
      <c r="P274" s="12"/>
    </row>
    <row r="275">
      <c r="A275" s="12"/>
      <c r="D275" s="95"/>
      <c r="E275" s="14"/>
      <c r="F275" s="96"/>
      <c r="H275" s="12"/>
      <c r="I275" s="12"/>
      <c r="J275" s="12"/>
      <c r="K275" s="12"/>
      <c r="L275" s="12"/>
      <c r="M275" s="12"/>
      <c r="N275" s="12"/>
      <c r="O275" s="12"/>
      <c r="P275" s="12"/>
    </row>
    <row r="276">
      <c r="A276" s="12"/>
      <c r="D276" s="95"/>
      <c r="E276" s="14"/>
      <c r="F276" s="96"/>
      <c r="H276" s="12"/>
      <c r="I276" s="12"/>
      <c r="J276" s="12"/>
      <c r="K276" s="12"/>
      <c r="L276" s="12"/>
      <c r="M276" s="12"/>
      <c r="N276" s="12"/>
      <c r="O276" s="12"/>
      <c r="P276" s="12"/>
    </row>
    <row r="277">
      <c r="A277" s="12"/>
      <c r="D277" s="95"/>
      <c r="E277" s="14"/>
      <c r="F277" s="96"/>
      <c r="H277" s="12"/>
      <c r="I277" s="12"/>
      <c r="J277" s="12"/>
      <c r="K277" s="12"/>
      <c r="L277" s="12"/>
      <c r="M277" s="12"/>
      <c r="N277" s="12"/>
      <c r="O277" s="12"/>
      <c r="P277" s="12"/>
    </row>
    <row r="278">
      <c r="A278" s="12"/>
      <c r="D278" s="95"/>
      <c r="E278" s="14"/>
      <c r="F278" s="96"/>
      <c r="H278" s="12"/>
      <c r="I278" s="12"/>
      <c r="J278" s="12"/>
      <c r="K278" s="12"/>
      <c r="L278" s="12"/>
      <c r="M278" s="12"/>
      <c r="N278" s="12"/>
      <c r="O278" s="12"/>
      <c r="P278" s="12"/>
    </row>
    <row r="279">
      <c r="A279" s="12"/>
      <c r="D279" s="95"/>
      <c r="E279" s="14"/>
      <c r="F279" s="96"/>
      <c r="H279" s="12"/>
      <c r="I279" s="12"/>
      <c r="J279" s="12"/>
      <c r="K279" s="12"/>
      <c r="L279" s="12"/>
      <c r="M279" s="12"/>
      <c r="N279" s="12"/>
      <c r="O279" s="12"/>
      <c r="P279" s="12"/>
    </row>
    <row r="280">
      <c r="A280" s="12"/>
      <c r="D280" s="95"/>
      <c r="E280" s="14"/>
      <c r="F280" s="96"/>
      <c r="H280" s="12"/>
      <c r="I280" s="12"/>
      <c r="J280" s="12"/>
      <c r="K280" s="12"/>
      <c r="L280" s="12"/>
      <c r="M280" s="12"/>
      <c r="N280" s="12"/>
      <c r="O280" s="12"/>
      <c r="P280" s="12"/>
    </row>
    <row r="281">
      <c r="A281" s="12"/>
      <c r="D281" s="95"/>
      <c r="E281" s="14"/>
      <c r="F281" s="96"/>
      <c r="H281" s="12"/>
      <c r="I281" s="12"/>
      <c r="J281" s="12"/>
      <c r="K281" s="12"/>
      <c r="L281" s="12"/>
      <c r="M281" s="12"/>
      <c r="N281" s="12"/>
      <c r="O281" s="12"/>
      <c r="P281" s="12"/>
    </row>
    <row r="282">
      <c r="A282" s="12"/>
      <c r="D282" s="95"/>
      <c r="E282" s="14"/>
      <c r="F282" s="96"/>
      <c r="H282" s="12"/>
      <c r="I282" s="12"/>
      <c r="J282" s="12"/>
      <c r="K282" s="12"/>
      <c r="L282" s="12"/>
      <c r="M282" s="12"/>
      <c r="N282" s="12"/>
      <c r="O282" s="12"/>
      <c r="P282" s="12"/>
    </row>
    <row r="283">
      <c r="A283" s="12"/>
      <c r="D283" s="95"/>
      <c r="E283" s="14"/>
      <c r="F283" s="96"/>
      <c r="H283" s="12"/>
      <c r="I283" s="12"/>
      <c r="J283" s="12"/>
      <c r="K283" s="12"/>
      <c r="L283" s="12"/>
      <c r="M283" s="12"/>
      <c r="N283" s="12"/>
      <c r="O283" s="12"/>
      <c r="P283" s="12"/>
    </row>
    <row r="284">
      <c r="A284" s="12"/>
      <c r="D284" s="95"/>
      <c r="E284" s="14"/>
      <c r="F284" s="96"/>
      <c r="H284" s="12"/>
      <c r="I284" s="12"/>
      <c r="J284" s="12"/>
      <c r="K284" s="12"/>
      <c r="L284" s="12"/>
      <c r="M284" s="12"/>
      <c r="N284" s="12"/>
      <c r="O284" s="12"/>
      <c r="P284" s="12"/>
    </row>
    <row r="285">
      <c r="A285" s="12"/>
      <c r="D285" s="95"/>
      <c r="E285" s="14"/>
      <c r="F285" s="96"/>
      <c r="H285" s="12"/>
      <c r="I285" s="12"/>
      <c r="J285" s="12"/>
      <c r="K285" s="12"/>
      <c r="L285" s="12"/>
      <c r="M285" s="12"/>
      <c r="N285" s="12"/>
      <c r="O285" s="12"/>
      <c r="P285" s="12"/>
    </row>
    <row r="286">
      <c r="A286" s="12"/>
      <c r="D286" s="95"/>
      <c r="E286" s="14"/>
      <c r="F286" s="96"/>
      <c r="H286" s="12"/>
      <c r="I286" s="12"/>
      <c r="J286" s="12"/>
      <c r="K286" s="12"/>
      <c r="L286" s="12"/>
      <c r="M286" s="12"/>
      <c r="N286" s="12"/>
      <c r="O286" s="12"/>
      <c r="P286" s="12"/>
    </row>
    <row r="287">
      <c r="A287" s="12"/>
      <c r="D287" s="95"/>
      <c r="E287" s="14"/>
      <c r="F287" s="96"/>
      <c r="H287" s="12"/>
      <c r="I287" s="12"/>
      <c r="J287" s="12"/>
      <c r="K287" s="12"/>
      <c r="L287" s="12"/>
      <c r="M287" s="12"/>
      <c r="N287" s="12"/>
      <c r="O287" s="12"/>
      <c r="P287" s="12"/>
    </row>
    <row r="288">
      <c r="A288" s="12"/>
      <c r="D288" s="95"/>
      <c r="E288" s="14"/>
      <c r="F288" s="96"/>
      <c r="H288" s="12"/>
      <c r="I288" s="12"/>
      <c r="J288" s="12"/>
      <c r="K288" s="12"/>
      <c r="L288" s="12"/>
      <c r="M288" s="12"/>
      <c r="N288" s="12"/>
      <c r="O288" s="12"/>
      <c r="P288" s="12"/>
    </row>
    <row r="289">
      <c r="A289" s="12"/>
      <c r="D289" s="95"/>
      <c r="E289" s="14"/>
      <c r="F289" s="96"/>
      <c r="H289" s="12"/>
      <c r="I289" s="12"/>
      <c r="J289" s="12"/>
      <c r="K289" s="12"/>
      <c r="L289" s="12"/>
      <c r="M289" s="12"/>
      <c r="N289" s="12"/>
      <c r="O289" s="12"/>
      <c r="P289" s="12"/>
    </row>
    <row r="290">
      <c r="A290" s="12"/>
      <c r="D290" s="95"/>
      <c r="E290" s="14"/>
      <c r="F290" s="96"/>
      <c r="H290" s="12"/>
      <c r="I290" s="12"/>
      <c r="J290" s="12"/>
      <c r="K290" s="12"/>
      <c r="L290" s="12"/>
      <c r="M290" s="12"/>
      <c r="N290" s="12"/>
      <c r="O290" s="12"/>
      <c r="P290" s="12"/>
    </row>
    <row r="291">
      <c r="A291" s="12"/>
      <c r="D291" s="95"/>
      <c r="E291" s="14"/>
      <c r="F291" s="96"/>
      <c r="H291" s="12"/>
      <c r="I291" s="12"/>
      <c r="J291" s="12"/>
      <c r="K291" s="12"/>
      <c r="L291" s="12"/>
      <c r="M291" s="12"/>
      <c r="N291" s="12"/>
      <c r="O291" s="12"/>
      <c r="P291" s="12"/>
    </row>
    <row r="292">
      <c r="A292" s="12"/>
      <c r="D292" s="95"/>
      <c r="E292" s="14"/>
      <c r="F292" s="96"/>
      <c r="H292" s="12"/>
      <c r="I292" s="12"/>
      <c r="J292" s="12"/>
      <c r="K292" s="12"/>
      <c r="L292" s="12"/>
      <c r="M292" s="12"/>
      <c r="N292" s="12"/>
      <c r="O292" s="12"/>
      <c r="P292" s="12"/>
    </row>
    <row r="293">
      <c r="A293" s="12"/>
      <c r="D293" s="95"/>
      <c r="E293" s="14"/>
      <c r="F293" s="96"/>
      <c r="H293" s="12"/>
      <c r="I293" s="12"/>
      <c r="J293" s="12"/>
      <c r="K293" s="12"/>
      <c r="L293" s="12"/>
      <c r="M293" s="12"/>
      <c r="N293" s="12"/>
      <c r="O293" s="12"/>
      <c r="P293" s="12"/>
    </row>
    <row r="294">
      <c r="A294" s="12"/>
      <c r="D294" s="95"/>
      <c r="E294" s="14"/>
      <c r="F294" s="96"/>
      <c r="H294" s="12"/>
      <c r="I294" s="12"/>
      <c r="J294" s="12"/>
      <c r="K294" s="12"/>
      <c r="L294" s="12"/>
      <c r="M294" s="12"/>
      <c r="N294" s="12"/>
      <c r="O294" s="12"/>
      <c r="P294" s="12"/>
    </row>
    <row r="295">
      <c r="A295" s="12"/>
      <c r="D295" s="95"/>
      <c r="E295" s="14"/>
      <c r="F295" s="96"/>
      <c r="H295" s="12"/>
      <c r="I295" s="12"/>
      <c r="J295" s="12"/>
      <c r="K295" s="12"/>
      <c r="L295" s="12"/>
      <c r="M295" s="12"/>
      <c r="N295" s="12"/>
      <c r="O295" s="12"/>
      <c r="P295" s="12"/>
    </row>
    <row r="296">
      <c r="A296" s="12"/>
      <c r="D296" s="95"/>
      <c r="E296" s="14"/>
      <c r="F296" s="96"/>
      <c r="H296" s="12"/>
      <c r="I296" s="12"/>
      <c r="J296" s="12"/>
      <c r="K296" s="12"/>
      <c r="L296" s="12"/>
      <c r="M296" s="12"/>
      <c r="N296" s="12"/>
      <c r="O296" s="12"/>
      <c r="P296" s="12"/>
    </row>
    <row r="297">
      <c r="A297" s="12"/>
      <c r="D297" s="95"/>
      <c r="E297" s="14"/>
      <c r="F297" s="96"/>
      <c r="H297" s="12"/>
      <c r="I297" s="12"/>
      <c r="J297" s="12"/>
      <c r="K297" s="12"/>
      <c r="L297" s="12"/>
      <c r="M297" s="12"/>
      <c r="N297" s="12"/>
      <c r="O297" s="12"/>
      <c r="P297" s="12"/>
    </row>
    <row r="298">
      <c r="A298" s="12"/>
      <c r="D298" s="95"/>
      <c r="E298" s="14"/>
      <c r="F298" s="96"/>
      <c r="H298" s="12"/>
      <c r="I298" s="12"/>
      <c r="J298" s="12"/>
      <c r="K298" s="12"/>
      <c r="L298" s="12"/>
      <c r="M298" s="12"/>
      <c r="N298" s="12"/>
      <c r="O298" s="12"/>
      <c r="P298" s="12"/>
    </row>
    <row r="299">
      <c r="A299" s="12"/>
      <c r="D299" s="95"/>
      <c r="E299" s="14"/>
      <c r="F299" s="96"/>
      <c r="H299" s="12"/>
      <c r="I299" s="12"/>
      <c r="J299" s="12"/>
      <c r="K299" s="12"/>
      <c r="L299" s="12"/>
      <c r="M299" s="12"/>
      <c r="N299" s="12"/>
      <c r="O299" s="12"/>
      <c r="P299" s="12"/>
    </row>
    <row r="300">
      <c r="A300" s="12"/>
      <c r="D300" s="95"/>
      <c r="E300" s="14"/>
      <c r="F300" s="96"/>
      <c r="H300" s="12"/>
      <c r="I300" s="12"/>
      <c r="J300" s="12"/>
      <c r="K300" s="12"/>
      <c r="L300" s="12"/>
      <c r="M300" s="12"/>
      <c r="N300" s="12"/>
      <c r="O300" s="12"/>
      <c r="P300" s="12"/>
    </row>
    <row r="301">
      <c r="A301" s="12"/>
      <c r="D301" s="95"/>
      <c r="E301" s="14"/>
      <c r="F301" s="96"/>
      <c r="H301" s="12"/>
      <c r="I301" s="12"/>
      <c r="J301" s="12"/>
      <c r="K301" s="12"/>
      <c r="L301" s="12"/>
      <c r="M301" s="12"/>
      <c r="N301" s="12"/>
      <c r="O301" s="12"/>
      <c r="P301" s="12"/>
    </row>
    <row r="302">
      <c r="A302" s="12"/>
      <c r="D302" s="95"/>
      <c r="E302" s="14"/>
      <c r="F302" s="96"/>
      <c r="H302" s="12"/>
      <c r="I302" s="12"/>
      <c r="J302" s="12"/>
      <c r="K302" s="12"/>
      <c r="L302" s="12"/>
      <c r="M302" s="12"/>
      <c r="N302" s="12"/>
      <c r="O302" s="12"/>
      <c r="P302" s="12"/>
    </row>
    <row r="303">
      <c r="A303" s="12"/>
      <c r="D303" s="95"/>
      <c r="E303" s="14"/>
      <c r="F303" s="96"/>
      <c r="H303" s="12"/>
      <c r="I303" s="12"/>
      <c r="J303" s="12"/>
      <c r="K303" s="12"/>
      <c r="L303" s="12"/>
      <c r="M303" s="12"/>
      <c r="N303" s="12"/>
      <c r="O303" s="12"/>
      <c r="P303" s="12"/>
    </row>
    <row r="304">
      <c r="A304" s="12"/>
      <c r="D304" s="95"/>
      <c r="E304" s="14"/>
      <c r="F304" s="96"/>
      <c r="H304" s="12"/>
      <c r="I304" s="12"/>
      <c r="J304" s="12"/>
      <c r="K304" s="12"/>
      <c r="L304" s="12"/>
      <c r="M304" s="12"/>
      <c r="N304" s="12"/>
      <c r="O304" s="12"/>
      <c r="P304" s="12"/>
    </row>
    <row r="305">
      <c r="A305" s="12"/>
      <c r="D305" s="95"/>
      <c r="E305" s="14"/>
      <c r="F305" s="96"/>
      <c r="H305" s="12"/>
      <c r="I305" s="12"/>
      <c r="J305" s="12"/>
      <c r="K305" s="12"/>
      <c r="L305" s="12"/>
      <c r="M305" s="12"/>
      <c r="N305" s="12"/>
      <c r="O305" s="12"/>
      <c r="P305" s="12"/>
    </row>
    <row r="306">
      <c r="A306" s="12"/>
      <c r="D306" s="95"/>
      <c r="E306" s="14"/>
      <c r="F306" s="96"/>
      <c r="H306" s="12"/>
      <c r="I306" s="12"/>
      <c r="J306" s="12"/>
      <c r="K306" s="12"/>
      <c r="L306" s="12"/>
      <c r="M306" s="12"/>
      <c r="N306" s="12"/>
      <c r="O306" s="12"/>
      <c r="P306" s="12"/>
    </row>
    <row r="307">
      <c r="A307" s="12"/>
      <c r="D307" s="95"/>
      <c r="E307" s="14"/>
      <c r="F307" s="96"/>
      <c r="H307" s="12"/>
      <c r="I307" s="12"/>
      <c r="J307" s="12"/>
      <c r="K307" s="12"/>
      <c r="L307" s="12"/>
      <c r="M307" s="12"/>
      <c r="N307" s="12"/>
      <c r="O307" s="12"/>
      <c r="P307" s="12"/>
    </row>
    <row r="308">
      <c r="A308" s="12"/>
      <c r="D308" s="95"/>
      <c r="E308" s="14"/>
      <c r="F308" s="96"/>
      <c r="H308" s="12"/>
      <c r="I308" s="12"/>
      <c r="J308" s="12"/>
      <c r="K308" s="12"/>
      <c r="L308" s="12"/>
      <c r="M308" s="12"/>
      <c r="N308" s="12"/>
      <c r="O308" s="12"/>
      <c r="P308" s="12"/>
    </row>
    <row r="309">
      <c r="A309" s="12"/>
      <c r="D309" s="95"/>
      <c r="E309" s="14"/>
      <c r="F309" s="96"/>
      <c r="H309" s="12"/>
      <c r="I309" s="12"/>
      <c r="J309" s="12"/>
      <c r="K309" s="12"/>
      <c r="L309" s="12"/>
      <c r="M309" s="12"/>
      <c r="N309" s="12"/>
      <c r="O309" s="12"/>
      <c r="P309" s="12"/>
    </row>
    <row r="310">
      <c r="A310" s="12"/>
      <c r="D310" s="95"/>
      <c r="E310" s="14"/>
      <c r="F310" s="96"/>
      <c r="H310" s="12"/>
      <c r="I310" s="12"/>
      <c r="J310" s="12"/>
      <c r="K310" s="12"/>
      <c r="L310" s="12"/>
      <c r="M310" s="12"/>
      <c r="N310" s="12"/>
      <c r="O310" s="12"/>
      <c r="P310" s="12"/>
    </row>
    <row r="311">
      <c r="A311" s="12"/>
      <c r="D311" s="95"/>
      <c r="E311" s="14"/>
      <c r="F311" s="96"/>
      <c r="H311" s="12"/>
      <c r="I311" s="12"/>
      <c r="J311" s="12"/>
      <c r="K311" s="12"/>
      <c r="L311" s="12"/>
      <c r="M311" s="12"/>
      <c r="N311" s="12"/>
      <c r="O311" s="12"/>
      <c r="P311" s="12"/>
    </row>
    <row r="312">
      <c r="A312" s="12"/>
      <c r="D312" s="95"/>
      <c r="E312" s="14"/>
      <c r="F312" s="96"/>
      <c r="H312" s="12"/>
      <c r="I312" s="12"/>
      <c r="J312" s="12"/>
      <c r="K312" s="12"/>
      <c r="L312" s="12"/>
      <c r="M312" s="12"/>
      <c r="N312" s="12"/>
      <c r="O312" s="12"/>
      <c r="P312" s="12"/>
    </row>
    <row r="313">
      <c r="A313" s="12"/>
      <c r="D313" s="95"/>
      <c r="E313" s="14"/>
      <c r="F313" s="96"/>
      <c r="H313" s="12"/>
      <c r="I313" s="12"/>
      <c r="J313" s="12"/>
      <c r="K313" s="12"/>
      <c r="L313" s="12"/>
      <c r="M313" s="12"/>
      <c r="N313" s="12"/>
      <c r="O313" s="12"/>
      <c r="P313" s="12"/>
    </row>
    <row r="314">
      <c r="A314" s="12"/>
      <c r="D314" s="95"/>
      <c r="E314" s="14"/>
      <c r="F314" s="96"/>
      <c r="H314" s="12"/>
      <c r="I314" s="12"/>
      <c r="J314" s="12"/>
      <c r="K314" s="12"/>
      <c r="L314" s="12"/>
      <c r="M314" s="12"/>
      <c r="N314" s="12"/>
      <c r="O314" s="12"/>
      <c r="P314" s="12"/>
    </row>
    <row r="315">
      <c r="A315" s="12"/>
      <c r="D315" s="95"/>
      <c r="E315" s="14"/>
      <c r="F315" s="96"/>
      <c r="H315" s="12"/>
      <c r="I315" s="12"/>
      <c r="J315" s="12"/>
      <c r="K315" s="12"/>
      <c r="L315" s="12"/>
      <c r="M315" s="12"/>
      <c r="N315" s="12"/>
      <c r="O315" s="12"/>
      <c r="P315" s="12"/>
    </row>
    <row r="316">
      <c r="A316" s="12"/>
      <c r="D316" s="95"/>
      <c r="E316" s="14"/>
      <c r="F316" s="96"/>
      <c r="H316" s="12"/>
      <c r="I316" s="12"/>
      <c r="J316" s="12"/>
      <c r="K316" s="12"/>
      <c r="L316" s="12"/>
      <c r="M316" s="12"/>
      <c r="N316" s="12"/>
      <c r="O316" s="12"/>
      <c r="P316" s="12"/>
    </row>
    <row r="317">
      <c r="A317" s="12"/>
      <c r="D317" s="95"/>
      <c r="E317" s="14"/>
      <c r="F317" s="96"/>
      <c r="H317" s="12"/>
      <c r="I317" s="12"/>
      <c r="J317" s="12"/>
      <c r="K317" s="12"/>
      <c r="L317" s="12"/>
      <c r="M317" s="12"/>
      <c r="N317" s="12"/>
      <c r="O317" s="12"/>
      <c r="P317" s="12"/>
    </row>
    <row r="318">
      <c r="A318" s="12"/>
      <c r="D318" s="95"/>
      <c r="E318" s="14"/>
      <c r="F318" s="96"/>
      <c r="H318" s="12"/>
      <c r="I318" s="12"/>
      <c r="J318" s="12"/>
      <c r="K318" s="12"/>
      <c r="L318" s="12"/>
      <c r="M318" s="12"/>
      <c r="N318" s="12"/>
      <c r="O318" s="12"/>
      <c r="P318" s="12"/>
    </row>
    <row r="319">
      <c r="A319" s="12"/>
      <c r="D319" s="95"/>
      <c r="E319" s="14"/>
      <c r="F319" s="96"/>
      <c r="H319" s="12"/>
      <c r="I319" s="12"/>
      <c r="J319" s="12"/>
      <c r="K319" s="12"/>
      <c r="L319" s="12"/>
      <c r="M319" s="12"/>
      <c r="N319" s="12"/>
      <c r="O319" s="12"/>
      <c r="P319" s="12"/>
    </row>
    <row r="320">
      <c r="A320" s="12"/>
      <c r="D320" s="95"/>
      <c r="E320" s="14"/>
      <c r="F320" s="96"/>
      <c r="H320" s="12"/>
      <c r="I320" s="12"/>
      <c r="J320" s="12"/>
      <c r="K320" s="12"/>
      <c r="L320" s="12"/>
      <c r="M320" s="12"/>
      <c r="N320" s="12"/>
      <c r="O320" s="12"/>
      <c r="P320" s="12"/>
    </row>
    <row r="321">
      <c r="A321" s="12"/>
      <c r="D321" s="95"/>
      <c r="E321" s="14"/>
      <c r="F321" s="96"/>
      <c r="H321" s="12"/>
      <c r="I321" s="12"/>
      <c r="J321" s="12"/>
      <c r="K321" s="12"/>
      <c r="L321" s="12"/>
      <c r="M321" s="12"/>
      <c r="N321" s="12"/>
      <c r="O321" s="12"/>
      <c r="P321" s="12"/>
    </row>
    <row r="322">
      <c r="A322" s="12"/>
      <c r="D322" s="95"/>
      <c r="E322" s="14"/>
      <c r="F322" s="96"/>
      <c r="H322" s="12"/>
      <c r="I322" s="12"/>
      <c r="J322" s="12"/>
      <c r="K322" s="12"/>
      <c r="L322" s="12"/>
      <c r="M322" s="12"/>
      <c r="N322" s="12"/>
      <c r="O322" s="12"/>
      <c r="P322" s="12"/>
    </row>
    <row r="323">
      <c r="A323" s="12"/>
      <c r="D323" s="95"/>
      <c r="E323" s="14"/>
      <c r="F323" s="96"/>
      <c r="H323" s="12"/>
      <c r="I323" s="12"/>
      <c r="J323" s="12"/>
      <c r="K323" s="12"/>
      <c r="L323" s="12"/>
      <c r="M323" s="12"/>
      <c r="N323" s="12"/>
      <c r="O323" s="12"/>
      <c r="P323" s="12"/>
    </row>
    <row r="324">
      <c r="A324" s="12"/>
      <c r="D324" s="95"/>
      <c r="E324" s="14"/>
      <c r="F324" s="96"/>
      <c r="H324" s="12"/>
      <c r="I324" s="12"/>
      <c r="J324" s="12"/>
      <c r="K324" s="12"/>
      <c r="L324" s="12"/>
      <c r="M324" s="12"/>
      <c r="N324" s="12"/>
      <c r="O324" s="12"/>
      <c r="P324" s="12"/>
    </row>
    <row r="325">
      <c r="A325" s="12"/>
      <c r="D325" s="95"/>
      <c r="E325" s="14"/>
      <c r="F325" s="96"/>
      <c r="H325" s="12"/>
      <c r="I325" s="12"/>
      <c r="J325" s="12"/>
      <c r="K325" s="12"/>
      <c r="L325" s="12"/>
      <c r="M325" s="12"/>
      <c r="N325" s="12"/>
      <c r="O325" s="12"/>
      <c r="P325" s="12"/>
    </row>
    <row r="326">
      <c r="A326" s="12"/>
      <c r="D326" s="95"/>
      <c r="E326" s="14"/>
      <c r="F326" s="96"/>
      <c r="H326" s="12"/>
      <c r="I326" s="12"/>
      <c r="J326" s="12"/>
      <c r="K326" s="12"/>
      <c r="L326" s="12"/>
      <c r="M326" s="12"/>
      <c r="N326" s="12"/>
      <c r="O326" s="12"/>
      <c r="P326" s="12"/>
    </row>
    <row r="327">
      <c r="A327" s="12"/>
      <c r="D327" s="95"/>
      <c r="E327" s="14"/>
      <c r="F327" s="96"/>
      <c r="H327" s="12"/>
      <c r="I327" s="12"/>
      <c r="J327" s="12"/>
      <c r="K327" s="12"/>
      <c r="L327" s="12"/>
      <c r="M327" s="12"/>
      <c r="N327" s="12"/>
      <c r="O327" s="12"/>
      <c r="P327" s="12"/>
    </row>
    <row r="328">
      <c r="A328" s="12"/>
      <c r="D328" s="95"/>
      <c r="E328" s="14"/>
      <c r="F328" s="96"/>
      <c r="H328" s="12"/>
      <c r="I328" s="12"/>
      <c r="J328" s="12"/>
      <c r="K328" s="12"/>
      <c r="L328" s="12"/>
      <c r="M328" s="12"/>
      <c r="N328" s="12"/>
      <c r="O328" s="12"/>
      <c r="P328" s="12"/>
    </row>
    <row r="329">
      <c r="A329" s="12"/>
      <c r="D329" s="95"/>
      <c r="E329" s="14"/>
      <c r="F329" s="96"/>
      <c r="H329" s="12"/>
      <c r="I329" s="12"/>
      <c r="J329" s="12"/>
      <c r="K329" s="12"/>
      <c r="L329" s="12"/>
      <c r="M329" s="12"/>
      <c r="N329" s="12"/>
      <c r="O329" s="12"/>
      <c r="P329" s="12"/>
    </row>
    <row r="330">
      <c r="A330" s="12"/>
      <c r="D330" s="95"/>
      <c r="E330" s="14"/>
      <c r="F330" s="96"/>
      <c r="H330" s="12"/>
      <c r="I330" s="12"/>
      <c r="J330" s="12"/>
      <c r="K330" s="12"/>
      <c r="L330" s="12"/>
      <c r="M330" s="12"/>
      <c r="N330" s="12"/>
      <c r="O330" s="12"/>
      <c r="P330" s="12"/>
    </row>
    <row r="331">
      <c r="A331" s="12"/>
      <c r="D331" s="95"/>
      <c r="E331" s="14"/>
      <c r="F331" s="96"/>
      <c r="H331" s="12"/>
      <c r="I331" s="12"/>
      <c r="J331" s="12"/>
      <c r="K331" s="12"/>
      <c r="L331" s="12"/>
      <c r="M331" s="12"/>
      <c r="N331" s="12"/>
      <c r="O331" s="12"/>
      <c r="P331" s="12"/>
    </row>
    <row r="332">
      <c r="A332" s="12"/>
      <c r="D332" s="95"/>
      <c r="E332" s="14"/>
      <c r="F332" s="96"/>
      <c r="H332" s="12"/>
      <c r="I332" s="12"/>
      <c r="J332" s="12"/>
      <c r="K332" s="12"/>
      <c r="L332" s="12"/>
      <c r="M332" s="12"/>
      <c r="N332" s="12"/>
      <c r="O332" s="12"/>
      <c r="P332" s="12"/>
    </row>
    <row r="333">
      <c r="A333" s="12"/>
      <c r="D333" s="95"/>
      <c r="E333" s="14"/>
      <c r="F333" s="96"/>
      <c r="H333" s="12"/>
      <c r="I333" s="12"/>
      <c r="J333" s="12"/>
      <c r="K333" s="12"/>
      <c r="L333" s="12"/>
      <c r="M333" s="12"/>
      <c r="N333" s="12"/>
      <c r="O333" s="12"/>
      <c r="P333" s="12"/>
    </row>
    <row r="334">
      <c r="A334" s="12"/>
      <c r="D334" s="95"/>
      <c r="E334" s="14"/>
      <c r="F334" s="96"/>
      <c r="H334" s="12"/>
      <c r="I334" s="12"/>
      <c r="J334" s="12"/>
      <c r="K334" s="12"/>
      <c r="L334" s="12"/>
      <c r="M334" s="12"/>
      <c r="N334" s="12"/>
      <c r="O334" s="12"/>
      <c r="P334" s="12"/>
    </row>
    <row r="335">
      <c r="A335" s="12"/>
      <c r="D335" s="95"/>
      <c r="E335" s="14"/>
      <c r="F335" s="96"/>
      <c r="H335" s="12"/>
      <c r="I335" s="12"/>
      <c r="J335" s="12"/>
      <c r="K335" s="12"/>
      <c r="L335" s="12"/>
      <c r="M335" s="12"/>
      <c r="N335" s="12"/>
      <c r="O335" s="12"/>
      <c r="P335" s="12"/>
    </row>
    <row r="336">
      <c r="A336" s="12"/>
      <c r="D336" s="95"/>
      <c r="E336" s="14"/>
      <c r="F336" s="96"/>
      <c r="H336" s="12"/>
      <c r="I336" s="12"/>
      <c r="J336" s="12"/>
      <c r="K336" s="12"/>
      <c r="L336" s="12"/>
      <c r="M336" s="12"/>
      <c r="N336" s="12"/>
      <c r="O336" s="12"/>
      <c r="P336" s="12"/>
    </row>
    <row r="337">
      <c r="A337" s="12"/>
      <c r="D337" s="95"/>
      <c r="E337" s="14"/>
      <c r="F337" s="96"/>
      <c r="H337" s="12"/>
      <c r="I337" s="12"/>
      <c r="J337" s="12"/>
      <c r="K337" s="12"/>
      <c r="L337" s="12"/>
      <c r="M337" s="12"/>
      <c r="N337" s="12"/>
      <c r="O337" s="12"/>
      <c r="P337" s="12"/>
    </row>
    <row r="338">
      <c r="A338" s="12"/>
      <c r="D338" s="95"/>
      <c r="E338" s="14"/>
      <c r="F338" s="96"/>
      <c r="H338" s="12"/>
      <c r="I338" s="12"/>
      <c r="J338" s="12"/>
      <c r="K338" s="12"/>
      <c r="L338" s="12"/>
      <c r="M338" s="12"/>
      <c r="N338" s="12"/>
      <c r="O338" s="12"/>
      <c r="P338" s="12"/>
    </row>
    <row r="339">
      <c r="A339" s="12"/>
      <c r="D339" s="95"/>
      <c r="E339" s="14"/>
      <c r="F339" s="96"/>
      <c r="H339" s="12"/>
      <c r="I339" s="12"/>
      <c r="J339" s="12"/>
      <c r="K339" s="12"/>
      <c r="L339" s="12"/>
      <c r="M339" s="12"/>
      <c r="N339" s="12"/>
      <c r="O339" s="12"/>
      <c r="P339" s="12"/>
    </row>
    <row r="340">
      <c r="A340" s="12"/>
      <c r="D340" s="95"/>
      <c r="E340" s="14"/>
      <c r="F340" s="96"/>
      <c r="H340" s="12"/>
      <c r="I340" s="12"/>
      <c r="J340" s="12"/>
      <c r="K340" s="12"/>
      <c r="L340" s="12"/>
      <c r="M340" s="12"/>
      <c r="N340" s="12"/>
      <c r="O340" s="12"/>
      <c r="P340" s="12"/>
    </row>
    <row r="341">
      <c r="A341" s="12"/>
      <c r="D341" s="95"/>
      <c r="E341" s="14"/>
      <c r="F341" s="96"/>
      <c r="H341" s="12"/>
      <c r="I341" s="12"/>
      <c r="J341" s="12"/>
      <c r="K341" s="12"/>
      <c r="L341" s="12"/>
      <c r="M341" s="12"/>
      <c r="N341" s="12"/>
      <c r="O341" s="12"/>
      <c r="P341" s="12"/>
    </row>
    <row r="342">
      <c r="A342" s="12"/>
      <c r="D342" s="95"/>
      <c r="E342" s="14"/>
      <c r="F342" s="96"/>
      <c r="H342" s="12"/>
      <c r="I342" s="12"/>
      <c r="J342" s="12"/>
      <c r="K342" s="12"/>
      <c r="L342" s="12"/>
      <c r="M342" s="12"/>
      <c r="N342" s="12"/>
      <c r="O342" s="12"/>
      <c r="P342" s="12"/>
    </row>
    <row r="343">
      <c r="A343" s="12"/>
      <c r="D343" s="95"/>
      <c r="E343" s="14"/>
      <c r="F343" s="96"/>
      <c r="H343" s="12"/>
      <c r="I343" s="12"/>
      <c r="J343" s="12"/>
      <c r="K343" s="12"/>
      <c r="L343" s="12"/>
      <c r="M343" s="12"/>
      <c r="N343" s="12"/>
      <c r="O343" s="12"/>
      <c r="P343" s="12"/>
    </row>
    <row r="344">
      <c r="A344" s="12"/>
      <c r="D344" s="95"/>
      <c r="E344" s="14"/>
      <c r="F344" s="96"/>
      <c r="H344" s="12"/>
      <c r="I344" s="12"/>
      <c r="J344" s="12"/>
      <c r="K344" s="12"/>
      <c r="L344" s="12"/>
      <c r="M344" s="12"/>
      <c r="N344" s="12"/>
      <c r="O344" s="12"/>
      <c r="P344" s="12"/>
    </row>
    <row r="345">
      <c r="A345" s="12"/>
      <c r="D345" s="95"/>
      <c r="E345" s="14"/>
      <c r="F345" s="96"/>
      <c r="H345" s="12"/>
      <c r="I345" s="12"/>
      <c r="J345" s="12"/>
      <c r="K345" s="12"/>
      <c r="L345" s="12"/>
      <c r="M345" s="12"/>
      <c r="N345" s="12"/>
      <c r="O345" s="12"/>
      <c r="P345" s="12"/>
    </row>
    <row r="346">
      <c r="A346" s="12"/>
      <c r="D346" s="95"/>
      <c r="E346" s="14"/>
      <c r="F346" s="96"/>
      <c r="H346" s="12"/>
      <c r="I346" s="12"/>
      <c r="J346" s="12"/>
      <c r="K346" s="12"/>
      <c r="L346" s="12"/>
      <c r="M346" s="12"/>
      <c r="N346" s="12"/>
      <c r="O346" s="12"/>
      <c r="P346" s="12"/>
    </row>
    <row r="347">
      <c r="A347" s="12"/>
      <c r="D347" s="95"/>
      <c r="E347" s="14"/>
      <c r="F347" s="96"/>
      <c r="H347" s="12"/>
      <c r="I347" s="12"/>
      <c r="J347" s="12"/>
      <c r="K347" s="12"/>
      <c r="L347" s="12"/>
      <c r="M347" s="12"/>
      <c r="N347" s="12"/>
      <c r="O347" s="12"/>
      <c r="P347" s="12"/>
    </row>
    <row r="348">
      <c r="A348" s="12"/>
      <c r="D348" s="95"/>
      <c r="E348" s="14"/>
      <c r="F348" s="96"/>
      <c r="H348" s="12"/>
      <c r="I348" s="12"/>
      <c r="J348" s="12"/>
      <c r="K348" s="12"/>
      <c r="L348" s="12"/>
      <c r="M348" s="12"/>
      <c r="N348" s="12"/>
      <c r="O348" s="12"/>
      <c r="P348" s="12"/>
    </row>
    <row r="349">
      <c r="A349" s="12"/>
      <c r="D349" s="95"/>
      <c r="E349" s="14"/>
      <c r="F349" s="96"/>
      <c r="H349" s="12"/>
      <c r="I349" s="12"/>
      <c r="J349" s="12"/>
      <c r="K349" s="12"/>
      <c r="L349" s="12"/>
      <c r="M349" s="12"/>
      <c r="N349" s="12"/>
      <c r="O349" s="12"/>
      <c r="P349" s="12"/>
    </row>
    <row r="350">
      <c r="A350" s="12"/>
      <c r="D350" s="95"/>
      <c r="E350" s="14"/>
      <c r="F350" s="96"/>
      <c r="H350" s="12"/>
      <c r="I350" s="12"/>
      <c r="J350" s="12"/>
      <c r="K350" s="12"/>
      <c r="L350" s="12"/>
      <c r="M350" s="12"/>
      <c r="N350" s="12"/>
      <c r="O350" s="12"/>
      <c r="P350" s="12"/>
    </row>
    <row r="351">
      <c r="A351" s="12"/>
      <c r="D351" s="95"/>
      <c r="E351" s="14"/>
      <c r="F351" s="96"/>
      <c r="H351" s="12"/>
      <c r="I351" s="12"/>
      <c r="J351" s="12"/>
      <c r="K351" s="12"/>
      <c r="L351" s="12"/>
      <c r="M351" s="12"/>
      <c r="N351" s="12"/>
      <c r="O351" s="12"/>
      <c r="P351" s="12"/>
    </row>
    <row r="352">
      <c r="A352" s="12"/>
      <c r="D352" s="95"/>
      <c r="E352" s="14"/>
      <c r="F352" s="96"/>
      <c r="H352" s="12"/>
      <c r="I352" s="12"/>
      <c r="J352" s="12"/>
      <c r="K352" s="12"/>
      <c r="L352" s="12"/>
      <c r="M352" s="12"/>
      <c r="N352" s="12"/>
      <c r="O352" s="12"/>
      <c r="P352" s="12"/>
    </row>
    <row r="353">
      <c r="A353" s="12"/>
      <c r="D353" s="95"/>
      <c r="E353" s="14"/>
      <c r="F353" s="96"/>
      <c r="H353" s="12"/>
      <c r="I353" s="12"/>
      <c r="J353" s="12"/>
      <c r="K353" s="12"/>
      <c r="L353" s="12"/>
      <c r="M353" s="12"/>
      <c r="N353" s="12"/>
      <c r="O353" s="12"/>
      <c r="P353" s="12"/>
    </row>
    <row r="354">
      <c r="A354" s="12"/>
      <c r="D354" s="95"/>
      <c r="E354" s="14"/>
      <c r="F354" s="96"/>
      <c r="H354" s="12"/>
      <c r="I354" s="12"/>
      <c r="J354" s="12"/>
      <c r="K354" s="12"/>
      <c r="L354" s="12"/>
      <c r="M354" s="12"/>
      <c r="N354" s="12"/>
      <c r="O354" s="12"/>
      <c r="P354" s="12"/>
    </row>
    <row r="355">
      <c r="A355" s="12"/>
      <c r="D355" s="95"/>
      <c r="E355" s="14"/>
      <c r="F355" s="96"/>
      <c r="H355" s="12"/>
      <c r="I355" s="12"/>
      <c r="J355" s="12"/>
      <c r="K355" s="12"/>
      <c r="L355" s="12"/>
      <c r="M355" s="12"/>
      <c r="N355" s="12"/>
      <c r="O355" s="12"/>
      <c r="P355" s="12"/>
    </row>
    <row r="356">
      <c r="A356" s="12"/>
      <c r="D356" s="95"/>
      <c r="E356" s="14"/>
      <c r="F356" s="96"/>
      <c r="H356" s="12"/>
      <c r="I356" s="12"/>
      <c r="J356" s="12"/>
      <c r="K356" s="12"/>
      <c r="L356" s="12"/>
      <c r="M356" s="12"/>
      <c r="N356" s="12"/>
      <c r="O356" s="12"/>
      <c r="P356" s="12"/>
    </row>
    <row r="357">
      <c r="A357" s="12"/>
      <c r="D357" s="95"/>
      <c r="E357" s="14"/>
      <c r="F357" s="96"/>
      <c r="H357" s="12"/>
      <c r="I357" s="12"/>
      <c r="J357" s="12"/>
      <c r="K357" s="12"/>
      <c r="L357" s="12"/>
      <c r="M357" s="12"/>
      <c r="N357" s="12"/>
      <c r="O357" s="12"/>
      <c r="P357" s="12"/>
    </row>
    <row r="358">
      <c r="A358" s="12"/>
      <c r="D358" s="95"/>
      <c r="E358" s="14"/>
      <c r="F358" s="96"/>
      <c r="H358" s="12"/>
      <c r="I358" s="12"/>
      <c r="J358" s="12"/>
      <c r="K358" s="12"/>
      <c r="L358" s="12"/>
      <c r="M358" s="12"/>
      <c r="N358" s="12"/>
      <c r="O358" s="12"/>
      <c r="P358" s="12"/>
    </row>
    <row r="359">
      <c r="A359" s="12"/>
      <c r="D359" s="95"/>
      <c r="E359" s="14"/>
      <c r="F359" s="96"/>
      <c r="H359" s="12"/>
      <c r="I359" s="12"/>
      <c r="J359" s="12"/>
      <c r="K359" s="12"/>
      <c r="L359" s="12"/>
      <c r="M359" s="12"/>
      <c r="N359" s="12"/>
      <c r="O359" s="12"/>
      <c r="P359" s="12"/>
    </row>
    <row r="360">
      <c r="A360" s="12"/>
      <c r="D360" s="95"/>
      <c r="E360" s="14"/>
      <c r="F360" s="96"/>
      <c r="H360" s="12"/>
      <c r="I360" s="12"/>
      <c r="J360" s="12"/>
      <c r="K360" s="12"/>
      <c r="L360" s="12"/>
      <c r="M360" s="12"/>
      <c r="N360" s="12"/>
      <c r="O360" s="12"/>
      <c r="P360" s="12"/>
    </row>
    <row r="361">
      <c r="A361" s="12"/>
      <c r="D361" s="95"/>
      <c r="E361" s="14"/>
      <c r="F361" s="96"/>
      <c r="H361" s="12"/>
      <c r="I361" s="12"/>
      <c r="J361" s="12"/>
      <c r="K361" s="12"/>
      <c r="L361" s="12"/>
      <c r="M361" s="12"/>
      <c r="N361" s="12"/>
      <c r="O361" s="12"/>
      <c r="P361" s="12"/>
    </row>
    <row r="362">
      <c r="A362" s="12"/>
      <c r="D362" s="95"/>
      <c r="E362" s="14"/>
      <c r="F362" s="96"/>
      <c r="H362" s="12"/>
      <c r="I362" s="12"/>
      <c r="J362" s="12"/>
      <c r="K362" s="12"/>
      <c r="L362" s="12"/>
      <c r="M362" s="12"/>
      <c r="N362" s="12"/>
      <c r="O362" s="12"/>
      <c r="P362" s="12"/>
    </row>
    <row r="363">
      <c r="A363" s="12"/>
      <c r="D363" s="95"/>
      <c r="E363" s="14"/>
      <c r="F363" s="96"/>
      <c r="H363" s="12"/>
      <c r="I363" s="12"/>
      <c r="J363" s="12"/>
      <c r="K363" s="12"/>
      <c r="L363" s="12"/>
      <c r="M363" s="12"/>
      <c r="N363" s="12"/>
      <c r="O363" s="12"/>
      <c r="P363" s="12"/>
    </row>
    <row r="364">
      <c r="A364" s="12"/>
      <c r="D364" s="95"/>
      <c r="E364" s="14"/>
      <c r="F364" s="96"/>
      <c r="H364" s="12"/>
      <c r="I364" s="12"/>
      <c r="J364" s="12"/>
      <c r="K364" s="12"/>
      <c r="L364" s="12"/>
      <c r="M364" s="12"/>
      <c r="N364" s="12"/>
      <c r="O364" s="12"/>
      <c r="P364" s="12"/>
    </row>
    <row r="365">
      <c r="A365" s="12"/>
      <c r="D365" s="95"/>
      <c r="E365" s="14"/>
      <c r="F365" s="96"/>
      <c r="H365" s="12"/>
      <c r="I365" s="12"/>
      <c r="J365" s="12"/>
      <c r="K365" s="12"/>
      <c r="L365" s="12"/>
      <c r="M365" s="12"/>
      <c r="N365" s="12"/>
      <c r="O365" s="12"/>
      <c r="P365" s="12"/>
    </row>
    <row r="366">
      <c r="A366" s="12"/>
      <c r="D366" s="95"/>
      <c r="E366" s="14"/>
      <c r="F366" s="96"/>
      <c r="H366" s="12"/>
      <c r="I366" s="12"/>
      <c r="J366" s="12"/>
      <c r="K366" s="12"/>
      <c r="L366" s="12"/>
      <c r="M366" s="12"/>
      <c r="N366" s="12"/>
      <c r="O366" s="12"/>
      <c r="P366" s="12"/>
    </row>
    <row r="367">
      <c r="A367" s="12"/>
      <c r="D367" s="95"/>
      <c r="E367" s="14"/>
      <c r="F367" s="96"/>
      <c r="H367" s="12"/>
      <c r="I367" s="12"/>
      <c r="J367" s="12"/>
      <c r="K367" s="12"/>
      <c r="L367" s="12"/>
      <c r="M367" s="12"/>
      <c r="N367" s="12"/>
      <c r="O367" s="12"/>
      <c r="P367" s="12"/>
    </row>
    <row r="368">
      <c r="A368" s="12"/>
      <c r="D368" s="95"/>
      <c r="E368" s="14"/>
      <c r="F368" s="96"/>
      <c r="H368" s="12"/>
      <c r="I368" s="12"/>
      <c r="J368" s="12"/>
      <c r="K368" s="12"/>
      <c r="L368" s="12"/>
      <c r="M368" s="12"/>
      <c r="N368" s="12"/>
      <c r="O368" s="12"/>
      <c r="P368" s="12"/>
    </row>
    <row r="369">
      <c r="A369" s="12"/>
      <c r="D369" s="95"/>
      <c r="E369" s="14"/>
      <c r="F369" s="96"/>
      <c r="H369" s="12"/>
      <c r="I369" s="12"/>
      <c r="J369" s="12"/>
      <c r="K369" s="12"/>
      <c r="L369" s="12"/>
      <c r="M369" s="12"/>
      <c r="N369" s="12"/>
      <c r="O369" s="12"/>
      <c r="P369" s="12"/>
    </row>
    <row r="370">
      <c r="A370" s="12"/>
      <c r="D370" s="95"/>
      <c r="E370" s="14"/>
      <c r="F370" s="96"/>
      <c r="H370" s="12"/>
      <c r="I370" s="12"/>
      <c r="J370" s="12"/>
      <c r="K370" s="12"/>
      <c r="L370" s="12"/>
      <c r="M370" s="12"/>
      <c r="N370" s="12"/>
      <c r="O370" s="12"/>
      <c r="P370" s="12"/>
    </row>
    <row r="371">
      <c r="A371" s="12"/>
      <c r="D371" s="95"/>
      <c r="E371" s="14"/>
      <c r="F371" s="96"/>
      <c r="H371" s="12"/>
      <c r="I371" s="12"/>
      <c r="J371" s="12"/>
      <c r="K371" s="12"/>
      <c r="L371" s="12"/>
      <c r="M371" s="12"/>
      <c r="N371" s="12"/>
      <c r="O371" s="12"/>
      <c r="P371" s="12"/>
    </row>
    <row r="372">
      <c r="A372" s="12"/>
      <c r="D372" s="95"/>
      <c r="E372" s="14"/>
      <c r="F372" s="96"/>
      <c r="H372" s="12"/>
      <c r="I372" s="12"/>
      <c r="J372" s="12"/>
      <c r="K372" s="12"/>
      <c r="L372" s="12"/>
      <c r="M372" s="12"/>
      <c r="N372" s="12"/>
      <c r="O372" s="12"/>
      <c r="P372" s="12"/>
    </row>
    <row r="373">
      <c r="A373" s="12"/>
      <c r="D373" s="95"/>
      <c r="E373" s="14"/>
      <c r="F373" s="96"/>
      <c r="H373" s="12"/>
      <c r="I373" s="12"/>
      <c r="J373" s="12"/>
      <c r="K373" s="12"/>
      <c r="L373" s="12"/>
      <c r="M373" s="12"/>
      <c r="N373" s="12"/>
      <c r="O373" s="12"/>
      <c r="P373" s="12"/>
    </row>
    <row r="374">
      <c r="A374" s="12"/>
      <c r="D374" s="95"/>
      <c r="E374" s="14"/>
      <c r="F374" s="96"/>
      <c r="H374" s="12"/>
      <c r="I374" s="12"/>
      <c r="J374" s="12"/>
      <c r="K374" s="12"/>
      <c r="L374" s="12"/>
      <c r="M374" s="12"/>
      <c r="N374" s="12"/>
      <c r="O374" s="12"/>
      <c r="P374" s="12"/>
    </row>
    <row r="375">
      <c r="A375" s="12"/>
      <c r="D375" s="95"/>
      <c r="E375" s="14"/>
      <c r="F375" s="96"/>
      <c r="H375" s="12"/>
      <c r="I375" s="12"/>
      <c r="J375" s="12"/>
      <c r="K375" s="12"/>
      <c r="L375" s="12"/>
      <c r="M375" s="12"/>
      <c r="N375" s="12"/>
      <c r="O375" s="12"/>
      <c r="P375" s="12"/>
    </row>
    <row r="376">
      <c r="A376" s="12"/>
      <c r="D376" s="95"/>
      <c r="E376" s="14"/>
      <c r="F376" s="96"/>
      <c r="H376" s="12"/>
      <c r="I376" s="12"/>
      <c r="J376" s="12"/>
      <c r="K376" s="12"/>
      <c r="L376" s="12"/>
      <c r="M376" s="12"/>
      <c r="N376" s="12"/>
      <c r="O376" s="12"/>
      <c r="P376" s="12"/>
    </row>
    <row r="377">
      <c r="A377" s="12"/>
      <c r="D377" s="95"/>
      <c r="E377" s="14"/>
      <c r="F377" s="96"/>
      <c r="H377" s="12"/>
      <c r="I377" s="12"/>
      <c r="J377" s="12"/>
      <c r="K377" s="12"/>
      <c r="L377" s="12"/>
      <c r="M377" s="12"/>
      <c r="N377" s="12"/>
      <c r="O377" s="12"/>
      <c r="P377" s="12"/>
    </row>
    <row r="378">
      <c r="A378" s="12"/>
      <c r="D378" s="95"/>
      <c r="E378" s="14"/>
      <c r="F378" s="96"/>
      <c r="H378" s="12"/>
      <c r="I378" s="12"/>
      <c r="J378" s="12"/>
      <c r="K378" s="12"/>
      <c r="L378" s="12"/>
      <c r="M378" s="12"/>
      <c r="N378" s="12"/>
      <c r="O378" s="12"/>
      <c r="P378" s="12"/>
    </row>
    <row r="379">
      <c r="A379" s="12"/>
      <c r="D379" s="95"/>
      <c r="E379" s="14"/>
      <c r="F379" s="96"/>
      <c r="H379" s="12"/>
      <c r="I379" s="12"/>
      <c r="J379" s="12"/>
      <c r="K379" s="12"/>
      <c r="L379" s="12"/>
      <c r="M379" s="12"/>
      <c r="N379" s="12"/>
      <c r="O379" s="12"/>
      <c r="P379" s="12"/>
    </row>
    <row r="380">
      <c r="A380" s="12"/>
      <c r="D380" s="95"/>
      <c r="E380" s="14"/>
      <c r="F380" s="96"/>
      <c r="H380" s="12"/>
      <c r="I380" s="12"/>
      <c r="J380" s="12"/>
      <c r="K380" s="12"/>
      <c r="L380" s="12"/>
      <c r="M380" s="12"/>
      <c r="N380" s="12"/>
      <c r="O380" s="12"/>
      <c r="P380" s="12"/>
    </row>
    <row r="381">
      <c r="A381" s="12"/>
      <c r="D381" s="95"/>
      <c r="E381" s="14"/>
      <c r="F381" s="96"/>
      <c r="H381" s="12"/>
      <c r="I381" s="12"/>
      <c r="J381" s="12"/>
      <c r="K381" s="12"/>
      <c r="L381" s="12"/>
      <c r="M381" s="12"/>
      <c r="N381" s="12"/>
      <c r="O381" s="12"/>
      <c r="P381" s="12"/>
    </row>
    <row r="382">
      <c r="A382" s="12"/>
      <c r="D382" s="95"/>
      <c r="E382" s="14"/>
      <c r="F382" s="96"/>
      <c r="H382" s="12"/>
      <c r="I382" s="12"/>
      <c r="J382" s="12"/>
      <c r="K382" s="12"/>
      <c r="L382" s="12"/>
      <c r="M382" s="12"/>
      <c r="N382" s="12"/>
      <c r="O382" s="12"/>
      <c r="P382" s="12"/>
    </row>
    <row r="383">
      <c r="A383" s="12"/>
      <c r="D383" s="95"/>
      <c r="E383" s="14"/>
      <c r="F383" s="96"/>
      <c r="H383" s="12"/>
      <c r="I383" s="12"/>
      <c r="J383" s="12"/>
      <c r="K383" s="12"/>
      <c r="L383" s="12"/>
      <c r="M383" s="12"/>
      <c r="N383" s="12"/>
      <c r="O383" s="12"/>
      <c r="P383" s="12"/>
    </row>
    <row r="384">
      <c r="A384" s="12"/>
      <c r="D384" s="95"/>
      <c r="E384" s="14"/>
      <c r="F384" s="96"/>
      <c r="H384" s="12"/>
      <c r="I384" s="12"/>
      <c r="J384" s="12"/>
      <c r="K384" s="12"/>
      <c r="L384" s="12"/>
      <c r="M384" s="12"/>
      <c r="N384" s="12"/>
      <c r="O384" s="12"/>
      <c r="P384" s="12"/>
    </row>
    <row r="385">
      <c r="A385" s="12"/>
      <c r="D385" s="95"/>
      <c r="E385" s="14"/>
      <c r="F385" s="96"/>
      <c r="H385" s="12"/>
      <c r="I385" s="12"/>
      <c r="J385" s="12"/>
      <c r="K385" s="12"/>
      <c r="L385" s="12"/>
      <c r="M385" s="12"/>
      <c r="N385" s="12"/>
      <c r="O385" s="12"/>
      <c r="P385" s="12"/>
    </row>
    <row r="386">
      <c r="A386" s="12"/>
      <c r="D386" s="95"/>
      <c r="E386" s="14"/>
      <c r="F386" s="96"/>
      <c r="H386" s="12"/>
      <c r="I386" s="12"/>
      <c r="J386" s="12"/>
      <c r="K386" s="12"/>
      <c r="L386" s="12"/>
      <c r="M386" s="12"/>
      <c r="N386" s="12"/>
      <c r="O386" s="12"/>
      <c r="P386" s="12"/>
    </row>
    <row r="387">
      <c r="A387" s="12"/>
      <c r="D387" s="95"/>
      <c r="E387" s="14"/>
      <c r="F387" s="96"/>
      <c r="H387" s="12"/>
      <c r="I387" s="12"/>
      <c r="J387" s="12"/>
      <c r="K387" s="12"/>
      <c r="L387" s="12"/>
      <c r="M387" s="12"/>
      <c r="N387" s="12"/>
      <c r="O387" s="12"/>
      <c r="P387" s="12"/>
    </row>
    <row r="388">
      <c r="A388" s="12"/>
      <c r="D388" s="95"/>
      <c r="E388" s="14"/>
      <c r="F388" s="96"/>
      <c r="H388" s="12"/>
      <c r="I388" s="12"/>
      <c r="J388" s="12"/>
      <c r="K388" s="12"/>
      <c r="L388" s="12"/>
      <c r="M388" s="12"/>
      <c r="N388" s="12"/>
      <c r="O388" s="12"/>
      <c r="P388" s="12"/>
    </row>
    <row r="389">
      <c r="A389" s="12"/>
      <c r="D389" s="95"/>
      <c r="E389" s="14"/>
      <c r="F389" s="96"/>
      <c r="H389" s="12"/>
      <c r="I389" s="12"/>
      <c r="J389" s="12"/>
      <c r="K389" s="12"/>
      <c r="L389" s="12"/>
      <c r="M389" s="12"/>
      <c r="N389" s="12"/>
      <c r="O389" s="12"/>
      <c r="P389" s="12"/>
    </row>
    <row r="390">
      <c r="A390" s="12"/>
      <c r="D390" s="95"/>
      <c r="E390" s="14"/>
      <c r="F390" s="96"/>
      <c r="H390" s="12"/>
      <c r="I390" s="12"/>
      <c r="J390" s="12"/>
      <c r="K390" s="12"/>
      <c r="L390" s="12"/>
      <c r="M390" s="12"/>
      <c r="N390" s="12"/>
      <c r="O390" s="12"/>
      <c r="P390" s="12"/>
    </row>
    <row r="391">
      <c r="A391" s="12"/>
      <c r="D391" s="95"/>
      <c r="E391" s="14"/>
      <c r="F391" s="96"/>
      <c r="H391" s="12"/>
      <c r="I391" s="12"/>
      <c r="J391" s="12"/>
      <c r="K391" s="12"/>
      <c r="L391" s="12"/>
      <c r="M391" s="12"/>
      <c r="N391" s="12"/>
      <c r="O391" s="12"/>
      <c r="P391" s="12"/>
    </row>
    <row r="392">
      <c r="A392" s="12"/>
      <c r="D392" s="95"/>
      <c r="E392" s="14"/>
      <c r="F392" s="96"/>
      <c r="H392" s="12"/>
      <c r="I392" s="12"/>
      <c r="J392" s="12"/>
      <c r="K392" s="12"/>
      <c r="L392" s="12"/>
      <c r="M392" s="12"/>
      <c r="N392" s="12"/>
      <c r="O392" s="12"/>
      <c r="P392" s="12"/>
    </row>
    <row r="393">
      <c r="A393" s="12"/>
      <c r="D393" s="95"/>
      <c r="E393" s="14"/>
      <c r="F393" s="96"/>
      <c r="H393" s="12"/>
      <c r="I393" s="12"/>
      <c r="J393" s="12"/>
      <c r="K393" s="12"/>
      <c r="L393" s="12"/>
      <c r="M393" s="12"/>
      <c r="N393" s="12"/>
      <c r="O393" s="12"/>
      <c r="P393" s="12"/>
    </row>
    <row r="394">
      <c r="A394" s="12"/>
      <c r="D394" s="95"/>
      <c r="E394" s="14"/>
      <c r="F394" s="96"/>
      <c r="H394" s="12"/>
      <c r="I394" s="12"/>
      <c r="J394" s="12"/>
      <c r="K394" s="12"/>
      <c r="L394" s="12"/>
      <c r="M394" s="12"/>
      <c r="N394" s="12"/>
      <c r="O394" s="12"/>
      <c r="P394" s="12"/>
    </row>
    <row r="395">
      <c r="A395" s="12"/>
      <c r="D395" s="95"/>
      <c r="E395" s="14"/>
      <c r="F395" s="96"/>
      <c r="H395" s="12"/>
      <c r="I395" s="12"/>
      <c r="J395" s="12"/>
      <c r="K395" s="12"/>
      <c r="L395" s="12"/>
      <c r="M395" s="12"/>
      <c r="N395" s="12"/>
      <c r="O395" s="12"/>
      <c r="P395" s="12"/>
    </row>
    <row r="396">
      <c r="A396" s="12"/>
      <c r="D396" s="95"/>
      <c r="E396" s="14"/>
      <c r="F396" s="96"/>
      <c r="H396" s="12"/>
      <c r="I396" s="12"/>
      <c r="J396" s="12"/>
      <c r="K396" s="12"/>
      <c r="L396" s="12"/>
      <c r="M396" s="12"/>
      <c r="N396" s="12"/>
      <c r="O396" s="12"/>
      <c r="P396" s="12"/>
    </row>
    <row r="397">
      <c r="A397" s="12"/>
      <c r="D397" s="95"/>
      <c r="E397" s="14"/>
      <c r="F397" s="96"/>
      <c r="H397" s="12"/>
      <c r="I397" s="12"/>
      <c r="J397" s="12"/>
      <c r="K397" s="12"/>
      <c r="L397" s="12"/>
      <c r="M397" s="12"/>
      <c r="N397" s="12"/>
      <c r="O397" s="12"/>
      <c r="P397" s="12"/>
    </row>
    <row r="398">
      <c r="A398" s="12"/>
      <c r="D398" s="95"/>
      <c r="E398" s="14"/>
      <c r="F398" s="96"/>
      <c r="H398" s="12"/>
      <c r="I398" s="12"/>
      <c r="J398" s="12"/>
      <c r="K398" s="12"/>
      <c r="L398" s="12"/>
      <c r="M398" s="12"/>
      <c r="N398" s="12"/>
      <c r="O398" s="12"/>
      <c r="P398" s="12"/>
    </row>
    <row r="399">
      <c r="A399" s="12"/>
      <c r="D399" s="95"/>
      <c r="E399" s="14"/>
      <c r="F399" s="96"/>
      <c r="H399" s="12"/>
      <c r="I399" s="12"/>
      <c r="J399" s="12"/>
      <c r="K399" s="12"/>
      <c r="L399" s="12"/>
      <c r="M399" s="12"/>
      <c r="N399" s="12"/>
      <c r="O399" s="12"/>
      <c r="P399" s="12"/>
    </row>
    <row r="400">
      <c r="A400" s="12"/>
      <c r="D400" s="95"/>
      <c r="E400" s="14"/>
      <c r="F400" s="96"/>
      <c r="H400" s="12"/>
      <c r="I400" s="12"/>
      <c r="J400" s="12"/>
      <c r="K400" s="12"/>
      <c r="L400" s="12"/>
      <c r="M400" s="12"/>
      <c r="N400" s="12"/>
      <c r="O400" s="12"/>
      <c r="P400" s="12"/>
    </row>
    <row r="401">
      <c r="A401" s="12"/>
      <c r="D401" s="95"/>
      <c r="E401" s="14"/>
      <c r="F401" s="96"/>
      <c r="H401" s="12"/>
      <c r="I401" s="12"/>
      <c r="J401" s="12"/>
      <c r="K401" s="12"/>
      <c r="L401" s="12"/>
      <c r="M401" s="12"/>
      <c r="N401" s="12"/>
      <c r="O401" s="12"/>
      <c r="P401" s="12"/>
    </row>
    <row r="402">
      <c r="A402" s="12"/>
      <c r="D402" s="95"/>
      <c r="E402" s="14"/>
      <c r="F402" s="96"/>
      <c r="H402" s="12"/>
      <c r="I402" s="12"/>
      <c r="J402" s="12"/>
      <c r="K402" s="12"/>
      <c r="L402" s="12"/>
      <c r="M402" s="12"/>
      <c r="N402" s="12"/>
      <c r="O402" s="12"/>
      <c r="P402" s="12"/>
    </row>
    <row r="403">
      <c r="A403" s="12"/>
      <c r="D403" s="95"/>
      <c r="E403" s="14"/>
      <c r="F403" s="96"/>
      <c r="H403" s="12"/>
      <c r="I403" s="12"/>
      <c r="J403" s="12"/>
      <c r="K403" s="12"/>
      <c r="L403" s="12"/>
      <c r="M403" s="12"/>
      <c r="N403" s="12"/>
      <c r="O403" s="12"/>
      <c r="P403" s="12"/>
    </row>
    <row r="404">
      <c r="A404" s="12"/>
      <c r="D404" s="95"/>
      <c r="E404" s="14"/>
      <c r="F404" s="96"/>
      <c r="H404" s="12"/>
      <c r="I404" s="12"/>
      <c r="J404" s="12"/>
      <c r="K404" s="12"/>
      <c r="L404" s="12"/>
      <c r="M404" s="12"/>
      <c r="N404" s="12"/>
      <c r="O404" s="12"/>
      <c r="P404" s="12"/>
    </row>
    <row r="405">
      <c r="A405" s="12"/>
      <c r="D405" s="95"/>
      <c r="E405" s="14"/>
      <c r="F405" s="96"/>
      <c r="H405" s="12"/>
      <c r="I405" s="12"/>
      <c r="J405" s="12"/>
      <c r="K405" s="12"/>
      <c r="L405" s="12"/>
      <c r="M405" s="12"/>
      <c r="N405" s="12"/>
      <c r="O405" s="12"/>
      <c r="P405" s="12"/>
    </row>
    <row r="406">
      <c r="A406" s="12"/>
      <c r="D406" s="95"/>
      <c r="E406" s="14"/>
      <c r="F406" s="96"/>
      <c r="H406" s="12"/>
      <c r="I406" s="12"/>
      <c r="J406" s="12"/>
      <c r="K406" s="12"/>
      <c r="L406" s="12"/>
      <c r="M406" s="12"/>
      <c r="N406" s="12"/>
      <c r="O406" s="12"/>
      <c r="P406" s="12"/>
    </row>
    <row r="407">
      <c r="A407" s="12"/>
      <c r="D407" s="95"/>
      <c r="E407" s="14"/>
      <c r="F407" s="96"/>
      <c r="H407" s="12"/>
      <c r="I407" s="12"/>
      <c r="J407" s="12"/>
      <c r="K407" s="12"/>
      <c r="L407" s="12"/>
      <c r="M407" s="12"/>
      <c r="N407" s="12"/>
      <c r="O407" s="12"/>
      <c r="P407" s="12"/>
    </row>
    <row r="408">
      <c r="A408" s="12"/>
      <c r="D408" s="95"/>
      <c r="E408" s="14"/>
      <c r="F408" s="96"/>
      <c r="H408" s="12"/>
      <c r="I408" s="12"/>
      <c r="J408" s="12"/>
      <c r="K408" s="12"/>
      <c r="L408" s="12"/>
      <c r="M408" s="12"/>
      <c r="N408" s="12"/>
      <c r="O408" s="12"/>
      <c r="P408" s="12"/>
    </row>
    <row r="409">
      <c r="A409" s="12"/>
      <c r="D409" s="95"/>
      <c r="E409" s="14"/>
      <c r="F409" s="96"/>
      <c r="H409" s="12"/>
      <c r="I409" s="12"/>
      <c r="J409" s="12"/>
      <c r="K409" s="12"/>
      <c r="L409" s="12"/>
      <c r="M409" s="12"/>
      <c r="N409" s="12"/>
      <c r="O409" s="12"/>
      <c r="P409" s="12"/>
    </row>
    <row r="410">
      <c r="A410" s="12"/>
      <c r="D410" s="95"/>
      <c r="E410" s="14"/>
      <c r="F410" s="96"/>
      <c r="H410" s="12"/>
      <c r="I410" s="12"/>
      <c r="J410" s="12"/>
      <c r="K410" s="12"/>
      <c r="L410" s="12"/>
      <c r="M410" s="12"/>
      <c r="N410" s="12"/>
      <c r="O410" s="12"/>
      <c r="P410" s="12"/>
    </row>
    <row r="411">
      <c r="A411" s="12"/>
      <c r="D411" s="95"/>
      <c r="E411" s="14"/>
      <c r="F411" s="96"/>
      <c r="H411" s="12"/>
      <c r="I411" s="12"/>
      <c r="J411" s="12"/>
      <c r="K411" s="12"/>
      <c r="L411" s="12"/>
      <c r="M411" s="12"/>
      <c r="N411" s="12"/>
      <c r="O411" s="12"/>
      <c r="P411" s="12"/>
    </row>
    <row r="412">
      <c r="A412" s="12"/>
      <c r="D412" s="95"/>
      <c r="E412" s="14"/>
      <c r="F412" s="96"/>
      <c r="H412" s="12"/>
      <c r="I412" s="12"/>
      <c r="J412" s="12"/>
      <c r="K412" s="12"/>
      <c r="L412" s="12"/>
      <c r="M412" s="12"/>
      <c r="N412" s="12"/>
      <c r="O412" s="12"/>
      <c r="P412" s="12"/>
    </row>
    <row r="413">
      <c r="A413" s="12"/>
      <c r="D413" s="95"/>
      <c r="E413" s="14"/>
      <c r="F413" s="96"/>
      <c r="H413" s="12"/>
      <c r="I413" s="12"/>
      <c r="J413" s="12"/>
      <c r="K413" s="12"/>
      <c r="L413" s="12"/>
      <c r="M413" s="12"/>
      <c r="N413" s="12"/>
      <c r="O413" s="12"/>
      <c r="P413" s="12"/>
    </row>
    <row r="414">
      <c r="A414" s="12"/>
      <c r="D414" s="95"/>
      <c r="E414" s="14"/>
      <c r="F414" s="96"/>
      <c r="H414" s="12"/>
      <c r="I414" s="12"/>
      <c r="J414" s="12"/>
      <c r="K414" s="12"/>
      <c r="L414" s="12"/>
      <c r="M414" s="12"/>
      <c r="N414" s="12"/>
      <c r="O414" s="12"/>
      <c r="P414" s="12"/>
    </row>
    <row r="415">
      <c r="A415" s="12"/>
      <c r="D415" s="95"/>
      <c r="E415" s="14"/>
      <c r="F415" s="96"/>
      <c r="H415" s="12"/>
      <c r="I415" s="12"/>
      <c r="J415" s="12"/>
      <c r="K415" s="12"/>
      <c r="L415" s="12"/>
      <c r="M415" s="12"/>
      <c r="N415" s="12"/>
      <c r="O415" s="12"/>
      <c r="P415" s="12"/>
    </row>
    <row r="416">
      <c r="A416" s="12"/>
      <c r="D416" s="95"/>
      <c r="E416" s="14"/>
      <c r="F416" s="96"/>
      <c r="H416" s="12"/>
      <c r="I416" s="12"/>
      <c r="J416" s="12"/>
      <c r="K416" s="12"/>
      <c r="L416" s="12"/>
      <c r="M416" s="12"/>
      <c r="N416" s="12"/>
      <c r="O416" s="12"/>
      <c r="P416" s="12"/>
    </row>
    <row r="417">
      <c r="A417" s="12"/>
      <c r="D417" s="95"/>
      <c r="E417" s="14"/>
      <c r="F417" s="96"/>
      <c r="H417" s="12"/>
      <c r="I417" s="12"/>
      <c r="J417" s="12"/>
      <c r="K417" s="12"/>
      <c r="L417" s="12"/>
      <c r="M417" s="12"/>
      <c r="N417" s="12"/>
      <c r="O417" s="12"/>
      <c r="P417" s="12"/>
    </row>
    <row r="418">
      <c r="A418" s="12"/>
      <c r="D418" s="95"/>
      <c r="E418" s="14"/>
      <c r="F418" s="96"/>
      <c r="H418" s="12"/>
      <c r="I418" s="12"/>
      <c r="J418" s="12"/>
      <c r="K418" s="12"/>
      <c r="L418" s="12"/>
      <c r="M418" s="12"/>
      <c r="N418" s="12"/>
      <c r="O418" s="12"/>
      <c r="P418" s="12"/>
    </row>
    <row r="419">
      <c r="A419" s="12"/>
      <c r="D419" s="95"/>
      <c r="E419" s="14"/>
      <c r="F419" s="96"/>
      <c r="H419" s="12"/>
      <c r="I419" s="12"/>
      <c r="J419" s="12"/>
      <c r="K419" s="12"/>
      <c r="L419" s="12"/>
      <c r="M419" s="12"/>
      <c r="N419" s="12"/>
      <c r="O419" s="12"/>
      <c r="P419" s="12"/>
    </row>
    <row r="420">
      <c r="A420" s="12"/>
      <c r="D420" s="95"/>
      <c r="E420" s="14"/>
      <c r="F420" s="96"/>
      <c r="H420" s="12"/>
      <c r="I420" s="12"/>
      <c r="J420" s="12"/>
      <c r="K420" s="12"/>
      <c r="L420" s="12"/>
      <c r="M420" s="12"/>
      <c r="N420" s="12"/>
      <c r="O420" s="12"/>
      <c r="P420" s="12"/>
    </row>
    <row r="421">
      <c r="A421" s="12"/>
      <c r="D421" s="95"/>
      <c r="E421" s="14"/>
      <c r="F421" s="96"/>
      <c r="H421" s="12"/>
      <c r="I421" s="12"/>
      <c r="J421" s="12"/>
      <c r="K421" s="12"/>
      <c r="L421" s="12"/>
      <c r="M421" s="12"/>
      <c r="N421" s="12"/>
      <c r="O421" s="12"/>
      <c r="P421" s="12"/>
    </row>
    <row r="422">
      <c r="A422" s="12"/>
      <c r="D422" s="95"/>
      <c r="E422" s="14"/>
      <c r="F422" s="96"/>
      <c r="H422" s="12"/>
      <c r="I422" s="12"/>
      <c r="J422" s="12"/>
      <c r="K422" s="12"/>
      <c r="L422" s="12"/>
      <c r="M422" s="12"/>
      <c r="N422" s="12"/>
      <c r="O422" s="12"/>
      <c r="P422" s="12"/>
    </row>
    <row r="423">
      <c r="A423" s="12"/>
      <c r="D423" s="95"/>
      <c r="E423" s="14"/>
      <c r="F423" s="96"/>
      <c r="H423" s="12"/>
      <c r="I423" s="12"/>
      <c r="J423" s="12"/>
      <c r="K423" s="12"/>
      <c r="L423" s="12"/>
      <c r="M423" s="12"/>
      <c r="N423" s="12"/>
      <c r="O423" s="12"/>
      <c r="P423" s="12"/>
    </row>
    <row r="424">
      <c r="A424" s="12"/>
      <c r="D424" s="95"/>
      <c r="E424" s="14"/>
      <c r="F424" s="96"/>
      <c r="H424" s="12"/>
      <c r="I424" s="12"/>
      <c r="J424" s="12"/>
      <c r="K424" s="12"/>
      <c r="L424" s="12"/>
      <c r="M424" s="12"/>
      <c r="N424" s="12"/>
      <c r="O424" s="12"/>
      <c r="P424" s="12"/>
    </row>
    <row r="425">
      <c r="A425" s="12"/>
      <c r="D425" s="95"/>
      <c r="E425" s="14"/>
      <c r="F425" s="96"/>
      <c r="H425" s="12"/>
      <c r="I425" s="12"/>
      <c r="J425" s="12"/>
      <c r="K425" s="12"/>
      <c r="L425" s="12"/>
      <c r="M425" s="12"/>
      <c r="N425" s="12"/>
      <c r="O425" s="12"/>
      <c r="P425" s="12"/>
    </row>
    <row r="426">
      <c r="A426" s="12"/>
      <c r="D426" s="95"/>
      <c r="E426" s="14"/>
      <c r="F426" s="96"/>
      <c r="H426" s="12"/>
      <c r="I426" s="12"/>
      <c r="J426" s="12"/>
      <c r="K426" s="12"/>
      <c r="L426" s="12"/>
      <c r="M426" s="12"/>
      <c r="N426" s="12"/>
      <c r="O426" s="12"/>
      <c r="P426" s="12"/>
    </row>
    <row r="427">
      <c r="A427" s="12"/>
      <c r="D427" s="95"/>
      <c r="E427" s="14"/>
      <c r="F427" s="96"/>
      <c r="H427" s="12"/>
      <c r="I427" s="12"/>
      <c r="J427" s="12"/>
      <c r="K427" s="12"/>
      <c r="L427" s="12"/>
      <c r="M427" s="12"/>
      <c r="N427" s="12"/>
      <c r="O427" s="12"/>
      <c r="P427" s="12"/>
    </row>
    <row r="428">
      <c r="A428" s="12"/>
      <c r="D428" s="95"/>
      <c r="E428" s="14"/>
      <c r="F428" s="96"/>
      <c r="H428" s="12"/>
      <c r="I428" s="12"/>
      <c r="J428" s="12"/>
      <c r="K428" s="12"/>
      <c r="L428" s="12"/>
      <c r="M428" s="12"/>
      <c r="N428" s="12"/>
      <c r="O428" s="12"/>
      <c r="P428" s="12"/>
    </row>
    <row r="429">
      <c r="A429" s="12"/>
      <c r="D429" s="95"/>
      <c r="E429" s="14"/>
      <c r="F429" s="96"/>
      <c r="H429" s="12"/>
      <c r="I429" s="12"/>
      <c r="J429" s="12"/>
      <c r="K429" s="12"/>
      <c r="L429" s="12"/>
      <c r="M429" s="12"/>
      <c r="N429" s="12"/>
      <c r="O429" s="12"/>
      <c r="P429" s="12"/>
    </row>
    <row r="430">
      <c r="A430" s="12"/>
      <c r="D430" s="95"/>
      <c r="E430" s="14"/>
      <c r="F430" s="96"/>
      <c r="H430" s="12"/>
      <c r="I430" s="12"/>
      <c r="J430" s="12"/>
      <c r="K430" s="12"/>
      <c r="L430" s="12"/>
      <c r="M430" s="12"/>
      <c r="N430" s="12"/>
      <c r="O430" s="12"/>
      <c r="P430" s="12"/>
    </row>
    <row r="431">
      <c r="A431" s="12"/>
      <c r="D431" s="95"/>
      <c r="E431" s="14"/>
      <c r="F431" s="96"/>
      <c r="H431" s="12"/>
      <c r="I431" s="12"/>
      <c r="J431" s="12"/>
      <c r="K431" s="12"/>
      <c r="L431" s="12"/>
      <c r="M431" s="12"/>
      <c r="N431" s="12"/>
      <c r="O431" s="12"/>
      <c r="P431" s="12"/>
    </row>
    <row r="432">
      <c r="A432" s="12"/>
      <c r="D432" s="95"/>
      <c r="E432" s="14"/>
      <c r="F432" s="96"/>
      <c r="H432" s="12"/>
      <c r="I432" s="12"/>
      <c r="J432" s="12"/>
      <c r="K432" s="12"/>
      <c r="L432" s="12"/>
      <c r="M432" s="12"/>
      <c r="N432" s="12"/>
      <c r="O432" s="12"/>
      <c r="P432" s="12"/>
    </row>
    <row r="433">
      <c r="A433" s="12"/>
      <c r="D433" s="95"/>
      <c r="E433" s="14"/>
      <c r="F433" s="96"/>
      <c r="H433" s="12"/>
      <c r="I433" s="12"/>
      <c r="J433" s="12"/>
      <c r="K433" s="12"/>
      <c r="L433" s="12"/>
      <c r="M433" s="12"/>
      <c r="N433" s="12"/>
      <c r="O433" s="12"/>
      <c r="P433" s="12"/>
    </row>
    <row r="434">
      <c r="A434" s="12"/>
      <c r="D434" s="95"/>
      <c r="E434" s="14"/>
      <c r="F434" s="96"/>
      <c r="H434" s="12"/>
      <c r="I434" s="12"/>
      <c r="J434" s="12"/>
      <c r="K434" s="12"/>
      <c r="L434" s="12"/>
      <c r="M434" s="12"/>
      <c r="N434" s="12"/>
      <c r="O434" s="12"/>
      <c r="P434" s="12"/>
    </row>
    <row r="435">
      <c r="A435" s="12"/>
      <c r="D435" s="95"/>
      <c r="E435" s="14"/>
      <c r="F435" s="96"/>
      <c r="H435" s="12"/>
      <c r="I435" s="12"/>
      <c r="J435" s="12"/>
      <c r="K435" s="12"/>
      <c r="L435" s="12"/>
      <c r="M435" s="12"/>
      <c r="N435" s="12"/>
      <c r="O435" s="12"/>
      <c r="P435" s="12"/>
    </row>
    <row r="436">
      <c r="A436" s="12"/>
      <c r="D436" s="95"/>
      <c r="E436" s="14"/>
      <c r="F436" s="96"/>
      <c r="H436" s="12"/>
      <c r="I436" s="12"/>
      <c r="J436" s="12"/>
      <c r="K436" s="12"/>
      <c r="L436" s="12"/>
      <c r="M436" s="12"/>
      <c r="N436" s="12"/>
      <c r="O436" s="12"/>
      <c r="P436" s="12"/>
    </row>
    <row r="437">
      <c r="A437" s="12"/>
      <c r="D437" s="95"/>
      <c r="E437" s="14"/>
      <c r="F437" s="96"/>
      <c r="H437" s="12"/>
      <c r="I437" s="12"/>
      <c r="J437" s="12"/>
      <c r="K437" s="12"/>
      <c r="L437" s="12"/>
      <c r="M437" s="12"/>
      <c r="N437" s="12"/>
      <c r="O437" s="12"/>
      <c r="P437" s="12"/>
    </row>
    <row r="438">
      <c r="A438" s="12"/>
      <c r="D438" s="95"/>
      <c r="E438" s="14"/>
      <c r="F438" s="96"/>
      <c r="H438" s="12"/>
      <c r="I438" s="12"/>
      <c r="J438" s="12"/>
      <c r="K438" s="12"/>
      <c r="L438" s="12"/>
      <c r="M438" s="12"/>
      <c r="N438" s="12"/>
      <c r="O438" s="12"/>
      <c r="P438" s="12"/>
    </row>
    <row r="439">
      <c r="A439" s="12"/>
      <c r="D439" s="95"/>
      <c r="E439" s="14"/>
      <c r="F439" s="96"/>
      <c r="H439" s="12"/>
      <c r="I439" s="12"/>
      <c r="J439" s="12"/>
      <c r="K439" s="12"/>
      <c r="L439" s="12"/>
      <c r="M439" s="12"/>
      <c r="N439" s="12"/>
      <c r="O439" s="12"/>
      <c r="P439" s="12"/>
    </row>
    <row r="440">
      <c r="A440" s="12"/>
      <c r="D440" s="95"/>
      <c r="E440" s="14"/>
      <c r="F440" s="96"/>
      <c r="H440" s="12"/>
      <c r="I440" s="12"/>
      <c r="J440" s="12"/>
      <c r="K440" s="12"/>
      <c r="L440" s="12"/>
      <c r="M440" s="12"/>
      <c r="N440" s="12"/>
      <c r="O440" s="12"/>
      <c r="P440" s="12"/>
    </row>
    <row r="441">
      <c r="A441" s="12"/>
      <c r="D441" s="95"/>
      <c r="E441" s="14"/>
      <c r="F441" s="96"/>
      <c r="H441" s="12"/>
      <c r="I441" s="12"/>
      <c r="J441" s="12"/>
      <c r="K441" s="12"/>
      <c r="L441" s="12"/>
      <c r="M441" s="12"/>
      <c r="N441" s="12"/>
      <c r="O441" s="12"/>
      <c r="P441" s="12"/>
    </row>
    <row r="442">
      <c r="A442" s="12"/>
      <c r="D442" s="95"/>
      <c r="E442" s="14"/>
      <c r="F442" s="96"/>
      <c r="H442" s="12"/>
      <c r="I442" s="12"/>
      <c r="J442" s="12"/>
      <c r="K442" s="12"/>
      <c r="L442" s="12"/>
      <c r="M442" s="12"/>
      <c r="N442" s="12"/>
      <c r="O442" s="12"/>
      <c r="P442" s="12"/>
    </row>
    <row r="443">
      <c r="A443" s="12"/>
      <c r="D443" s="95"/>
      <c r="E443" s="14"/>
      <c r="F443" s="96"/>
      <c r="H443" s="12"/>
      <c r="I443" s="12"/>
      <c r="J443" s="12"/>
      <c r="K443" s="12"/>
      <c r="L443" s="12"/>
      <c r="M443" s="12"/>
      <c r="N443" s="12"/>
      <c r="O443" s="12"/>
      <c r="P443" s="12"/>
    </row>
    <row r="444">
      <c r="A444" s="12"/>
      <c r="D444" s="95"/>
      <c r="E444" s="14"/>
      <c r="F444" s="96"/>
      <c r="H444" s="12"/>
      <c r="I444" s="12"/>
      <c r="J444" s="12"/>
      <c r="K444" s="12"/>
      <c r="L444" s="12"/>
      <c r="M444" s="12"/>
      <c r="N444" s="12"/>
      <c r="O444" s="12"/>
      <c r="P444" s="12"/>
    </row>
    <row r="445">
      <c r="A445" s="12"/>
      <c r="D445" s="95"/>
      <c r="E445" s="14"/>
      <c r="F445" s="96"/>
      <c r="H445" s="12"/>
      <c r="I445" s="12"/>
      <c r="J445" s="12"/>
      <c r="K445" s="12"/>
      <c r="L445" s="12"/>
      <c r="M445" s="12"/>
      <c r="N445" s="12"/>
      <c r="O445" s="12"/>
      <c r="P445" s="12"/>
    </row>
    <row r="446">
      <c r="A446" s="12"/>
      <c r="D446" s="95"/>
      <c r="E446" s="14"/>
      <c r="F446" s="96"/>
      <c r="H446" s="12"/>
      <c r="I446" s="12"/>
      <c r="J446" s="12"/>
      <c r="K446" s="12"/>
      <c r="L446" s="12"/>
      <c r="M446" s="12"/>
      <c r="N446" s="12"/>
      <c r="O446" s="12"/>
      <c r="P446" s="12"/>
    </row>
    <row r="447">
      <c r="A447" s="12"/>
      <c r="D447" s="95"/>
      <c r="E447" s="14"/>
      <c r="F447" s="96"/>
      <c r="H447" s="12"/>
      <c r="I447" s="12"/>
      <c r="J447" s="12"/>
      <c r="K447" s="12"/>
      <c r="L447" s="12"/>
      <c r="M447" s="12"/>
      <c r="N447" s="12"/>
      <c r="O447" s="12"/>
      <c r="P447" s="12"/>
    </row>
    <row r="448">
      <c r="A448" s="12"/>
      <c r="D448" s="95"/>
      <c r="E448" s="14"/>
      <c r="F448" s="96"/>
      <c r="H448" s="12"/>
      <c r="I448" s="12"/>
      <c r="J448" s="12"/>
      <c r="K448" s="12"/>
      <c r="L448" s="12"/>
      <c r="M448" s="12"/>
      <c r="N448" s="12"/>
      <c r="O448" s="12"/>
      <c r="P448" s="12"/>
    </row>
    <row r="449">
      <c r="A449" s="12"/>
      <c r="D449" s="95"/>
      <c r="E449" s="14"/>
      <c r="F449" s="96"/>
      <c r="H449" s="12"/>
      <c r="I449" s="12"/>
      <c r="J449" s="12"/>
      <c r="K449" s="12"/>
      <c r="L449" s="12"/>
      <c r="M449" s="12"/>
      <c r="N449" s="12"/>
      <c r="O449" s="12"/>
      <c r="P449" s="12"/>
    </row>
    <row r="450">
      <c r="A450" s="12"/>
      <c r="D450" s="95"/>
      <c r="E450" s="14"/>
      <c r="F450" s="96"/>
      <c r="H450" s="12"/>
      <c r="I450" s="12"/>
      <c r="J450" s="12"/>
      <c r="K450" s="12"/>
      <c r="L450" s="12"/>
      <c r="M450" s="12"/>
      <c r="N450" s="12"/>
      <c r="O450" s="12"/>
      <c r="P450" s="12"/>
    </row>
    <row r="451">
      <c r="A451" s="12"/>
      <c r="D451" s="95"/>
      <c r="E451" s="14"/>
      <c r="F451" s="96"/>
      <c r="H451" s="12"/>
      <c r="I451" s="12"/>
      <c r="J451" s="12"/>
      <c r="K451" s="12"/>
      <c r="L451" s="12"/>
      <c r="M451" s="12"/>
      <c r="N451" s="12"/>
      <c r="O451" s="12"/>
      <c r="P451" s="12"/>
    </row>
    <row r="452">
      <c r="A452" s="12"/>
      <c r="D452" s="95"/>
      <c r="E452" s="14"/>
      <c r="F452" s="96"/>
      <c r="H452" s="12"/>
      <c r="I452" s="12"/>
      <c r="J452" s="12"/>
      <c r="K452" s="12"/>
      <c r="L452" s="12"/>
      <c r="M452" s="12"/>
      <c r="N452" s="12"/>
      <c r="O452" s="12"/>
      <c r="P452" s="12"/>
    </row>
    <row r="453">
      <c r="A453" s="12"/>
      <c r="D453" s="95"/>
      <c r="E453" s="14"/>
      <c r="F453" s="96"/>
      <c r="H453" s="12"/>
      <c r="I453" s="12"/>
      <c r="J453" s="12"/>
      <c r="K453" s="12"/>
      <c r="L453" s="12"/>
      <c r="M453" s="12"/>
      <c r="N453" s="12"/>
      <c r="O453" s="12"/>
      <c r="P453" s="12"/>
    </row>
    <row r="454">
      <c r="A454" s="12"/>
      <c r="D454" s="95"/>
      <c r="E454" s="14"/>
      <c r="F454" s="96"/>
      <c r="H454" s="12"/>
      <c r="I454" s="12"/>
      <c r="J454" s="12"/>
      <c r="K454" s="12"/>
      <c r="L454" s="12"/>
      <c r="M454" s="12"/>
      <c r="N454" s="12"/>
      <c r="O454" s="12"/>
      <c r="P454" s="12"/>
    </row>
    <row r="455">
      <c r="A455" s="12"/>
      <c r="D455" s="95"/>
      <c r="E455" s="14"/>
      <c r="F455" s="96"/>
      <c r="H455" s="12"/>
      <c r="I455" s="12"/>
      <c r="J455" s="12"/>
      <c r="K455" s="12"/>
      <c r="L455" s="12"/>
      <c r="M455" s="12"/>
      <c r="N455" s="12"/>
      <c r="O455" s="12"/>
      <c r="P455" s="12"/>
    </row>
    <row r="456">
      <c r="A456" s="12"/>
      <c r="D456" s="95"/>
      <c r="E456" s="14"/>
      <c r="F456" s="96"/>
      <c r="H456" s="12"/>
      <c r="I456" s="12"/>
      <c r="J456" s="12"/>
      <c r="K456" s="12"/>
      <c r="L456" s="12"/>
      <c r="M456" s="12"/>
      <c r="N456" s="12"/>
      <c r="O456" s="12"/>
      <c r="P456" s="12"/>
    </row>
    <row r="457">
      <c r="A457" s="12"/>
      <c r="D457" s="95"/>
      <c r="E457" s="14"/>
      <c r="F457" s="96"/>
      <c r="H457" s="12"/>
      <c r="I457" s="12"/>
      <c r="J457" s="12"/>
      <c r="K457" s="12"/>
      <c r="L457" s="12"/>
      <c r="M457" s="12"/>
      <c r="N457" s="12"/>
      <c r="O457" s="12"/>
      <c r="P457" s="12"/>
    </row>
    <row r="458">
      <c r="A458" s="12"/>
      <c r="D458" s="95"/>
      <c r="E458" s="14"/>
      <c r="F458" s="96"/>
      <c r="H458" s="12"/>
      <c r="I458" s="12"/>
      <c r="J458" s="12"/>
      <c r="K458" s="12"/>
      <c r="L458" s="12"/>
      <c r="M458" s="12"/>
      <c r="N458" s="12"/>
      <c r="O458" s="12"/>
      <c r="P458" s="12"/>
    </row>
    <row r="459">
      <c r="A459" s="12"/>
      <c r="D459" s="95"/>
      <c r="E459" s="14"/>
      <c r="F459" s="96"/>
      <c r="H459" s="12"/>
      <c r="I459" s="12"/>
      <c r="J459" s="12"/>
      <c r="K459" s="12"/>
      <c r="L459" s="12"/>
      <c r="M459" s="12"/>
      <c r="N459" s="12"/>
      <c r="O459" s="12"/>
      <c r="P459" s="12"/>
    </row>
    <row r="460">
      <c r="A460" s="12"/>
      <c r="D460" s="95"/>
      <c r="E460" s="14"/>
      <c r="F460" s="96"/>
      <c r="H460" s="12"/>
      <c r="I460" s="12"/>
      <c r="J460" s="12"/>
      <c r="K460" s="12"/>
      <c r="L460" s="12"/>
      <c r="M460" s="12"/>
      <c r="N460" s="12"/>
      <c r="O460" s="12"/>
      <c r="P460" s="12"/>
    </row>
    <row r="461">
      <c r="A461" s="12"/>
      <c r="D461" s="95"/>
      <c r="E461" s="14"/>
      <c r="F461" s="96"/>
      <c r="H461" s="12"/>
      <c r="I461" s="12"/>
      <c r="J461" s="12"/>
      <c r="K461" s="12"/>
      <c r="L461" s="12"/>
      <c r="M461" s="12"/>
      <c r="N461" s="12"/>
      <c r="O461" s="12"/>
      <c r="P461" s="12"/>
    </row>
    <row r="462">
      <c r="A462" s="12"/>
      <c r="D462" s="95"/>
      <c r="E462" s="14"/>
      <c r="F462" s="96"/>
      <c r="H462" s="12"/>
      <c r="I462" s="12"/>
      <c r="J462" s="12"/>
      <c r="K462" s="12"/>
      <c r="L462" s="12"/>
      <c r="M462" s="12"/>
      <c r="N462" s="12"/>
      <c r="O462" s="12"/>
      <c r="P462" s="12"/>
    </row>
    <row r="463">
      <c r="A463" s="12"/>
      <c r="D463" s="95"/>
      <c r="E463" s="14"/>
      <c r="F463" s="96"/>
      <c r="H463" s="12"/>
      <c r="I463" s="12"/>
      <c r="J463" s="12"/>
      <c r="K463" s="12"/>
      <c r="L463" s="12"/>
      <c r="M463" s="12"/>
      <c r="N463" s="12"/>
      <c r="O463" s="12"/>
      <c r="P463" s="12"/>
    </row>
    <row r="464">
      <c r="A464" s="12"/>
      <c r="D464" s="95"/>
      <c r="E464" s="14"/>
      <c r="F464" s="96"/>
      <c r="H464" s="12"/>
      <c r="I464" s="12"/>
      <c r="J464" s="12"/>
      <c r="K464" s="12"/>
      <c r="L464" s="12"/>
      <c r="M464" s="12"/>
      <c r="N464" s="12"/>
      <c r="O464" s="12"/>
      <c r="P464" s="12"/>
    </row>
    <row r="465">
      <c r="A465" s="12"/>
      <c r="D465" s="95"/>
      <c r="E465" s="14"/>
      <c r="F465" s="96"/>
      <c r="H465" s="12"/>
      <c r="I465" s="12"/>
      <c r="J465" s="12"/>
      <c r="K465" s="12"/>
      <c r="L465" s="12"/>
      <c r="M465" s="12"/>
      <c r="N465" s="12"/>
      <c r="O465" s="12"/>
      <c r="P465" s="12"/>
    </row>
    <row r="466">
      <c r="A466" s="12"/>
      <c r="D466" s="95"/>
      <c r="E466" s="14"/>
      <c r="F466" s="96"/>
      <c r="H466" s="12"/>
      <c r="I466" s="12"/>
      <c r="J466" s="12"/>
      <c r="K466" s="12"/>
      <c r="L466" s="12"/>
      <c r="M466" s="12"/>
      <c r="N466" s="12"/>
      <c r="O466" s="12"/>
      <c r="P466" s="12"/>
    </row>
    <row r="467">
      <c r="A467" s="12"/>
      <c r="D467" s="95"/>
      <c r="E467" s="14"/>
      <c r="F467" s="96"/>
      <c r="H467" s="12"/>
      <c r="I467" s="12"/>
      <c r="J467" s="12"/>
      <c r="K467" s="12"/>
      <c r="L467" s="12"/>
      <c r="M467" s="12"/>
      <c r="N467" s="12"/>
      <c r="O467" s="12"/>
      <c r="P467" s="12"/>
    </row>
    <row r="468">
      <c r="A468" s="12"/>
      <c r="D468" s="95"/>
      <c r="E468" s="14"/>
      <c r="F468" s="96"/>
      <c r="H468" s="12"/>
      <c r="I468" s="12"/>
      <c r="J468" s="12"/>
      <c r="K468" s="12"/>
      <c r="L468" s="12"/>
      <c r="M468" s="12"/>
      <c r="N468" s="12"/>
      <c r="O468" s="12"/>
      <c r="P468" s="12"/>
    </row>
    <row r="469">
      <c r="A469" s="12"/>
      <c r="D469" s="95"/>
      <c r="E469" s="14"/>
      <c r="F469" s="96"/>
      <c r="H469" s="12"/>
      <c r="I469" s="12"/>
      <c r="J469" s="12"/>
      <c r="K469" s="12"/>
      <c r="L469" s="12"/>
      <c r="M469" s="12"/>
      <c r="N469" s="12"/>
      <c r="O469" s="12"/>
      <c r="P469" s="12"/>
    </row>
    <row r="470">
      <c r="A470" s="12"/>
      <c r="D470" s="95"/>
      <c r="E470" s="14"/>
      <c r="F470" s="96"/>
      <c r="H470" s="12"/>
      <c r="I470" s="12"/>
      <c r="J470" s="12"/>
      <c r="K470" s="12"/>
      <c r="L470" s="12"/>
      <c r="M470" s="12"/>
      <c r="N470" s="12"/>
      <c r="O470" s="12"/>
      <c r="P470" s="12"/>
    </row>
    <row r="471">
      <c r="A471" s="12"/>
      <c r="D471" s="95"/>
      <c r="E471" s="14"/>
      <c r="F471" s="96"/>
      <c r="H471" s="12"/>
      <c r="I471" s="12"/>
      <c r="J471" s="12"/>
      <c r="K471" s="12"/>
      <c r="L471" s="12"/>
      <c r="M471" s="12"/>
      <c r="N471" s="12"/>
      <c r="O471" s="12"/>
      <c r="P471" s="12"/>
    </row>
    <row r="472">
      <c r="A472" s="12"/>
      <c r="D472" s="95"/>
      <c r="E472" s="14"/>
      <c r="F472" s="96"/>
      <c r="H472" s="12"/>
      <c r="I472" s="12"/>
      <c r="J472" s="12"/>
      <c r="K472" s="12"/>
      <c r="L472" s="12"/>
      <c r="M472" s="12"/>
      <c r="N472" s="12"/>
      <c r="O472" s="12"/>
      <c r="P472" s="12"/>
    </row>
    <row r="473">
      <c r="A473" s="12"/>
      <c r="D473" s="95"/>
      <c r="E473" s="14"/>
      <c r="F473" s="96"/>
      <c r="H473" s="12"/>
      <c r="I473" s="12"/>
      <c r="J473" s="12"/>
      <c r="K473" s="12"/>
      <c r="L473" s="12"/>
      <c r="M473" s="12"/>
      <c r="N473" s="12"/>
      <c r="O473" s="12"/>
      <c r="P473" s="12"/>
    </row>
    <row r="474">
      <c r="A474" s="12"/>
      <c r="D474" s="95"/>
      <c r="E474" s="14"/>
      <c r="F474" s="96"/>
      <c r="H474" s="12"/>
      <c r="I474" s="12"/>
      <c r="J474" s="12"/>
      <c r="K474" s="12"/>
      <c r="L474" s="12"/>
      <c r="M474" s="12"/>
      <c r="N474" s="12"/>
      <c r="O474" s="12"/>
      <c r="P474" s="12"/>
    </row>
    <row r="475">
      <c r="A475" s="12"/>
      <c r="D475" s="95"/>
      <c r="E475" s="14"/>
      <c r="F475" s="96"/>
      <c r="H475" s="12"/>
      <c r="I475" s="12"/>
      <c r="J475" s="12"/>
      <c r="K475" s="12"/>
      <c r="L475" s="12"/>
      <c r="M475" s="12"/>
      <c r="N475" s="12"/>
      <c r="O475" s="12"/>
      <c r="P475" s="12"/>
    </row>
    <row r="476">
      <c r="A476" s="12"/>
      <c r="D476" s="95"/>
      <c r="E476" s="14"/>
      <c r="F476" s="96"/>
      <c r="H476" s="12"/>
      <c r="I476" s="12"/>
      <c r="J476" s="12"/>
      <c r="K476" s="12"/>
      <c r="L476" s="12"/>
      <c r="M476" s="12"/>
      <c r="N476" s="12"/>
      <c r="O476" s="12"/>
      <c r="P476" s="12"/>
    </row>
    <row r="477">
      <c r="A477" s="12"/>
      <c r="D477" s="95"/>
      <c r="E477" s="14"/>
      <c r="F477" s="96"/>
      <c r="H477" s="12"/>
      <c r="I477" s="12"/>
      <c r="J477" s="12"/>
      <c r="K477" s="12"/>
      <c r="L477" s="12"/>
      <c r="M477" s="12"/>
      <c r="N477" s="12"/>
      <c r="O477" s="12"/>
      <c r="P477" s="12"/>
    </row>
    <row r="478">
      <c r="A478" s="12"/>
      <c r="D478" s="95"/>
      <c r="E478" s="14"/>
      <c r="F478" s="96"/>
      <c r="H478" s="12"/>
      <c r="I478" s="12"/>
      <c r="J478" s="12"/>
      <c r="K478" s="12"/>
      <c r="L478" s="12"/>
      <c r="M478" s="12"/>
      <c r="N478" s="12"/>
      <c r="O478" s="12"/>
      <c r="P478" s="12"/>
    </row>
    <row r="479">
      <c r="A479" s="12"/>
      <c r="D479" s="95"/>
      <c r="E479" s="14"/>
      <c r="F479" s="96"/>
      <c r="H479" s="12"/>
      <c r="I479" s="12"/>
      <c r="J479" s="12"/>
      <c r="K479" s="12"/>
      <c r="L479" s="12"/>
      <c r="M479" s="12"/>
      <c r="N479" s="12"/>
      <c r="O479" s="12"/>
      <c r="P479" s="12"/>
    </row>
    <row r="480">
      <c r="A480" s="12"/>
      <c r="D480" s="95"/>
      <c r="E480" s="14"/>
      <c r="F480" s="96"/>
      <c r="H480" s="12"/>
      <c r="I480" s="12"/>
      <c r="J480" s="12"/>
      <c r="K480" s="12"/>
      <c r="L480" s="12"/>
      <c r="M480" s="12"/>
      <c r="N480" s="12"/>
      <c r="O480" s="12"/>
      <c r="P480" s="12"/>
    </row>
    <row r="481">
      <c r="A481" s="12"/>
      <c r="D481" s="95"/>
      <c r="E481" s="14"/>
      <c r="F481" s="96"/>
      <c r="H481" s="12"/>
      <c r="I481" s="12"/>
      <c r="J481" s="12"/>
      <c r="K481" s="12"/>
      <c r="L481" s="12"/>
      <c r="M481" s="12"/>
      <c r="N481" s="12"/>
      <c r="O481" s="12"/>
      <c r="P481" s="12"/>
    </row>
    <row r="482">
      <c r="A482" s="12"/>
      <c r="D482" s="95"/>
      <c r="E482" s="14"/>
      <c r="F482" s="96"/>
      <c r="H482" s="12"/>
      <c r="I482" s="12"/>
      <c r="J482" s="12"/>
      <c r="K482" s="12"/>
      <c r="L482" s="12"/>
      <c r="M482" s="12"/>
      <c r="N482" s="12"/>
      <c r="O482" s="12"/>
      <c r="P482" s="12"/>
    </row>
    <row r="483">
      <c r="A483" s="12"/>
      <c r="D483" s="95"/>
      <c r="E483" s="14"/>
      <c r="F483" s="96"/>
      <c r="H483" s="12"/>
      <c r="I483" s="12"/>
      <c r="J483" s="12"/>
      <c r="K483" s="12"/>
      <c r="L483" s="12"/>
      <c r="M483" s="12"/>
      <c r="N483" s="12"/>
      <c r="O483" s="12"/>
      <c r="P483" s="12"/>
    </row>
    <row r="484">
      <c r="A484" s="12"/>
      <c r="D484" s="95"/>
      <c r="E484" s="14"/>
      <c r="F484" s="96"/>
      <c r="H484" s="12"/>
      <c r="I484" s="12"/>
      <c r="J484" s="12"/>
      <c r="K484" s="12"/>
      <c r="L484" s="12"/>
      <c r="M484" s="12"/>
      <c r="N484" s="12"/>
      <c r="O484" s="12"/>
      <c r="P484" s="12"/>
    </row>
    <row r="485">
      <c r="A485" s="12"/>
      <c r="D485" s="95"/>
      <c r="E485" s="14"/>
      <c r="F485" s="96"/>
      <c r="H485" s="12"/>
      <c r="I485" s="12"/>
      <c r="J485" s="12"/>
      <c r="K485" s="12"/>
      <c r="L485" s="12"/>
      <c r="M485" s="12"/>
      <c r="N485" s="12"/>
      <c r="O485" s="12"/>
      <c r="P485" s="12"/>
    </row>
    <row r="486">
      <c r="A486" s="12"/>
      <c r="D486" s="95"/>
      <c r="E486" s="14"/>
      <c r="F486" s="96"/>
      <c r="H486" s="12"/>
      <c r="I486" s="12"/>
      <c r="J486" s="12"/>
      <c r="K486" s="12"/>
      <c r="L486" s="12"/>
      <c r="M486" s="12"/>
      <c r="N486" s="12"/>
      <c r="O486" s="12"/>
      <c r="P486" s="12"/>
    </row>
    <row r="487">
      <c r="A487" s="12"/>
      <c r="D487" s="95"/>
      <c r="E487" s="14"/>
      <c r="F487" s="96"/>
      <c r="H487" s="12"/>
      <c r="I487" s="12"/>
      <c r="J487" s="12"/>
      <c r="K487" s="12"/>
      <c r="L487" s="12"/>
      <c r="M487" s="12"/>
      <c r="N487" s="12"/>
      <c r="O487" s="12"/>
      <c r="P487" s="12"/>
    </row>
    <row r="488">
      <c r="A488" s="12"/>
      <c r="D488" s="95"/>
      <c r="E488" s="14"/>
      <c r="F488" s="96"/>
      <c r="H488" s="12"/>
      <c r="I488" s="12"/>
      <c r="J488" s="12"/>
      <c r="K488" s="12"/>
      <c r="L488" s="12"/>
      <c r="M488" s="12"/>
      <c r="N488" s="12"/>
      <c r="O488" s="12"/>
      <c r="P488" s="12"/>
    </row>
    <row r="489">
      <c r="A489" s="12"/>
      <c r="D489" s="95"/>
      <c r="E489" s="14"/>
      <c r="F489" s="96"/>
      <c r="H489" s="12"/>
      <c r="I489" s="12"/>
      <c r="J489" s="12"/>
      <c r="K489" s="12"/>
      <c r="L489" s="12"/>
      <c r="M489" s="12"/>
      <c r="N489" s="12"/>
      <c r="O489" s="12"/>
      <c r="P489" s="12"/>
    </row>
    <row r="490">
      <c r="A490" s="12"/>
      <c r="D490" s="95"/>
      <c r="E490" s="14"/>
      <c r="F490" s="96"/>
      <c r="H490" s="12"/>
      <c r="I490" s="12"/>
      <c r="J490" s="12"/>
      <c r="K490" s="12"/>
      <c r="L490" s="12"/>
      <c r="M490" s="12"/>
      <c r="N490" s="12"/>
      <c r="O490" s="12"/>
      <c r="P490" s="12"/>
    </row>
    <row r="491">
      <c r="A491" s="12"/>
      <c r="D491" s="95"/>
      <c r="E491" s="14"/>
      <c r="F491" s="96"/>
      <c r="H491" s="12"/>
      <c r="I491" s="12"/>
      <c r="J491" s="12"/>
      <c r="K491" s="12"/>
      <c r="L491" s="12"/>
      <c r="M491" s="12"/>
      <c r="N491" s="12"/>
      <c r="O491" s="12"/>
      <c r="P491" s="12"/>
    </row>
    <row r="492">
      <c r="A492" s="12"/>
      <c r="D492" s="95"/>
      <c r="E492" s="14"/>
      <c r="F492" s="96"/>
      <c r="H492" s="12"/>
      <c r="I492" s="12"/>
      <c r="J492" s="12"/>
      <c r="K492" s="12"/>
      <c r="L492" s="12"/>
      <c r="M492" s="12"/>
      <c r="N492" s="12"/>
      <c r="O492" s="12"/>
      <c r="P492" s="12"/>
    </row>
    <row r="493">
      <c r="A493" s="12"/>
      <c r="D493" s="95"/>
      <c r="E493" s="14"/>
      <c r="F493" s="96"/>
      <c r="H493" s="12"/>
      <c r="I493" s="12"/>
      <c r="J493" s="12"/>
      <c r="K493" s="12"/>
      <c r="L493" s="12"/>
      <c r="M493" s="12"/>
      <c r="N493" s="12"/>
      <c r="O493" s="12"/>
      <c r="P493" s="12"/>
    </row>
    <row r="494">
      <c r="A494" s="12"/>
      <c r="D494" s="95"/>
      <c r="E494" s="14"/>
      <c r="F494" s="96"/>
      <c r="H494" s="12"/>
      <c r="I494" s="12"/>
      <c r="J494" s="12"/>
      <c r="K494" s="12"/>
      <c r="L494" s="12"/>
      <c r="M494" s="12"/>
      <c r="N494" s="12"/>
      <c r="O494" s="12"/>
      <c r="P494" s="12"/>
    </row>
    <row r="495">
      <c r="A495" s="12"/>
      <c r="D495" s="95"/>
      <c r="E495" s="14"/>
      <c r="F495" s="96"/>
      <c r="H495" s="12"/>
      <c r="I495" s="12"/>
      <c r="J495" s="12"/>
      <c r="K495" s="12"/>
      <c r="L495" s="12"/>
      <c r="M495" s="12"/>
      <c r="N495" s="12"/>
      <c r="O495" s="12"/>
      <c r="P495" s="12"/>
    </row>
    <row r="496">
      <c r="A496" s="12"/>
      <c r="D496" s="95"/>
      <c r="E496" s="14"/>
      <c r="F496" s="96"/>
      <c r="H496" s="12"/>
      <c r="I496" s="12"/>
      <c r="J496" s="12"/>
      <c r="K496" s="12"/>
      <c r="L496" s="12"/>
      <c r="M496" s="12"/>
      <c r="N496" s="12"/>
      <c r="O496" s="12"/>
      <c r="P496" s="12"/>
    </row>
    <row r="497">
      <c r="A497" s="12"/>
      <c r="D497" s="95"/>
      <c r="E497" s="14"/>
      <c r="F497" s="96"/>
      <c r="H497" s="12"/>
      <c r="I497" s="12"/>
      <c r="J497" s="12"/>
      <c r="K497" s="12"/>
      <c r="L497" s="12"/>
      <c r="M497" s="12"/>
      <c r="N497" s="12"/>
      <c r="O497" s="12"/>
      <c r="P497" s="12"/>
    </row>
    <row r="498">
      <c r="A498" s="12"/>
      <c r="D498" s="95"/>
      <c r="E498" s="14"/>
      <c r="F498" s="96"/>
      <c r="H498" s="12"/>
      <c r="I498" s="12"/>
      <c r="J498" s="12"/>
      <c r="K498" s="12"/>
      <c r="L498" s="12"/>
      <c r="M498" s="12"/>
      <c r="N498" s="12"/>
      <c r="O498" s="12"/>
      <c r="P498" s="12"/>
    </row>
    <row r="499">
      <c r="A499" s="12"/>
      <c r="D499" s="95"/>
      <c r="E499" s="14"/>
      <c r="F499" s="96"/>
      <c r="H499" s="12"/>
      <c r="I499" s="12"/>
      <c r="J499" s="12"/>
      <c r="K499" s="12"/>
      <c r="L499" s="12"/>
      <c r="M499" s="12"/>
      <c r="N499" s="12"/>
      <c r="O499" s="12"/>
      <c r="P499" s="12"/>
    </row>
    <row r="500">
      <c r="A500" s="12"/>
      <c r="D500" s="95"/>
      <c r="E500" s="14"/>
      <c r="F500" s="96"/>
      <c r="H500" s="12"/>
      <c r="I500" s="12"/>
      <c r="J500" s="12"/>
      <c r="K500" s="12"/>
      <c r="L500" s="12"/>
      <c r="M500" s="12"/>
      <c r="N500" s="12"/>
      <c r="O500" s="12"/>
      <c r="P500" s="12"/>
    </row>
    <row r="501">
      <c r="A501" s="12"/>
      <c r="D501" s="95"/>
      <c r="E501" s="14"/>
      <c r="F501" s="96"/>
      <c r="H501" s="12"/>
      <c r="I501" s="12"/>
      <c r="J501" s="12"/>
      <c r="K501" s="12"/>
      <c r="L501" s="12"/>
      <c r="M501" s="12"/>
      <c r="N501" s="12"/>
      <c r="O501" s="12"/>
      <c r="P501" s="12"/>
    </row>
    <row r="502">
      <c r="A502" s="12"/>
      <c r="D502" s="95"/>
      <c r="E502" s="14"/>
      <c r="F502" s="96"/>
      <c r="H502" s="12"/>
      <c r="I502" s="12"/>
      <c r="J502" s="12"/>
      <c r="K502" s="12"/>
      <c r="L502" s="12"/>
      <c r="M502" s="12"/>
      <c r="N502" s="12"/>
      <c r="O502" s="12"/>
      <c r="P502" s="12"/>
    </row>
    <row r="503">
      <c r="A503" s="12"/>
      <c r="D503" s="95"/>
      <c r="E503" s="14"/>
      <c r="F503" s="96"/>
      <c r="H503" s="12"/>
      <c r="I503" s="12"/>
      <c r="J503" s="12"/>
      <c r="K503" s="12"/>
      <c r="L503" s="12"/>
      <c r="M503" s="12"/>
      <c r="N503" s="12"/>
      <c r="O503" s="12"/>
      <c r="P503" s="12"/>
    </row>
    <row r="504">
      <c r="A504" s="12"/>
      <c r="D504" s="95"/>
      <c r="E504" s="14"/>
      <c r="F504" s="96"/>
      <c r="H504" s="12"/>
      <c r="I504" s="12"/>
      <c r="J504" s="12"/>
      <c r="K504" s="12"/>
      <c r="L504" s="12"/>
      <c r="M504" s="12"/>
      <c r="N504" s="12"/>
      <c r="O504" s="12"/>
      <c r="P504" s="12"/>
    </row>
    <row r="505">
      <c r="A505" s="12"/>
      <c r="D505" s="95"/>
      <c r="E505" s="14"/>
      <c r="F505" s="96"/>
      <c r="H505" s="12"/>
      <c r="I505" s="12"/>
      <c r="J505" s="12"/>
      <c r="K505" s="12"/>
      <c r="L505" s="12"/>
      <c r="M505" s="12"/>
      <c r="N505" s="12"/>
      <c r="O505" s="12"/>
      <c r="P505" s="12"/>
    </row>
    <row r="506">
      <c r="A506" s="12"/>
      <c r="D506" s="95"/>
      <c r="E506" s="14"/>
      <c r="F506" s="96"/>
      <c r="H506" s="12"/>
      <c r="I506" s="12"/>
      <c r="J506" s="12"/>
      <c r="K506" s="12"/>
      <c r="L506" s="12"/>
      <c r="M506" s="12"/>
      <c r="N506" s="12"/>
      <c r="O506" s="12"/>
      <c r="P506" s="12"/>
    </row>
    <row r="507">
      <c r="A507" s="12"/>
      <c r="D507" s="95"/>
      <c r="E507" s="14"/>
      <c r="F507" s="96"/>
      <c r="H507" s="12"/>
      <c r="I507" s="12"/>
      <c r="J507" s="12"/>
      <c r="K507" s="12"/>
      <c r="L507" s="12"/>
      <c r="M507" s="12"/>
      <c r="N507" s="12"/>
      <c r="O507" s="12"/>
      <c r="P507" s="12"/>
    </row>
    <row r="508">
      <c r="A508" s="12"/>
      <c r="D508" s="95"/>
      <c r="E508" s="14"/>
      <c r="F508" s="96"/>
      <c r="H508" s="12"/>
      <c r="I508" s="12"/>
      <c r="J508" s="12"/>
      <c r="K508" s="12"/>
      <c r="L508" s="12"/>
      <c r="M508" s="12"/>
      <c r="N508" s="12"/>
      <c r="O508" s="12"/>
      <c r="P508" s="12"/>
    </row>
    <row r="509">
      <c r="A509" s="12"/>
      <c r="D509" s="95"/>
      <c r="E509" s="14"/>
      <c r="F509" s="96"/>
      <c r="H509" s="12"/>
      <c r="I509" s="12"/>
      <c r="J509" s="12"/>
      <c r="K509" s="12"/>
      <c r="L509" s="12"/>
      <c r="M509" s="12"/>
      <c r="N509" s="12"/>
      <c r="O509" s="12"/>
      <c r="P509" s="12"/>
    </row>
    <row r="510">
      <c r="A510" s="12"/>
      <c r="D510" s="95"/>
      <c r="E510" s="14"/>
      <c r="F510" s="96"/>
      <c r="H510" s="12"/>
      <c r="I510" s="12"/>
      <c r="J510" s="12"/>
      <c r="K510" s="12"/>
      <c r="L510" s="12"/>
      <c r="M510" s="12"/>
      <c r="N510" s="12"/>
      <c r="O510" s="12"/>
      <c r="P510" s="12"/>
    </row>
    <row r="511">
      <c r="A511" s="12"/>
      <c r="D511" s="95"/>
      <c r="E511" s="14"/>
      <c r="F511" s="96"/>
      <c r="H511" s="12"/>
      <c r="I511" s="12"/>
      <c r="J511" s="12"/>
      <c r="K511" s="12"/>
      <c r="L511" s="12"/>
      <c r="M511" s="12"/>
      <c r="N511" s="12"/>
      <c r="O511" s="12"/>
      <c r="P511" s="12"/>
    </row>
    <row r="512">
      <c r="A512" s="12"/>
      <c r="D512" s="95"/>
      <c r="E512" s="14"/>
      <c r="F512" s="96"/>
      <c r="H512" s="12"/>
      <c r="I512" s="12"/>
      <c r="J512" s="12"/>
      <c r="K512" s="12"/>
      <c r="L512" s="12"/>
      <c r="M512" s="12"/>
      <c r="N512" s="12"/>
      <c r="O512" s="12"/>
      <c r="P512" s="12"/>
    </row>
    <row r="513">
      <c r="A513" s="12"/>
      <c r="D513" s="95"/>
      <c r="E513" s="14"/>
      <c r="F513" s="96"/>
      <c r="H513" s="12"/>
      <c r="I513" s="12"/>
      <c r="J513" s="12"/>
      <c r="K513" s="12"/>
      <c r="L513" s="12"/>
      <c r="M513" s="12"/>
      <c r="N513" s="12"/>
      <c r="O513" s="12"/>
      <c r="P513" s="12"/>
    </row>
    <row r="514">
      <c r="A514" s="12"/>
      <c r="D514" s="95"/>
      <c r="E514" s="14"/>
      <c r="F514" s="96"/>
      <c r="H514" s="12"/>
      <c r="I514" s="12"/>
      <c r="J514" s="12"/>
      <c r="K514" s="12"/>
      <c r="L514" s="12"/>
      <c r="M514" s="12"/>
      <c r="N514" s="12"/>
      <c r="O514" s="12"/>
      <c r="P514" s="12"/>
    </row>
    <row r="515">
      <c r="A515" s="12"/>
      <c r="D515" s="95"/>
      <c r="E515" s="14"/>
      <c r="F515" s="96"/>
      <c r="H515" s="12"/>
      <c r="I515" s="12"/>
      <c r="J515" s="12"/>
      <c r="K515" s="12"/>
      <c r="L515" s="12"/>
      <c r="M515" s="12"/>
      <c r="N515" s="12"/>
      <c r="O515" s="12"/>
      <c r="P515" s="12"/>
    </row>
    <row r="516">
      <c r="A516" s="12"/>
      <c r="D516" s="95"/>
      <c r="E516" s="14"/>
      <c r="F516" s="96"/>
      <c r="H516" s="12"/>
      <c r="I516" s="12"/>
      <c r="J516" s="12"/>
      <c r="K516" s="12"/>
      <c r="L516" s="12"/>
      <c r="M516" s="12"/>
      <c r="N516" s="12"/>
      <c r="O516" s="12"/>
      <c r="P516" s="12"/>
    </row>
    <row r="517">
      <c r="A517" s="12"/>
      <c r="D517" s="95"/>
      <c r="E517" s="14"/>
      <c r="F517" s="96"/>
      <c r="H517" s="12"/>
      <c r="I517" s="12"/>
      <c r="J517" s="12"/>
      <c r="K517" s="12"/>
      <c r="L517" s="12"/>
      <c r="M517" s="12"/>
      <c r="N517" s="12"/>
      <c r="O517" s="12"/>
      <c r="P517" s="12"/>
    </row>
    <row r="518">
      <c r="A518" s="12"/>
      <c r="D518" s="95"/>
      <c r="E518" s="14"/>
      <c r="F518" s="96"/>
      <c r="H518" s="12"/>
      <c r="I518" s="12"/>
      <c r="J518" s="12"/>
      <c r="K518" s="12"/>
      <c r="L518" s="12"/>
      <c r="M518" s="12"/>
      <c r="N518" s="12"/>
      <c r="O518" s="12"/>
      <c r="P518" s="12"/>
    </row>
    <row r="519">
      <c r="A519" s="12"/>
      <c r="D519" s="95"/>
      <c r="E519" s="14"/>
      <c r="F519" s="96"/>
      <c r="H519" s="12"/>
      <c r="I519" s="12"/>
      <c r="J519" s="12"/>
      <c r="K519" s="12"/>
      <c r="L519" s="12"/>
      <c r="M519" s="12"/>
      <c r="N519" s="12"/>
      <c r="O519" s="12"/>
      <c r="P519" s="12"/>
    </row>
    <row r="520">
      <c r="A520" s="12"/>
      <c r="D520" s="95"/>
      <c r="E520" s="14"/>
      <c r="F520" s="96"/>
      <c r="H520" s="12"/>
      <c r="I520" s="12"/>
      <c r="J520" s="12"/>
      <c r="K520" s="12"/>
      <c r="L520" s="12"/>
      <c r="M520" s="12"/>
      <c r="N520" s="12"/>
      <c r="O520" s="12"/>
      <c r="P520" s="12"/>
    </row>
    <row r="521">
      <c r="A521" s="12"/>
      <c r="D521" s="95"/>
      <c r="E521" s="14"/>
      <c r="F521" s="96"/>
      <c r="H521" s="12"/>
      <c r="I521" s="12"/>
      <c r="J521" s="12"/>
      <c r="K521" s="12"/>
      <c r="L521" s="12"/>
      <c r="M521" s="12"/>
      <c r="N521" s="12"/>
      <c r="O521" s="12"/>
      <c r="P521" s="12"/>
    </row>
    <row r="522">
      <c r="A522" s="12"/>
      <c r="D522" s="95"/>
      <c r="E522" s="14"/>
      <c r="F522" s="96"/>
      <c r="H522" s="12"/>
      <c r="I522" s="12"/>
      <c r="J522" s="12"/>
      <c r="K522" s="12"/>
      <c r="L522" s="12"/>
      <c r="M522" s="12"/>
      <c r="N522" s="12"/>
      <c r="O522" s="12"/>
      <c r="P522" s="12"/>
    </row>
    <row r="523">
      <c r="A523" s="12"/>
      <c r="D523" s="95"/>
      <c r="E523" s="14"/>
      <c r="F523" s="96"/>
      <c r="H523" s="12"/>
      <c r="I523" s="12"/>
      <c r="J523" s="12"/>
      <c r="K523" s="12"/>
      <c r="L523" s="12"/>
      <c r="M523" s="12"/>
      <c r="N523" s="12"/>
      <c r="O523" s="12"/>
      <c r="P523" s="12"/>
    </row>
    <row r="524">
      <c r="A524" s="12"/>
      <c r="D524" s="95"/>
      <c r="E524" s="14"/>
      <c r="F524" s="96"/>
      <c r="H524" s="12"/>
      <c r="I524" s="12"/>
      <c r="J524" s="12"/>
      <c r="K524" s="12"/>
      <c r="L524" s="12"/>
      <c r="M524" s="12"/>
      <c r="N524" s="12"/>
      <c r="O524" s="12"/>
      <c r="P524" s="12"/>
    </row>
    <row r="525">
      <c r="A525" s="12"/>
      <c r="D525" s="95"/>
      <c r="E525" s="14"/>
      <c r="F525" s="96"/>
      <c r="H525" s="12"/>
      <c r="I525" s="12"/>
      <c r="J525" s="12"/>
      <c r="K525" s="12"/>
      <c r="L525" s="12"/>
      <c r="M525" s="12"/>
      <c r="N525" s="12"/>
      <c r="O525" s="12"/>
      <c r="P525" s="12"/>
    </row>
    <row r="526">
      <c r="A526" s="12"/>
      <c r="D526" s="95"/>
      <c r="E526" s="14"/>
      <c r="F526" s="96"/>
      <c r="H526" s="12"/>
      <c r="I526" s="12"/>
      <c r="J526" s="12"/>
      <c r="K526" s="12"/>
      <c r="L526" s="12"/>
      <c r="M526" s="12"/>
      <c r="N526" s="12"/>
      <c r="O526" s="12"/>
      <c r="P526" s="12"/>
    </row>
    <row r="527">
      <c r="A527" s="12"/>
      <c r="D527" s="95"/>
      <c r="E527" s="14"/>
      <c r="F527" s="96"/>
      <c r="H527" s="12"/>
      <c r="I527" s="12"/>
      <c r="J527" s="12"/>
      <c r="K527" s="12"/>
      <c r="L527" s="12"/>
      <c r="M527" s="12"/>
      <c r="N527" s="12"/>
      <c r="O527" s="12"/>
      <c r="P527" s="12"/>
    </row>
    <row r="528">
      <c r="A528" s="12"/>
      <c r="D528" s="95"/>
      <c r="E528" s="14"/>
      <c r="F528" s="96"/>
      <c r="H528" s="12"/>
      <c r="I528" s="12"/>
      <c r="J528" s="12"/>
      <c r="K528" s="12"/>
      <c r="L528" s="12"/>
      <c r="M528" s="12"/>
      <c r="N528" s="12"/>
      <c r="O528" s="12"/>
      <c r="P528" s="12"/>
    </row>
    <row r="529">
      <c r="A529" s="12"/>
      <c r="D529" s="95"/>
      <c r="E529" s="14"/>
      <c r="F529" s="96"/>
      <c r="H529" s="12"/>
      <c r="I529" s="12"/>
      <c r="J529" s="12"/>
      <c r="K529" s="12"/>
      <c r="L529" s="12"/>
      <c r="M529" s="12"/>
      <c r="N529" s="12"/>
      <c r="O529" s="12"/>
      <c r="P529" s="12"/>
    </row>
    <row r="530">
      <c r="A530" s="12"/>
      <c r="D530" s="95"/>
      <c r="E530" s="14"/>
      <c r="F530" s="96"/>
      <c r="H530" s="12"/>
      <c r="I530" s="12"/>
      <c r="J530" s="12"/>
      <c r="K530" s="12"/>
      <c r="L530" s="12"/>
      <c r="M530" s="12"/>
      <c r="N530" s="12"/>
      <c r="O530" s="12"/>
      <c r="P530" s="12"/>
    </row>
    <row r="531">
      <c r="A531" s="12"/>
      <c r="D531" s="95"/>
      <c r="E531" s="14"/>
      <c r="F531" s="96"/>
      <c r="H531" s="12"/>
      <c r="I531" s="12"/>
      <c r="J531" s="12"/>
      <c r="K531" s="12"/>
      <c r="L531" s="12"/>
      <c r="M531" s="12"/>
      <c r="N531" s="12"/>
      <c r="O531" s="12"/>
      <c r="P531" s="12"/>
    </row>
    <row r="532">
      <c r="A532" s="12"/>
      <c r="D532" s="95"/>
      <c r="E532" s="14"/>
      <c r="F532" s="96"/>
      <c r="H532" s="12"/>
      <c r="I532" s="12"/>
      <c r="J532" s="12"/>
      <c r="K532" s="12"/>
      <c r="L532" s="12"/>
      <c r="M532" s="12"/>
      <c r="N532" s="12"/>
      <c r="O532" s="12"/>
      <c r="P532" s="12"/>
    </row>
    <row r="533">
      <c r="A533" s="12"/>
      <c r="D533" s="95"/>
      <c r="E533" s="14"/>
      <c r="F533" s="96"/>
      <c r="H533" s="12"/>
      <c r="I533" s="12"/>
      <c r="J533" s="12"/>
      <c r="K533" s="12"/>
      <c r="L533" s="12"/>
      <c r="M533" s="12"/>
      <c r="N533" s="12"/>
      <c r="O533" s="12"/>
      <c r="P533" s="12"/>
    </row>
    <row r="534">
      <c r="A534" s="12"/>
      <c r="D534" s="95"/>
      <c r="E534" s="14"/>
      <c r="F534" s="96"/>
      <c r="H534" s="12"/>
      <c r="I534" s="12"/>
      <c r="J534" s="12"/>
      <c r="K534" s="12"/>
      <c r="L534" s="12"/>
      <c r="M534" s="12"/>
      <c r="N534" s="12"/>
      <c r="O534" s="12"/>
      <c r="P534" s="12"/>
    </row>
    <row r="535">
      <c r="A535" s="12"/>
      <c r="D535" s="95"/>
      <c r="E535" s="14"/>
      <c r="F535" s="96"/>
      <c r="H535" s="12"/>
      <c r="I535" s="12"/>
      <c r="J535" s="12"/>
      <c r="K535" s="12"/>
      <c r="L535" s="12"/>
      <c r="M535" s="12"/>
      <c r="N535" s="12"/>
      <c r="O535" s="12"/>
      <c r="P535" s="12"/>
    </row>
    <row r="536">
      <c r="A536" s="12"/>
      <c r="D536" s="95"/>
      <c r="E536" s="14"/>
      <c r="F536" s="96"/>
      <c r="H536" s="12"/>
      <c r="I536" s="12"/>
      <c r="J536" s="12"/>
      <c r="K536" s="12"/>
      <c r="L536" s="12"/>
      <c r="M536" s="12"/>
      <c r="N536" s="12"/>
      <c r="O536" s="12"/>
      <c r="P536" s="12"/>
    </row>
    <row r="537">
      <c r="A537" s="12"/>
      <c r="D537" s="95"/>
      <c r="E537" s="14"/>
      <c r="F537" s="96"/>
      <c r="H537" s="12"/>
      <c r="I537" s="12"/>
      <c r="J537" s="12"/>
      <c r="K537" s="12"/>
      <c r="L537" s="12"/>
      <c r="M537" s="12"/>
      <c r="N537" s="12"/>
      <c r="O537" s="12"/>
      <c r="P537" s="12"/>
    </row>
    <row r="538">
      <c r="A538" s="12"/>
      <c r="D538" s="95"/>
      <c r="E538" s="14"/>
      <c r="F538" s="96"/>
      <c r="H538" s="12"/>
      <c r="I538" s="12"/>
      <c r="J538" s="12"/>
      <c r="K538" s="12"/>
      <c r="L538" s="12"/>
      <c r="M538" s="12"/>
      <c r="N538" s="12"/>
      <c r="O538" s="12"/>
      <c r="P538" s="12"/>
    </row>
    <row r="539">
      <c r="A539" s="12"/>
      <c r="D539" s="95"/>
      <c r="E539" s="14"/>
      <c r="F539" s="96"/>
      <c r="H539" s="12"/>
      <c r="I539" s="12"/>
      <c r="J539" s="12"/>
      <c r="K539" s="12"/>
      <c r="L539" s="12"/>
      <c r="M539" s="12"/>
      <c r="N539" s="12"/>
      <c r="O539" s="12"/>
      <c r="P539" s="12"/>
    </row>
    <row r="540">
      <c r="A540" s="12"/>
      <c r="D540" s="95"/>
      <c r="E540" s="14"/>
      <c r="F540" s="96"/>
      <c r="H540" s="12"/>
      <c r="I540" s="12"/>
      <c r="J540" s="12"/>
      <c r="K540" s="12"/>
      <c r="L540" s="12"/>
      <c r="M540" s="12"/>
      <c r="N540" s="12"/>
      <c r="O540" s="12"/>
      <c r="P540" s="12"/>
    </row>
    <row r="541">
      <c r="A541" s="12"/>
      <c r="D541" s="95"/>
      <c r="E541" s="14"/>
      <c r="F541" s="96"/>
      <c r="H541" s="12"/>
      <c r="I541" s="12"/>
      <c r="J541" s="12"/>
      <c r="K541" s="12"/>
      <c r="L541" s="12"/>
      <c r="M541" s="12"/>
      <c r="N541" s="12"/>
      <c r="O541" s="12"/>
      <c r="P541" s="12"/>
    </row>
    <row r="542">
      <c r="A542" s="12"/>
      <c r="D542" s="95"/>
      <c r="E542" s="14"/>
      <c r="F542" s="96"/>
      <c r="H542" s="12"/>
      <c r="I542" s="12"/>
      <c r="J542" s="12"/>
      <c r="K542" s="12"/>
      <c r="L542" s="12"/>
      <c r="M542" s="12"/>
      <c r="N542" s="12"/>
      <c r="O542" s="12"/>
      <c r="P542" s="12"/>
    </row>
    <row r="543">
      <c r="A543" s="12"/>
      <c r="D543" s="95"/>
      <c r="E543" s="14"/>
      <c r="F543" s="96"/>
      <c r="H543" s="12"/>
      <c r="I543" s="12"/>
      <c r="J543" s="12"/>
      <c r="K543" s="12"/>
      <c r="L543" s="12"/>
      <c r="M543" s="12"/>
      <c r="N543" s="12"/>
      <c r="O543" s="12"/>
      <c r="P543" s="12"/>
    </row>
    <row r="544">
      <c r="A544" s="12"/>
      <c r="D544" s="95"/>
      <c r="E544" s="14"/>
      <c r="F544" s="96"/>
      <c r="H544" s="12"/>
      <c r="I544" s="12"/>
      <c r="J544" s="12"/>
      <c r="K544" s="12"/>
      <c r="L544" s="12"/>
      <c r="M544" s="12"/>
      <c r="N544" s="12"/>
      <c r="O544" s="12"/>
      <c r="P544" s="12"/>
    </row>
    <row r="545">
      <c r="A545" s="12"/>
      <c r="D545" s="95"/>
      <c r="E545" s="14"/>
      <c r="F545" s="96"/>
      <c r="H545" s="12"/>
      <c r="I545" s="12"/>
      <c r="J545" s="12"/>
      <c r="K545" s="12"/>
      <c r="L545" s="12"/>
      <c r="M545" s="12"/>
      <c r="N545" s="12"/>
      <c r="O545" s="12"/>
      <c r="P545" s="12"/>
    </row>
    <row r="546">
      <c r="A546" s="12"/>
      <c r="D546" s="95"/>
      <c r="E546" s="14"/>
      <c r="F546" s="96"/>
      <c r="H546" s="12"/>
      <c r="I546" s="12"/>
      <c r="J546" s="12"/>
      <c r="K546" s="12"/>
      <c r="L546" s="12"/>
      <c r="M546" s="12"/>
      <c r="N546" s="12"/>
      <c r="O546" s="12"/>
      <c r="P546" s="12"/>
    </row>
    <row r="547">
      <c r="A547" s="12"/>
      <c r="D547" s="95"/>
      <c r="E547" s="14"/>
      <c r="F547" s="96"/>
      <c r="H547" s="12"/>
      <c r="I547" s="12"/>
      <c r="J547" s="12"/>
      <c r="K547" s="12"/>
      <c r="L547" s="12"/>
      <c r="M547" s="12"/>
      <c r="N547" s="12"/>
      <c r="O547" s="12"/>
      <c r="P547" s="12"/>
    </row>
    <row r="548">
      <c r="A548" s="12"/>
      <c r="D548" s="95"/>
      <c r="E548" s="14"/>
      <c r="F548" s="96"/>
      <c r="H548" s="12"/>
      <c r="I548" s="12"/>
      <c r="J548" s="12"/>
      <c r="K548" s="12"/>
      <c r="L548" s="12"/>
      <c r="M548" s="12"/>
      <c r="N548" s="12"/>
      <c r="O548" s="12"/>
      <c r="P548" s="12"/>
    </row>
    <row r="549">
      <c r="A549" s="12"/>
      <c r="D549" s="95"/>
      <c r="E549" s="14"/>
      <c r="F549" s="96"/>
      <c r="H549" s="12"/>
      <c r="I549" s="12"/>
      <c r="J549" s="12"/>
      <c r="K549" s="12"/>
      <c r="L549" s="12"/>
      <c r="M549" s="12"/>
      <c r="N549" s="12"/>
      <c r="O549" s="12"/>
      <c r="P549" s="12"/>
    </row>
    <row r="550">
      <c r="A550" s="12"/>
      <c r="D550" s="95"/>
      <c r="E550" s="14"/>
      <c r="F550" s="96"/>
      <c r="H550" s="12"/>
      <c r="I550" s="12"/>
      <c r="J550" s="12"/>
      <c r="K550" s="12"/>
      <c r="L550" s="12"/>
      <c r="M550" s="12"/>
      <c r="N550" s="12"/>
      <c r="O550" s="12"/>
      <c r="P550" s="12"/>
    </row>
    <row r="551">
      <c r="A551" s="12"/>
      <c r="D551" s="95"/>
      <c r="E551" s="14"/>
      <c r="F551" s="96"/>
      <c r="H551" s="12"/>
      <c r="I551" s="12"/>
      <c r="J551" s="12"/>
      <c r="K551" s="12"/>
      <c r="L551" s="12"/>
      <c r="M551" s="12"/>
      <c r="N551" s="12"/>
      <c r="O551" s="12"/>
      <c r="P551" s="12"/>
    </row>
    <row r="552">
      <c r="A552" s="12"/>
      <c r="D552" s="95"/>
      <c r="E552" s="14"/>
      <c r="F552" s="96"/>
      <c r="H552" s="12"/>
      <c r="I552" s="12"/>
      <c r="J552" s="12"/>
      <c r="K552" s="12"/>
      <c r="L552" s="12"/>
      <c r="M552" s="12"/>
      <c r="N552" s="12"/>
      <c r="O552" s="12"/>
      <c r="P552" s="12"/>
    </row>
    <row r="553">
      <c r="A553" s="12"/>
      <c r="D553" s="95"/>
      <c r="E553" s="14"/>
      <c r="F553" s="96"/>
      <c r="H553" s="12"/>
      <c r="I553" s="12"/>
      <c r="J553" s="12"/>
      <c r="K553" s="12"/>
      <c r="L553" s="12"/>
      <c r="M553" s="12"/>
      <c r="N553" s="12"/>
      <c r="O553" s="12"/>
      <c r="P553" s="12"/>
    </row>
    <row r="554">
      <c r="A554" s="12"/>
      <c r="D554" s="95"/>
      <c r="E554" s="14"/>
      <c r="F554" s="96"/>
      <c r="H554" s="12"/>
      <c r="I554" s="12"/>
      <c r="J554" s="12"/>
      <c r="K554" s="12"/>
      <c r="L554" s="12"/>
      <c r="M554" s="12"/>
      <c r="N554" s="12"/>
      <c r="O554" s="12"/>
      <c r="P554" s="12"/>
    </row>
    <row r="555">
      <c r="A555" s="12"/>
      <c r="D555" s="95"/>
      <c r="E555" s="14"/>
      <c r="F555" s="96"/>
      <c r="H555" s="12"/>
      <c r="I555" s="12"/>
      <c r="J555" s="12"/>
      <c r="K555" s="12"/>
      <c r="L555" s="12"/>
      <c r="M555" s="12"/>
      <c r="N555" s="12"/>
      <c r="O555" s="12"/>
      <c r="P555" s="12"/>
    </row>
    <row r="556">
      <c r="A556" s="12"/>
      <c r="D556" s="95"/>
      <c r="E556" s="14"/>
      <c r="F556" s="96"/>
      <c r="H556" s="12"/>
      <c r="I556" s="12"/>
      <c r="J556" s="12"/>
      <c r="K556" s="12"/>
      <c r="L556" s="12"/>
      <c r="M556" s="12"/>
      <c r="N556" s="12"/>
      <c r="O556" s="12"/>
      <c r="P556" s="12"/>
    </row>
    <row r="557">
      <c r="A557" s="12"/>
      <c r="D557" s="95"/>
      <c r="E557" s="14"/>
      <c r="F557" s="96"/>
      <c r="H557" s="12"/>
      <c r="I557" s="12"/>
      <c r="J557" s="12"/>
      <c r="K557" s="12"/>
      <c r="L557" s="12"/>
      <c r="M557" s="12"/>
      <c r="N557" s="12"/>
      <c r="O557" s="12"/>
      <c r="P557" s="12"/>
    </row>
    <row r="558">
      <c r="A558" s="12"/>
      <c r="D558" s="95"/>
      <c r="E558" s="14"/>
      <c r="F558" s="96"/>
      <c r="H558" s="12"/>
      <c r="I558" s="12"/>
      <c r="J558" s="12"/>
      <c r="K558" s="12"/>
      <c r="L558" s="12"/>
      <c r="M558" s="12"/>
      <c r="N558" s="12"/>
      <c r="O558" s="12"/>
      <c r="P558" s="12"/>
    </row>
    <row r="559">
      <c r="A559" s="12"/>
      <c r="D559" s="95"/>
      <c r="E559" s="14"/>
      <c r="F559" s="96"/>
      <c r="H559" s="12"/>
      <c r="I559" s="12"/>
      <c r="J559" s="12"/>
      <c r="K559" s="12"/>
      <c r="L559" s="12"/>
      <c r="M559" s="12"/>
      <c r="N559" s="12"/>
      <c r="O559" s="12"/>
      <c r="P559" s="12"/>
    </row>
    <row r="560">
      <c r="A560" s="12"/>
      <c r="D560" s="95"/>
      <c r="E560" s="14"/>
      <c r="F560" s="96"/>
      <c r="H560" s="12"/>
      <c r="I560" s="12"/>
      <c r="J560" s="12"/>
      <c r="K560" s="12"/>
      <c r="L560" s="12"/>
      <c r="M560" s="12"/>
      <c r="N560" s="12"/>
      <c r="O560" s="12"/>
      <c r="P560" s="12"/>
    </row>
    <row r="561">
      <c r="A561" s="12"/>
      <c r="D561" s="95"/>
      <c r="E561" s="14"/>
      <c r="F561" s="96"/>
      <c r="H561" s="12"/>
      <c r="I561" s="12"/>
      <c r="J561" s="12"/>
      <c r="K561" s="12"/>
      <c r="L561" s="12"/>
      <c r="M561" s="12"/>
      <c r="N561" s="12"/>
      <c r="O561" s="12"/>
      <c r="P561" s="12"/>
    </row>
    <row r="562">
      <c r="A562" s="12"/>
      <c r="D562" s="95"/>
      <c r="E562" s="14"/>
      <c r="F562" s="96"/>
      <c r="H562" s="12"/>
      <c r="I562" s="12"/>
      <c r="J562" s="12"/>
      <c r="K562" s="12"/>
      <c r="L562" s="12"/>
      <c r="M562" s="12"/>
      <c r="N562" s="12"/>
      <c r="O562" s="12"/>
      <c r="P562" s="12"/>
    </row>
    <row r="563">
      <c r="A563" s="12"/>
      <c r="D563" s="95"/>
      <c r="E563" s="14"/>
      <c r="F563" s="96"/>
      <c r="H563" s="12"/>
      <c r="I563" s="12"/>
      <c r="J563" s="12"/>
      <c r="K563" s="12"/>
      <c r="L563" s="12"/>
      <c r="M563" s="12"/>
      <c r="N563" s="12"/>
      <c r="O563" s="12"/>
      <c r="P563" s="12"/>
    </row>
    <row r="564">
      <c r="A564" s="12"/>
      <c r="D564" s="95"/>
      <c r="E564" s="14"/>
      <c r="F564" s="96"/>
      <c r="H564" s="12"/>
      <c r="I564" s="12"/>
      <c r="J564" s="12"/>
      <c r="K564" s="12"/>
      <c r="L564" s="12"/>
      <c r="M564" s="12"/>
      <c r="N564" s="12"/>
      <c r="O564" s="12"/>
      <c r="P564" s="12"/>
    </row>
    <row r="565">
      <c r="A565" s="12"/>
      <c r="D565" s="95"/>
      <c r="E565" s="14"/>
      <c r="F565" s="96"/>
      <c r="H565" s="12"/>
      <c r="I565" s="12"/>
      <c r="J565" s="12"/>
      <c r="K565" s="12"/>
      <c r="L565" s="12"/>
      <c r="M565" s="12"/>
      <c r="N565" s="12"/>
      <c r="O565" s="12"/>
      <c r="P565" s="12"/>
    </row>
    <row r="566">
      <c r="A566" s="12"/>
      <c r="D566" s="95"/>
      <c r="E566" s="14"/>
      <c r="F566" s="96"/>
      <c r="H566" s="12"/>
      <c r="I566" s="12"/>
      <c r="J566" s="12"/>
      <c r="K566" s="12"/>
      <c r="L566" s="12"/>
      <c r="M566" s="12"/>
      <c r="N566" s="12"/>
      <c r="O566" s="12"/>
      <c r="P566" s="12"/>
    </row>
    <row r="567">
      <c r="A567" s="12"/>
      <c r="D567" s="95"/>
      <c r="E567" s="14"/>
      <c r="F567" s="96"/>
      <c r="H567" s="12"/>
      <c r="I567" s="12"/>
      <c r="J567" s="12"/>
      <c r="K567" s="12"/>
      <c r="L567" s="12"/>
      <c r="M567" s="12"/>
      <c r="N567" s="12"/>
      <c r="O567" s="12"/>
      <c r="P567" s="12"/>
    </row>
    <row r="568">
      <c r="A568" s="12"/>
      <c r="D568" s="95"/>
      <c r="E568" s="14"/>
      <c r="F568" s="96"/>
      <c r="H568" s="12"/>
      <c r="I568" s="12"/>
      <c r="J568" s="12"/>
      <c r="K568" s="12"/>
      <c r="L568" s="12"/>
      <c r="M568" s="12"/>
      <c r="N568" s="12"/>
      <c r="O568" s="12"/>
      <c r="P568" s="12"/>
    </row>
    <row r="569">
      <c r="A569" s="12"/>
      <c r="D569" s="95"/>
      <c r="E569" s="14"/>
      <c r="F569" s="96"/>
      <c r="H569" s="12"/>
      <c r="I569" s="12"/>
      <c r="J569" s="12"/>
      <c r="K569" s="12"/>
      <c r="L569" s="12"/>
      <c r="M569" s="12"/>
      <c r="N569" s="12"/>
      <c r="O569" s="12"/>
      <c r="P569" s="12"/>
    </row>
    <row r="570">
      <c r="A570" s="12"/>
      <c r="D570" s="95"/>
      <c r="E570" s="14"/>
      <c r="F570" s="96"/>
      <c r="H570" s="12"/>
      <c r="I570" s="12"/>
      <c r="J570" s="12"/>
      <c r="K570" s="12"/>
      <c r="L570" s="12"/>
      <c r="M570" s="12"/>
      <c r="N570" s="12"/>
      <c r="O570" s="12"/>
      <c r="P570" s="12"/>
    </row>
    <row r="571">
      <c r="A571" s="12"/>
      <c r="D571" s="95"/>
      <c r="E571" s="14"/>
      <c r="F571" s="96"/>
      <c r="H571" s="12"/>
      <c r="I571" s="12"/>
      <c r="J571" s="12"/>
      <c r="K571" s="12"/>
      <c r="L571" s="12"/>
      <c r="M571" s="12"/>
      <c r="N571" s="12"/>
      <c r="O571" s="12"/>
      <c r="P571" s="12"/>
    </row>
    <row r="572">
      <c r="A572" s="12"/>
      <c r="D572" s="95"/>
      <c r="E572" s="14"/>
      <c r="F572" s="96"/>
      <c r="H572" s="12"/>
      <c r="I572" s="12"/>
      <c r="J572" s="12"/>
      <c r="K572" s="12"/>
      <c r="L572" s="12"/>
      <c r="M572" s="12"/>
      <c r="N572" s="12"/>
      <c r="O572" s="12"/>
      <c r="P572" s="12"/>
    </row>
    <row r="573">
      <c r="A573" s="12"/>
      <c r="D573" s="95"/>
      <c r="E573" s="14"/>
      <c r="F573" s="96"/>
      <c r="H573" s="12"/>
      <c r="I573" s="12"/>
      <c r="J573" s="12"/>
      <c r="K573" s="12"/>
      <c r="L573" s="12"/>
      <c r="M573" s="12"/>
      <c r="N573" s="12"/>
      <c r="O573" s="12"/>
      <c r="P573" s="12"/>
    </row>
    <row r="574">
      <c r="A574" s="12"/>
      <c r="D574" s="95"/>
      <c r="E574" s="14"/>
      <c r="F574" s="96"/>
      <c r="H574" s="12"/>
      <c r="I574" s="12"/>
      <c r="J574" s="12"/>
      <c r="K574" s="12"/>
      <c r="L574" s="12"/>
      <c r="M574" s="12"/>
      <c r="N574" s="12"/>
      <c r="O574" s="12"/>
      <c r="P574" s="12"/>
    </row>
    <row r="575">
      <c r="A575" s="12"/>
      <c r="D575" s="95"/>
      <c r="E575" s="14"/>
      <c r="F575" s="96"/>
      <c r="H575" s="12"/>
      <c r="I575" s="12"/>
      <c r="J575" s="12"/>
      <c r="K575" s="12"/>
      <c r="L575" s="12"/>
      <c r="M575" s="12"/>
      <c r="N575" s="12"/>
      <c r="O575" s="12"/>
      <c r="P575" s="12"/>
    </row>
    <row r="576">
      <c r="A576" s="12"/>
      <c r="D576" s="95"/>
      <c r="E576" s="14"/>
      <c r="F576" s="96"/>
      <c r="H576" s="12"/>
      <c r="I576" s="12"/>
      <c r="J576" s="12"/>
      <c r="K576" s="12"/>
      <c r="L576" s="12"/>
      <c r="M576" s="12"/>
      <c r="N576" s="12"/>
      <c r="O576" s="12"/>
      <c r="P576" s="12"/>
    </row>
    <row r="577">
      <c r="A577" s="12"/>
      <c r="D577" s="95"/>
      <c r="E577" s="14"/>
      <c r="F577" s="96"/>
      <c r="H577" s="12"/>
      <c r="I577" s="12"/>
      <c r="J577" s="12"/>
      <c r="K577" s="12"/>
      <c r="L577" s="12"/>
      <c r="M577" s="12"/>
      <c r="N577" s="12"/>
      <c r="O577" s="12"/>
      <c r="P577" s="12"/>
    </row>
    <row r="578">
      <c r="A578" s="12"/>
      <c r="D578" s="95"/>
      <c r="E578" s="14"/>
      <c r="F578" s="96"/>
      <c r="H578" s="12"/>
      <c r="I578" s="12"/>
      <c r="J578" s="12"/>
      <c r="K578" s="12"/>
      <c r="L578" s="12"/>
      <c r="M578" s="12"/>
      <c r="N578" s="12"/>
      <c r="O578" s="12"/>
      <c r="P578" s="12"/>
    </row>
    <row r="579">
      <c r="A579" s="12"/>
      <c r="D579" s="95"/>
      <c r="E579" s="14"/>
      <c r="F579" s="96"/>
      <c r="H579" s="12"/>
      <c r="I579" s="12"/>
      <c r="J579" s="12"/>
      <c r="K579" s="12"/>
      <c r="L579" s="12"/>
      <c r="M579" s="12"/>
      <c r="N579" s="12"/>
      <c r="O579" s="12"/>
      <c r="P579" s="12"/>
    </row>
    <row r="580">
      <c r="A580" s="12"/>
      <c r="D580" s="95"/>
      <c r="E580" s="14"/>
      <c r="F580" s="96"/>
      <c r="H580" s="12"/>
      <c r="I580" s="12"/>
      <c r="J580" s="12"/>
      <c r="K580" s="12"/>
      <c r="L580" s="12"/>
      <c r="M580" s="12"/>
      <c r="N580" s="12"/>
      <c r="O580" s="12"/>
      <c r="P580" s="12"/>
    </row>
    <row r="581">
      <c r="A581" s="12"/>
      <c r="D581" s="95"/>
      <c r="E581" s="14"/>
      <c r="F581" s="96"/>
      <c r="H581" s="12"/>
      <c r="I581" s="12"/>
      <c r="J581" s="12"/>
      <c r="K581" s="12"/>
      <c r="L581" s="12"/>
      <c r="M581" s="12"/>
      <c r="N581" s="12"/>
      <c r="O581" s="12"/>
      <c r="P581" s="12"/>
    </row>
    <row r="582">
      <c r="A582" s="12"/>
      <c r="D582" s="95"/>
      <c r="E582" s="14"/>
      <c r="F582" s="96"/>
      <c r="H582" s="12"/>
      <c r="I582" s="12"/>
      <c r="J582" s="12"/>
      <c r="K582" s="12"/>
      <c r="L582" s="12"/>
      <c r="M582" s="12"/>
      <c r="N582" s="12"/>
      <c r="O582" s="12"/>
      <c r="P582" s="12"/>
    </row>
    <row r="583">
      <c r="A583" s="12"/>
      <c r="D583" s="95"/>
      <c r="E583" s="14"/>
      <c r="F583" s="96"/>
      <c r="H583" s="12"/>
      <c r="I583" s="12"/>
      <c r="J583" s="12"/>
      <c r="K583" s="12"/>
      <c r="L583" s="12"/>
      <c r="M583" s="12"/>
      <c r="N583" s="12"/>
      <c r="O583" s="12"/>
      <c r="P583" s="12"/>
    </row>
    <row r="584">
      <c r="A584" s="12"/>
      <c r="D584" s="95"/>
      <c r="E584" s="14"/>
      <c r="F584" s="96"/>
      <c r="H584" s="12"/>
      <c r="I584" s="12"/>
      <c r="J584" s="12"/>
      <c r="K584" s="12"/>
      <c r="L584" s="12"/>
      <c r="M584" s="12"/>
      <c r="N584" s="12"/>
      <c r="O584" s="12"/>
      <c r="P584" s="12"/>
    </row>
    <row r="585">
      <c r="A585" s="12"/>
      <c r="D585" s="95"/>
      <c r="E585" s="14"/>
      <c r="F585" s="96"/>
      <c r="H585" s="12"/>
      <c r="I585" s="12"/>
      <c r="J585" s="12"/>
      <c r="K585" s="12"/>
      <c r="L585" s="12"/>
      <c r="M585" s="12"/>
      <c r="N585" s="12"/>
      <c r="O585" s="12"/>
      <c r="P585" s="12"/>
    </row>
    <row r="586">
      <c r="A586" s="12"/>
      <c r="D586" s="95"/>
      <c r="E586" s="14"/>
      <c r="F586" s="96"/>
      <c r="H586" s="12"/>
      <c r="I586" s="12"/>
      <c r="J586" s="12"/>
      <c r="K586" s="12"/>
      <c r="L586" s="12"/>
      <c r="M586" s="12"/>
      <c r="N586" s="12"/>
      <c r="O586" s="12"/>
      <c r="P586" s="12"/>
    </row>
    <row r="587">
      <c r="A587" s="12"/>
      <c r="D587" s="95"/>
      <c r="E587" s="14"/>
      <c r="F587" s="96"/>
      <c r="H587" s="12"/>
      <c r="I587" s="12"/>
      <c r="J587" s="12"/>
      <c r="K587" s="12"/>
      <c r="L587" s="12"/>
      <c r="M587" s="12"/>
      <c r="N587" s="12"/>
      <c r="O587" s="12"/>
      <c r="P587" s="12"/>
    </row>
    <row r="588">
      <c r="A588" s="12"/>
      <c r="D588" s="95"/>
      <c r="E588" s="14"/>
      <c r="F588" s="96"/>
      <c r="H588" s="12"/>
      <c r="I588" s="12"/>
      <c r="J588" s="12"/>
      <c r="K588" s="12"/>
      <c r="L588" s="12"/>
      <c r="M588" s="12"/>
      <c r="N588" s="12"/>
      <c r="O588" s="12"/>
      <c r="P588" s="12"/>
    </row>
    <row r="589">
      <c r="A589" s="12"/>
      <c r="D589" s="95"/>
      <c r="E589" s="14"/>
      <c r="F589" s="96"/>
      <c r="H589" s="12"/>
      <c r="I589" s="12"/>
      <c r="J589" s="12"/>
      <c r="K589" s="12"/>
      <c r="L589" s="12"/>
      <c r="M589" s="12"/>
      <c r="N589" s="12"/>
      <c r="O589" s="12"/>
      <c r="P589" s="12"/>
    </row>
    <row r="590">
      <c r="A590" s="12"/>
      <c r="D590" s="95"/>
      <c r="E590" s="14"/>
      <c r="F590" s="96"/>
      <c r="H590" s="12"/>
      <c r="I590" s="12"/>
      <c r="J590" s="12"/>
      <c r="K590" s="12"/>
      <c r="L590" s="12"/>
      <c r="M590" s="12"/>
      <c r="N590" s="12"/>
      <c r="O590" s="12"/>
      <c r="P590" s="12"/>
    </row>
    <row r="591">
      <c r="A591" s="12"/>
      <c r="D591" s="95"/>
      <c r="E591" s="14"/>
      <c r="F591" s="96"/>
      <c r="H591" s="12"/>
      <c r="I591" s="12"/>
      <c r="J591" s="12"/>
      <c r="K591" s="12"/>
      <c r="L591" s="12"/>
      <c r="M591" s="12"/>
      <c r="N591" s="12"/>
      <c r="O591" s="12"/>
      <c r="P591" s="12"/>
    </row>
    <row r="592">
      <c r="A592" s="12"/>
      <c r="D592" s="95"/>
      <c r="E592" s="14"/>
      <c r="F592" s="96"/>
      <c r="H592" s="12"/>
      <c r="I592" s="12"/>
      <c r="J592" s="12"/>
      <c r="K592" s="12"/>
      <c r="L592" s="12"/>
      <c r="M592" s="12"/>
      <c r="N592" s="12"/>
      <c r="O592" s="12"/>
      <c r="P592" s="12"/>
    </row>
    <row r="593">
      <c r="A593" s="12"/>
      <c r="D593" s="95"/>
      <c r="E593" s="14"/>
      <c r="F593" s="96"/>
      <c r="H593" s="12"/>
      <c r="I593" s="12"/>
      <c r="J593" s="12"/>
      <c r="K593" s="12"/>
      <c r="L593" s="12"/>
      <c r="M593" s="12"/>
      <c r="N593" s="12"/>
      <c r="O593" s="12"/>
      <c r="P593" s="12"/>
    </row>
    <row r="594">
      <c r="A594" s="12"/>
      <c r="D594" s="95"/>
      <c r="E594" s="14"/>
      <c r="F594" s="96"/>
      <c r="H594" s="12"/>
      <c r="I594" s="12"/>
      <c r="J594" s="12"/>
      <c r="K594" s="12"/>
      <c r="L594" s="12"/>
      <c r="M594" s="12"/>
      <c r="N594" s="12"/>
      <c r="O594" s="12"/>
      <c r="P594" s="12"/>
    </row>
    <row r="595">
      <c r="A595" s="12"/>
      <c r="D595" s="95"/>
      <c r="E595" s="14"/>
      <c r="F595" s="96"/>
      <c r="H595" s="12"/>
      <c r="I595" s="12"/>
      <c r="J595" s="12"/>
      <c r="K595" s="12"/>
      <c r="L595" s="12"/>
      <c r="M595" s="12"/>
      <c r="N595" s="12"/>
      <c r="O595" s="12"/>
      <c r="P595" s="12"/>
    </row>
    <row r="596">
      <c r="A596" s="12"/>
      <c r="D596" s="95"/>
      <c r="E596" s="14"/>
      <c r="F596" s="96"/>
      <c r="H596" s="12"/>
      <c r="I596" s="12"/>
      <c r="J596" s="12"/>
      <c r="K596" s="12"/>
      <c r="L596" s="12"/>
      <c r="M596" s="12"/>
      <c r="N596" s="12"/>
      <c r="O596" s="12"/>
      <c r="P596" s="12"/>
    </row>
    <row r="597">
      <c r="A597" s="12"/>
      <c r="D597" s="95"/>
      <c r="E597" s="14"/>
      <c r="F597" s="96"/>
      <c r="H597" s="12"/>
      <c r="I597" s="12"/>
      <c r="J597" s="12"/>
      <c r="K597" s="12"/>
      <c r="L597" s="12"/>
      <c r="M597" s="12"/>
      <c r="N597" s="12"/>
      <c r="O597" s="12"/>
      <c r="P597" s="12"/>
    </row>
    <row r="598">
      <c r="A598" s="12"/>
      <c r="D598" s="95"/>
      <c r="E598" s="14"/>
      <c r="F598" s="96"/>
      <c r="H598" s="12"/>
      <c r="I598" s="12"/>
      <c r="J598" s="12"/>
      <c r="K598" s="12"/>
      <c r="L598" s="12"/>
      <c r="M598" s="12"/>
      <c r="N598" s="12"/>
      <c r="O598" s="12"/>
      <c r="P598" s="12"/>
    </row>
    <row r="599">
      <c r="A599" s="12"/>
      <c r="D599" s="95"/>
      <c r="E599" s="14"/>
      <c r="F599" s="96"/>
      <c r="H599" s="12"/>
      <c r="I599" s="12"/>
      <c r="J599" s="12"/>
      <c r="K599" s="12"/>
      <c r="L599" s="12"/>
      <c r="M599" s="12"/>
      <c r="N599" s="12"/>
      <c r="O599" s="12"/>
      <c r="P599" s="12"/>
    </row>
    <row r="600">
      <c r="A600" s="12"/>
      <c r="D600" s="95"/>
      <c r="E600" s="14"/>
      <c r="F600" s="96"/>
      <c r="H600" s="12"/>
      <c r="I600" s="12"/>
      <c r="J600" s="12"/>
      <c r="K600" s="12"/>
      <c r="L600" s="12"/>
      <c r="M600" s="12"/>
      <c r="N600" s="12"/>
      <c r="O600" s="12"/>
      <c r="P600" s="12"/>
    </row>
    <row r="601">
      <c r="A601" s="12"/>
      <c r="D601" s="95"/>
      <c r="E601" s="14"/>
      <c r="F601" s="96"/>
      <c r="H601" s="12"/>
      <c r="I601" s="12"/>
      <c r="J601" s="12"/>
      <c r="K601" s="12"/>
      <c r="L601" s="12"/>
      <c r="M601" s="12"/>
      <c r="N601" s="12"/>
      <c r="O601" s="12"/>
      <c r="P601" s="12"/>
    </row>
    <row r="602">
      <c r="A602" s="12"/>
      <c r="D602" s="95"/>
      <c r="E602" s="14"/>
      <c r="F602" s="96"/>
      <c r="H602" s="12"/>
      <c r="I602" s="12"/>
      <c r="J602" s="12"/>
      <c r="K602" s="12"/>
      <c r="L602" s="12"/>
      <c r="M602" s="12"/>
      <c r="N602" s="12"/>
      <c r="O602" s="12"/>
      <c r="P602" s="12"/>
    </row>
    <row r="603">
      <c r="A603" s="12"/>
      <c r="D603" s="95"/>
      <c r="E603" s="14"/>
      <c r="F603" s="96"/>
      <c r="H603" s="12"/>
      <c r="I603" s="12"/>
      <c r="J603" s="12"/>
      <c r="K603" s="12"/>
      <c r="L603" s="12"/>
      <c r="M603" s="12"/>
      <c r="N603" s="12"/>
      <c r="O603" s="12"/>
      <c r="P603" s="12"/>
    </row>
    <row r="604">
      <c r="A604" s="12"/>
      <c r="D604" s="95"/>
      <c r="E604" s="14"/>
      <c r="F604" s="96"/>
      <c r="H604" s="12"/>
      <c r="I604" s="12"/>
      <c r="J604" s="12"/>
      <c r="K604" s="12"/>
      <c r="L604" s="12"/>
      <c r="M604" s="12"/>
      <c r="N604" s="12"/>
      <c r="O604" s="12"/>
      <c r="P604" s="12"/>
    </row>
    <row r="605">
      <c r="A605" s="12"/>
      <c r="D605" s="95"/>
      <c r="E605" s="14"/>
      <c r="F605" s="96"/>
      <c r="H605" s="12"/>
      <c r="I605" s="12"/>
      <c r="J605" s="12"/>
      <c r="K605" s="12"/>
      <c r="L605" s="12"/>
      <c r="M605" s="12"/>
      <c r="N605" s="12"/>
      <c r="O605" s="12"/>
      <c r="P605" s="12"/>
    </row>
    <row r="606">
      <c r="A606" s="12"/>
      <c r="D606" s="95"/>
      <c r="E606" s="14"/>
      <c r="F606" s="96"/>
      <c r="H606" s="12"/>
      <c r="I606" s="12"/>
      <c r="J606" s="12"/>
      <c r="K606" s="12"/>
      <c r="L606" s="12"/>
      <c r="M606" s="12"/>
      <c r="N606" s="12"/>
      <c r="O606" s="12"/>
      <c r="P606" s="12"/>
    </row>
    <row r="607">
      <c r="A607" s="12"/>
      <c r="D607" s="95"/>
      <c r="E607" s="14"/>
      <c r="F607" s="96"/>
      <c r="H607" s="12"/>
      <c r="I607" s="12"/>
      <c r="J607" s="12"/>
      <c r="K607" s="12"/>
      <c r="L607" s="12"/>
      <c r="M607" s="12"/>
      <c r="N607" s="12"/>
      <c r="O607" s="12"/>
      <c r="P607" s="12"/>
    </row>
    <row r="608">
      <c r="A608" s="12"/>
      <c r="D608" s="95"/>
      <c r="E608" s="14"/>
      <c r="F608" s="96"/>
      <c r="H608" s="12"/>
      <c r="I608" s="12"/>
      <c r="J608" s="12"/>
      <c r="K608" s="12"/>
      <c r="L608" s="12"/>
      <c r="M608" s="12"/>
      <c r="N608" s="12"/>
      <c r="O608" s="12"/>
      <c r="P608" s="12"/>
    </row>
    <row r="609">
      <c r="A609" s="12"/>
      <c r="D609" s="95"/>
      <c r="E609" s="14"/>
      <c r="F609" s="96"/>
      <c r="H609" s="12"/>
      <c r="I609" s="12"/>
      <c r="J609" s="12"/>
      <c r="K609" s="12"/>
      <c r="L609" s="12"/>
      <c r="M609" s="12"/>
      <c r="N609" s="12"/>
      <c r="O609" s="12"/>
      <c r="P609" s="12"/>
    </row>
    <row r="610">
      <c r="A610" s="12"/>
      <c r="D610" s="95"/>
      <c r="E610" s="14"/>
      <c r="F610" s="96"/>
      <c r="H610" s="12"/>
      <c r="I610" s="12"/>
      <c r="J610" s="12"/>
      <c r="K610" s="12"/>
      <c r="L610" s="12"/>
      <c r="M610" s="12"/>
      <c r="N610" s="12"/>
      <c r="O610" s="12"/>
      <c r="P610" s="12"/>
    </row>
    <row r="611">
      <c r="A611" s="12"/>
      <c r="D611" s="95"/>
      <c r="E611" s="14"/>
      <c r="F611" s="96"/>
      <c r="H611" s="12"/>
      <c r="I611" s="12"/>
      <c r="J611" s="12"/>
      <c r="K611" s="12"/>
      <c r="L611" s="12"/>
      <c r="M611" s="12"/>
      <c r="N611" s="12"/>
      <c r="O611" s="12"/>
      <c r="P611" s="12"/>
    </row>
    <row r="612">
      <c r="A612" s="12"/>
      <c r="D612" s="95"/>
      <c r="E612" s="14"/>
      <c r="F612" s="96"/>
      <c r="H612" s="12"/>
      <c r="I612" s="12"/>
      <c r="J612" s="12"/>
      <c r="K612" s="12"/>
      <c r="L612" s="12"/>
      <c r="M612" s="12"/>
      <c r="N612" s="12"/>
      <c r="O612" s="12"/>
      <c r="P612" s="12"/>
    </row>
    <row r="613">
      <c r="A613" s="12"/>
      <c r="D613" s="95"/>
      <c r="E613" s="14"/>
      <c r="F613" s="96"/>
      <c r="H613" s="12"/>
      <c r="I613" s="12"/>
      <c r="J613" s="12"/>
      <c r="K613" s="12"/>
      <c r="L613" s="12"/>
      <c r="M613" s="12"/>
      <c r="N613" s="12"/>
      <c r="O613" s="12"/>
      <c r="P613" s="12"/>
    </row>
    <row r="614">
      <c r="A614" s="12"/>
      <c r="D614" s="95"/>
      <c r="E614" s="14"/>
      <c r="F614" s="96"/>
      <c r="H614" s="12"/>
      <c r="I614" s="12"/>
      <c r="J614" s="12"/>
      <c r="K614" s="12"/>
      <c r="L614" s="12"/>
      <c r="M614" s="12"/>
      <c r="N614" s="12"/>
      <c r="O614" s="12"/>
      <c r="P614" s="12"/>
    </row>
    <row r="615">
      <c r="A615" s="12"/>
      <c r="D615" s="95"/>
      <c r="E615" s="14"/>
      <c r="F615" s="96"/>
      <c r="H615" s="12"/>
      <c r="I615" s="12"/>
      <c r="J615" s="12"/>
      <c r="K615" s="12"/>
      <c r="L615" s="12"/>
      <c r="M615" s="12"/>
      <c r="N615" s="12"/>
      <c r="O615" s="12"/>
      <c r="P615" s="12"/>
    </row>
    <row r="616">
      <c r="A616" s="12"/>
      <c r="D616" s="95"/>
      <c r="E616" s="14"/>
      <c r="F616" s="96"/>
      <c r="H616" s="12"/>
      <c r="I616" s="12"/>
      <c r="J616" s="12"/>
      <c r="K616" s="12"/>
      <c r="L616" s="12"/>
      <c r="M616" s="12"/>
      <c r="N616" s="12"/>
      <c r="O616" s="12"/>
      <c r="P616" s="12"/>
    </row>
    <row r="617">
      <c r="A617" s="12"/>
      <c r="D617" s="95"/>
      <c r="E617" s="14"/>
      <c r="F617" s="96"/>
      <c r="H617" s="12"/>
      <c r="I617" s="12"/>
      <c r="J617" s="12"/>
      <c r="K617" s="12"/>
      <c r="L617" s="12"/>
      <c r="M617" s="12"/>
      <c r="N617" s="12"/>
      <c r="O617" s="12"/>
      <c r="P617" s="12"/>
    </row>
    <row r="618">
      <c r="A618" s="12"/>
      <c r="D618" s="95"/>
      <c r="E618" s="14"/>
      <c r="F618" s="96"/>
      <c r="H618" s="12"/>
      <c r="I618" s="12"/>
      <c r="J618" s="12"/>
      <c r="K618" s="12"/>
      <c r="L618" s="12"/>
      <c r="M618" s="12"/>
      <c r="N618" s="12"/>
      <c r="O618" s="12"/>
      <c r="P618" s="12"/>
    </row>
    <row r="619">
      <c r="A619" s="12"/>
      <c r="D619" s="95"/>
      <c r="E619" s="14"/>
      <c r="F619" s="96"/>
      <c r="H619" s="12"/>
      <c r="I619" s="12"/>
      <c r="J619" s="12"/>
      <c r="K619" s="12"/>
      <c r="L619" s="12"/>
      <c r="M619" s="12"/>
      <c r="N619" s="12"/>
      <c r="O619" s="12"/>
      <c r="P619" s="12"/>
    </row>
    <row r="620">
      <c r="A620" s="12"/>
      <c r="D620" s="95"/>
      <c r="E620" s="14"/>
      <c r="F620" s="96"/>
      <c r="H620" s="12"/>
      <c r="I620" s="12"/>
      <c r="J620" s="12"/>
      <c r="K620" s="12"/>
      <c r="L620" s="12"/>
      <c r="M620" s="12"/>
      <c r="N620" s="12"/>
      <c r="O620" s="12"/>
      <c r="P620" s="12"/>
    </row>
    <row r="621">
      <c r="A621" s="12"/>
      <c r="D621" s="95"/>
      <c r="E621" s="14"/>
      <c r="F621" s="96"/>
      <c r="H621" s="12"/>
      <c r="I621" s="12"/>
      <c r="J621" s="12"/>
      <c r="K621" s="12"/>
      <c r="L621" s="12"/>
      <c r="M621" s="12"/>
      <c r="N621" s="12"/>
      <c r="O621" s="12"/>
      <c r="P621" s="12"/>
    </row>
    <row r="622">
      <c r="A622" s="12"/>
      <c r="D622" s="95"/>
      <c r="E622" s="14"/>
      <c r="F622" s="96"/>
      <c r="H622" s="12"/>
      <c r="I622" s="12"/>
      <c r="J622" s="12"/>
      <c r="K622" s="12"/>
      <c r="L622" s="12"/>
      <c r="M622" s="12"/>
      <c r="N622" s="12"/>
      <c r="O622" s="12"/>
      <c r="P622" s="12"/>
    </row>
    <row r="623">
      <c r="A623" s="12"/>
      <c r="D623" s="95"/>
      <c r="E623" s="14"/>
      <c r="F623" s="96"/>
      <c r="H623" s="12"/>
      <c r="I623" s="12"/>
      <c r="J623" s="12"/>
      <c r="K623" s="12"/>
      <c r="L623" s="12"/>
      <c r="M623" s="12"/>
      <c r="N623" s="12"/>
      <c r="O623" s="12"/>
      <c r="P623" s="12"/>
    </row>
    <row r="624">
      <c r="A624" s="12"/>
      <c r="D624" s="95"/>
      <c r="E624" s="14"/>
      <c r="F624" s="96"/>
      <c r="H624" s="12"/>
      <c r="I624" s="12"/>
      <c r="J624" s="12"/>
      <c r="K624" s="12"/>
      <c r="L624" s="12"/>
      <c r="M624" s="12"/>
      <c r="N624" s="12"/>
      <c r="O624" s="12"/>
      <c r="P624" s="12"/>
    </row>
    <row r="625">
      <c r="A625" s="12"/>
      <c r="D625" s="95"/>
      <c r="E625" s="14"/>
      <c r="F625" s="96"/>
      <c r="H625" s="12"/>
      <c r="I625" s="12"/>
      <c r="J625" s="12"/>
      <c r="K625" s="12"/>
      <c r="L625" s="12"/>
      <c r="M625" s="12"/>
      <c r="N625" s="12"/>
      <c r="O625" s="12"/>
      <c r="P625" s="12"/>
    </row>
    <row r="626">
      <c r="A626" s="12"/>
      <c r="D626" s="95"/>
      <c r="E626" s="14"/>
      <c r="F626" s="96"/>
      <c r="H626" s="12"/>
      <c r="I626" s="12"/>
      <c r="J626" s="12"/>
      <c r="K626" s="12"/>
      <c r="L626" s="12"/>
      <c r="M626" s="12"/>
      <c r="N626" s="12"/>
      <c r="O626" s="12"/>
      <c r="P626" s="12"/>
    </row>
    <row r="627">
      <c r="A627" s="12"/>
      <c r="D627" s="95"/>
      <c r="E627" s="14"/>
      <c r="F627" s="96"/>
      <c r="H627" s="12"/>
      <c r="I627" s="12"/>
      <c r="J627" s="12"/>
      <c r="K627" s="12"/>
      <c r="L627" s="12"/>
      <c r="M627" s="12"/>
      <c r="N627" s="12"/>
      <c r="O627" s="12"/>
      <c r="P627" s="12"/>
    </row>
    <row r="628">
      <c r="A628" s="12"/>
      <c r="D628" s="95"/>
      <c r="E628" s="14"/>
      <c r="F628" s="96"/>
      <c r="H628" s="12"/>
      <c r="I628" s="12"/>
      <c r="J628" s="12"/>
      <c r="K628" s="12"/>
      <c r="L628" s="12"/>
      <c r="M628" s="12"/>
      <c r="N628" s="12"/>
      <c r="O628" s="12"/>
      <c r="P628" s="12"/>
    </row>
    <row r="629">
      <c r="A629" s="12"/>
      <c r="D629" s="95"/>
      <c r="E629" s="14"/>
      <c r="F629" s="96"/>
      <c r="H629" s="12"/>
      <c r="I629" s="12"/>
      <c r="J629" s="12"/>
      <c r="K629" s="12"/>
      <c r="L629" s="12"/>
      <c r="M629" s="12"/>
      <c r="N629" s="12"/>
      <c r="O629" s="12"/>
      <c r="P629" s="12"/>
    </row>
    <row r="630">
      <c r="A630" s="12"/>
      <c r="D630" s="95"/>
      <c r="E630" s="14"/>
      <c r="F630" s="96"/>
      <c r="H630" s="12"/>
      <c r="I630" s="12"/>
      <c r="J630" s="12"/>
      <c r="K630" s="12"/>
      <c r="L630" s="12"/>
      <c r="M630" s="12"/>
      <c r="N630" s="12"/>
      <c r="O630" s="12"/>
      <c r="P630" s="12"/>
    </row>
    <row r="631">
      <c r="A631" s="12"/>
      <c r="D631" s="95"/>
      <c r="E631" s="14"/>
      <c r="F631" s="96"/>
      <c r="H631" s="12"/>
      <c r="I631" s="12"/>
      <c r="J631" s="12"/>
      <c r="K631" s="12"/>
      <c r="L631" s="12"/>
      <c r="M631" s="12"/>
      <c r="N631" s="12"/>
      <c r="O631" s="12"/>
      <c r="P631" s="12"/>
    </row>
    <row r="632">
      <c r="A632" s="12"/>
      <c r="D632" s="95"/>
      <c r="E632" s="14"/>
      <c r="F632" s="96"/>
      <c r="H632" s="12"/>
      <c r="I632" s="12"/>
      <c r="J632" s="12"/>
      <c r="K632" s="12"/>
      <c r="L632" s="12"/>
      <c r="M632" s="12"/>
      <c r="N632" s="12"/>
      <c r="O632" s="12"/>
      <c r="P632" s="12"/>
    </row>
    <row r="633">
      <c r="A633" s="12"/>
      <c r="D633" s="95"/>
      <c r="E633" s="14"/>
      <c r="F633" s="96"/>
      <c r="H633" s="12"/>
      <c r="I633" s="12"/>
      <c r="J633" s="12"/>
      <c r="K633" s="12"/>
      <c r="L633" s="12"/>
      <c r="M633" s="12"/>
      <c r="N633" s="12"/>
      <c r="O633" s="12"/>
      <c r="P633" s="12"/>
    </row>
    <row r="634">
      <c r="A634" s="12"/>
      <c r="D634" s="95"/>
      <c r="E634" s="14"/>
      <c r="F634" s="96"/>
      <c r="H634" s="12"/>
      <c r="I634" s="12"/>
      <c r="J634" s="12"/>
      <c r="K634" s="12"/>
      <c r="L634" s="12"/>
      <c r="M634" s="12"/>
      <c r="N634" s="12"/>
      <c r="O634" s="12"/>
      <c r="P634" s="12"/>
    </row>
    <row r="635">
      <c r="A635" s="12"/>
      <c r="D635" s="95"/>
      <c r="E635" s="14"/>
      <c r="F635" s="96"/>
      <c r="H635" s="12"/>
      <c r="I635" s="12"/>
      <c r="J635" s="12"/>
      <c r="K635" s="12"/>
      <c r="L635" s="12"/>
      <c r="M635" s="12"/>
      <c r="N635" s="12"/>
      <c r="O635" s="12"/>
      <c r="P635" s="12"/>
    </row>
    <row r="636">
      <c r="A636" s="12"/>
      <c r="D636" s="95"/>
      <c r="E636" s="14"/>
      <c r="F636" s="96"/>
      <c r="H636" s="12"/>
      <c r="I636" s="12"/>
      <c r="J636" s="12"/>
      <c r="K636" s="12"/>
      <c r="L636" s="12"/>
      <c r="M636" s="12"/>
      <c r="N636" s="12"/>
      <c r="O636" s="12"/>
      <c r="P636" s="12"/>
    </row>
    <row r="637">
      <c r="A637" s="12"/>
      <c r="D637" s="95"/>
      <c r="E637" s="14"/>
      <c r="F637" s="96"/>
      <c r="H637" s="12"/>
      <c r="I637" s="12"/>
      <c r="J637" s="12"/>
      <c r="K637" s="12"/>
      <c r="L637" s="12"/>
      <c r="M637" s="12"/>
      <c r="N637" s="12"/>
      <c r="O637" s="12"/>
      <c r="P637" s="12"/>
    </row>
    <row r="638">
      <c r="A638" s="12"/>
      <c r="D638" s="95"/>
      <c r="E638" s="14"/>
      <c r="F638" s="96"/>
      <c r="H638" s="12"/>
      <c r="I638" s="12"/>
      <c r="J638" s="12"/>
      <c r="K638" s="12"/>
      <c r="L638" s="12"/>
      <c r="M638" s="12"/>
      <c r="N638" s="12"/>
      <c r="O638" s="12"/>
      <c r="P638" s="12"/>
    </row>
    <row r="639">
      <c r="A639" s="12"/>
      <c r="D639" s="95"/>
      <c r="E639" s="14"/>
      <c r="F639" s="96"/>
      <c r="H639" s="12"/>
      <c r="I639" s="12"/>
      <c r="J639" s="12"/>
      <c r="K639" s="12"/>
      <c r="L639" s="12"/>
      <c r="M639" s="12"/>
      <c r="N639" s="12"/>
      <c r="O639" s="12"/>
      <c r="P639" s="12"/>
    </row>
    <row r="640">
      <c r="A640" s="12"/>
      <c r="D640" s="95"/>
      <c r="E640" s="14"/>
      <c r="F640" s="96"/>
      <c r="H640" s="12"/>
      <c r="I640" s="12"/>
      <c r="J640" s="12"/>
      <c r="K640" s="12"/>
      <c r="L640" s="12"/>
      <c r="M640" s="12"/>
      <c r="N640" s="12"/>
      <c r="O640" s="12"/>
      <c r="P640" s="12"/>
    </row>
    <row r="641">
      <c r="A641" s="12"/>
      <c r="D641" s="95"/>
      <c r="E641" s="14"/>
      <c r="F641" s="96"/>
      <c r="H641" s="12"/>
      <c r="I641" s="12"/>
      <c r="J641" s="12"/>
      <c r="K641" s="12"/>
      <c r="L641" s="12"/>
      <c r="M641" s="12"/>
      <c r="N641" s="12"/>
      <c r="O641" s="12"/>
      <c r="P641" s="12"/>
    </row>
    <row r="642">
      <c r="A642" s="12"/>
      <c r="D642" s="95"/>
      <c r="E642" s="14"/>
      <c r="F642" s="96"/>
      <c r="H642" s="12"/>
      <c r="I642" s="12"/>
      <c r="J642" s="12"/>
      <c r="K642" s="12"/>
      <c r="L642" s="12"/>
      <c r="M642" s="12"/>
      <c r="N642" s="12"/>
      <c r="O642" s="12"/>
      <c r="P642" s="12"/>
    </row>
    <row r="643">
      <c r="A643" s="12"/>
      <c r="D643" s="95"/>
      <c r="E643" s="14"/>
      <c r="F643" s="96"/>
      <c r="H643" s="12"/>
      <c r="I643" s="12"/>
      <c r="J643" s="12"/>
      <c r="K643" s="12"/>
      <c r="L643" s="12"/>
      <c r="M643" s="12"/>
      <c r="N643" s="12"/>
      <c r="O643" s="12"/>
      <c r="P643" s="12"/>
    </row>
    <row r="644">
      <c r="A644" s="12"/>
      <c r="D644" s="95"/>
      <c r="E644" s="14"/>
      <c r="F644" s="96"/>
      <c r="H644" s="12"/>
      <c r="I644" s="12"/>
      <c r="J644" s="12"/>
      <c r="K644" s="12"/>
      <c r="L644" s="12"/>
      <c r="M644" s="12"/>
      <c r="N644" s="12"/>
      <c r="O644" s="12"/>
      <c r="P644" s="12"/>
    </row>
    <row r="645">
      <c r="A645" s="12"/>
      <c r="D645" s="95"/>
      <c r="E645" s="14"/>
      <c r="F645" s="96"/>
      <c r="H645" s="12"/>
      <c r="I645" s="12"/>
      <c r="J645" s="12"/>
      <c r="K645" s="12"/>
      <c r="L645" s="12"/>
      <c r="M645" s="12"/>
      <c r="N645" s="12"/>
      <c r="O645" s="12"/>
      <c r="P645" s="12"/>
    </row>
    <row r="646">
      <c r="A646" s="12"/>
      <c r="D646" s="95"/>
      <c r="E646" s="14"/>
      <c r="F646" s="96"/>
      <c r="H646" s="12"/>
      <c r="I646" s="12"/>
      <c r="J646" s="12"/>
      <c r="K646" s="12"/>
      <c r="L646" s="12"/>
      <c r="M646" s="12"/>
      <c r="N646" s="12"/>
      <c r="O646" s="12"/>
      <c r="P646" s="12"/>
    </row>
    <row r="647">
      <c r="A647" s="12"/>
      <c r="D647" s="95"/>
      <c r="E647" s="14"/>
      <c r="F647" s="96"/>
      <c r="H647" s="12"/>
      <c r="I647" s="12"/>
      <c r="J647" s="12"/>
      <c r="K647" s="12"/>
      <c r="L647" s="12"/>
      <c r="M647" s="12"/>
      <c r="N647" s="12"/>
      <c r="O647" s="12"/>
      <c r="P647" s="12"/>
    </row>
    <row r="648">
      <c r="A648" s="12"/>
      <c r="D648" s="95"/>
      <c r="E648" s="14"/>
      <c r="F648" s="96"/>
      <c r="H648" s="12"/>
      <c r="I648" s="12"/>
      <c r="J648" s="12"/>
      <c r="K648" s="12"/>
      <c r="L648" s="12"/>
      <c r="M648" s="12"/>
      <c r="N648" s="12"/>
      <c r="O648" s="12"/>
      <c r="P648" s="12"/>
    </row>
    <row r="649">
      <c r="A649" s="12"/>
      <c r="D649" s="95"/>
      <c r="E649" s="14"/>
      <c r="F649" s="96"/>
      <c r="H649" s="12"/>
      <c r="I649" s="12"/>
      <c r="J649" s="12"/>
      <c r="K649" s="12"/>
      <c r="L649" s="12"/>
      <c r="M649" s="12"/>
      <c r="N649" s="12"/>
      <c r="O649" s="12"/>
      <c r="P649" s="12"/>
    </row>
    <row r="650">
      <c r="A650" s="12"/>
      <c r="D650" s="95"/>
      <c r="E650" s="14"/>
      <c r="F650" s="96"/>
      <c r="H650" s="12"/>
      <c r="I650" s="12"/>
      <c r="J650" s="12"/>
      <c r="K650" s="12"/>
      <c r="L650" s="12"/>
      <c r="M650" s="12"/>
      <c r="N650" s="12"/>
      <c r="O650" s="12"/>
      <c r="P650" s="12"/>
    </row>
    <row r="651">
      <c r="A651" s="12"/>
      <c r="D651" s="95"/>
      <c r="E651" s="14"/>
      <c r="F651" s="96"/>
      <c r="H651" s="12"/>
      <c r="I651" s="12"/>
      <c r="J651" s="12"/>
      <c r="K651" s="12"/>
      <c r="L651" s="12"/>
      <c r="M651" s="12"/>
      <c r="N651" s="12"/>
      <c r="O651" s="12"/>
      <c r="P651" s="12"/>
    </row>
    <row r="652">
      <c r="A652" s="12"/>
      <c r="D652" s="95"/>
      <c r="E652" s="14"/>
      <c r="F652" s="96"/>
      <c r="H652" s="12"/>
      <c r="I652" s="12"/>
      <c r="J652" s="12"/>
      <c r="K652" s="12"/>
      <c r="L652" s="12"/>
      <c r="M652" s="12"/>
      <c r="N652" s="12"/>
      <c r="O652" s="12"/>
      <c r="P652" s="12"/>
    </row>
    <row r="653">
      <c r="A653" s="12"/>
      <c r="D653" s="95"/>
      <c r="E653" s="14"/>
      <c r="F653" s="96"/>
      <c r="H653" s="12"/>
      <c r="I653" s="12"/>
      <c r="J653" s="12"/>
      <c r="K653" s="12"/>
      <c r="L653" s="12"/>
      <c r="M653" s="12"/>
      <c r="N653" s="12"/>
      <c r="O653" s="12"/>
      <c r="P653" s="12"/>
    </row>
    <row r="654">
      <c r="A654" s="12"/>
      <c r="D654" s="95"/>
      <c r="E654" s="14"/>
      <c r="F654" s="96"/>
      <c r="H654" s="12"/>
      <c r="I654" s="12"/>
      <c r="J654" s="12"/>
      <c r="K654" s="12"/>
      <c r="L654" s="12"/>
      <c r="M654" s="12"/>
      <c r="N654" s="12"/>
      <c r="O654" s="12"/>
      <c r="P654" s="12"/>
    </row>
    <row r="655">
      <c r="A655" s="12"/>
      <c r="D655" s="95"/>
      <c r="E655" s="14"/>
      <c r="F655" s="96"/>
      <c r="H655" s="12"/>
      <c r="I655" s="12"/>
      <c r="J655" s="12"/>
      <c r="K655" s="12"/>
      <c r="L655" s="12"/>
      <c r="M655" s="12"/>
      <c r="N655" s="12"/>
      <c r="O655" s="12"/>
      <c r="P655" s="12"/>
    </row>
    <row r="656">
      <c r="A656" s="12"/>
      <c r="D656" s="95"/>
      <c r="E656" s="14"/>
      <c r="F656" s="96"/>
      <c r="H656" s="12"/>
      <c r="I656" s="12"/>
      <c r="J656" s="12"/>
      <c r="K656" s="12"/>
      <c r="L656" s="12"/>
      <c r="M656" s="12"/>
      <c r="N656" s="12"/>
      <c r="O656" s="12"/>
      <c r="P656" s="12"/>
    </row>
    <row r="657">
      <c r="A657" s="12"/>
      <c r="D657" s="95"/>
      <c r="E657" s="14"/>
      <c r="F657" s="96"/>
      <c r="H657" s="12"/>
      <c r="I657" s="12"/>
      <c r="J657" s="12"/>
      <c r="K657" s="12"/>
      <c r="L657" s="12"/>
      <c r="M657" s="12"/>
      <c r="N657" s="12"/>
      <c r="O657" s="12"/>
      <c r="P657" s="12"/>
    </row>
    <row r="658">
      <c r="A658" s="12"/>
      <c r="D658" s="95"/>
      <c r="E658" s="14"/>
      <c r="F658" s="96"/>
      <c r="H658" s="12"/>
      <c r="I658" s="12"/>
      <c r="J658" s="12"/>
      <c r="K658" s="12"/>
      <c r="L658" s="12"/>
      <c r="M658" s="12"/>
      <c r="N658" s="12"/>
      <c r="O658" s="12"/>
      <c r="P658" s="12"/>
    </row>
    <row r="659">
      <c r="A659" s="12"/>
      <c r="D659" s="95"/>
      <c r="E659" s="14"/>
      <c r="F659" s="96"/>
      <c r="H659" s="12"/>
      <c r="I659" s="12"/>
      <c r="J659" s="12"/>
      <c r="K659" s="12"/>
      <c r="L659" s="12"/>
      <c r="M659" s="12"/>
      <c r="N659" s="12"/>
      <c r="O659" s="12"/>
      <c r="P659" s="12"/>
    </row>
    <row r="660">
      <c r="A660" s="12"/>
      <c r="D660" s="95"/>
      <c r="E660" s="14"/>
      <c r="F660" s="96"/>
      <c r="H660" s="12"/>
      <c r="I660" s="12"/>
      <c r="J660" s="12"/>
      <c r="K660" s="12"/>
      <c r="L660" s="12"/>
      <c r="M660" s="12"/>
      <c r="N660" s="12"/>
      <c r="O660" s="12"/>
      <c r="P660" s="12"/>
    </row>
    <row r="661">
      <c r="A661" s="12"/>
      <c r="D661" s="95"/>
      <c r="E661" s="14"/>
      <c r="F661" s="96"/>
      <c r="H661" s="12"/>
      <c r="I661" s="12"/>
      <c r="J661" s="12"/>
      <c r="K661" s="12"/>
      <c r="L661" s="12"/>
      <c r="M661" s="12"/>
      <c r="N661" s="12"/>
      <c r="O661" s="12"/>
      <c r="P661" s="12"/>
    </row>
    <row r="662">
      <c r="A662" s="12"/>
      <c r="D662" s="95"/>
      <c r="E662" s="14"/>
      <c r="F662" s="96"/>
      <c r="H662" s="12"/>
      <c r="I662" s="12"/>
      <c r="J662" s="12"/>
      <c r="K662" s="12"/>
      <c r="L662" s="12"/>
      <c r="M662" s="12"/>
      <c r="N662" s="12"/>
      <c r="O662" s="12"/>
      <c r="P662" s="12"/>
    </row>
    <row r="663">
      <c r="A663" s="12"/>
      <c r="D663" s="95"/>
      <c r="E663" s="14"/>
      <c r="F663" s="96"/>
      <c r="H663" s="12"/>
      <c r="I663" s="12"/>
      <c r="J663" s="12"/>
      <c r="K663" s="12"/>
      <c r="L663" s="12"/>
      <c r="M663" s="12"/>
      <c r="N663" s="12"/>
      <c r="O663" s="12"/>
      <c r="P663" s="12"/>
    </row>
    <row r="664">
      <c r="A664" s="12"/>
      <c r="D664" s="95"/>
      <c r="E664" s="14"/>
      <c r="F664" s="96"/>
      <c r="H664" s="12"/>
      <c r="I664" s="12"/>
      <c r="J664" s="12"/>
      <c r="K664" s="12"/>
      <c r="L664" s="12"/>
      <c r="M664" s="12"/>
      <c r="N664" s="12"/>
      <c r="O664" s="12"/>
      <c r="P664" s="12"/>
    </row>
    <row r="665">
      <c r="A665" s="12"/>
      <c r="D665" s="95"/>
      <c r="E665" s="14"/>
      <c r="F665" s="96"/>
      <c r="H665" s="12"/>
      <c r="I665" s="12"/>
      <c r="J665" s="12"/>
      <c r="K665" s="12"/>
      <c r="L665" s="12"/>
      <c r="M665" s="12"/>
      <c r="N665" s="12"/>
      <c r="O665" s="12"/>
      <c r="P665" s="12"/>
    </row>
    <row r="666">
      <c r="A666" s="12"/>
      <c r="D666" s="95"/>
      <c r="E666" s="14"/>
      <c r="F666" s="96"/>
      <c r="H666" s="12"/>
      <c r="I666" s="12"/>
      <c r="J666" s="12"/>
      <c r="K666" s="12"/>
      <c r="L666" s="12"/>
      <c r="M666" s="12"/>
      <c r="N666" s="12"/>
      <c r="O666" s="12"/>
      <c r="P666" s="12"/>
    </row>
    <row r="667">
      <c r="A667" s="12"/>
      <c r="D667" s="95"/>
      <c r="E667" s="14"/>
      <c r="F667" s="96"/>
      <c r="H667" s="12"/>
      <c r="I667" s="12"/>
      <c r="J667" s="12"/>
      <c r="K667" s="12"/>
      <c r="L667" s="12"/>
      <c r="M667" s="12"/>
      <c r="N667" s="12"/>
      <c r="O667" s="12"/>
      <c r="P667" s="12"/>
    </row>
    <row r="668">
      <c r="A668" s="12"/>
      <c r="D668" s="95"/>
      <c r="E668" s="14"/>
      <c r="F668" s="96"/>
      <c r="H668" s="12"/>
      <c r="I668" s="12"/>
      <c r="J668" s="12"/>
      <c r="K668" s="12"/>
      <c r="L668" s="12"/>
      <c r="M668" s="12"/>
      <c r="N668" s="12"/>
      <c r="O668" s="12"/>
      <c r="P668" s="12"/>
    </row>
    <row r="669">
      <c r="A669" s="12"/>
      <c r="D669" s="95"/>
      <c r="E669" s="14"/>
      <c r="F669" s="96"/>
      <c r="H669" s="12"/>
      <c r="I669" s="12"/>
      <c r="J669" s="12"/>
      <c r="K669" s="12"/>
      <c r="L669" s="12"/>
      <c r="M669" s="12"/>
      <c r="N669" s="12"/>
      <c r="O669" s="12"/>
      <c r="P669" s="12"/>
    </row>
    <row r="670">
      <c r="A670" s="12"/>
      <c r="D670" s="95"/>
      <c r="E670" s="14"/>
      <c r="F670" s="96"/>
      <c r="H670" s="12"/>
      <c r="I670" s="12"/>
      <c r="J670" s="12"/>
      <c r="K670" s="12"/>
      <c r="L670" s="12"/>
      <c r="M670" s="12"/>
      <c r="N670" s="12"/>
      <c r="O670" s="12"/>
      <c r="P670" s="12"/>
    </row>
    <row r="671">
      <c r="A671" s="12"/>
      <c r="D671" s="95"/>
      <c r="E671" s="14"/>
      <c r="F671" s="96"/>
      <c r="H671" s="12"/>
      <c r="I671" s="12"/>
      <c r="J671" s="12"/>
      <c r="K671" s="12"/>
      <c r="L671" s="12"/>
      <c r="M671" s="12"/>
      <c r="N671" s="12"/>
      <c r="O671" s="12"/>
      <c r="P671" s="12"/>
    </row>
    <row r="672">
      <c r="A672" s="12"/>
      <c r="D672" s="95"/>
      <c r="E672" s="14"/>
      <c r="F672" s="96"/>
      <c r="H672" s="12"/>
      <c r="I672" s="12"/>
      <c r="J672" s="12"/>
      <c r="K672" s="12"/>
      <c r="L672" s="12"/>
      <c r="M672" s="12"/>
      <c r="N672" s="12"/>
      <c r="O672" s="12"/>
      <c r="P672" s="12"/>
    </row>
    <row r="673">
      <c r="A673" s="12"/>
      <c r="D673" s="95"/>
      <c r="E673" s="14"/>
      <c r="F673" s="96"/>
      <c r="H673" s="12"/>
      <c r="I673" s="12"/>
      <c r="J673" s="12"/>
      <c r="K673" s="12"/>
      <c r="L673" s="12"/>
      <c r="M673" s="12"/>
      <c r="N673" s="12"/>
      <c r="O673" s="12"/>
      <c r="P673" s="12"/>
    </row>
    <row r="674">
      <c r="A674" s="12"/>
      <c r="D674" s="95"/>
      <c r="E674" s="14"/>
      <c r="F674" s="96"/>
      <c r="H674" s="12"/>
      <c r="I674" s="12"/>
      <c r="J674" s="12"/>
      <c r="K674" s="12"/>
      <c r="L674" s="12"/>
      <c r="M674" s="12"/>
      <c r="N674" s="12"/>
      <c r="O674" s="12"/>
      <c r="P674" s="12"/>
    </row>
    <row r="675">
      <c r="A675" s="12"/>
      <c r="D675" s="95"/>
      <c r="E675" s="14"/>
      <c r="F675" s="96"/>
      <c r="H675" s="12"/>
      <c r="I675" s="12"/>
      <c r="J675" s="12"/>
      <c r="K675" s="12"/>
      <c r="L675" s="12"/>
      <c r="M675" s="12"/>
      <c r="N675" s="12"/>
      <c r="O675" s="12"/>
      <c r="P675" s="12"/>
    </row>
    <row r="676">
      <c r="A676" s="12"/>
      <c r="D676" s="95"/>
      <c r="E676" s="14"/>
      <c r="F676" s="96"/>
      <c r="H676" s="12"/>
      <c r="I676" s="12"/>
      <c r="J676" s="12"/>
      <c r="K676" s="12"/>
      <c r="L676" s="12"/>
      <c r="M676" s="12"/>
      <c r="N676" s="12"/>
      <c r="O676" s="12"/>
      <c r="P676" s="12"/>
    </row>
    <row r="677">
      <c r="A677" s="12"/>
      <c r="D677" s="95"/>
      <c r="E677" s="14"/>
      <c r="F677" s="96"/>
      <c r="H677" s="12"/>
      <c r="I677" s="12"/>
      <c r="J677" s="12"/>
      <c r="K677" s="12"/>
      <c r="L677" s="12"/>
      <c r="M677" s="12"/>
      <c r="N677" s="12"/>
      <c r="O677" s="12"/>
      <c r="P677" s="12"/>
    </row>
    <row r="678">
      <c r="A678" s="12"/>
      <c r="D678" s="95"/>
      <c r="E678" s="14"/>
      <c r="F678" s="96"/>
      <c r="H678" s="12"/>
      <c r="I678" s="12"/>
      <c r="J678" s="12"/>
      <c r="K678" s="12"/>
      <c r="L678" s="12"/>
      <c r="M678" s="12"/>
      <c r="N678" s="12"/>
      <c r="O678" s="12"/>
      <c r="P678" s="12"/>
    </row>
    <row r="679">
      <c r="A679" s="12"/>
      <c r="D679" s="95"/>
      <c r="E679" s="14"/>
      <c r="F679" s="96"/>
      <c r="H679" s="12"/>
      <c r="I679" s="12"/>
      <c r="J679" s="12"/>
      <c r="K679" s="12"/>
      <c r="L679" s="12"/>
      <c r="M679" s="12"/>
      <c r="N679" s="12"/>
      <c r="O679" s="12"/>
      <c r="P679" s="12"/>
    </row>
    <row r="680">
      <c r="A680" s="12"/>
      <c r="D680" s="95"/>
      <c r="E680" s="14"/>
      <c r="F680" s="96"/>
      <c r="H680" s="12"/>
      <c r="I680" s="12"/>
      <c r="J680" s="12"/>
      <c r="K680" s="12"/>
      <c r="L680" s="12"/>
      <c r="M680" s="12"/>
      <c r="N680" s="12"/>
      <c r="O680" s="12"/>
      <c r="P680" s="12"/>
    </row>
    <row r="681">
      <c r="A681" s="12"/>
      <c r="D681" s="95"/>
      <c r="E681" s="14"/>
      <c r="F681" s="96"/>
      <c r="H681" s="12"/>
      <c r="I681" s="12"/>
      <c r="J681" s="12"/>
      <c r="K681" s="12"/>
      <c r="L681" s="12"/>
      <c r="M681" s="12"/>
      <c r="N681" s="12"/>
      <c r="O681" s="12"/>
      <c r="P681" s="12"/>
    </row>
    <row r="682">
      <c r="A682" s="12"/>
      <c r="D682" s="95"/>
      <c r="E682" s="14"/>
      <c r="F682" s="96"/>
      <c r="H682" s="12"/>
      <c r="I682" s="12"/>
      <c r="J682" s="12"/>
      <c r="K682" s="12"/>
      <c r="L682" s="12"/>
      <c r="M682" s="12"/>
      <c r="N682" s="12"/>
      <c r="O682" s="12"/>
      <c r="P682" s="12"/>
    </row>
    <row r="683">
      <c r="A683" s="12"/>
      <c r="D683" s="95"/>
      <c r="E683" s="14"/>
      <c r="F683" s="96"/>
      <c r="H683" s="12"/>
      <c r="I683" s="12"/>
      <c r="J683" s="12"/>
      <c r="K683" s="12"/>
      <c r="L683" s="12"/>
      <c r="M683" s="12"/>
      <c r="N683" s="12"/>
      <c r="O683" s="12"/>
      <c r="P683" s="12"/>
    </row>
    <row r="684">
      <c r="A684" s="12"/>
      <c r="D684" s="95"/>
      <c r="E684" s="14"/>
      <c r="F684" s="96"/>
      <c r="H684" s="12"/>
      <c r="I684" s="12"/>
      <c r="J684" s="12"/>
      <c r="K684" s="12"/>
      <c r="L684" s="12"/>
      <c r="M684" s="12"/>
      <c r="N684" s="12"/>
      <c r="O684" s="12"/>
      <c r="P684" s="12"/>
    </row>
    <row r="685">
      <c r="A685" s="12"/>
      <c r="D685" s="95"/>
      <c r="E685" s="14"/>
      <c r="F685" s="96"/>
      <c r="H685" s="12"/>
      <c r="I685" s="12"/>
      <c r="J685" s="12"/>
      <c r="K685" s="12"/>
      <c r="L685" s="12"/>
      <c r="M685" s="12"/>
      <c r="N685" s="12"/>
      <c r="O685" s="12"/>
      <c r="P685" s="12"/>
    </row>
    <row r="686">
      <c r="A686" s="12"/>
      <c r="D686" s="95"/>
      <c r="E686" s="14"/>
      <c r="F686" s="96"/>
      <c r="H686" s="12"/>
      <c r="I686" s="12"/>
      <c r="J686" s="12"/>
      <c r="K686" s="12"/>
      <c r="L686" s="12"/>
      <c r="M686" s="12"/>
      <c r="N686" s="12"/>
      <c r="O686" s="12"/>
      <c r="P686" s="12"/>
    </row>
    <row r="687">
      <c r="A687" s="12"/>
      <c r="D687" s="95"/>
      <c r="E687" s="14"/>
      <c r="F687" s="96"/>
      <c r="H687" s="12"/>
      <c r="I687" s="12"/>
      <c r="J687" s="12"/>
      <c r="K687" s="12"/>
      <c r="L687" s="12"/>
      <c r="M687" s="12"/>
      <c r="N687" s="12"/>
      <c r="O687" s="12"/>
      <c r="P687" s="12"/>
    </row>
    <row r="688">
      <c r="A688" s="12"/>
      <c r="D688" s="95"/>
      <c r="E688" s="14"/>
      <c r="F688" s="96"/>
      <c r="H688" s="12"/>
      <c r="I688" s="12"/>
      <c r="J688" s="12"/>
      <c r="K688" s="12"/>
      <c r="L688" s="12"/>
      <c r="M688" s="12"/>
      <c r="N688" s="12"/>
      <c r="O688" s="12"/>
      <c r="P688" s="12"/>
    </row>
    <row r="689">
      <c r="A689" s="12"/>
      <c r="D689" s="95"/>
      <c r="E689" s="14"/>
      <c r="F689" s="96"/>
      <c r="H689" s="12"/>
      <c r="I689" s="12"/>
      <c r="J689" s="12"/>
      <c r="K689" s="12"/>
      <c r="L689" s="12"/>
      <c r="M689" s="12"/>
      <c r="N689" s="12"/>
      <c r="O689" s="12"/>
      <c r="P689" s="12"/>
    </row>
    <row r="690">
      <c r="A690" s="12"/>
      <c r="D690" s="95"/>
      <c r="E690" s="14"/>
      <c r="F690" s="96"/>
      <c r="H690" s="12"/>
      <c r="I690" s="12"/>
      <c r="J690" s="12"/>
      <c r="K690" s="12"/>
      <c r="L690" s="12"/>
      <c r="M690" s="12"/>
      <c r="N690" s="12"/>
      <c r="O690" s="12"/>
      <c r="P690" s="12"/>
    </row>
    <row r="691">
      <c r="A691" s="12"/>
      <c r="D691" s="95"/>
      <c r="E691" s="14"/>
      <c r="F691" s="96"/>
      <c r="H691" s="12"/>
      <c r="I691" s="12"/>
      <c r="J691" s="12"/>
      <c r="K691" s="12"/>
      <c r="L691" s="12"/>
      <c r="M691" s="12"/>
      <c r="N691" s="12"/>
      <c r="O691" s="12"/>
      <c r="P691" s="12"/>
    </row>
    <row r="692">
      <c r="A692" s="12"/>
      <c r="D692" s="95"/>
      <c r="E692" s="14"/>
      <c r="F692" s="96"/>
      <c r="H692" s="12"/>
      <c r="I692" s="12"/>
      <c r="J692" s="12"/>
      <c r="K692" s="12"/>
      <c r="L692" s="12"/>
      <c r="M692" s="12"/>
      <c r="N692" s="12"/>
      <c r="O692" s="12"/>
      <c r="P692" s="12"/>
    </row>
    <row r="693">
      <c r="A693" s="12"/>
      <c r="D693" s="95"/>
      <c r="E693" s="14"/>
      <c r="F693" s="96"/>
      <c r="H693" s="12"/>
      <c r="I693" s="12"/>
      <c r="J693" s="12"/>
      <c r="K693" s="12"/>
      <c r="L693" s="12"/>
      <c r="M693" s="12"/>
      <c r="N693" s="12"/>
      <c r="O693" s="12"/>
      <c r="P693" s="12"/>
    </row>
    <row r="694">
      <c r="A694" s="12"/>
      <c r="D694" s="95"/>
      <c r="E694" s="14"/>
      <c r="F694" s="96"/>
      <c r="H694" s="12"/>
      <c r="I694" s="12"/>
      <c r="J694" s="12"/>
      <c r="K694" s="12"/>
      <c r="L694" s="12"/>
      <c r="M694" s="12"/>
      <c r="N694" s="12"/>
      <c r="O694" s="12"/>
      <c r="P694" s="12"/>
    </row>
    <row r="695">
      <c r="A695" s="12"/>
      <c r="D695" s="95"/>
      <c r="E695" s="14"/>
      <c r="F695" s="96"/>
      <c r="H695" s="12"/>
      <c r="I695" s="12"/>
      <c r="J695" s="12"/>
      <c r="K695" s="12"/>
      <c r="L695" s="12"/>
      <c r="M695" s="12"/>
      <c r="N695" s="12"/>
      <c r="O695" s="12"/>
      <c r="P695" s="12"/>
    </row>
    <row r="696">
      <c r="A696" s="12"/>
      <c r="D696" s="95"/>
      <c r="E696" s="14"/>
      <c r="F696" s="96"/>
      <c r="H696" s="12"/>
      <c r="I696" s="12"/>
      <c r="J696" s="12"/>
      <c r="K696" s="12"/>
      <c r="L696" s="12"/>
      <c r="M696" s="12"/>
      <c r="N696" s="12"/>
      <c r="O696" s="12"/>
      <c r="P696" s="12"/>
    </row>
    <row r="697">
      <c r="A697" s="12"/>
      <c r="D697" s="95"/>
      <c r="E697" s="14"/>
      <c r="F697" s="96"/>
      <c r="H697" s="12"/>
      <c r="I697" s="12"/>
      <c r="J697" s="12"/>
      <c r="K697" s="12"/>
      <c r="L697" s="12"/>
      <c r="M697" s="12"/>
      <c r="N697" s="12"/>
      <c r="O697" s="12"/>
      <c r="P697" s="12"/>
    </row>
    <row r="698">
      <c r="A698" s="12"/>
      <c r="D698" s="95"/>
      <c r="E698" s="14"/>
      <c r="F698" s="96"/>
      <c r="H698" s="12"/>
      <c r="I698" s="12"/>
      <c r="J698" s="12"/>
      <c r="K698" s="12"/>
      <c r="L698" s="12"/>
      <c r="M698" s="12"/>
      <c r="N698" s="12"/>
      <c r="O698" s="12"/>
      <c r="P698" s="12"/>
    </row>
    <row r="699">
      <c r="A699" s="12"/>
      <c r="D699" s="95"/>
      <c r="E699" s="14"/>
      <c r="F699" s="96"/>
      <c r="H699" s="12"/>
      <c r="I699" s="12"/>
      <c r="J699" s="12"/>
      <c r="K699" s="12"/>
      <c r="L699" s="12"/>
      <c r="M699" s="12"/>
      <c r="N699" s="12"/>
      <c r="O699" s="12"/>
      <c r="P699" s="12"/>
    </row>
    <row r="700">
      <c r="A700" s="12"/>
      <c r="D700" s="95"/>
      <c r="E700" s="14"/>
      <c r="F700" s="96"/>
      <c r="H700" s="12"/>
      <c r="I700" s="12"/>
      <c r="J700" s="12"/>
      <c r="K700" s="12"/>
      <c r="L700" s="12"/>
      <c r="M700" s="12"/>
      <c r="N700" s="12"/>
      <c r="O700" s="12"/>
      <c r="P700" s="12"/>
    </row>
    <row r="701">
      <c r="A701" s="12"/>
      <c r="D701" s="95"/>
      <c r="E701" s="14"/>
      <c r="F701" s="96"/>
      <c r="H701" s="12"/>
      <c r="I701" s="12"/>
      <c r="J701" s="12"/>
      <c r="K701" s="12"/>
      <c r="L701" s="12"/>
      <c r="M701" s="12"/>
      <c r="N701" s="12"/>
      <c r="O701" s="12"/>
      <c r="P701" s="12"/>
    </row>
    <row r="702">
      <c r="A702" s="12"/>
      <c r="D702" s="95"/>
      <c r="E702" s="14"/>
      <c r="F702" s="96"/>
      <c r="H702" s="12"/>
      <c r="I702" s="12"/>
      <c r="J702" s="12"/>
      <c r="K702" s="12"/>
      <c r="L702" s="12"/>
      <c r="M702" s="12"/>
      <c r="N702" s="12"/>
      <c r="O702" s="12"/>
      <c r="P702" s="12"/>
    </row>
    <row r="703">
      <c r="A703" s="12"/>
      <c r="D703" s="95"/>
      <c r="E703" s="14"/>
      <c r="F703" s="96"/>
      <c r="H703" s="12"/>
      <c r="I703" s="12"/>
      <c r="J703" s="12"/>
      <c r="K703" s="12"/>
      <c r="L703" s="12"/>
      <c r="M703" s="12"/>
      <c r="N703" s="12"/>
      <c r="O703" s="12"/>
      <c r="P703" s="12"/>
    </row>
    <row r="704">
      <c r="A704" s="12"/>
      <c r="D704" s="95"/>
      <c r="E704" s="14"/>
      <c r="F704" s="96"/>
      <c r="H704" s="12"/>
      <c r="I704" s="12"/>
      <c r="J704" s="12"/>
      <c r="K704" s="12"/>
      <c r="L704" s="12"/>
      <c r="M704" s="12"/>
      <c r="N704" s="12"/>
      <c r="O704" s="12"/>
      <c r="P704" s="12"/>
    </row>
    <row r="705">
      <c r="A705" s="12"/>
      <c r="D705" s="95"/>
      <c r="E705" s="14"/>
      <c r="F705" s="96"/>
      <c r="H705" s="12"/>
      <c r="I705" s="12"/>
      <c r="J705" s="12"/>
      <c r="K705" s="12"/>
      <c r="L705" s="12"/>
      <c r="M705" s="12"/>
      <c r="N705" s="12"/>
      <c r="O705" s="12"/>
      <c r="P705" s="12"/>
    </row>
    <row r="706">
      <c r="A706" s="12"/>
      <c r="D706" s="95"/>
      <c r="E706" s="14"/>
      <c r="F706" s="96"/>
      <c r="H706" s="12"/>
      <c r="I706" s="12"/>
      <c r="J706" s="12"/>
      <c r="K706" s="12"/>
      <c r="L706" s="12"/>
      <c r="M706" s="12"/>
      <c r="N706" s="12"/>
      <c r="O706" s="12"/>
      <c r="P706" s="12"/>
    </row>
    <row r="707">
      <c r="A707" s="12"/>
      <c r="D707" s="95"/>
      <c r="E707" s="14"/>
      <c r="F707" s="96"/>
      <c r="H707" s="12"/>
      <c r="I707" s="12"/>
      <c r="J707" s="12"/>
      <c r="K707" s="12"/>
      <c r="L707" s="12"/>
      <c r="M707" s="12"/>
      <c r="N707" s="12"/>
      <c r="O707" s="12"/>
      <c r="P707" s="12"/>
    </row>
    <row r="708">
      <c r="A708" s="12"/>
      <c r="D708" s="95"/>
      <c r="E708" s="14"/>
      <c r="F708" s="96"/>
      <c r="H708" s="12"/>
      <c r="I708" s="12"/>
      <c r="J708" s="12"/>
      <c r="K708" s="12"/>
      <c r="L708" s="12"/>
      <c r="M708" s="12"/>
      <c r="N708" s="12"/>
      <c r="O708" s="12"/>
      <c r="P708" s="12"/>
    </row>
    <row r="709">
      <c r="A709" s="12"/>
      <c r="D709" s="95"/>
      <c r="E709" s="14"/>
      <c r="F709" s="96"/>
      <c r="H709" s="12"/>
      <c r="I709" s="12"/>
      <c r="J709" s="12"/>
      <c r="K709" s="12"/>
      <c r="L709" s="12"/>
      <c r="M709" s="12"/>
      <c r="N709" s="12"/>
      <c r="O709" s="12"/>
      <c r="P709" s="12"/>
    </row>
    <row r="710">
      <c r="A710" s="12"/>
      <c r="D710" s="95"/>
      <c r="E710" s="14"/>
      <c r="F710" s="96"/>
      <c r="H710" s="12"/>
      <c r="I710" s="12"/>
      <c r="J710" s="12"/>
      <c r="K710" s="12"/>
      <c r="L710" s="12"/>
      <c r="M710" s="12"/>
      <c r="N710" s="12"/>
      <c r="O710" s="12"/>
      <c r="P710" s="12"/>
    </row>
    <row r="711">
      <c r="A711" s="12"/>
      <c r="D711" s="95"/>
      <c r="E711" s="14"/>
      <c r="F711" s="96"/>
      <c r="H711" s="12"/>
      <c r="I711" s="12"/>
      <c r="J711" s="12"/>
      <c r="K711" s="12"/>
      <c r="L711" s="12"/>
      <c r="M711" s="12"/>
      <c r="N711" s="12"/>
      <c r="O711" s="12"/>
      <c r="P711" s="12"/>
    </row>
    <row r="712">
      <c r="A712" s="12"/>
      <c r="D712" s="95"/>
      <c r="E712" s="14"/>
      <c r="F712" s="96"/>
      <c r="H712" s="12"/>
      <c r="I712" s="12"/>
      <c r="J712" s="12"/>
      <c r="K712" s="12"/>
      <c r="L712" s="12"/>
      <c r="M712" s="12"/>
      <c r="N712" s="12"/>
      <c r="O712" s="12"/>
      <c r="P712" s="12"/>
    </row>
    <row r="713">
      <c r="A713" s="12"/>
      <c r="D713" s="95"/>
      <c r="E713" s="14"/>
      <c r="F713" s="96"/>
      <c r="H713" s="12"/>
      <c r="I713" s="12"/>
      <c r="J713" s="12"/>
      <c r="K713" s="12"/>
      <c r="L713" s="12"/>
      <c r="M713" s="12"/>
      <c r="N713" s="12"/>
      <c r="O713" s="12"/>
      <c r="P713" s="12"/>
    </row>
    <row r="714">
      <c r="A714" s="12"/>
      <c r="D714" s="95"/>
      <c r="E714" s="14"/>
      <c r="F714" s="96"/>
      <c r="H714" s="12"/>
      <c r="I714" s="12"/>
      <c r="J714" s="12"/>
      <c r="K714" s="12"/>
      <c r="L714" s="12"/>
      <c r="M714" s="12"/>
      <c r="N714" s="12"/>
      <c r="O714" s="12"/>
      <c r="P714" s="12"/>
    </row>
    <row r="715">
      <c r="A715" s="12"/>
      <c r="D715" s="95"/>
      <c r="E715" s="14"/>
      <c r="F715" s="96"/>
      <c r="H715" s="12"/>
      <c r="I715" s="12"/>
      <c r="J715" s="12"/>
      <c r="K715" s="12"/>
      <c r="L715" s="12"/>
      <c r="M715" s="12"/>
      <c r="N715" s="12"/>
      <c r="O715" s="12"/>
      <c r="P715" s="12"/>
    </row>
    <row r="716">
      <c r="A716" s="12"/>
      <c r="D716" s="95"/>
      <c r="E716" s="14"/>
      <c r="F716" s="96"/>
      <c r="H716" s="12"/>
      <c r="I716" s="12"/>
      <c r="J716" s="12"/>
      <c r="K716" s="12"/>
      <c r="L716" s="12"/>
      <c r="M716" s="12"/>
      <c r="N716" s="12"/>
      <c r="O716" s="12"/>
      <c r="P716" s="12"/>
    </row>
    <row r="717">
      <c r="A717" s="12"/>
      <c r="D717" s="95"/>
      <c r="E717" s="14"/>
      <c r="F717" s="96"/>
      <c r="H717" s="12"/>
      <c r="I717" s="12"/>
      <c r="J717" s="12"/>
      <c r="K717" s="12"/>
      <c r="L717" s="12"/>
      <c r="M717" s="12"/>
      <c r="N717" s="12"/>
      <c r="O717" s="12"/>
      <c r="P717" s="12"/>
    </row>
    <row r="718">
      <c r="A718" s="12"/>
      <c r="D718" s="95"/>
      <c r="E718" s="14"/>
      <c r="F718" s="96"/>
      <c r="H718" s="12"/>
      <c r="I718" s="12"/>
      <c r="J718" s="12"/>
      <c r="K718" s="12"/>
      <c r="L718" s="12"/>
      <c r="M718" s="12"/>
      <c r="N718" s="12"/>
      <c r="O718" s="12"/>
      <c r="P718" s="12"/>
    </row>
    <row r="719">
      <c r="A719" s="12"/>
      <c r="D719" s="95"/>
      <c r="E719" s="14"/>
      <c r="F719" s="96"/>
      <c r="H719" s="12"/>
      <c r="I719" s="12"/>
      <c r="J719" s="12"/>
      <c r="K719" s="12"/>
      <c r="L719" s="12"/>
      <c r="M719" s="12"/>
      <c r="N719" s="12"/>
      <c r="O719" s="12"/>
      <c r="P719" s="12"/>
    </row>
    <row r="720">
      <c r="A720" s="12"/>
      <c r="D720" s="95"/>
      <c r="E720" s="14"/>
      <c r="F720" s="96"/>
      <c r="H720" s="12"/>
      <c r="I720" s="12"/>
      <c r="J720" s="12"/>
      <c r="K720" s="12"/>
      <c r="L720" s="12"/>
      <c r="M720" s="12"/>
      <c r="N720" s="12"/>
      <c r="O720" s="12"/>
      <c r="P720" s="12"/>
    </row>
    <row r="721">
      <c r="A721" s="12"/>
      <c r="D721" s="95"/>
      <c r="E721" s="14"/>
      <c r="F721" s="96"/>
      <c r="H721" s="12"/>
      <c r="I721" s="12"/>
      <c r="J721" s="12"/>
      <c r="K721" s="12"/>
      <c r="L721" s="12"/>
      <c r="M721" s="12"/>
      <c r="N721" s="12"/>
      <c r="O721" s="12"/>
      <c r="P721" s="12"/>
    </row>
    <row r="722">
      <c r="A722" s="12"/>
      <c r="D722" s="95"/>
      <c r="E722" s="14"/>
      <c r="F722" s="96"/>
      <c r="H722" s="12"/>
      <c r="I722" s="12"/>
      <c r="J722" s="12"/>
      <c r="K722" s="12"/>
      <c r="L722" s="12"/>
      <c r="M722" s="12"/>
      <c r="N722" s="12"/>
      <c r="O722" s="12"/>
      <c r="P722" s="12"/>
    </row>
    <row r="723">
      <c r="A723" s="12"/>
      <c r="D723" s="95"/>
      <c r="E723" s="14"/>
      <c r="F723" s="96"/>
      <c r="H723" s="12"/>
      <c r="I723" s="12"/>
      <c r="J723" s="12"/>
      <c r="K723" s="12"/>
      <c r="L723" s="12"/>
      <c r="M723" s="12"/>
      <c r="N723" s="12"/>
      <c r="O723" s="12"/>
      <c r="P723" s="12"/>
    </row>
    <row r="724">
      <c r="A724" s="12"/>
      <c r="D724" s="95"/>
      <c r="E724" s="14"/>
      <c r="F724" s="96"/>
      <c r="H724" s="12"/>
      <c r="I724" s="12"/>
      <c r="J724" s="12"/>
      <c r="K724" s="12"/>
      <c r="L724" s="12"/>
      <c r="M724" s="12"/>
      <c r="N724" s="12"/>
      <c r="O724" s="12"/>
      <c r="P724" s="12"/>
    </row>
    <row r="725">
      <c r="A725" s="12"/>
      <c r="D725" s="95"/>
      <c r="E725" s="14"/>
      <c r="F725" s="96"/>
      <c r="H725" s="12"/>
      <c r="I725" s="12"/>
      <c r="J725" s="12"/>
      <c r="K725" s="12"/>
      <c r="L725" s="12"/>
      <c r="M725" s="12"/>
      <c r="N725" s="12"/>
      <c r="O725" s="12"/>
      <c r="P725" s="12"/>
    </row>
    <row r="726">
      <c r="A726" s="12"/>
      <c r="D726" s="95"/>
      <c r="E726" s="14"/>
      <c r="F726" s="96"/>
      <c r="H726" s="12"/>
      <c r="I726" s="12"/>
      <c r="J726" s="12"/>
      <c r="K726" s="12"/>
      <c r="L726" s="12"/>
      <c r="M726" s="12"/>
      <c r="N726" s="12"/>
      <c r="O726" s="12"/>
      <c r="P726" s="12"/>
    </row>
    <row r="727">
      <c r="A727" s="12"/>
      <c r="D727" s="95"/>
      <c r="E727" s="14"/>
      <c r="F727" s="96"/>
      <c r="H727" s="12"/>
      <c r="I727" s="12"/>
      <c r="J727" s="12"/>
      <c r="K727" s="12"/>
      <c r="L727" s="12"/>
      <c r="M727" s="12"/>
      <c r="N727" s="12"/>
      <c r="O727" s="12"/>
      <c r="P727" s="12"/>
    </row>
    <row r="728">
      <c r="A728" s="12"/>
      <c r="D728" s="95"/>
      <c r="E728" s="14"/>
      <c r="F728" s="96"/>
      <c r="H728" s="12"/>
      <c r="I728" s="12"/>
      <c r="J728" s="12"/>
      <c r="K728" s="12"/>
      <c r="L728" s="12"/>
      <c r="M728" s="12"/>
      <c r="N728" s="12"/>
      <c r="O728" s="12"/>
      <c r="P728" s="12"/>
    </row>
    <row r="729">
      <c r="A729" s="12"/>
      <c r="D729" s="95"/>
      <c r="E729" s="14"/>
      <c r="F729" s="96"/>
      <c r="H729" s="12"/>
      <c r="I729" s="12"/>
      <c r="J729" s="12"/>
      <c r="K729" s="12"/>
      <c r="L729" s="12"/>
      <c r="M729" s="12"/>
      <c r="N729" s="12"/>
      <c r="O729" s="12"/>
      <c r="P729" s="12"/>
    </row>
    <row r="730">
      <c r="A730" s="12"/>
      <c r="D730" s="95"/>
      <c r="E730" s="14"/>
      <c r="F730" s="96"/>
      <c r="H730" s="12"/>
      <c r="I730" s="12"/>
      <c r="J730" s="12"/>
      <c r="K730" s="12"/>
      <c r="L730" s="12"/>
      <c r="M730" s="12"/>
      <c r="N730" s="12"/>
      <c r="O730" s="12"/>
      <c r="P730" s="12"/>
    </row>
    <row r="731">
      <c r="A731" s="12"/>
      <c r="D731" s="95"/>
      <c r="E731" s="14"/>
      <c r="F731" s="96"/>
      <c r="H731" s="12"/>
      <c r="I731" s="12"/>
      <c r="J731" s="12"/>
      <c r="K731" s="12"/>
      <c r="L731" s="12"/>
      <c r="M731" s="12"/>
      <c r="N731" s="12"/>
      <c r="O731" s="12"/>
      <c r="P731" s="12"/>
    </row>
    <row r="732">
      <c r="A732" s="12"/>
      <c r="D732" s="95"/>
      <c r="E732" s="14"/>
      <c r="F732" s="96"/>
      <c r="H732" s="12"/>
      <c r="I732" s="12"/>
      <c r="J732" s="12"/>
      <c r="K732" s="12"/>
      <c r="L732" s="12"/>
      <c r="M732" s="12"/>
      <c r="N732" s="12"/>
      <c r="O732" s="12"/>
      <c r="P732" s="12"/>
    </row>
    <row r="733">
      <c r="A733" s="12"/>
      <c r="D733" s="95"/>
      <c r="E733" s="14"/>
      <c r="F733" s="96"/>
      <c r="H733" s="12"/>
      <c r="I733" s="12"/>
      <c r="J733" s="12"/>
      <c r="K733" s="12"/>
      <c r="L733" s="12"/>
      <c r="M733" s="12"/>
      <c r="N733" s="12"/>
      <c r="O733" s="12"/>
      <c r="P733" s="12"/>
    </row>
    <row r="734">
      <c r="A734" s="12"/>
      <c r="D734" s="95"/>
      <c r="E734" s="14"/>
      <c r="F734" s="96"/>
      <c r="H734" s="12"/>
      <c r="I734" s="12"/>
      <c r="J734" s="12"/>
      <c r="K734" s="12"/>
      <c r="L734" s="12"/>
      <c r="M734" s="12"/>
      <c r="N734" s="12"/>
      <c r="O734" s="12"/>
      <c r="P734" s="12"/>
    </row>
    <row r="735">
      <c r="A735" s="12"/>
      <c r="D735" s="95"/>
      <c r="E735" s="14"/>
      <c r="F735" s="96"/>
      <c r="H735" s="12"/>
      <c r="I735" s="12"/>
      <c r="J735" s="12"/>
      <c r="K735" s="12"/>
      <c r="L735" s="12"/>
      <c r="M735" s="12"/>
      <c r="N735" s="12"/>
      <c r="O735" s="12"/>
      <c r="P735" s="12"/>
    </row>
    <row r="736">
      <c r="A736" s="12"/>
      <c r="D736" s="95"/>
      <c r="E736" s="14"/>
      <c r="F736" s="96"/>
      <c r="H736" s="12"/>
      <c r="I736" s="12"/>
      <c r="J736" s="12"/>
      <c r="K736" s="12"/>
      <c r="L736" s="12"/>
      <c r="M736" s="12"/>
      <c r="N736" s="12"/>
      <c r="O736" s="12"/>
      <c r="P736" s="12"/>
    </row>
    <row r="737">
      <c r="A737" s="12"/>
      <c r="D737" s="95"/>
      <c r="E737" s="14"/>
      <c r="F737" s="96"/>
      <c r="H737" s="12"/>
      <c r="I737" s="12"/>
      <c r="J737" s="12"/>
      <c r="K737" s="12"/>
      <c r="L737" s="12"/>
      <c r="M737" s="12"/>
      <c r="N737" s="12"/>
      <c r="O737" s="12"/>
      <c r="P737" s="12"/>
    </row>
    <row r="738">
      <c r="A738" s="12"/>
      <c r="D738" s="95"/>
      <c r="E738" s="14"/>
      <c r="F738" s="96"/>
      <c r="H738" s="12"/>
      <c r="I738" s="12"/>
      <c r="J738" s="12"/>
      <c r="K738" s="12"/>
      <c r="L738" s="12"/>
      <c r="M738" s="12"/>
      <c r="N738" s="12"/>
      <c r="O738" s="12"/>
      <c r="P738" s="12"/>
    </row>
    <row r="739">
      <c r="A739" s="12"/>
      <c r="D739" s="95"/>
      <c r="E739" s="14"/>
      <c r="F739" s="96"/>
      <c r="H739" s="12"/>
      <c r="I739" s="12"/>
      <c r="J739" s="12"/>
      <c r="K739" s="12"/>
      <c r="L739" s="12"/>
      <c r="M739" s="12"/>
      <c r="N739" s="12"/>
      <c r="O739" s="12"/>
      <c r="P739" s="12"/>
    </row>
    <row r="740">
      <c r="A740" s="12"/>
      <c r="D740" s="95"/>
      <c r="E740" s="14"/>
      <c r="F740" s="96"/>
      <c r="H740" s="12"/>
      <c r="I740" s="12"/>
      <c r="J740" s="12"/>
      <c r="K740" s="12"/>
      <c r="L740" s="12"/>
      <c r="M740" s="12"/>
      <c r="N740" s="12"/>
      <c r="O740" s="12"/>
      <c r="P740" s="12"/>
    </row>
    <row r="741">
      <c r="A741" s="12"/>
      <c r="D741" s="95"/>
      <c r="E741" s="14"/>
      <c r="F741" s="96"/>
      <c r="H741" s="12"/>
      <c r="I741" s="12"/>
      <c r="J741" s="12"/>
      <c r="K741" s="12"/>
      <c r="L741" s="12"/>
      <c r="M741" s="12"/>
      <c r="N741" s="12"/>
      <c r="O741" s="12"/>
      <c r="P741" s="12"/>
    </row>
    <row r="742">
      <c r="A742" s="12"/>
      <c r="D742" s="95"/>
      <c r="E742" s="14"/>
      <c r="F742" s="96"/>
      <c r="H742" s="12"/>
      <c r="I742" s="12"/>
      <c r="J742" s="12"/>
      <c r="K742" s="12"/>
      <c r="L742" s="12"/>
      <c r="M742" s="12"/>
      <c r="N742" s="12"/>
      <c r="O742" s="12"/>
      <c r="P742" s="12"/>
    </row>
    <row r="743">
      <c r="A743" s="12"/>
      <c r="D743" s="95"/>
      <c r="E743" s="14"/>
      <c r="F743" s="96"/>
      <c r="H743" s="12"/>
      <c r="I743" s="12"/>
      <c r="J743" s="12"/>
      <c r="K743" s="12"/>
      <c r="L743" s="12"/>
      <c r="M743" s="12"/>
      <c r="N743" s="12"/>
      <c r="O743" s="12"/>
      <c r="P743" s="12"/>
    </row>
    <row r="744">
      <c r="A744" s="12"/>
      <c r="D744" s="95"/>
      <c r="E744" s="14"/>
      <c r="F744" s="96"/>
      <c r="H744" s="12"/>
      <c r="I744" s="12"/>
      <c r="J744" s="12"/>
      <c r="K744" s="12"/>
      <c r="L744" s="12"/>
      <c r="M744" s="12"/>
      <c r="N744" s="12"/>
      <c r="O744" s="12"/>
      <c r="P744" s="12"/>
    </row>
    <row r="745">
      <c r="A745" s="12"/>
      <c r="D745" s="95"/>
      <c r="E745" s="14"/>
      <c r="F745" s="96"/>
      <c r="H745" s="12"/>
      <c r="I745" s="12"/>
      <c r="J745" s="12"/>
      <c r="K745" s="12"/>
      <c r="L745" s="12"/>
      <c r="M745" s="12"/>
      <c r="N745" s="12"/>
      <c r="O745" s="12"/>
      <c r="P745" s="12"/>
    </row>
    <row r="746">
      <c r="A746" s="12"/>
      <c r="D746" s="95"/>
      <c r="E746" s="14"/>
      <c r="F746" s="96"/>
      <c r="H746" s="12"/>
      <c r="I746" s="12"/>
      <c r="J746" s="12"/>
      <c r="K746" s="12"/>
      <c r="L746" s="12"/>
      <c r="M746" s="12"/>
      <c r="N746" s="12"/>
      <c r="O746" s="12"/>
      <c r="P746" s="12"/>
    </row>
    <row r="747">
      <c r="A747" s="12"/>
      <c r="D747" s="95"/>
      <c r="E747" s="14"/>
      <c r="F747" s="96"/>
      <c r="H747" s="12"/>
      <c r="I747" s="12"/>
      <c r="J747" s="12"/>
      <c r="K747" s="12"/>
      <c r="L747" s="12"/>
      <c r="M747" s="12"/>
      <c r="N747" s="12"/>
      <c r="O747" s="12"/>
      <c r="P747" s="12"/>
    </row>
    <row r="748">
      <c r="A748" s="12"/>
      <c r="D748" s="95"/>
      <c r="E748" s="14"/>
      <c r="F748" s="96"/>
      <c r="H748" s="12"/>
      <c r="I748" s="12"/>
      <c r="J748" s="12"/>
      <c r="K748" s="12"/>
      <c r="L748" s="12"/>
      <c r="M748" s="12"/>
      <c r="N748" s="12"/>
      <c r="O748" s="12"/>
      <c r="P748" s="12"/>
    </row>
    <row r="749">
      <c r="A749" s="12"/>
      <c r="D749" s="95"/>
      <c r="E749" s="14"/>
      <c r="F749" s="96"/>
      <c r="H749" s="12"/>
      <c r="I749" s="12"/>
      <c r="J749" s="12"/>
      <c r="K749" s="12"/>
      <c r="L749" s="12"/>
      <c r="M749" s="12"/>
      <c r="N749" s="12"/>
      <c r="O749" s="12"/>
      <c r="P749" s="12"/>
    </row>
    <row r="750">
      <c r="A750" s="12"/>
      <c r="D750" s="95"/>
      <c r="E750" s="14"/>
      <c r="F750" s="96"/>
      <c r="H750" s="12"/>
      <c r="I750" s="12"/>
      <c r="J750" s="12"/>
      <c r="K750" s="12"/>
      <c r="L750" s="12"/>
      <c r="M750" s="12"/>
      <c r="N750" s="12"/>
      <c r="O750" s="12"/>
      <c r="P750" s="12"/>
    </row>
    <row r="751">
      <c r="A751" s="12"/>
      <c r="D751" s="95"/>
      <c r="E751" s="14"/>
      <c r="F751" s="96"/>
      <c r="H751" s="12"/>
      <c r="I751" s="12"/>
      <c r="J751" s="12"/>
      <c r="K751" s="12"/>
      <c r="L751" s="12"/>
      <c r="M751" s="12"/>
      <c r="N751" s="12"/>
      <c r="O751" s="12"/>
      <c r="P751" s="12"/>
    </row>
    <row r="752">
      <c r="A752" s="12"/>
      <c r="D752" s="95"/>
      <c r="E752" s="14"/>
      <c r="F752" s="96"/>
      <c r="H752" s="12"/>
      <c r="I752" s="12"/>
      <c r="J752" s="12"/>
      <c r="K752" s="12"/>
      <c r="L752" s="12"/>
      <c r="M752" s="12"/>
      <c r="N752" s="12"/>
      <c r="O752" s="12"/>
      <c r="P752" s="12"/>
    </row>
    <row r="753">
      <c r="A753" s="12"/>
      <c r="D753" s="95"/>
      <c r="E753" s="14"/>
      <c r="F753" s="96"/>
      <c r="H753" s="12"/>
      <c r="I753" s="12"/>
      <c r="J753" s="12"/>
      <c r="K753" s="12"/>
      <c r="L753" s="12"/>
      <c r="M753" s="12"/>
      <c r="N753" s="12"/>
      <c r="O753" s="12"/>
      <c r="P753" s="12"/>
    </row>
    <row r="754">
      <c r="A754" s="12"/>
      <c r="D754" s="95"/>
      <c r="E754" s="14"/>
      <c r="F754" s="96"/>
      <c r="H754" s="12"/>
      <c r="I754" s="12"/>
      <c r="J754" s="12"/>
      <c r="K754" s="12"/>
      <c r="L754" s="12"/>
      <c r="M754" s="12"/>
      <c r="N754" s="12"/>
      <c r="O754" s="12"/>
      <c r="P754" s="12"/>
    </row>
    <row r="755">
      <c r="A755" s="12"/>
      <c r="D755" s="95"/>
      <c r="E755" s="14"/>
      <c r="F755" s="96"/>
      <c r="H755" s="12"/>
      <c r="I755" s="12"/>
      <c r="J755" s="12"/>
      <c r="K755" s="12"/>
      <c r="L755" s="12"/>
      <c r="M755" s="12"/>
      <c r="N755" s="12"/>
      <c r="O755" s="12"/>
      <c r="P755" s="12"/>
    </row>
    <row r="756">
      <c r="A756" s="12"/>
      <c r="D756" s="95"/>
      <c r="E756" s="14"/>
      <c r="F756" s="96"/>
      <c r="H756" s="12"/>
      <c r="I756" s="12"/>
      <c r="J756" s="12"/>
      <c r="K756" s="12"/>
      <c r="L756" s="12"/>
      <c r="M756" s="12"/>
      <c r="N756" s="12"/>
      <c r="O756" s="12"/>
      <c r="P756" s="12"/>
    </row>
    <row r="757">
      <c r="A757" s="12"/>
      <c r="D757" s="95"/>
      <c r="E757" s="14"/>
      <c r="F757" s="96"/>
      <c r="H757" s="12"/>
      <c r="I757" s="12"/>
      <c r="J757" s="12"/>
      <c r="K757" s="12"/>
      <c r="L757" s="12"/>
      <c r="M757" s="12"/>
      <c r="N757" s="12"/>
      <c r="O757" s="12"/>
      <c r="P757" s="12"/>
    </row>
    <row r="758">
      <c r="A758" s="12"/>
      <c r="D758" s="95"/>
      <c r="E758" s="14"/>
      <c r="F758" s="96"/>
      <c r="H758" s="12"/>
      <c r="I758" s="12"/>
      <c r="J758" s="12"/>
      <c r="K758" s="12"/>
      <c r="L758" s="12"/>
      <c r="M758" s="12"/>
      <c r="N758" s="12"/>
      <c r="O758" s="12"/>
      <c r="P758" s="12"/>
    </row>
    <row r="759">
      <c r="A759" s="12"/>
      <c r="D759" s="95"/>
      <c r="E759" s="14"/>
      <c r="F759" s="96"/>
      <c r="H759" s="12"/>
      <c r="I759" s="12"/>
      <c r="J759" s="12"/>
      <c r="K759" s="12"/>
      <c r="L759" s="12"/>
      <c r="M759" s="12"/>
      <c r="N759" s="12"/>
      <c r="O759" s="12"/>
      <c r="P759" s="12"/>
    </row>
    <row r="760">
      <c r="A760" s="12"/>
      <c r="D760" s="95"/>
      <c r="E760" s="14"/>
      <c r="F760" s="96"/>
      <c r="H760" s="12"/>
      <c r="I760" s="12"/>
      <c r="J760" s="12"/>
      <c r="K760" s="12"/>
      <c r="L760" s="12"/>
      <c r="M760" s="12"/>
      <c r="N760" s="12"/>
      <c r="O760" s="12"/>
      <c r="P760" s="12"/>
    </row>
    <row r="761">
      <c r="A761" s="12"/>
      <c r="D761" s="95"/>
      <c r="E761" s="14"/>
      <c r="F761" s="96"/>
      <c r="H761" s="12"/>
      <c r="I761" s="12"/>
      <c r="J761" s="12"/>
      <c r="K761" s="12"/>
      <c r="L761" s="12"/>
      <c r="M761" s="12"/>
      <c r="N761" s="12"/>
      <c r="O761" s="12"/>
      <c r="P761" s="12"/>
    </row>
    <row r="762">
      <c r="A762" s="12"/>
      <c r="D762" s="95"/>
      <c r="E762" s="14"/>
      <c r="F762" s="96"/>
      <c r="H762" s="12"/>
      <c r="I762" s="12"/>
      <c r="J762" s="12"/>
      <c r="K762" s="12"/>
      <c r="L762" s="12"/>
      <c r="M762" s="12"/>
      <c r="N762" s="12"/>
      <c r="O762" s="12"/>
      <c r="P762" s="12"/>
    </row>
    <row r="763">
      <c r="A763" s="12"/>
      <c r="D763" s="95"/>
      <c r="E763" s="14"/>
      <c r="F763" s="96"/>
      <c r="H763" s="12"/>
      <c r="I763" s="12"/>
      <c r="J763" s="12"/>
      <c r="K763" s="12"/>
      <c r="L763" s="12"/>
      <c r="M763" s="12"/>
      <c r="N763" s="12"/>
      <c r="O763" s="12"/>
      <c r="P763" s="12"/>
    </row>
    <row r="764">
      <c r="A764" s="12"/>
      <c r="D764" s="95"/>
      <c r="E764" s="14"/>
      <c r="F764" s="96"/>
      <c r="H764" s="12"/>
      <c r="I764" s="12"/>
      <c r="J764" s="12"/>
      <c r="K764" s="12"/>
      <c r="L764" s="12"/>
      <c r="M764" s="12"/>
      <c r="N764" s="12"/>
      <c r="O764" s="12"/>
      <c r="P764" s="12"/>
    </row>
    <row r="765">
      <c r="A765" s="12"/>
      <c r="D765" s="95"/>
      <c r="E765" s="14"/>
      <c r="F765" s="96"/>
      <c r="H765" s="12"/>
      <c r="I765" s="12"/>
      <c r="J765" s="12"/>
      <c r="K765" s="12"/>
      <c r="L765" s="12"/>
      <c r="M765" s="12"/>
      <c r="N765" s="12"/>
      <c r="O765" s="12"/>
      <c r="P765" s="12"/>
    </row>
    <row r="766">
      <c r="A766" s="12"/>
      <c r="D766" s="95"/>
      <c r="E766" s="14"/>
      <c r="F766" s="96"/>
      <c r="H766" s="12"/>
      <c r="I766" s="12"/>
      <c r="J766" s="12"/>
      <c r="K766" s="12"/>
      <c r="L766" s="12"/>
      <c r="M766" s="12"/>
      <c r="N766" s="12"/>
      <c r="O766" s="12"/>
      <c r="P766" s="12"/>
    </row>
    <row r="767">
      <c r="A767" s="12"/>
      <c r="D767" s="95"/>
      <c r="E767" s="14"/>
      <c r="F767" s="96"/>
      <c r="H767" s="12"/>
      <c r="I767" s="12"/>
      <c r="J767" s="12"/>
      <c r="K767" s="12"/>
      <c r="L767" s="12"/>
      <c r="M767" s="12"/>
      <c r="N767" s="12"/>
      <c r="O767" s="12"/>
      <c r="P767" s="12"/>
    </row>
    <row r="768">
      <c r="A768" s="12"/>
      <c r="D768" s="95"/>
      <c r="E768" s="14"/>
      <c r="F768" s="96"/>
      <c r="H768" s="12"/>
      <c r="I768" s="12"/>
      <c r="J768" s="12"/>
      <c r="K768" s="12"/>
      <c r="L768" s="12"/>
      <c r="M768" s="12"/>
      <c r="N768" s="12"/>
      <c r="O768" s="12"/>
      <c r="P768" s="12"/>
    </row>
    <row r="769">
      <c r="A769" s="12"/>
      <c r="D769" s="95"/>
      <c r="E769" s="14"/>
      <c r="F769" s="96"/>
      <c r="H769" s="12"/>
      <c r="I769" s="12"/>
      <c r="J769" s="12"/>
      <c r="K769" s="12"/>
      <c r="L769" s="12"/>
      <c r="M769" s="12"/>
      <c r="N769" s="12"/>
      <c r="O769" s="12"/>
      <c r="P769" s="12"/>
    </row>
    <row r="770">
      <c r="A770" s="12"/>
      <c r="D770" s="95"/>
      <c r="E770" s="14"/>
      <c r="F770" s="96"/>
      <c r="H770" s="12"/>
      <c r="I770" s="12"/>
      <c r="J770" s="12"/>
      <c r="K770" s="12"/>
      <c r="L770" s="12"/>
      <c r="M770" s="12"/>
      <c r="N770" s="12"/>
      <c r="O770" s="12"/>
      <c r="P770" s="12"/>
    </row>
    <row r="771">
      <c r="A771" s="12"/>
      <c r="D771" s="95"/>
      <c r="E771" s="14"/>
      <c r="F771" s="96"/>
      <c r="H771" s="12"/>
      <c r="I771" s="12"/>
      <c r="J771" s="12"/>
      <c r="K771" s="12"/>
      <c r="L771" s="12"/>
      <c r="M771" s="12"/>
      <c r="N771" s="12"/>
      <c r="O771" s="12"/>
      <c r="P771" s="12"/>
    </row>
    <row r="772">
      <c r="A772" s="12"/>
      <c r="D772" s="95"/>
      <c r="E772" s="14"/>
      <c r="F772" s="96"/>
      <c r="H772" s="12"/>
      <c r="I772" s="12"/>
      <c r="J772" s="12"/>
      <c r="K772" s="12"/>
      <c r="L772" s="12"/>
      <c r="M772" s="12"/>
      <c r="N772" s="12"/>
      <c r="O772" s="12"/>
      <c r="P772" s="12"/>
    </row>
    <row r="773">
      <c r="A773" s="12"/>
      <c r="D773" s="95"/>
      <c r="E773" s="14"/>
      <c r="F773" s="96"/>
      <c r="H773" s="12"/>
      <c r="I773" s="12"/>
      <c r="J773" s="12"/>
      <c r="K773" s="12"/>
      <c r="L773" s="12"/>
      <c r="M773" s="12"/>
      <c r="N773" s="12"/>
      <c r="O773" s="12"/>
      <c r="P773" s="12"/>
    </row>
    <row r="774">
      <c r="A774" s="12"/>
      <c r="D774" s="95"/>
      <c r="E774" s="14"/>
      <c r="F774" s="96"/>
      <c r="H774" s="12"/>
      <c r="I774" s="12"/>
      <c r="J774" s="12"/>
      <c r="K774" s="12"/>
      <c r="L774" s="12"/>
      <c r="M774" s="12"/>
      <c r="N774" s="12"/>
      <c r="O774" s="12"/>
      <c r="P774" s="12"/>
    </row>
    <row r="775">
      <c r="A775" s="12"/>
      <c r="D775" s="95"/>
      <c r="E775" s="14"/>
      <c r="F775" s="96"/>
      <c r="H775" s="12"/>
      <c r="I775" s="12"/>
      <c r="J775" s="12"/>
      <c r="K775" s="12"/>
      <c r="L775" s="12"/>
      <c r="M775" s="12"/>
      <c r="N775" s="12"/>
      <c r="O775" s="12"/>
      <c r="P775" s="12"/>
    </row>
    <row r="776">
      <c r="A776" s="12"/>
      <c r="D776" s="95"/>
      <c r="E776" s="14"/>
      <c r="F776" s="96"/>
      <c r="H776" s="12"/>
      <c r="I776" s="12"/>
      <c r="J776" s="12"/>
      <c r="K776" s="12"/>
      <c r="L776" s="12"/>
      <c r="M776" s="12"/>
      <c r="N776" s="12"/>
      <c r="O776" s="12"/>
      <c r="P776" s="12"/>
    </row>
    <row r="777">
      <c r="A777" s="12"/>
      <c r="D777" s="95"/>
      <c r="E777" s="14"/>
      <c r="F777" s="96"/>
      <c r="H777" s="12"/>
      <c r="I777" s="12"/>
      <c r="J777" s="12"/>
      <c r="K777" s="12"/>
      <c r="L777" s="12"/>
      <c r="M777" s="12"/>
      <c r="N777" s="12"/>
      <c r="O777" s="12"/>
      <c r="P777" s="12"/>
    </row>
    <row r="778">
      <c r="A778" s="12"/>
      <c r="D778" s="95"/>
      <c r="E778" s="14"/>
      <c r="F778" s="96"/>
      <c r="H778" s="12"/>
      <c r="I778" s="12"/>
      <c r="J778" s="12"/>
      <c r="K778" s="12"/>
      <c r="L778" s="12"/>
      <c r="M778" s="12"/>
      <c r="N778" s="12"/>
      <c r="O778" s="12"/>
      <c r="P778" s="12"/>
    </row>
    <row r="779">
      <c r="A779" s="12"/>
      <c r="D779" s="95"/>
      <c r="E779" s="14"/>
      <c r="F779" s="96"/>
      <c r="H779" s="12"/>
      <c r="I779" s="12"/>
      <c r="J779" s="12"/>
      <c r="K779" s="12"/>
      <c r="L779" s="12"/>
      <c r="M779" s="12"/>
      <c r="N779" s="12"/>
      <c r="O779" s="12"/>
      <c r="P779" s="12"/>
    </row>
    <row r="780">
      <c r="A780" s="12"/>
      <c r="D780" s="95"/>
      <c r="E780" s="14"/>
      <c r="F780" s="96"/>
      <c r="H780" s="12"/>
      <c r="I780" s="12"/>
      <c r="J780" s="12"/>
      <c r="K780" s="12"/>
      <c r="L780" s="12"/>
      <c r="M780" s="12"/>
      <c r="N780" s="12"/>
      <c r="O780" s="12"/>
      <c r="P780" s="12"/>
    </row>
    <row r="781">
      <c r="A781" s="12"/>
      <c r="D781" s="95"/>
      <c r="E781" s="14"/>
      <c r="F781" s="96"/>
      <c r="H781" s="12"/>
      <c r="I781" s="12"/>
      <c r="J781" s="12"/>
      <c r="K781" s="12"/>
      <c r="L781" s="12"/>
      <c r="M781" s="12"/>
      <c r="N781" s="12"/>
      <c r="O781" s="12"/>
      <c r="P781" s="12"/>
    </row>
    <row r="782">
      <c r="A782" s="12"/>
      <c r="D782" s="95"/>
      <c r="E782" s="14"/>
      <c r="F782" s="96"/>
      <c r="H782" s="12"/>
      <c r="I782" s="12"/>
      <c r="J782" s="12"/>
      <c r="K782" s="12"/>
      <c r="L782" s="12"/>
      <c r="M782" s="12"/>
      <c r="N782" s="12"/>
      <c r="O782" s="12"/>
      <c r="P782" s="12"/>
    </row>
    <row r="783">
      <c r="A783" s="12"/>
      <c r="D783" s="95"/>
      <c r="E783" s="14"/>
      <c r="F783" s="96"/>
      <c r="H783" s="12"/>
      <c r="I783" s="12"/>
      <c r="J783" s="12"/>
      <c r="K783" s="12"/>
      <c r="L783" s="12"/>
      <c r="M783" s="12"/>
      <c r="N783" s="12"/>
      <c r="O783" s="12"/>
      <c r="P783" s="12"/>
    </row>
    <row r="784">
      <c r="A784" s="12"/>
      <c r="D784" s="95"/>
      <c r="E784" s="14"/>
      <c r="F784" s="96"/>
      <c r="H784" s="12"/>
      <c r="I784" s="12"/>
      <c r="J784" s="12"/>
      <c r="K784" s="12"/>
      <c r="L784" s="12"/>
      <c r="M784" s="12"/>
      <c r="N784" s="12"/>
      <c r="O784" s="12"/>
      <c r="P784" s="12"/>
    </row>
    <row r="785">
      <c r="A785" s="12"/>
      <c r="D785" s="95"/>
      <c r="E785" s="14"/>
      <c r="F785" s="96"/>
      <c r="H785" s="12"/>
      <c r="I785" s="12"/>
      <c r="J785" s="12"/>
      <c r="K785" s="12"/>
      <c r="L785" s="12"/>
      <c r="M785" s="12"/>
      <c r="N785" s="12"/>
      <c r="O785" s="12"/>
      <c r="P785" s="12"/>
    </row>
    <row r="786">
      <c r="A786" s="12"/>
      <c r="D786" s="95"/>
      <c r="E786" s="14"/>
      <c r="F786" s="96"/>
      <c r="H786" s="12"/>
      <c r="I786" s="12"/>
      <c r="J786" s="12"/>
      <c r="K786" s="12"/>
      <c r="L786" s="12"/>
      <c r="M786" s="12"/>
      <c r="N786" s="12"/>
      <c r="O786" s="12"/>
      <c r="P786" s="12"/>
    </row>
    <row r="787">
      <c r="A787" s="12"/>
      <c r="D787" s="95"/>
      <c r="E787" s="14"/>
      <c r="F787" s="96"/>
      <c r="H787" s="12"/>
      <c r="I787" s="12"/>
      <c r="J787" s="12"/>
      <c r="K787" s="12"/>
      <c r="L787" s="12"/>
      <c r="M787" s="12"/>
      <c r="N787" s="12"/>
      <c r="O787" s="12"/>
      <c r="P787" s="12"/>
    </row>
    <row r="788">
      <c r="A788" s="12"/>
      <c r="D788" s="95"/>
      <c r="E788" s="14"/>
      <c r="F788" s="96"/>
      <c r="H788" s="12"/>
      <c r="I788" s="12"/>
      <c r="J788" s="12"/>
      <c r="K788" s="12"/>
      <c r="L788" s="12"/>
      <c r="M788" s="12"/>
      <c r="N788" s="12"/>
      <c r="O788" s="12"/>
      <c r="P788" s="12"/>
    </row>
    <row r="789">
      <c r="A789" s="12"/>
      <c r="D789" s="95"/>
      <c r="E789" s="14"/>
      <c r="F789" s="96"/>
      <c r="H789" s="12"/>
      <c r="I789" s="12"/>
      <c r="J789" s="12"/>
      <c r="K789" s="12"/>
      <c r="L789" s="12"/>
      <c r="M789" s="12"/>
      <c r="N789" s="12"/>
      <c r="O789" s="12"/>
      <c r="P789" s="12"/>
    </row>
    <row r="790">
      <c r="A790" s="12"/>
      <c r="D790" s="95"/>
      <c r="E790" s="14"/>
      <c r="F790" s="96"/>
      <c r="H790" s="12"/>
      <c r="I790" s="12"/>
      <c r="J790" s="12"/>
      <c r="K790" s="12"/>
      <c r="L790" s="12"/>
      <c r="M790" s="12"/>
      <c r="N790" s="12"/>
      <c r="O790" s="12"/>
      <c r="P790" s="12"/>
    </row>
    <row r="791">
      <c r="A791" s="12"/>
      <c r="D791" s="95"/>
      <c r="E791" s="14"/>
      <c r="F791" s="96"/>
      <c r="H791" s="12"/>
      <c r="I791" s="12"/>
      <c r="J791" s="12"/>
      <c r="K791" s="12"/>
      <c r="L791" s="12"/>
      <c r="M791" s="12"/>
      <c r="N791" s="12"/>
      <c r="O791" s="12"/>
      <c r="P791" s="12"/>
    </row>
    <row r="792">
      <c r="A792" s="12"/>
      <c r="D792" s="95"/>
      <c r="E792" s="14"/>
      <c r="F792" s="96"/>
      <c r="H792" s="12"/>
      <c r="I792" s="12"/>
      <c r="J792" s="12"/>
      <c r="K792" s="12"/>
      <c r="L792" s="12"/>
      <c r="M792" s="12"/>
      <c r="N792" s="12"/>
      <c r="O792" s="12"/>
      <c r="P792" s="12"/>
    </row>
    <row r="793">
      <c r="A793" s="12"/>
      <c r="D793" s="95"/>
      <c r="E793" s="14"/>
      <c r="F793" s="96"/>
      <c r="H793" s="12"/>
      <c r="I793" s="12"/>
      <c r="J793" s="12"/>
      <c r="K793" s="12"/>
      <c r="L793" s="12"/>
      <c r="M793" s="12"/>
      <c r="N793" s="12"/>
      <c r="O793" s="12"/>
      <c r="P793" s="12"/>
    </row>
    <row r="794">
      <c r="A794" s="12"/>
      <c r="D794" s="95"/>
      <c r="E794" s="14"/>
      <c r="F794" s="96"/>
      <c r="H794" s="12"/>
      <c r="I794" s="12"/>
      <c r="J794" s="12"/>
      <c r="K794" s="12"/>
      <c r="L794" s="12"/>
      <c r="M794" s="12"/>
      <c r="N794" s="12"/>
      <c r="O794" s="12"/>
      <c r="P794" s="12"/>
    </row>
    <row r="795">
      <c r="A795" s="12"/>
      <c r="D795" s="95"/>
      <c r="E795" s="14"/>
      <c r="F795" s="96"/>
      <c r="H795" s="12"/>
      <c r="I795" s="12"/>
      <c r="J795" s="12"/>
      <c r="K795" s="12"/>
      <c r="L795" s="12"/>
      <c r="M795" s="12"/>
      <c r="N795" s="12"/>
      <c r="O795" s="12"/>
      <c r="P795" s="12"/>
    </row>
    <row r="796">
      <c r="A796" s="12"/>
      <c r="D796" s="95"/>
      <c r="E796" s="14"/>
      <c r="F796" s="96"/>
      <c r="H796" s="12"/>
      <c r="I796" s="12"/>
      <c r="J796" s="12"/>
      <c r="K796" s="12"/>
      <c r="L796" s="12"/>
      <c r="M796" s="12"/>
      <c r="N796" s="12"/>
      <c r="O796" s="12"/>
      <c r="P796" s="12"/>
    </row>
    <row r="797">
      <c r="A797" s="12"/>
      <c r="D797" s="95"/>
      <c r="E797" s="14"/>
      <c r="F797" s="96"/>
      <c r="H797" s="12"/>
      <c r="I797" s="12"/>
      <c r="J797" s="12"/>
      <c r="K797" s="12"/>
      <c r="L797" s="12"/>
      <c r="M797" s="12"/>
      <c r="N797" s="12"/>
      <c r="O797" s="12"/>
      <c r="P797" s="12"/>
    </row>
    <row r="798">
      <c r="A798" s="12"/>
      <c r="D798" s="95"/>
      <c r="E798" s="14"/>
      <c r="F798" s="96"/>
      <c r="H798" s="12"/>
      <c r="I798" s="12"/>
      <c r="J798" s="12"/>
      <c r="K798" s="12"/>
      <c r="L798" s="12"/>
      <c r="M798" s="12"/>
      <c r="N798" s="12"/>
      <c r="O798" s="12"/>
      <c r="P798" s="12"/>
    </row>
    <row r="799">
      <c r="A799" s="12"/>
      <c r="D799" s="95"/>
      <c r="E799" s="14"/>
      <c r="F799" s="96"/>
      <c r="H799" s="12"/>
      <c r="I799" s="12"/>
      <c r="J799" s="12"/>
      <c r="K799" s="12"/>
      <c r="L799" s="12"/>
      <c r="M799" s="12"/>
      <c r="N799" s="12"/>
      <c r="O799" s="12"/>
      <c r="P799" s="12"/>
    </row>
    <row r="800">
      <c r="A800" s="12"/>
      <c r="D800" s="95"/>
      <c r="E800" s="14"/>
      <c r="F800" s="96"/>
      <c r="H800" s="12"/>
      <c r="I800" s="12"/>
      <c r="J800" s="12"/>
      <c r="K800" s="12"/>
      <c r="L800" s="12"/>
      <c r="M800" s="12"/>
      <c r="N800" s="12"/>
      <c r="O800" s="12"/>
      <c r="P800" s="12"/>
    </row>
    <row r="801">
      <c r="A801" s="12"/>
      <c r="D801" s="95"/>
      <c r="E801" s="14"/>
      <c r="F801" s="96"/>
      <c r="H801" s="12"/>
      <c r="I801" s="12"/>
      <c r="J801" s="12"/>
      <c r="K801" s="12"/>
      <c r="L801" s="12"/>
      <c r="M801" s="12"/>
      <c r="N801" s="12"/>
      <c r="O801" s="12"/>
      <c r="P801" s="12"/>
    </row>
    <row r="802">
      <c r="A802" s="12"/>
      <c r="D802" s="95"/>
      <c r="E802" s="14"/>
      <c r="F802" s="96"/>
      <c r="H802" s="12"/>
      <c r="I802" s="12"/>
      <c r="J802" s="12"/>
      <c r="K802" s="12"/>
      <c r="L802" s="12"/>
      <c r="M802" s="12"/>
      <c r="N802" s="12"/>
      <c r="O802" s="12"/>
      <c r="P802" s="12"/>
    </row>
    <row r="803">
      <c r="A803" s="12"/>
      <c r="D803" s="95"/>
      <c r="E803" s="14"/>
      <c r="F803" s="96"/>
      <c r="H803" s="12"/>
      <c r="I803" s="12"/>
      <c r="J803" s="12"/>
      <c r="K803" s="12"/>
      <c r="L803" s="12"/>
      <c r="M803" s="12"/>
      <c r="N803" s="12"/>
      <c r="O803" s="12"/>
      <c r="P803" s="12"/>
    </row>
    <row r="804">
      <c r="A804" s="12"/>
      <c r="D804" s="95"/>
      <c r="E804" s="14"/>
      <c r="F804" s="96"/>
      <c r="H804" s="12"/>
      <c r="I804" s="12"/>
      <c r="J804" s="12"/>
      <c r="K804" s="12"/>
      <c r="L804" s="12"/>
      <c r="M804" s="12"/>
      <c r="N804" s="12"/>
      <c r="O804" s="12"/>
      <c r="P804" s="12"/>
    </row>
    <row r="805">
      <c r="A805" s="12"/>
      <c r="D805" s="95"/>
      <c r="E805" s="14"/>
      <c r="F805" s="96"/>
      <c r="H805" s="12"/>
      <c r="I805" s="12"/>
      <c r="J805" s="12"/>
      <c r="K805" s="12"/>
      <c r="L805" s="12"/>
      <c r="M805" s="12"/>
      <c r="N805" s="12"/>
      <c r="O805" s="12"/>
      <c r="P805" s="12"/>
    </row>
    <row r="806">
      <c r="A806" s="12"/>
      <c r="D806" s="95"/>
      <c r="E806" s="14"/>
      <c r="F806" s="96"/>
      <c r="H806" s="12"/>
      <c r="I806" s="12"/>
      <c r="J806" s="12"/>
      <c r="K806" s="12"/>
      <c r="L806" s="12"/>
      <c r="M806" s="12"/>
      <c r="N806" s="12"/>
      <c r="O806" s="12"/>
      <c r="P806" s="12"/>
    </row>
    <row r="807">
      <c r="A807" s="12"/>
      <c r="D807" s="95"/>
      <c r="E807" s="14"/>
      <c r="F807" s="96"/>
      <c r="H807" s="12"/>
      <c r="I807" s="12"/>
      <c r="J807" s="12"/>
      <c r="K807" s="12"/>
      <c r="L807" s="12"/>
      <c r="M807" s="12"/>
      <c r="N807" s="12"/>
      <c r="O807" s="12"/>
      <c r="P807" s="12"/>
    </row>
    <row r="808">
      <c r="A808" s="12"/>
      <c r="D808" s="95"/>
      <c r="E808" s="14"/>
      <c r="F808" s="96"/>
      <c r="H808" s="12"/>
      <c r="I808" s="12"/>
      <c r="J808" s="12"/>
      <c r="K808" s="12"/>
      <c r="L808" s="12"/>
      <c r="M808" s="12"/>
      <c r="N808" s="12"/>
      <c r="O808" s="12"/>
      <c r="P808" s="12"/>
    </row>
    <row r="809">
      <c r="A809" s="12"/>
      <c r="D809" s="95"/>
      <c r="E809" s="14"/>
      <c r="F809" s="96"/>
      <c r="H809" s="12"/>
      <c r="I809" s="12"/>
      <c r="J809" s="12"/>
      <c r="K809" s="12"/>
      <c r="L809" s="12"/>
      <c r="M809" s="12"/>
      <c r="N809" s="12"/>
      <c r="O809" s="12"/>
      <c r="P809" s="12"/>
    </row>
    <row r="810">
      <c r="A810" s="12"/>
      <c r="D810" s="95"/>
      <c r="E810" s="14"/>
      <c r="F810" s="96"/>
      <c r="H810" s="12"/>
      <c r="I810" s="12"/>
      <c r="J810" s="12"/>
      <c r="K810" s="12"/>
      <c r="L810" s="12"/>
      <c r="M810" s="12"/>
      <c r="N810" s="12"/>
      <c r="O810" s="12"/>
      <c r="P810" s="12"/>
    </row>
    <row r="811">
      <c r="A811" s="12"/>
      <c r="D811" s="95"/>
      <c r="E811" s="14"/>
      <c r="F811" s="96"/>
      <c r="H811" s="12"/>
      <c r="I811" s="12"/>
      <c r="J811" s="12"/>
      <c r="K811" s="12"/>
      <c r="L811" s="12"/>
      <c r="M811" s="12"/>
      <c r="N811" s="12"/>
      <c r="O811" s="12"/>
      <c r="P811" s="12"/>
    </row>
    <row r="812">
      <c r="A812" s="12"/>
      <c r="D812" s="95"/>
      <c r="E812" s="14"/>
      <c r="F812" s="96"/>
      <c r="H812" s="12"/>
      <c r="I812" s="12"/>
      <c r="J812" s="12"/>
      <c r="K812" s="12"/>
      <c r="L812" s="12"/>
      <c r="M812" s="12"/>
      <c r="N812" s="12"/>
      <c r="O812" s="12"/>
      <c r="P812" s="12"/>
    </row>
    <row r="813">
      <c r="A813" s="12"/>
      <c r="D813" s="95"/>
      <c r="E813" s="14"/>
      <c r="F813" s="96"/>
      <c r="H813" s="12"/>
      <c r="I813" s="12"/>
      <c r="J813" s="12"/>
      <c r="K813" s="12"/>
      <c r="L813" s="12"/>
      <c r="M813" s="12"/>
      <c r="N813" s="12"/>
      <c r="O813" s="12"/>
      <c r="P813" s="12"/>
    </row>
    <row r="814">
      <c r="A814" s="12"/>
      <c r="D814" s="95"/>
      <c r="E814" s="14"/>
      <c r="F814" s="96"/>
      <c r="H814" s="12"/>
      <c r="I814" s="12"/>
      <c r="J814" s="12"/>
      <c r="K814" s="12"/>
      <c r="L814" s="12"/>
      <c r="M814" s="12"/>
      <c r="N814" s="12"/>
      <c r="O814" s="12"/>
      <c r="P814" s="12"/>
    </row>
    <row r="815">
      <c r="A815" s="12"/>
      <c r="D815" s="95"/>
      <c r="E815" s="14"/>
      <c r="F815" s="96"/>
      <c r="H815" s="12"/>
      <c r="I815" s="12"/>
      <c r="J815" s="12"/>
      <c r="K815" s="12"/>
      <c r="L815" s="12"/>
      <c r="M815" s="12"/>
      <c r="N815" s="12"/>
      <c r="O815" s="12"/>
      <c r="P815" s="12"/>
    </row>
    <row r="816">
      <c r="A816" s="12"/>
      <c r="D816" s="95"/>
      <c r="E816" s="14"/>
      <c r="F816" s="96"/>
      <c r="H816" s="12"/>
      <c r="I816" s="12"/>
      <c r="J816" s="12"/>
      <c r="K816" s="12"/>
      <c r="L816" s="12"/>
      <c r="M816" s="12"/>
      <c r="N816" s="12"/>
      <c r="O816" s="12"/>
      <c r="P816" s="12"/>
    </row>
    <row r="817">
      <c r="A817" s="12"/>
      <c r="D817" s="95"/>
      <c r="E817" s="14"/>
      <c r="F817" s="96"/>
      <c r="H817" s="12"/>
      <c r="I817" s="12"/>
      <c r="J817" s="12"/>
      <c r="K817" s="12"/>
      <c r="L817" s="12"/>
      <c r="M817" s="12"/>
      <c r="N817" s="12"/>
      <c r="O817" s="12"/>
      <c r="P817" s="12"/>
    </row>
    <row r="818">
      <c r="A818" s="12"/>
      <c r="D818" s="95"/>
      <c r="E818" s="14"/>
      <c r="F818" s="96"/>
      <c r="H818" s="12"/>
      <c r="I818" s="12"/>
      <c r="J818" s="12"/>
      <c r="K818" s="12"/>
      <c r="L818" s="12"/>
      <c r="M818" s="12"/>
      <c r="N818" s="12"/>
      <c r="O818" s="12"/>
      <c r="P818" s="12"/>
    </row>
    <row r="819">
      <c r="A819" s="12"/>
      <c r="D819" s="95"/>
      <c r="E819" s="14"/>
      <c r="F819" s="96"/>
      <c r="H819" s="12"/>
      <c r="I819" s="12"/>
      <c r="J819" s="12"/>
      <c r="K819" s="12"/>
      <c r="L819" s="12"/>
      <c r="M819" s="12"/>
      <c r="N819" s="12"/>
      <c r="O819" s="12"/>
      <c r="P819" s="12"/>
    </row>
    <row r="820">
      <c r="A820" s="12"/>
      <c r="D820" s="95"/>
      <c r="E820" s="14"/>
      <c r="F820" s="96"/>
      <c r="H820" s="12"/>
      <c r="I820" s="12"/>
      <c r="J820" s="12"/>
      <c r="K820" s="12"/>
      <c r="L820" s="12"/>
      <c r="M820" s="12"/>
      <c r="N820" s="12"/>
      <c r="O820" s="12"/>
      <c r="P820" s="12"/>
    </row>
    <row r="821">
      <c r="A821" s="12"/>
      <c r="D821" s="95"/>
      <c r="E821" s="14"/>
      <c r="F821" s="96"/>
      <c r="H821" s="12"/>
      <c r="I821" s="12"/>
      <c r="J821" s="12"/>
      <c r="K821" s="12"/>
      <c r="L821" s="12"/>
      <c r="M821" s="12"/>
      <c r="N821" s="12"/>
      <c r="O821" s="12"/>
      <c r="P821" s="12"/>
    </row>
    <row r="822">
      <c r="A822" s="12"/>
      <c r="D822" s="95"/>
      <c r="E822" s="14"/>
      <c r="F822" s="96"/>
      <c r="H822" s="12"/>
      <c r="I822" s="12"/>
      <c r="J822" s="12"/>
      <c r="K822" s="12"/>
      <c r="L822" s="12"/>
      <c r="M822" s="12"/>
      <c r="N822" s="12"/>
      <c r="O822" s="12"/>
      <c r="P822" s="12"/>
    </row>
    <row r="823">
      <c r="A823" s="12"/>
      <c r="D823" s="95"/>
      <c r="E823" s="14"/>
      <c r="F823" s="96"/>
      <c r="H823" s="12"/>
      <c r="I823" s="12"/>
      <c r="J823" s="12"/>
      <c r="K823" s="12"/>
      <c r="L823" s="12"/>
      <c r="M823" s="12"/>
      <c r="N823" s="12"/>
      <c r="O823" s="12"/>
      <c r="P823" s="12"/>
    </row>
    <row r="824">
      <c r="A824" s="12"/>
      <c r="D824" s="95"/>
      <c r="E824" s="14"/>
      <c r="F824" s="96"/>
      <c r="H824" s="12"/>
      <c r="I824" s="12"/>
      <c r="J824" s="12"/>
      <c r="K824" s="12"/>
      <c r="L824" s="12"/>
      <c r="M824" s="12"/>
      <c r="N824" s="12"/>
      <c r="O824" s="12"/>
      <c r="P824" s="12"/>
    </row>
    <row r="825">
      <c r="A825" s="12"/>
      <c r="D825" s="95"/>
      <c r="E825" s="14"/>
      <c r="F825" s="96"/>
      <c r="H825" s="12"/>
      <c r="I825" s="12"/>
      <c r="J825" s="12"/>
      <c r="K825" s="12"/>
      <c r="L825" s="12"/>
      <c r="M825" s="12"/>
      <c r="N825" s="12"/>
      <c r="O825" s="12"/>
      <c r="P825" s="12"/>
    </row>
    <row r="826">
      <c r="A826" s="12"/>
      <c r="D826" s="95"/>
      <c r="E826" s="14"/>
      <c r="F826" s="96"/>
      <c r="H826" s="12"/>
      <c r="I826" s="12"/>
      <c r="J826" s="12"/>
      <c r="K826" s="12"/>
      <c r="L826" s="12"/>
      <c r="M826" s="12"/>
      <c r="N826" s="12"/>
      <c r="O826" s="12"/>
      <c r="P826" s="12"/>
    </row>
    <row r="827">
      <c r="A827" s="12"/>
      <c r="D827" s="95"/>
      <c r="E827" s="14"/>
      <c r="F827" s="96"/>
      <c r="H827" s="12"/>
      <c r="I827" s="12"/>
      <c r="J827" s="12"/>
      <c r="K827" s="12"/>
      <c r="L827" s="12"/>
      <c r="M827" s="12"/>
      <c r="N827" s="12"/>
      <c r="O827" s="12"/>
      <c r="P827" s="12"/>
    </row>
    <row r="828">
      <c r="A828" s="12"/>
      <c r="D828" s="95"/>
      <c r="E828" s="14"/>
      <c r="F828" s="96"/>
      <c r="H828" s="12"/>
      <c r="I828" s="12"/>
      <c r="J828" s="12"/>
      <c r="K828" s="12"/>
      <c r="L828" s="12"/>
      <c r="M828" s="12"/>
      <c r="N828" s="12"/>
      <c r="O828" s="12"/>
      <c r="P828" s="12"/>
    </row>
    <row r="829">
      <c r="A829" s="12"/>
      <c r="D829" s="95"/>
      <c r="E829" s="14"/>
      <c r="F829" s="96"/>
      <c r="H829" s="12"/>
      <c r="I829" s="12"/>
      <c r="J829" s="12"/>
      <c r="K829" s="12"/>
      <c r="L829" s="12"/>
      <c r="M829" s="12"/>
      <c r="N829" s="12"/>
      <c r="O829" s="12"/>
      <c r="P829" s="12"/>
    </row>
    <row r="830">
      <c r="A830" s="12"/>
      <c r="D830" s="95"/>
      <c r="E830" s="14"/>
      <c r="F830" s="96"/>
      <c r="H830" s="12"/>
      <c r="I830" s="12"/>
      <c r="J830" s="12"/>
      <c r="K830" s="12"/>
      <c r="L830" s="12"/>
      <c r="M830" s="12"/>
      <c r="N830" s="12"/>
      <c r="O830" s="12"/>
      <c r="P830" s="12"/>
    </row>
    <row r="831">
      <c r="A831" s="12"/>
      <c r="D831" s="95"/>
      <c r="E831" s="14"/>
      <c r="F831" s="96"/>
      <c r="H831" s="12"/>
      <c r="I831" s="12"/>
      <c r="J831" s="12"/>
      <c r="K831" s="12"/>
      <c r="L831" s="12"/>
      <c r="M831" s="12"/>
      <c r="N831" s="12"/>
      <c r="O831" s="12"/>
      <c r="P831" s="12"/>
    </row>
    <row r="832">
      <c r="A832" s="12"/>
      <c r="D832" s="95"/>
      <c r="E832" s="14"/>
      <c r="F832" s="96"/>
      <c r="H832" s="12"/>
      <c r="I832" s="12"/>
      <c r="J832" s="12"/>
      <c r="K832" s="12"/>
      <c r="L832" s="12"/>
      <c r="M832" s="12"/>
      <c r="N832" s="12"/>
      <c r="O832" s="12"/>
      <c r="P832" s="12"/>
    </row>
    <row r="833">
      <c r="A833" s="12"/>
      <c r="D833" s="95"/>
      <c r="E833" s="14"/>
      <c r="F833" s="96"/>
      <c r="H833" s="12"/>
      <c r="I833" s="12"/>
      <c r="J833" s="12"/>
      <c r="K833" s="12"/>
      <c r="L833" s="12"/>
      <c r="M833" s="12"/>
      <c r="N833" s="12"/>
      <c r="O833" s="12"/>
      <c r="P833" s="12"/>
    </row>
    <row r="834">
      <c r="A834" s="12"/>
      <c r="D834" s="95"/>
      <c r="E834" s="14"/>
      <c r="F834" s="96"/>
      <c r="H834" s="12"/>
      <c r="I834" s="12"/>
      <c r="J834" s="12"/>
      <c r="K834" s="12"/>
      <c r="L834" s="12"/>
      <c r="M834" s="12"/>
      <c r="N834" s="12"/>
      <c r="O834" s="12"/>
      <c r="P834" s="12"/>
    </row>
    <row r="835">
      <c r="A835" s="12"/>
      <c r="D835" s="95"/>
      <c r="E835" s="14"/>
      <c r="F835" s="96"/>
      <c r="H835" s="12"/>
      <c r="I835" s="12"/>
      <c r="J835" s="12"/>
      <c r="K835" s="12"/>
      <c r="L835" s="12"/>
      <c r="M835" s="12"/>
      <c r="N835" s="12"/>
      <c r="O835" s="12"/>
      <c r="P835" s="12"/>
    </row>
    <row r="836">
      <c r="A836" s="12"/>
      <c r="D836" s="95"/>
      <c r="E836" s="14"/>
      <c r="F836" s="96"/>
      <c r="H836" s="12"/>
      <c r="I836" s="12"/>
      <c r="J836" s="12"/>
      <c r="K836" s="12"/>
      <c r="L836" s="12"/>
      <c r="M836" s="12"/>
      <c r="N836" s="12"/>
      <c r="O836" s="12"/>
      <c r="P836" s="12"/>
    </row>
    <row r="837">
      <c r="A837" s="12"/>
      <c r="D837" s="95"/>
      <c r="E837" s="14"/>
      <c r="F837" s="96"/>
      <c r="H837" s="12"/>
      <c r="I837" s="12"/>
      <c r="J837" s="12"/>
      <c r="K837" s="12"/>
      <c r="L837" s="12"/>
      <c r="M837" s="12"/>
      <c r="N837" s="12"/>
      <c r="O837" s="12"/>
      <c r="P837" s="12"/>
    </row>
    <row r="838">
      <c r="A838" s="12"/>
      <c r="D838" s="95"/>
      <c r="E838" s="14"/>
      <c r="F838" s="96"/>
      <c r="H838" s="12"/>
      <c r="I838" s="12"/>
      <c r="J838" s="12"/>
      <c r="K838" s="12"/>
      <c r="L838" s="12"/>
      <c r="M838" s="12"/>
      <c r="N838" s="12"/>
      <c r="O838" s="12"/>
      <c r="P838" s="12"/>
    </row>
    <row r="839">
      <c r="A839" s="12"/>
      <c r="D839" s="95"/>
      <c r="E839" s="14"/>
      <c r="F839" s="96"/>
      <c r="H839" s="12"/>
      <c r="I839" s="12"/>
      <c r="J839" s="12"/>
      <c r="K839" s="12"/>
      <c r="L839" s="12"/>
      <c r="M839" s="12"/>
      <c r="N839" s="12"/>
      <c r="O839" s="12"/>
      <c r="P839" s="12"/>
    </row>
    <row r="840">
      <c r="A840" s="12"/>
      <c r="D840" s="95"/>
      <c r="E840" s="14"/>
      <c r="F840" s="96"/>
      <c r="H840" s="12"/>
      <c r="I840" s="12"/>
      <c r="J840" s="12"/>
      <c r="K840" s="12"/>
      <c r="L840" s="12"/>
      <c r="M840" s="12"/>
      <c r="N840" s="12"/>
      <c r="O840" s="12"/>
      <c r="P840" s="12"/>
    </row>
    <row r="841">
      <c r="A841" s="12"/>
      <c r="D841" s="95"/>
      <c r="E841" s="14"/>
      <c r="F841" s="96"/>
      <c r="H841" s="12"/>
      <c r="I841" s="12"/>
      <c r="J841" s="12"/>
      <c r="K841" s="12"/>
      <c r="L841" s="12"/>
      <c r="M841" s="12"/>
      <c r="N841" s="12"/>
      <c r="O841" s="12"/>
      <c r="P841" s="12"/>
    </row>
    <row r="842">
      <c r="A842" s="12"/>
      <c r="D842" s="95"/>
      <c r="E842" s="14"/>
      <c r="F842" s="96"/>
      <c r="H842" s="12"/>
      <c r="I842" s="12"/>
      <c r="J842" s="12"/>
      <c r="K842" s="12"/>
      <c r="L842" s="12"/>
      <c r="M842" s="12"/>
      <c r="N842" s="12"/>
      <c r="O842" s="12"/>
      <c r="P842" s="12"/>
    </row>
    <row r="843">
      <c r="A843" s="12"/>
      <c r="D843" s="95"/>
      <c r="E843" s="14"/>
      <c r="F843" s="96"/>
      <c r="H843" s="12"/>
      <c r="I843" s="12"/>
      <c r="J843" s="12"/>
      <c r="K843" s="12"/>
      <c r="L843" s="12"/>
      <c r="M843" s="12"/>
      <c r="N843" s="12"/>
      <c r="O843" s="12"/>
      <c r="P843" s="12"/>
    </row>
    <row r="844">
      <c r="A844" s="12"/>
      <c r="D844" s="95"/>
      <c r="E844" s="14"/>
      <c r="F844" s="96"/>
      <c r="H844" s="12"/>
      <c r="I844" s="12"/>
      <c r="J844" s="12"/>
      <c r="K844" s="12"/>
      <c r="L844" s="12"/>
      <c r="M844" s="12"/>
      <c r="N844" s="12"/>
      <c r="O844" s="12"/>
      <c r="P844" s="12"/>
    </row>
    <row r="845">
      <c r="A845" s="12"/>
      <c r="D845" s="95"/>
      <c r="E845" s="14"/>
      <c r="F845" s="96"/>
      <c r="H845" s="12"/>
      <c r="I845" s="12"/>
      <c r="J845" s="12"/>
      <c r="K845" s="12"/>
      <c r="L845" s="12"/>
      <c r="M845" s="12"/>
      <c r="N845" s="12"/>
      <c r="O845" s="12"/>
      <c r="P845" s="12"/>
    </row>
    <row r="846">
      <c r="A846" s="12"/>
      <c r="D846" s="95"/>
      <c r="E846" s="14"/>
      <c r="F846" s="96"/>
      <c r="H846" s="12"/>
      <c r="I846" s="12"/>
      <c r="J846" s="12"/>
      <c r="K846" s="12"/>
      <c r="L846" s="12"/>
      <c r="M846" s="12"/>
      <c r="N846" s="12"/>
      <c r="O846" s="12"/>
      <c r="P846" s="12"/>
    </row>
    <row r="847">
      <c r="A847" s="12"/>
      <c r="D847" s="95"/>
      <c r="E847" s="14"/>
      <c r="F847" s="96"/>
      <c r="H847" s="12"/>
      <c r="I847" s="12"/>
      <c r="J847" s="12"/>
      <c r="K847" s="12"/>
      <c r="L847" s="12"/>
      <c r="M847" s="12"/>
      <c r="N847" s="12"/>
      <c r="O847" s="12"/>
      <c r="P847" s="12"/>
    </row>
    <row r="848">
      <c r="A848" s="12"/>
      <c r="D848" s="95"/>
      <c r="E848" s="14"/>
      <c r="F848" s="96"/>
      <c r="H848" s="12"/>
      <c r="I848" s="12"/>
      <c r="J848" s="12"/>
      <c r="K848" s="12"/>
      <c r="L848" s="12"/>
      <c r="M848" s="12"/>
      <c r="N848" s="12"/>
      <c r="O848" s="12"/>
      <c r="P848" s="12"/>
    </row>
    <row r="849">
      <c r="A849" s="12"/>
      <c r="D849" s="95"/>
      <c r="E849" s="14"/>
      <c r="F849" s="96"/>
      <c r="H849" s="12"/>
      <c r="I849" s="12"/>
      <c r="J849" s="12"/>
      <c r="K849" s="12"/>
      <c r="L849" s="12"/>
      <c r="M849" s="12"/>
      <c r="N849" s="12"/>
      <c r="O849" s="12"/>
      <c r="P849" s="12"/>
    </row>
    <row r="850">
      <c r="A850" s="12"/>
      <c r="D850" s="95"/>
      <c r="E850" s="14"/>
      <c r="F850" s="96"/>
      <c r="H850" s="12"/>
      <c r="I850" s="12"/>
      <c r="J850" s="12"/>
      <c r="K850" s="12"/>
      <c r="L850" s="12"/>
      <c r="M850" s="12"/>
      <c r="N850" s="12"/>
      <c r="O850" s="12"/>
      <c r="P850" s="12"/>
    </row>
    <row r="851">
      <c r="A851" s="12"/>
      <c r="D851" s="95"/>
      <c r="E851" s="14"/>
      <c r="F851" s="96"/>
      <c r="H851" s="12"/>
      <c r="I851" s="12"/>
      <c r="J851" s="12"/>
      <c r="K851" s="12"/>
      <c r="L851" s="12"/>
      <c r="M851" s="12"/>
      <c r="N851" s="12"/>
      <c r="O851" s="12"/>
      <c r="P851" s="12"/>
    </row>
    <row r="852">
      <c r="A852" s="12"/>
      <c r="D852" s="95"/>
      <c r="E852" s="14"/>
      <c r="F852" s="96"/>
      <c r="H852" s="12"/>
      <c r="I852" s="12"/>
      <c r="J852" s="12"/>
      <c r="K852" s="12"/>
      <c r="L852" s="12"/>
      <c r="M852" s="12"/>
      <c r="N852" s="12"/>
      <c r="O852" s="12"/>
      <c r="P852" s="12"/>
    </row>
    <row r="853">
      <c r="A853" s="12"/>
      <c r="D853" s="95"/>
      <c r="E853" s="14"/>
      <c r="F853" s="96"/>
      <c r="H853" s="12"/>
      <c r="I853" s="12"/>
      <c r="J853" s="12"/>
      <c r="K853" s="12"/>
      <c r="L853" s="12"/>
      <c r="M853" s="12"/>
      <c r="N853" s="12"/>
      <c r="O853" s="12"/>
      <c r="P853" s="12"/>
    </row>
    <row r="854">
      <c r="A854" s="12"/>
      <c r="D854" s="95"/>
      <c r="E854" s="14"/>
      <c r="F854" s="96"/>
      <c r="H854" s="12"/>
      <c r="I854" s="12"/>
      <c r="J854" s="12"/>
      <c r="K854" s="12"/>
      <c r="L854" s="12"/>
      <c r="M854" s="12"/>
      <c r="N854" s="12"/>
      <c r="O854" s="12"/>
      <c r="P854" s="12"/>
    </row>
    <row r="855">
      <c r="A855" s="12"/>
      <c r="D855" s="95"/>
      <c r="E855" s="14"/>
      <c r="F855" s="96"/>
      <c r="H855" s="12"/>
      <c r="I855" s="12"/>
      <c r="J855" s="12"/>
      <c r="K855" s="12"/>
      <c r="L855" s="12"/>
      <c r="M855" s="12"/>
      <c r="N855" s="12"/>
      <c r="O855" s="12"/>
      <c r="P855" s="12"/>
    </row>
    <row r="856">
      <c r="A856" s="12"/>
      <c r="D856" s="95"/>
      <c r="E856" s="14"/>
      <c r="F856" s="96"/>
      <c r="H856" s="12"/>
      <c r="I856" s="12"/>
      <c r="J856" s="12"/>
      <c r="K856" s="12"/>
      <c r="L856" s="12"/>
      <c r="M856" s="12"/>
      <c r="N856" s="12"/>
      <c r="O856" s="12"/>
      <c r="P856" s="12"/>
    </row>
    <row r="857">
      <c r="A857" s="12"/>
      <c r="D857" s="95"/>
      <c r="E857" s="14"/>
      <c r="F857" s="96"/>
      <c r="H857" s="12"/>
      <c r="I857" s="12"/>
      <c r="J857" s="12"/>
      <c r="K857" s="12"/>
      <c r="L857" s="12"/>
      <c r="M857" s="12"/>
      <c r="N857" s="12"/>
      <c r="O857" s="12"/>
      <c r="P857" s="12"/>
    </row>
    <row r="858">
      <c r="A858" s="12"/>
      <c r="D858" s="95"/>
      <c r="E858" s="14"/>
      <c r="F858" s="96"/>
      <c r="H858" s="12"/>
      <c r="I858" s="12"/>
      <c r="J858" s="12"/>
      <c r="K858" s="12"/>
      <c r="L858" s="12"/>
      <c r="M858" s="12"/>
      <c r="N858" s="12"/>
      <c r="O858" s="12"/>
      <c r="P858" s="12"/>
    </row>
    <row r="859">
      <c r="A859" s="12"/>
      <c r="D859" s="95"/>
      <c r="E859" s="14"/>
      <c r="F859" s="96"/>
      <c r="H859" s="12"/>
      <c r="I859" s="12"/>
      <c r="J859" s="12"/>
      <c r="K859" s="12"/>
      <c r="L859" s="12"/>
      <c r="M859" s="12"/>
      <c r="N859" s="12"/>
      <c r="O859" s="12"/>
      <c r="P859" s="12"/>
    </row>
    <row r="860">
      <c r="A860" s="12"/>
      <c r="D860" s="95"/>
      <c r="E860" s="14"/>
      <c r="F860" s="96"/>
      <c r="H860" s="12"/>
      <c r="I860" s="12"/>
      <c r="J860" s="12"/>
      <c r="K860" s="12"/>
      <c r="L860" s="12"/>
      <c r="M860" s="12"/>
      <c r="N860" s="12"/>
      <c r="O860" s="12"/>
      <c r="P860" s="12"/>
    </row>
    <row r="861">
      <c r="A861" s="12"/>
      <c r="D861" s="95"/>
      <c r="E861" s="14"/>
      <c r="F861" s="96"/>
      <c r="H861" s="12"/>
      <c r="I861" s="12"/>
      <c r="J861" s="12"/>
      <c r="K861" s="12"/>
      <c r="L861" s="12"/>
      <c r="M861" s="12"/>
      <c r="N861" s="12"/>
      <c r="O861" s="12"/>
      <c r="P861" s="12"/>
    </row>
    <row r="862">
      <c r="A862" s="12"/>
      <c r="D862" s="95"/>
      <c r="E862" s="14"/>
      <c r="F862" s="96"/>
      <c r="H862" s="12"/>
      <c r="I862" s="12"/>
      <c r="J862" s="12"/>
      <c r="K862" s="12"/>
      <c r="L862" s="12"/>
      <c r="M862" s="12"/>
      <c r="N862" s="12"/>
      <c r="O862" s="12"/>
      <c r="P862" s="12"/>
    </row>
    <row r="863">
      <c r="A863" s="12"/>
      <c r="D863" s="95"/>
      <c r="E863" s="14"/>
      <c r="F863" s="96"/>
      <c r="H863" s="12"/>
      <c r="I863" s="12"/>
      <c r="J863" s="12"/>
      <c r="K863" s="12"/>
      <c r="L863" s="12"/>
      <c r="M863" s="12"/>
      <c r="N863" s="12"/>
      <c r="O863" s="12"/>
      <c r="P863" s="12"/>
    </row>
    <row r="864">
      <c r="A864" s="12"/>
      <c r="D864" s="95"/>
      <c r="E864" s="14"/>
      <c r="F864" s="96"/>
      <c r="H864" s="12"/>
      <c r="I864" s="12"/>
      <c r="J864" s="12"/>
      <c r="K864" s="12"/>
      <c r="L864" s="12"/>
      <c r="M864" s="12"/>
      <c r="N864" s="12"/>
      <c r="O864" s="12"/>
      <c r="P864" s="12"/>
    </row>
    <row r="865">
      <c r="A865" s="12"/>
      <c r="D865" s="95"/>
      <c r="E865" s="14"/>
      <c r="F865" s="96"/>
      <c r="H865" s="12"/>
      <c r="I865" s="12"/>
      <c r="J865" s="12"/>
      <c r="K865" s="12"/>
      <c r="L865" s="12"/>
      <c r="M865" s="12"/>
      <c r="N865" s="12"/>
      <c r="O865" s="12"/>
      <c r="P865" s="12"/>
    </row>
    <row r="866">
      <c r="A866" s="12"/>
      <c r="D866" s="95"/>
      <c r="E866" s="14"/>
      <c r="F866" s="96"/>
      <c r="H866" s="12"/>
      <c r="I866" s="12"/>
      <c r="J866" s="12"/>
      <c r="K866" s="12"/>
      <c r="L866" s="12"/>
      <c r="M866" s="12"/>
      <c r="N866" s="12"/>
      <c r="O866" s="12"/>
      <c r="P866" s="12"/>
    </row>
    <row r="867">
      <c r="A867" s="12"/>
      <c r="D867" s="95"/>
      <c r="E867" s="14"/>
      <c r="F867" s="96"/>
      <c r="H867" s="12"/>
      <c r="I867" s="12"/>
      <c r="J867" s="12"/>
      <c r="K867" s="12"/>
      <c r="L867" s="12"/>
      <c r="M867" s="12"/>
      <c r="N867" s="12"/>
      <c r="O867" s="12"/>
      <c r="P867" s="12"/>
    </row>
    <row r="868">
      <c r="A868" s="12"/>
      <c r="D868" s="95"/>
      <c r="E868" s="14"/>
      <c r="F868" s="96"/>
      <c r="H868" s="12"/>
      <c r="I868" s="12"/>
      <c r="J868" s="12"/>
      <c r="K868" s="12"/>
      <c r="L868" s="12"/>
      <c r="M868" s="12"/>
      <c r="N868" s="12"/>
      <c r="O868" s="12"/>
      <c r="P868" s="12"/>
    </row>
    <row r="869">
      <c r="A869" s="12"/>
      <c r="D869" s="95"/>
      <c r="E869" s="14"/>
      <c r="F869" s="96"/>
      <c r="H869" s="12"/>
      <c r="I869" s="12"/>
      <c r="J869" s="12"/>
      <c r="K869" s="12"/>
      <c r="L869" s="12"/>
      <c r="M869" s="12"/>
      <c r="N869" s="12"/>
      <c r="O869" s="12"/>
      <c r="P869" s="12"/>
    </row>
    <row r="870">
      <c r="A870" s="12"/>
      <c r="D870" s="95"/>
      <c r="E870" s="14"/>
      <c r="F870" s="96"/>
      <c r="H870" s="12"/>
      <c r="I870" s="12"/>
      <c r="J870" s="12"/>
      <c r="K870" s="12"/>
      <c r="L870" s="12"/>
      <c r="M870" s="12"/>
      <c r="N870" s="12"/>
      <c r="O870" s="12"/>
      <c r="P870" s="12"/>
    </row>
    <row r="871">
      <c r="A871" s="12"/>
      <c r="D871" s="95"/>
      <c r="E871" s="14"/>
      <c r="F871" s="96"/>
      <c r="H871" s="12"/>
      <c r="I871" s="12"/>
      <c r="J871" s="12"/>
      <c r="K871" s="12"/>
      <c r="L871" s="12"/>
      <c r="M871" s="12"/>
      <c r="N871" s="12"/>
      <c r="O871" s="12"/>
      <c r="P871" s="12"/>
    </row>
    <row r="872">
      <c r="A872" s="12"/>
      <c r="D872" s="95"/>
      <c r="E872" s="14"/>
      <c r="F872" s="96"/>
      <c r="H872" s="12"/>
      <c r="I872" s="12"/>
      <c r="J872" s="12"/>
      <c r="K872" s="12"/>
      <c r="L872" s="12"/>
      <c r="M872" s="12"/>
      <c r="N872" s="12"/>
      <c r="O872" s="12"/>
      <c r="P872" s="12"/>
    </row>
    <row r="873">
      <c r="A873" s="12"/>
      <c r="D873" s="95"/>
      <c r="E873" s="14"/>
      <c r="F873" s="96"/>
      <c r="H873" s="12"/>
      <c r="I873" s="12"/>
      <c r="J873" s="12"/>
      <c r="K873" s="12"/>
      <c r="L873" s="12"/>
      <c r="M873" s="12"/>
      <c r="N873" s="12"/>
      <c r="O873" s="12"/>
      <c r="P873" s="12"/>
    </row>
    <row r="874">
      <c r="A874" s="12"/>
      <c r="D874" s="95"/>
      <c r="E874" s="14"/>
      <c r="F874" s="96"/>
      <c r="H874" s="12"/>
      <c r="I874" s="12"/>
      <c r="J874" s="12"/>
      <c r="K874" s="12"/>
      <c r="L874" s="12"/>
      <c r="M874" s="12"/>
      <c r="N874" s="12"/>
      <c r="O874" s="12"/>
      <c r="P874" s="12"/>
    </row>
    <row r="875">
      <c r="A875" s="12"/>
      <c r="D875" s="95"/>
      <c r="E875" s="14"/>
      <c r="F875" s="96"/>
      <c r="H875" s="12"/>
      <c r="I875" s="12"/>
      <c r="J875" s="12"/>
      <c r="K875" s="12"/>
      <c r="L875" s="12"/>
      <c r="M875" s="12"/>
      <c r="N875" s="12"/>
      <c r="O875" s="12"/>
      <c r="P875" s="12"/>
    </row>
    <row r="876">
      <c r="A876" s="12"/>
      <c r="D876" s="95"/>
      <c r="E876" s="14"/>
      <c r="F876" s="96"/>
      <c r="H876" s="12"/>
      <c r="I876" s="12"/>
      <c r="J876" s="12"/>
      <c r="K876" s="12"/>
      <c r="L876" s="12"/>
      <c r="M876" s="12"/>
      <c r="N876" s="12"/>
      <c r="O876" s="12"/>
      <c r="P876" s="12"/>
    </row>
    <row r="877">
      <c r="A877" s="12"/>
      <c r="D877" s="95"/>
      <c r="E877" s="14"/>
      <c r="F877" s="96"/>
      <c r="H877" s="12"/>
      <c r="I877" s="12"/>
      <c r="J877" s="12"/>
      <c r="K877" s="12"/>
      <c r="L877" s="12"/>
      <c r="M877" s="12"/>
      <c r="N877" s="12"/>
      <c r="O877" s="12"/>
      <c r="P877" s="12"/>
    </row>
    <row r="878">
      <c r="A878" s="12"/>
      <c r="D878" s="95"/>
      <c r="E878" s="14"/>
      <c r="F878" s="96"/>
      <c r="H878" s="12"/>
      <c r="I878" s="12"/>
      <c r="J878" s="12"/>
      <c r="K878" s="12"/>
      <c r="L878" s="12"/>
      <c r="M878" s="12"/>
      <c r="N878" s="12"/>
      <c r="O878" s="12"/>
      <c r="P878" s="12"/>
    </row>
    <row r="879">
      <c r="A879" s="12"/>
      <c r="D879" s="95"/>
      <c r="E879" s="14"/>
      <c r="F879" s="96"/>
      <c r="H879" s="12"/>
      <c r="I879" s="12"/>
      <c r="J879" s="12"/>
      <c r="K879" s="12"/>
      <c r="L879" s="12"/>
      <c r="M879" s="12"/>
      <c r="N879" s="12"/>
      <c r="O879" s="12"/>
      <c r="P879" s="12"/>
    </row>
    <row r="880">
      <c r="A880" s="12"/>
      <c r="D880" s="95"/>
      <c r="E880" s="14"/>
      <c r="F880" s="96"/>
      <c r="H880" s="12"/>
      <c r="I880" s="12"/>
      <c r="J880" s="12"/>
      <c r="K880" s="12"/>
      <c r="L880" s="12"/>
      <c r="M880" s="12"/>
      <c r="N880" s="12"/>
      <c r="O880" s="12"/>
      <c r="P880" s="12"/>
    </row>
    <row r="881">
      <c r="A881" s="12"/>
      <c r="D881" s="95"/>
      <c r="E881" s="14"/>
      <c r="F881" s="96"/>
      <c r="H881" s="12"/>
      <c r="I881" s="12"/>
      <c r="J881" s="12"/>
      <c r="K881" s="12"/>
      <c r="L881" s="12"/>
      <c r="M881" s="12"/>
      <c r="N881" s="12"/>
      <c r="O881" s="12"/>
      <c r="P881" s="12"/>
    </row>
    <row r="882">
      <c r="A882" s="12"/>
      <c r="D882" s="95"/>
      <c r="E882" s="14"/>
      <c r="F882" s="96"/>
      <c r="H882" s="12"/>
      <c r="I882" s="12"/>
      <c r="J882" s="12"/>
      <c r="K882" s="12"/>
      <c r="L882" s="12"/>
      <c r="M882" s="12"/>
      <c r="N882" s="12"/>
      <c r="O882" s="12"/>
      <c r="P882" s="12"/>
    </row>
    <row r="883">
      <c r="A883" s="12"/>
      <c r="D883" s="95"/>
      <c r="E883" s="14"/>
      <c r="F883" s="96"/>
      <c r="H883" s="12"/>
      <c r="I883" s="12"/>
      <c r="J883" s="12"/>
      <c r="K883" s="12"/>
      <c r="L883" s="12"/>
      <c r="M883" s="12"/>
      <c r="N883" s="12"/>
      <c r="O883" s="12"/>
      <c r="P883" s="12"/>
    </row>
    <row r="884">
      <c r="A884" s="12"/>
      <c r="D884" s="95"/>
      <c r="E884" s="14"/>
      <c r="F884" s="96"/>
      <c r="H884" s="12"/>
      <c r="I884" s="12"/>
      <c r="J884" s="12"/>
      <c r="K884" s="12"/>
      <c r="L884" s="12"/>
      <c r="M884" s="12"/>
      <c r="N884" s="12"/>
      <c r="O884" s="12"/>
      <c r="P884" s="12"/>
    </row>
    <row r="885">
      <c r="A885" s="12"/>
      <c r="D885" s="95"/>
      <c r="E885" s="14"/>
      <c r="F885" s="96"/>
      <c r="H885" s="12"/>
      <c r="I885" s="12"/>
      <c r="J885" s="12"/>
      <c r="K885" s="12"/>
      <c r="L885" s="12"/>
      <c r="M885" s="12"/>
      <c r="N885" s="12"/>
      <c r="O885" s="12"/>
      <c r="P885" s="12"/>
    </row>
    <row r="886">
      <c r="A886" s="12"/>
      <c r="D886" s="95"/>
      <c r="E886" s="14"/>
      <c r="F886" s="96"/>
      <c r="H886" s="12"/>
      <c r="I886" s="12"/>
      <c r="J886" s="12"/>
      <c r="K886" s="12"/>
      <c r="L886" s="12"/>
      <c r="M886" s="12"/>
      <c r="N886" s="12"/>
      <c r="O886" s="12"/>
      <c r="P886" s="12"/>
    </row>
    <row r="887">
      <c r="A887" s="12"/>
      <c r="D887" s="95"/>
      <c r="E887" s="14"/>
      <c r="F887" s="96"/>
      <c r="H887" s="12"/>
      <c r="I887" s="12"/>
      <c r="J887" s="12"/>
      <c r="K887" s="12"/>
      <c r="L887" s="12"/>
      <c r="M887" s="12"/>
      <c r="N887" s="12"/>
      <c r="O887" s="12"/>
      <c r="P887" s="12"/>
    </row>
    <row r="888">
      <c r="A888" s="12"/>
      <c r="D888" s="95"/>
      <c r="E888" s="14"/>
      <c r="F888" s="96"/>
      <c r="H888" s="12"/>
      <c r="I888" s="12"/>
      <c r="J888" s="12"/>
      <c r="K888" s="12"/>
      <c r="L888" s="12"/>
      <c r="M888" s="12"/>
      <c r="N888" s="12"/>
      <c r="O888" s="12"/>
      <c r="P888" s="12"/>
    </row>
    <row r="889">
      <c r="A889" s="12"/>
      <c r="D889" s="95"/>
      <c r="E889" s="14"/>
      <c r="F889" s="96"/>
      <c r="H889" s="12"/>
      <c r="I889" s="12"/>
      <c r="J889" s="12"/>
      <c r="K889" s="12"/>
      <c r="L889" s="12"/>
      <c r="M889" s="12"/>
      <c r="N889" s="12"/>
      <c r="O889" s="12"/>
      <c r="P889" s="12"/>
    </row>
    <row r="890">
      <c r="A890" s="12"/>
      <c r="D890" s="95"/>
      <c r="E890" s="14"/>
      <c r="F890" s="96"/>
      <c r="H890" s="12"/>
      <c r="I890" s="12"/>
      <c r="J890" s="12"/>
      <c r="K890" s="12"/>
      <c r="L890" s="12"/>
      <c r="M890" s="12"/>
      <c r="N890" s="12"/>
      <c r="O890" s="12"/>
      <c r="P890" s="12"/>
    </row>
    <row r="891">
      <c r="A891" s="12"/>
      <c r="D891" s="95"/>
      <c r="E891" s="14"/>
      <c r="F891" s="96"/>
      <c r="H891" s="12"/>
      <c r="I891" s="12"/>
      <c r="J891" s="12"/>
      <c r="K891" s="12"/>
      <c r="L891" s="12"/>
      <c r="M891" s="12"/>
      <c r="N891" s="12"/>
      <c r="O891" s="12"/>
      <c r="P891" s="12"/>
    </row>
    <row r="892">
      <c r="A892" s="12"/>
      <c r="D892" s="95"/>
      <c r="E892" s="14"/>
      <c r="F892" s="96"/>
      <c r="H892" s="12"/>
      <c r="I892" s="12"/>
      <c r="J892" s="12"/>
      <c r="K892" s="12"/>
      <c r="L892" s="12"/>
      <c r="M892" s="12"/>
      <c r="N892" s="12"/>
      <c r="O892" s="12"/>
      <c r="P892" s="12"/>
    </row>
    <row r="893">
      <c r="A893" s="12"/>
      <c r="D893" s="95"/>
      <c r="E893" s="14"/>
      <c r="F893" s="96"/>
      <c r="H893" s="12"/>
      <c r="I893" s="12"/>
      <c r="J893" s="12"/>
      <c r="K893" s="12"/>
      <c r="L893" s="12"/>
      <c r="M893" s="12"/>
      <c r="N893" s="12"/>
      <c r="O893" s="12"/>
      <c r="P893" s="12"/>
    </row>
    <row r="894">
      <c r="A894" s="12"/>
      <c r="D894" s="95"/>
      <c r="E894" s="14"/>
      <c r="F894" s="96"/>
      <c r="H894" s="12"/>
      <c r="I894" s="12"/>
      <c r="J894" s="12"/>
      <c r="K894" s="12"/>
      <c r="L894" s="12"/>
      <c r="M894" s="12"/>
      <c r="N894" s="12"/>
      <c r="O894" s="12"/>
      <c r="P894" s="12"/>
    </row>
    <row r="895">
      <c r="A895" s="12"/>
      <c r="D895" s="95"/>
      <c r="E895" s="14"/>
      <c r="F895" s="96"/>
      <c r="H895" s="12"/>
      <c r="I895" s="12"/>
      <c r="J895" s="12"/>
      <c r="K895" s="12"/>
      <c r="L895" s="12"/>
      <c r="M895" s="12"/>
      <c r="N895" s="12"/>
      <c r="O895" s="12"/>
      <c r="P895" s="12"/>
    </row>
    <row r="896">
      <c r="A896" s="12"/>
      <c r="D896" s="95"/>
      <c r="E896" s="14"/>
      <c r="F896" s="96"/>
      <c r="H896" s="12"/>
      <c r="I896" s="12"/>
      <c r="J896" s="12"/>
      <c r="K896" s="12"/>
      <c r="L896" s="12"/>
      <c r="M896" s="12"/>
      <c r="N896" s="12"/>
      <c r="O896" s="12"/>
      <c r="P896" s="12"/>
    </row>
    <row r="897">
      <c r="A897" s="12"/>
      <c r="D897" s="95"/>
      <c r="E897" s="14"/>
      <c r="F897" s="96"/>
      <c r="H897" s="12"/>
      <c r="I897" s="12"/>
      <c r="J897" s="12"/>
      <c r="K897" s="12"/>
      <c r="L897" s="12"/>
      <c r="M897" s="12"/>
      <c r="N897" s="12"/>
      <c r="O897" s="12"/>
      <c r="P897" s="12"/>
    </row>
    <row r="898">
      <c r="A898" s="12"/>
      <c r="D898" s="95"/>
      <c r="E898" s="14"/>
      <c r="F898" s="96"/>
      <c r="H898" s="12"/>
      <c r="I898" s="12"/>
      <c r="J898" s="12"/>
      <c r="K898" s="12"/>
      <c r="L898" s="12"/>
      <c r="M898" s="12"/>
      <c r="N898" s="12"/>
      <c r="O898" s="12"/>
      <c r="P898" s="12"/>
    </row>
    <row r="899">
      <c r="A899" s="12"/>
      <c r="D899" s="95"/>
      <c r="E899" s="14"/>
      <c r="F899" s="96"/>
      <c r="H899" s="12"/>
      <c r="I899" s="12"/>
      <c r="J899" s="12"/>
      <c r="K899" s="12"/>
      <c r="L899" s="12"/>
      <c r="M899" s="12"/>
      <c r="N899" s="12"/>
      <c r="O899" s="12"/>
      <c r="P899" s="12"/>
    </row>
    <row r="900">
      <c r="A900" s="12"/>
      <c r="D900" s="95"/>
      <c r="E900" s="14"/>
      <c r="F900" s="96"/>
      <c r="H900" s="12"/>
      <c r="I900" s="12"/>
      <c r="J900" s="12"/>
      <c r="K900" s="12"/>
      <c r="L900" s="12"/>
      <c r="M900" s="12"/>
      <c r="N900" s="12"/>
      <c r="O900" s="12"/>
      <c r="P900" s="12"/>
    </row>
    <row r="901">
      <c r="A901" s="12"/>
      <c r="D901" s="95"/>
      <c r="E901" s="14"/>
      <c r="F901" s="96"/>
      <c r="H901" s="12"/>
      <c r="I901" s="12"/>
      <c r="J901" s="12"/>
      <c r="K901" s="12"/>
      <c r="L901" s="12"/>
      <c r="M901" s="12"/>
      <c r="N901" s="12"/>
      <c r="O901" s="12"/>
      <c r="P901" s="12"/>
    </row>
    <row r="902">
      <c r="A902" s="12"/>
      <c r="D902" s="95"/>
      <c r="E902" s="14"/>
      <c r="F902" s="96"/>
      <c r="H902" s="12"/>
      <c r="I902" s="12"/>
      <c r="J902" s="12"/>
      <c r="K902" s="12"/>
      <c r="L902" s="12"/>
      <c r="M902" s="12"/>
      <c r="N902" s="12"/>
      <c r="O902" s="12"/>
      <c r="P902" s="12"/>
    </row>
    <row r="903">
      <c r="A903" s="12"/>
      <c r="D903" s="95"/>
      <c r="E903" s="14"/>
      <c r="F903" s="96"/>
      <c r="H903" s="12"/>
      <c r="I903" s="12"/>
      <c r="J903" s="12"/>
      <c r="K903" s="12"/>
      <c r="L903" s="12"/>
      <c r="M903" s="12"/>
      <c r="N903" s="12"/>
      <c r="O903" s="12"/>
      <c r="P903" s="12"/>
    </row>
    <row r="904">
      <c r="A904" s="12"/>
      <c r="D904" s="95"/>
      <c r="E904" s="14"/>
      <c r="F904" s="96"/>
      <c r="H904" s="12"/>
      <c r="I904" s="12"/>
      <c r="J904" s="12"/>
      <c r="K904" s="12"/>
      <c r="L904" s="12"/>
      <c r="M904" s="12"/>
      <c r="N904" s="12"/>
      <c r="O904" s="12"/>
      <c r="P904" s="12"/>
    </row>
    <row r="905">
      <c r="A905" s="12"/>
      <c r="D905" s="95"/>
      <c r="E905" s="14"/>
      <c r="F905" s="96"/>
      <c r="H905" s="12"/>
      <c r="I905" s="12"/>
      <c r="J905" s="12"/>
      <c r="K905" s="12"/>
      <c r="L905" s="12"/>
      <c r="M905" s="12"/>
      <c r="N905" s="12"/>
      <c r="O905" s="12"/>
      <c r="P905" s="12"/>
    </row>
    <row r="906">
      <c r="A906" s="12"/>
      <c r="D906" s="95"/>
      <c r="E906" s="14"/>
      <c r="F906" s="96"/>
      <c r="H906" s="12"/>
      <c r="I906" s="12"/>
      <c r="J906" s="12"/>
      <c r="K906" s="12"/>
      <c r="L906" s="12"/>
      <c r="M906" s="12"/>
      <c r="N906" s="12"/>
      <c r="O906" s="12"/>
      <c r="P906" s="12"/>
    </row>
    <row r="907">
      <c r="A907" s="12"/>
      <c r="D907" s="95"/>
      <c r="E907" s="14"/>
      <c r="F907" s="96"/>
      <c r="H907" s="12"/>
      <c r="I907" s="12"/>
      <c r="J907" s="12"/>
      <c r="K907" s="12"/>
      <c r="L907" s="12"/>
      <c r="M907" s="12"/>
      <c r="N907" s="12"/>
      <c r="O907" s="12"/>
      <c r="P907" s="12"/>
    </row>
    <row r="908">
      <c r="A908" s="12"/>
      <c r="D908" s="95"/>
      <c r="E908" s="14"/>
      <c r="F908" s="96"/>
      <c r="H908" s="12"/>
      <c r="I908" s="12"/>
      <c r="J908" s="12"/>
      <c r="K908" s="12"/>
      <c r="L908" s="12"/>
      <c r="M908" s="12"/>
      <c r="N908" s="12"/>
      <c r="O908" s="12"/>
      <c r="P908" s="12"/>
    </row>
    <row r="909">
      <c r="A909" s="12"/>
      <c r="D909" s="95"/>
      <c r="E909" s="14"/>
      <c r="F909" s="96"/>
      <c r="H909" s="12"/>
      <c r="I909" s="12"/>
      <c r="J909" s="12"/>
      <c r="K909" s="12"/>
      <c r="L909" s="12"/>
      <c r="M909" s="12"/>
      <c r="N909" s="12"/>
      <c r="O909" s="12"/>
      <c r="P909" s="12"/>
    </row>
    <row r="910">
      <c r="A910" s="12"/>
      <c r="D910" s="95"/>
      <c r="E910" s="14"/>
      <c r="F910" s="96"/>
      <c r="H910" s="12"/>
      <c r="I910" s="12"/>
      <c r="J910" s="12"/>
      <c r="K910" s="12"/>
      <c r="L910" s="12"/>
      <c r="M910" s="12"/>
      <c r="N910" s="12"/>
      <c r="O910" s="12"/>
      <c r="P910" s="12"/>
    </row>
    <row r="911">
      <c r="A911" s="12"/>
      <c r="D911" s="95"/>
      <c r="E911" s="14"/>
      <c r="F911" s="96"/>
      <c r="H911" s="12"/>
      <c r="I911" s="12"/>
      <c r="J911" s="12"/>
      <c r="K911" s="12"/>
      <c r="L911" s="12"/>
      <c r="M911" s="12"/>
      <c r="N911" s="12"/>
      <c r="O911" s="12"/>
      <c r="P911" s="12"/>
    </row>
    <row r="912">
      <c r="A912" s="12"/>
      <c r="D912" s="95"/>
      <c r="E912" s="14"/>
      <c r="F912" s="96"/>
      <c r="H912" s="12"/>
      <c r="I912" s="12"/>
      <c r="J912" s="12"/>
      <c r="K912" s="12"/>
      <c r="L912" s="12"/>
      <c r="M912" s="12"/>
      <c r="N912" s="12"/>
      <c r="O912" s="12"/>
      <c r="P912" s="12"/>
    </row>
    <row r="913">
      <c r="A913" s="12"/>
      <c r="D913" s="95"/>
      <c r="E913" s="14"/>
      <c r="F913" s="96"/>
      <c r="H913" s="12"/>
      <c r="I913" s="12"/>
      <c r="J913" s="12"/>
      <c r="K913" s="12"/>
      <c r="L913" s="12"/>
      <c r="M913" s="12"/>
      <c r="N913" s="12"/>
      <c r="O913" s="12"/>
      <c r="P913" s="12"/>
    </row>
    <row r="914">
      <c r="A914" s="12"/>
      <c r="D914" s="95"/>
      <c r="E914" s="14"/>
      <c r="F914" s="96"/>
      <c r="H914" s="12"/>
      <c r="I914" s="12"/>
      <c r="J914" s="12"/>
      <c r="K914" s="12"/>
      <c r="L914" s="12"/>
      <c r="M914" s="12"/>
      <c r="N914" s="12"/>
      <c r="O914" s="12"/>
      <c r="P914" s="12"/>
    </row>
    <row r="915">
      <c r="A915" s="12"/>
      <c r="D915" s="95"/>
      <c r="E915" s="14"/>
      <c r="F915" s="96"/>
      <c r="H915" s="12"/>
      <c r="I915" s="12"/>
      <c r="J915" s="12"/>
      <c r="K915" s="12"/>
      <c r="L915" s="12"/>
      <c r="M915" s="12"/>
      <c r="N915" s="12"/>
      <c r="O915" s="12"/>
      <c r="P915" s="12"/>
    </row>
    <row r="916">
      <c r="A916" s="12"/>
      <c r="D916" s="95"/>
      <c r="E916" s="14"/>
      <c r="F916" s="96"/>
      <c r="H916" s="12"/>
      <c r="I916" s="12"/>
      <c r="J916" s="12"/>
      <c r="K916" s="12"/>
      <c r="L916" s="12"/>
      <c r="M916" s="12"/>
      <c r="N916" s="12"/>
      <c r="O916" s="12"/>
      <c r="P916" s="12"/>
    </row>
    <row r="917">
      <c r="A917" s="12"/>
      <c r="D917" s="95"/>
      <c r="E917" s="14"/>
      <c r="F917" s="96"/>
      <c r="H917" s="12"/>
      <c r="I917" s="12"/>
      <c r="J917" s="12"/>
      <c r="K917" s="12"/>
      <c r="L917" s="12"/>
      <c r="M917" s="12"/>
      <c r="N917" s="12"/>
      <c r="O917" s="12"/>
      <c r="P917" s="12"/>
    </row>
    <row r="918">
      <c r="A918" s="12"/>
      <c r="D918" s="95"/>
      <c r="E918" s="14"/>
      <c r="F918" s="96"/>
      <c r="H918" s="12"/>
      <c r="I918" s="12"/>
      <c r="J918" s="12"/>
      <c r="K918" s="12"/>
      <c r="L918" s="12"/>
      <c r="M918" s="12"/>
      <c r="N918" s="12"/>
      <c r="O918" s="12"/>
      <c r="P918" s="12"/>
    </row>
    <row r="919">
      <c r="A919" s="12"/>
      <c r="D919" s="95"/>
      <c r="E919" s="14"/>
      <c r="F919" s="96"/>
      <c r="H919" s="12"/>
      <c r="I919" s="12"/>
      <c r="J919" s="12"/>
      <c r="K919" s="12"/>
      <c r="L919" s="12"/>
      <c r="M919" s="12"/>
      <c r="N919" s="12"/>
      <c r="O919" s="12"/>
      <c r="P919" s="12"/>
    </row>
    <row r="920">
      <c r="A920" s="12"/>
      <c r="D920" s="95"/>
      <c r="E920" s="14"/>
      <c r="F920" s="96"/>
      <c r="H920" s="12"/>
      <c r="I920" s="12"/>
      <c r="J920" s="12"/>
      <c r="K920" s="12"/>
      <c r="L920" s="12"/>
      <c r="M920" s="12"/>
      <c r="N920" s="12"/>
      <c r="O920" s="12"/>
      <c r="P920" s="12"/>
    </row>
    <row r="921">
      <c r="A921" s="12"/>
      <c r="D921" s="95"/>
      <c r="E921" s="14"/>
      <c r="F921" s="96"/>
      <c r="H921" s="12"/>
      <c r="I921" s="12"/>
      <c r="J921" s="12"/>
      <c r="K921" s="12"/>
      <c r="L921" s="12"/>
      <c r="M921" s="12"/>
      <c r="N921" s="12"/>
      <c r="O921" s="12"/>
      <c r="P921" s="12"/>
    </row>
    <row r="922">
      <c r="A922" s="12"/>
      <c r="D922" s="95"/>
      <c r="E922" s="14"/>
      <c r="F922" s="96"/>
      <c r="H922" s="12"/>
      <c r="I922" s="12"/>
      <c r="J922" s="12"/>
      <c r="K922" s="12"/>
      <c r="L922" s="12"/>
      <c r="M922" s="12"/>
      <c r="N922" s="12"/>
      <c r="O922" s="12"/>
      <c r="P922" s="12"/>
    </row>
    <row r="923">
      <c r="A923" s="12"/>
      <c r="D923" s="95"/>
      <c r="E923" s="14"/>
      <c r="F923" s="96"/>
      <c r="H923" s="12"/>
      <c r="I923" s="12"/>
      <c r="J923" s="12"/>
      <c r="K923" s="12"/>
      <c r="L923" s="12"/>
      <c r="M923" s="12"/>
      <c r="N923" s="12"/>
      <c r="O923" s="12"/>
      <c r="P923" s="12"/>
    </row>
    <row r="924">
      <c r="A924" s="12"/>
      <c r="D924" s="95"/>
      <c r="E924" s="14"/>
      <c r="F924" s="96"/>
      <c r="H924" s="12"/>
      <c r="I924" s="12"/>
      <c r="J924" s="12"/>
      <c r="K924" s="12"/>
      <c r="L924" s="12"/>
      <c r="M924" s="12"/>
      <c r="N924" s="12"/>
      <c r="O924" s="12"/>
      <c r="P924" s="12"/>
    </row>
    <row r="925">
      <c r="A925" s="12"/>
      <c r="D925" s="95"/>
      <c r="E925" s="14"/>
      <c r="F925" s="96"/>
      <c r="H925" s="12"/>
      <c r="I925" s="12"/>
      <c r="J925" s="12"/>
      <c r="K925" s="12"/>
      <c r="L925" s="12"/>
      <c r="M925" s="12"/>
      <c r="N925" s="12"/>
      <c r="O925" s="12"/>
      <c r="P925" s="12"/>
    </row>
    <row r="926">
      <c r="A926" s="12"/>
      <c r="D926" s="95"/>
      <c r="E926" s="14"/>
      <c r="F926" s="96"/>
      <c r="H926" s="12"/>
      <c r="I926" s="12"/>
      <c r="J926" s="12"/>
      <c r="K926" s="12"/>
      <c r="L926" s="12"/>
      <c r="M926" s="12"/>
      <c r="N926" s="12"/>
      <c r="O926" s="12"/>
      <c r="P926" s="12"/>
    </row>
    <row r="927">
      <c r="A927" s="12"/>
      <c r="D927" s="95"/>
      <c r="E927" s="14"/>
      <c r="F927" s="96"/>
      <c r="H927" s="12"/>
      <c r="I927" s="12"/>
      <c r="J927" s="12"/>
      <c r="K927" s="12"/>
      <c r="L927" s="12"/>
      <c r="M927" s="12"/>
      <c r="N927" s="12"/>
      <c r="O927" s="12"/>
      <c r="P927" s="12"/>
    </row>
    <row r="928">
      <c r="A928" s="12"/>
      <c r="D928" s="95"/>
      <c r="E928" s="14"/>
      <c r="F928" s="96"/>
      <c r="H928" s="12"/>
      <c r="I928" s="12"/>
      <c r="J928" s="12"/>
      <c r="K928" s="12"/>
      <c r="L928" s="12"/>
      <c r="M928" s="12"/>
      <c r="N928" s="12"/>
      <c r="O928" s="12"/>
      <c r="P928" s="12"/>
    </row>
    <row r="929">
      <c r="A929" s="12"/>
      <c r="D929" s="95"/>
      <c r="E929" s="14"/>
      <c r="F929" s="96"/>
      <c r="H929" s="12"/>
      <c r="I929" s="12"/>
      <c r="J929" s="12"/>
      <c r="K929" s="12"/>
      <c r="L929" s="12"/>
      <c r="M929" s="12"/>
      <c r="N929" s="12"/>
      <c r="O929" s="12"/>
      <c r="P929" s="12"/>
    </row>
    <row r="930">
      <c r="A930" s="12"/>
      <c r="D930" s="95"/>
      <c r="E930" s="14"/>
      <c r="F930" s="96"/>
      <c r="H930" s="12"/>
      <c r="I930" s="12"/>
      <c r="J930" s="12"/>
      <c r="K930" s="12"/>
      <c r="L930" s="12"/>
      <c r="M930" s="12"/>
      <c r="N930" s="12"/>
      <c r="O930" s="12"/>
      <c r="P930" s="12"/>
    </row>
    <row r="931">
      <c r="A931" s="12"/>
      <c r="D931" s="95"/>
      <c r="E931" s="14"/>
      <c r="F931" s="96"/>
      <c r="H931" s="12"/>
      <c r="I931" s="12"/>
      <c r="J931" s="12"/>
      <c r="K931" s="12"/>
      <c r="L931" s="12"/>
      <c r="M931" s="12"/>
      <c r="N931" s="12"/>
      <c r="O931" s="12"/>
      <c r="P931" s="12"/>
    </row>
    <row r="932">
      <c r="A932" s="12"/>
      <c r="D932" s="95"/>
      <c r="E932" s="14"/>
      <c r="F932" s="96"/>
      <c r="H932" s="12"/>
      <c r="I932" s="12"/>
      <c r="J932" s="12"/>
      <c r="K932" s="12"/>
      <c r="L932" s="12"/>
      <c r="M932" s="12"/>
      <c r="N932" s="12"/>
      <c r="O932" s="12"/>
      <c r="P932" s="12"/>
    </row>
    <row r="933">
      <c r="A933" s="12"/>
      <c r="D933" s="95"/>
      <c r="E933" s="14"/>
      <c r="F933" s="96"/>
      <c r="H933" s="12"/>
      <c r="I933" s="12"/>
      <c r="J933" s="12"/>
      <c r="K933" s="12"/>
      <c r="L933" s="12"/>
      <c r="M933" s="12"/>
      <c r="N933" s="12"/>
      <c r="O933" s="12"/>
      <c r="P933" s="12"/>
    </row>
    <row r="934">
      <c r="A934" s="12"/>
      <c r="D934" s="95"/>
      <c r="E934" s="14"/>
      <c r="F934" s="96"/>
      <c r="H934" s="12"/>
      <c r="I934" s="12"/>
      <c r="J934" s="12"/>
      <c r="K934" s="12"/>
      <c r="L934" s="12"/>
      <c r="M934" s="12"/>
      <c r="N934" s="12"/>
      <c r="O934" s="12"/>
      <c r="P934" s="12"/>
    </row>
    <row r="935">
      <c r="A935" s="12"/>
      <c r="D935" s="95"/>
      <c r="E935" s="14"/>
      <c r="F935" s="96"/>
      <c r="H935" s="12"/>
      <c r="I935" s="12"/>
      <c r="J935" s="12"/>
      <c r="K935" s="12"/>
      <c r="L935" s="12"/>
      <c r="M935" s="12"/>
      <c r="N935" s="12"/>
      <c r="O935" s="12"/>
      <c r="P935" s="12"/>
    </row>
    <row r="936">
      <c r="A936" s="12"/>
      <c r="D936" s="95"/>
      <c r="E936" s="14"/>
      <c r="F936" s="96"/>
      <c r="H936" s="12"/>
      <c r="I936" s="12"/>
      <c r="J936" s="12"/>
      <c r="K936" s="12"/>
      <c r="L936" s="12"/>
      <c r="M936" s="12"/>
      <c r="N936" s="12"/>
      <c r="O936" s="12"/>
      <c r="P936" s="12"/>
    </row>
    <row r="937">
      <c r="A937" s="12"/>
      <c r="D937" s="95"/>
      <c r="E937" s="14"/>
      <c r="F937" s="96"/>
      <c r="H937" s="12"/>
      <c r="I937" s="12"/>
      <c r="J937" s="12"/>
      <c r="K937" s="12"/>
      <c r="L937" s="12"/>
      <c r="M937" s="12"/>
      <c r="N937" s="12"/>
      <c r="O937" s="12"/>
      <c r="P937" s="12"/>
    </row>
    <row r="938">
      <c r="A938" s="12"/>
      <c r="D938" s="95"/>
      <c r="E938" s="14"/>
      <c r="F938" s="96"/>
      <c r="H938" s="12"/>
      <c r="I938" s="12"/>
      <c r="J938" s="12"/>
      <c r="K938" s="12"/>
      <c r="L938" s="12"/>
      <c r="M938" s="12"/>
      <c r="N938" s="12"/>
      <c r="O938" s="12"/>
      <c r="P938" s="12"/>
    </row>
    <row r="939">
      <c r="A939" s="12"/>
      <c r="D939" s="95"/>
      <c r="E939" s="14"/>
      <c r="F939" s="96"/>
      <c r="H939" s="12"/>
      <c r="I939" s="12"/>
      <c r="J939" s="12"/>
      <c r="K939" s="12"/>
      <c r="L939" s="12"/>
      <c r="M939" s="12"/>
      <c r="N939" s="12"/>
      <c r="O939" s="12"/>
      <c r="P939" s="12"/>
    </row>
    <row r="940">
      <c r="A940" s="12"/>
      <c r="D940" s="95"/>
      <c r="E940" s="14"/>
      <c r="F940" s="96"/>
      <c r="H940" s="12"/>
      <c r="I940" s="12"/>
      <c r="J940" s="12"/>
      <c r="K940" s="12"/>
      <c r="L940" s="12"/>
      <c r="M940" s="12"/>
      <c r="N940" s="12"/>
      <c r="O940" s="12"/>
      <c r="P940" s="12"/>
    </row>
    <row r="941">
      <c r="A941" s="12"/>
      <c r="D941" s="95"/>
      <c r="E941" s="14"/>
      <c r="F941" s="96"/>
      <c r="H941" s="12"/>
      <c r="I941" s="12"/>
      <c r="J941" s="12"/>
      <c r="K941" s="12"/>
      <c r="L941" s="12"/>
      <c r="M941" s="12"/>
      <c r="N941" s="12"/>
      <c r="O941" s="12"/>
      <c r="P941" s="12"/>
    </row>
    <row r="942">
      <c r="A942" s="12"/>
      <c r="D942" s="95"/>
      <c r="E942" s="14"/>
      <c r="F942" s="96"/>
      <c r="H942" s="12"/>
      <c r="I942" s="12"/>
      <c r="J942" s="12"/>
      <c r="K942" s="12"/>
      <c r="L942" s="12"/>
      <c r="M942" s="12"/>
      <c r="N942" s="12"/>
      <c r="O942" s="12"/>
      <c r="P942" s="12"/>
    </row>
    <row r="943">
      <c r="A943" s="12"/>
      <c r="D943" s="95"/>
      <c r="E943" s="14"/>
      <c r="F943" s="96"/>
      <c r="H943" s="12"/>
      <c r="I943" s="12"/>
      <c r="J943" s="12"/>
      <c r="K943" s="12"/>
      <c r="L943" s="12"/>
      <c r="M943" s="12"/>
      <c r="N943" s="12"/>
      <c r="O943" s="12"/>
      <c r="P943" s="12"/>
    </row>
    <row r="944">
      <c r="A944" s="12"/>
      <c r="D944" s="95"/>
      <c r="E944" s="14"/>
      <c r="F944" s="96"/>
      <c r="H944" s="12"/>
      <c r="I944" s="12"/>
      <c r="J944" s="12"/>
      <c r="K944" s="12"/>
      <c r="L944" s="12"/>
      <c r="M944" s="12"/>
      <c r="N944" s="12"/>
      <c r="O944" s="12"/>
      <c r="P944" s="12"/>
    </row>
    <row r="945">
      <c r="A945" s="12"/>
      <c r="D945" s="95"/>
      <c r="E945" s="14"/>
      <c r="F945" s="96"/>
      <c r="H945" s="12"/>
      <c r="I945" s="12"/>
      <c r="J945" s="12"/>
      <c r="K945" s="12"/>
      <c r="L945" s="12"/>
      <c r="M945" s="12"/>
      <c r="N945" s="12"/>
      <c r="O945" s="12"/>
      <c r="P945" s="12"/>
    </row>
    <row r="946">
      <c r="A946" s="12"/>
      <c r="D946" s="95"/>
      <c r="E946" s="14"/>
      <c r="F946" s="96"/>
      <c r="H946" s="12"/>
      <c r="I946" s="12"/>
      <c r="J946" s="12"/>
      <c r="K946" s="12"/>
      <c r="L946" s="12"/>
      <c r="M946" s="12"/>
      <c r="N946" s="12"/>
      <c r="O946" s="12"/>
      <c r="P946" s="12"/>
    </row>
    <row r="947">
      <c r="A947" s="12"/>
      <c r="D947" s="95"/>
      <c r="E947" s="14"/>
      <c r="F947" s="96"/>
      <c r="H947" s="12"/>
      <c r="I947" s="12"/>
      <c r="J947" s="12"/>
      <c r="K947" s="12"/>
      <c r="L947" s="12"/>
      <c r="M947" s="12"/>
      <c r="N947" s="12"/>
      <c r="O947" s="12"/>
      <c r="P947" s="12"/>
    </row>
    <row r="948">
      <c r="A948" s="12"/>
      <c r="D948" s="95"/>
      <c r="E948" s="14"/>
      <c r="F948" s="96"/>
      <c r="H948" s="12"/>
      <c r="I948" s="12"/>
      <c r="J948" s="12"/>
      <c r="K948" s="12"/>
      <c r="L948" s="12"/>
      <c r="M948" s="12"/>
      <c r="N948" s="12"/>
      <c r="O948" s="12"/>
      <c r="P948" s="12"/>
    </row>
    <row r="949">
      <c r="A949" s="12"/>
      <c r="D949" s="95"/>
      <c r="E949" s="14"/>
      <c r="F949" s="96"/>
      <c r="H949" s="12"/>
      <c r="I949" s="12"/>
      <c r="J949" s="12"/>
      <c r="K949" s="12"/>
      <c r="L949" s="12"/>
      <c r="M949" s="12"/>
      <c r="N949" s="12"/>
      <c r="O949" s="12"/>
      <c r="P949" s="12"/>
    </row>
    <row r="950">
      <c r="A950" s="12"/>
      <c r="D950" s="95"/>
      <c r="E950" s="14"/>
      <c r="F950" s="96"/>
      <c r="H950" s="12"/>
      <c r="I950" s="12"/>
      <c r="J950" s="12"/>
      <c r="K950" s="12"/>
      <c r="L950" s="12"/>
      <c r="M950" s="12"/>
      <c r="N950" s="12"/>
      <c r="O950" s="12"/>
      <c r="P950" s="12"/>
    </row>
    <row r="951">
      <c r="A951" s="12"/>
      <c r="D951" s="95"/>
      <c r="E951" s="14"/>
      <c r="F951" s="96"/>
      <c r="H951" s="12"/>
      <c r="I951" s="12"/>
      <c r="J951" s="12"/>
      <c r="K951" s="12"/>
      <c r="L951" s="12"/>
      <c r="M951" s="12"/>
      <c r="N951" s="12"/>
      <c r="O951" s="12"/>
      <c r="P951" s="12"/>
    </row>
    <row r="952">
      <c r="A952" s="12"/>
      <c r="D952" s="95"/>
      <c r="E952" s="14"/>
      <c r="F952" s="96"/>
      <c r="H952" s="12"/>
      <c r="I952" s="12"/>
      <c r="J952" s="12"/>
      <c r="K952" s="12"/>
      <c r="L952" s="12"/>
      <c r="M952" s="12"/>
      <c r="N952" s="12"/>
      <c r="O952" s="12"/>
      <c r="P952" s="12"/>
    </row>
    <row r="953">
      <c r="A953" s="12"/>
      <c r="D953" s="95"/>
      <c r="E953" s="14"/>
      <c r="F953" s="96"/>
      <c r="H953" s="12"/>
      <c r="I953" s="12"/>
      <c r="J953" s="12"/>
      <c r="K953" s="12"/>
      <c r="L953" s="12"/>
      <c r="M953" s="12"/>
      <c r="N953" s="12"/>
      <c r="O953" s="12"/>
      <c r="P953" s="12"/>
    </row>
    <row r="954">
      <c r="A954" s="12"/>
      <c r="D954" s="95"/>
      <c r="E954" s="14"/>
      <c r="F954" s="96"/>
      <c r="H954" s="12"/>
      <c r="I954" s="12"/>
      <c r="J954" s="12"/>
      <c r="K954" s="12"/>
      <c r="L954" s="12"/>
      <c r="M954" s="12"/>
      <c r="N954" s="12"/>
      <c r="O954" s="12"/>
      <c r="P954" s="12"/>
    </row>
    <row r="955">
      <c r="A955" s="12"/>
      <c r="D955" s="95"/>
      <c r="E955" s="14"/>
      <c r="F955" s="96"/>
      <c r="H955" s="12"/>
      <c r="I955" s="12"/>
      <c r="J955" s="12"/>
      <c r="K955" s="12"/>
      <c r="L955" s="12"/>
      <c r="M955" s="12"/>
      <c r="N955" s="12"/>
      <c r="O955" s="12"/>
      <c r="P955" s="12"/>
    </row>
    <row r="956">
      <c r="A956" s="12"/>
      <c r="D956" s="95"/>
      <c r="E956" s="14"/>
      <c r="F956" s="96"/>
      <c r="H956" s="12"/>
      <c r="I956" s="12"/>
      <c r="J956" s="12"/>
      <c r="K956" s="12"/>
      <c r="L956" s="12"/>
      <c r="M956" s="12"/>
      <c r="N956" s="12"/>
      <c r="O956" s="12"/>
      <c r="P956" s="12"/>
    </row>
    <row r="957">
      <c r="A957" s="12"/>
      <c r="D957" s="95"/>
      <c r="E957" s="14"/>
      <c r="F957" s="96"/>
      <c r="H957" s="12"/>
      <c r="I957" s="12"/>
      <c r="J957" s="12"/>
      <c r="K957" s="12"/>
      <c r="L957" s="12"/>
      <c r="M957" s="12"/>
      <c r="N957" s="12"/>
      <c r="O957" s="12"/>
      <c r="P957" s="12"/>
    </row>
    <row r="958">
      <c r="A958" s="12"/>
      <c r="D958" s="95"/>
      <c r="E958" s="14"/>
      <c r="F958" s="96"/>
      <c r="H958" s="12"/>
      <c r="I958" s="12"/>
      <c r="J958" s="12"/>
      <c r="K958" s="12"/>
      <c r="L958" s="12"/>
      <c r="M958" s="12"/>
      <c r="N958" s="12"/>
      <c r="O958" s="12"/>
      <c r="P958" s="12"/>
    </row>
    <row r="959">
      <c r="A959" s="12"/>
      <c r="D959" s="95"/>
      <c r="E959" s="14"/>
      <c r="F959" s="96"/>
      <c r="H959" s="12"/>
      <c r="I959" s="12"/>
      <c r="J959" s="12"/>
      <c r="K959" s="12"/>
      <c r="L959" s="12"/>
      <c r="M959" s="12"/>
      <c r="N959" s="12"/>
      <c r="O959" s="12"/>
      <c r="P959" s="12"/>
    </row>
    <row r="960">
      <c r="A960" s="12"/>
      <c r="D960" s="95"/>
      <c r="E960" s="14"/>
      <c r="F960" s="96"/>
      <c r="H960" s="12"/>
      <c r="I960" s="12"/>
      <c r="J960" s="12"/>
      <c r="K960" s="12"/>
      <c r="L960" s="12"/>
      <c r="M960" s="12"/>
      <c r="N960" s="12"/>
      <c r="O960" s="12"/>
      <c r="P960" s="12"/>
    </row>
    <row r="961">
      <c r="A961" s="12"/>
      <c r="D961" s="95"/>
      <c r="E961" s="14"/>
      <c r="F961" s="96"/>
      <c r="H961" s="12"/>
      <c r="I961" s="12"/>
      <c r="J961" s="12"/>
      <c r="K961" s="12"/>
      <c r="L961" s="12"/>
      <c r="M961" s="12"/>
      <c r="N961" s="12"/>
      <c r="O961" s="12"/>
      <c r="P961" s="12"/>
    </row>
    <row r="962">
      <c r="A962" s="12"/>
      <c r="D962" s="95"/>
      <c r="E962" s="14"/>
      <c r="F962" s="96"/>
      <c r="H962" s="12"/>
      <c r="I962" s="12"/>
      <c r="J962" s="12"/>
      <c r="K962" s="12"/>
      <c r="L962" s="12"/>
      <c r="M962" s="12"/>
      <c r="N962" s="12"/>
      <c r="O962" s="12"/>
      <c r="P962" s="12"/>
    </row>
    <row r="963">
      <c r="A963" s="12"/>
      <c r="D963" s="95"/>
      <c r="E963" s="14"/>
      <c r="F963" s="96"/>
      <c r="H963" s="12"/>
      <c r="I963" s="12"/>
      <c r="J963" s="12"/>
      <c r="K963" s="12"/>
      <c r="L963" s="12"/>
      <c r="M963" s="12"/>
      <c r="N963" s="12"/>
      <c r="O963" s="12"/>
      <c r="P963" s="12"/>
    </row>
    <row r="964">
      <c r="A964" s="12"/>
      <c r="D964" s="95"/>
      <c r="E964" s="14"/>
      <c r="F964" s="96"/>
      <c r="H964" s="12"/>
      <c r="I964" s="12"/>
      <c r="J964" s="12"/>
      <c r="K964" s="12"/>
      <c r="L964" s="12"/>
      <c r="M964" s="12"/>
      <c r="N964" s="12"/>
      <c r="O964" s="12"/>
      <c r="P964" s="12"/>
    </row>
    <row r="965">
      <c r="A965" s="12"/>
      <c r="D965" s="95"/>
      <c r="E965" s="14"/>
      <c r="F965" s="96"/>
      <c r="H965" s="12"/>
      <c r="I965" s="12"/>
      <c r="J965" s="12"/>
      <c r="K965" s="12"/>
      <c r="L965" s="12"/>
      <c r="M965" s="12"/>
      <c r="N965" s="12"/>
      <c r="O965" s="12"/>
      <c r="P965" s="12"/>
    </row>
    <row r="966">
      <c r="A966" s="12"/>
      <c r="D966" s="95"/>
      <c r="E966" s="14"/>
      <c r="F966" s="96"/>
      <c r="H966" s="12"/>
      <c r="I966" s="12"/>
      <c r="J966" s="12"/>
      <c r="K966" s="12"/>
      <c r="L966" s="12"/>
      <c r="M966" s="12"/>
      <c r="N966" s="12"/>
      <c r="O966" s="12"/>
      <c r="P966" s="12"/>
    </row>
    <row r="967">
      <c r="A967" s="12"/>
      <c r="D967" s="95"/>
      <c r="E967" s="14"/>
      <c r="F967" s="96"/>
      <c r="H967" s="12"/>
      <c r="I967" s="12"/>
      <c r="J967" s="12"/>
      <c r="K967" s="12"/>
      <c r="L967" s="12"/>
      <c r="M967" s="12"/>
      <c r="N967" s="12"/>
      <c r="O967" s="12"/>
      <c r="P967" s="12"/>
    </row>
    <row r="968">
      <c r="A968" s="12"/>
      <c r="D968" s="95"/>
      <c r="E968" s="14"/>
      <c r="F968" s="96"/>
      <c r="H968" s="12"/>
      <c r="I968" s="12"/>
      <c r="J968" s="12"/>
      <c r="K968" s="12"/>
      <c r="L968" s="12"/>
      <c r="M968" s="12"/>
      <c r="N968" s="12"/>
      <c r="O968" s="12"/>
      <c r="P968" s="12"/>
    </row>
    <row r="969">
      <c r="A969" s="12"/>
      <c r="D969" s="95"/>
      <c r="E969" s="14"/>
      <c r="F969" s="96"/>
      <c r="H969" s="12"/>
      <c r="I969" s="12"/>
      <c r="J969" s="12"/>
      <c r="K969" s="12"/>
      <c r="L969" s="12"/>
      <c r="M969" s="12"/>
      <c r="N969" s="12"/>
      <c r="O969" s="12"/>
      <c r="P969" s="12"/>
    </row>
    <row r="970">
      <c r="A970" s="12"/>
      <c r="D970" s="95"/>
      <c r="E970" s="14"/>
      <c r="F970" s="96"/>
      <c r="H970" s="12"/>
      <c r="I970" s="12"/>
      <c r="J970" s="12"/>
      <c r="K970" s="12"/>
      <c r="L970" s="12"/>
      <c r="M970" s="12"/>
      <c r="N970" s="12"/>
      <c r="O970" s="12"/>
      <c r="P970" s="12"/>
    </row>
    <row r="971">
      <c r="A971" s="12"/>
      <c r="D971" s="95"/>
      <c r="E971" s="14"/>
      <c r="F971" s="96"/>
      <c r="H971" s="12"/>
      <c r="I971" s="12"/>
      <c r="J971" s="12"/>
      <c r="K971" s="12"/>
      <c r="L971" s="12"/>
      <c r="M971" s="12"/>
      <c r="N971" s="12"/>
      <c r="O971" s="12"/>
      <c r="P971" s="12"/>
    </row>
    <row r="972">
      <c r="A972" s="12"/>
      <c r="D972" s="95"/>
      <c r="E972" s="14"/>
      <c r="F972" s="96"/>
      <c r="H972" s="12"/>
      <c r="I972" s="12"/>
      <c r="J972" s="12"/>
      <c r="K972" s="12"/>
      <c r="L972" s="12"/>
      <c r="M972" s="12"/>
      <c r="N972" s="12"/>
      <c r="O972" s="12"/>
      <c r="P972" s="12"/>
    </row>
    <row r="973">
      <c r="A973" s="12"/>
      <c r="D973" s="95"/>
      <c r="E973" s="14"/>
      <c r="F973" s="96"/>
      <c r="H973" s="12"/>
      <c r="I973" s="12"/>
      <c r="J973" s="12"/>
      <c r="K973" s="12"/>
      <c r="L973" s="12"/>
      <c r="M973" s="12"/>
      <c r="N973" s="12"/>
      <c r="O973" s="12"/>
      <c r="P973" s="12"/>
    </row>
    <row r="974">
      <c r="A974" s="12"/>
      <c r="D974" s="95"/>
      <c r="E974" s="14"/>
      <c r="F974" s="96"/>
      <c r="H974" s="12"/>
      <c r="I974" s="12"/>
      <c r="J974" s="12"/>
      <c r="K974" s="12"/>
      <c r="L974" s="12"/>
      <c r="M974" s="12"/>
      <c r="N974" s="12"/>
      <c r="O974" s="12"/>
      <c r="P974" s="12"/>
    </row>
    <row r="975">
      <c r="A975" s="12"/>
      <c r="D975" s="95"/>
      <c r="E975" s="14"/>
      <c r="F975" s="96"/>
      <c r="H975" s="12"/>
      <c r="I975" s="12"/>
      <c r="J975" s="12"/>
      <c r="K975" s="12"/>
      <c r="L975" s="12"/>
      <c r="M975" s="12"/>
      <c r="N975" s="12"/>
      <c r="O975" s="12"/>
      <c r="P975" s="12"/>
    </row>
    <row r="976">
      <c r="A976" s="12"/>
      <c r="D976" s="95"/>
      <c r="E976" s="14"/>
      <c r="F976" s="96"/>
      <c r="H976" s="12"/>
      <c r="I976" s="12"/>
      <c r="J976" s="12"/>
      <c r="K976" s="12"/>
      <c r="L976" s="12"/>
      <c r="M976" s="12"/>
      <c r="N976" s="12"/>
      <c r="O976" s="12"/>
      <c r="P976" s="12"/>
    </row>
    <row r="977">
      <c r="A977" s="12"/>
      <c r="D977" s="95"/>
      <c r="E977" s="14"/>
      <c r="F977" s="96"/>
      <c r="H977" s="12"/>
      <c r="I977" s="12"/>
      <c r="J977" s="12"/>
      <c r="K977" s="12"/>
      <c r="L977" s="12"/>
      <c r="M977" s="12"/>
      <c r="N977" s="12"/>
      <c r="O977" s="12"/>
      <c r="P977" s="12"/>
    </row>
    <row r="978">
      <c r="A978" s="12"/>
      <c r="D978" s="95"/>
      <c r="E978" s="14"/>
      <c r="F978" s="96"/>
      <c r="H978" s="12"/>
      <c r="I978" s="12"/>
      <c r="J978" s="12"/>
      <c r="K978" s="12"/>
      <c r="L978" s="12"/>
      <c r="M978" s="12"/>
      <c r="N978" s="12"/>
      <c r="O978" s="12"/>
      <c r="P978" s="12"/>
    </row>
    <row r="979">
      <c r="A979" s="12"/>
      <c r="D979" s="95"/>
      <c r="E979" s="14"/>
      <c r="F979" s="96"/>
      <c r="H979" s="12"/>
      <c r="I979" s="12"/>
      <c r="J979" s="12"/>
      <c r="K979" s="12"/>
      <c r="L979" s="12"/>
      <c r="M979" s="12"/>
      <c r="N979" s="12"/>
      <c r="O979" s="12"/>
      <c r="P979" s="12"/>
    </row>
    <row r="980">
      <c r="A980" s="12"/>
      <c r="D980" s="95"/>
      <c r="E980" s="14"/>
      <c r="F980" s="96"/>
      <c r="H980" s="12"/>
      <c r="I980" s="12"/>
      <c r="J980" s="12"/>
      <c r="K980" s="12"/>
      <c r="L980" s="12"/>
      <c r="M980" s="12"/>
      <c r="N980" s="12"/>
      <c r="O980" s="12"/>
      <c r="P980" s="12"/>
    </row>
    <row r="981">
      <c r="A981" s="12"/>
      <c r="D981" s="95"/>
      <c r="E981" s="14"/>
      <c r="F981" s="96"/>
      <c r="H981" s="12"/>
      <c r="I981" s="12"/>
      <c r="J981" s="12"/>
      <c r="K981" s="12"/>
      <c r="L981" s="12"/>
      <c r="M981" s="12"/>
      <c r="N981" s="12"/>
      <c r="O981" s="12"/>
      <c r="P981" s="12"/>
    </row>
    <row r="982">
      <c r="A982" s="12"/>
      <c r="D982" s="95"/>
      <c r="E982" s="14"/>
      <c r="F982" s="96"/>
      <c r="H982" s="12"/>
      <c r="I982" s="12"/>
      <c r="J982" s="12"/>
      <c r="K982" s="12"/>
      <c r="L982" s="12"/>
      <c r="M982" s="12"/>
      <c r="N982" s="12"/>
      <c r="O982" s="12"/>
      <c r="P982" s="12"/>
    </row>
    <row r="983">
      <c r="A983" s="12"/>
      <c r="D983" s="95"/>
      <c r="E983" s="14"/>
      <c r="F983" s="96"/>
      <c r="H983" s="12"/>
      <c r="I983" s="12"/>
      <c r="J983" s="12"/>
      <c r="K983" s="12"/>
      <c r="L983" s="12"/>
      <c r="M983" s="12"/>
      <c r="N983" s="12"/>
      <c r="O983" s="12"/>
      <c r="P983" s="12"/>
    </row>
    <row r="984">
      <c r="A984" s="12"/>
      <c r="D984" s="95"/>
      <c r="E984" s="14"/>
      <c r="F984" s="96"/>
      <c r="H984" s="12"/>
      <c r="I984" s="12"/>
      <c r="J984" s="12"/>
      <c r="K984" s="12"/>
      <c r="L984" s="12"/>
      <c r="M984" s="12"/>
      <c r="N984" s="12"/>
      <c r="O984" s="12"/>
      <c r="P984" s="12"/>
    </row>
    <row r="985">
      <c r="A985" s="12"/>
      <c r="D985" s="95"/>
      <c r="E985" s="14"/>
      <c r="F985" s="96"/>
      <c r="H985" s="12"/>
      <c r="I985" s="12"/>
      <c r="J985" s="12"/>
      <c r="K985" s="12"/>
      <c r="L985" s="12"/>
      <c r="M985" s="12"/>
      <c r="N985" s="12"/>
      <c r="O985" s="12"/>
      <c r="P985" s="12"/>
    </row>
    <row r="986">
      <c r="A986" s="12"/>
      <c r="D986" s="95"/>
      <c r="E986" s="14"/>
      <c r="F986" s="96"/>
      <c r="H986" s="12"/>
      <c r="I986" s="12"/>
      <c r="J986" s="12"/>
      <c r="K986" s="12"/>
      <c r="L986" s="12"/>
      <c r="M986" s="12"/>
      <c r="N986" s="12"/>
      <c r="O986" s="12"/>
      <c r="P986" s="12"/>
    </row>
    <row r="987">
      <c r="A987" s="12"/>
      <c r="D987" s="95"/>
      <c r="E987" s="14"/>
      <c r="F987" s="96"/>
      <c r="H987" s="12"/>
      <c r="I987" s="12"/>
      <c r="J987" s="12"/>
      <c r="K987" s="12"/>
      <c r="L987" s="12"/>
      <c r="M987" s="12"/>
      <c r="N987" s="12"/>
      <c r="O987" s="12"/>
      <c r="P987" s="12"/>
    </row>
    <row r="988">
      <c r="A988" s="12"/>
      <c r="D988" s="95"/>
      <c r="E988" s="14"/>
      <c r="F988" s="96"/>
      <c r="H988" s="12"/>
      <c r="I988" s="12"/>
      <c r="J988" s="12"/>
      <c r="K988" s="12"/>
      <c r="L988" s="12"/>
      <c r="M988" s="12"/>
      <c r="N988" s="12"/>
      <c r="O988" s="12"/>
      <c r="P988" s="12"/>
    </row>
    <row r="989">
      <c r="A989" s="12"/>
      <c r="D989" s="95"/>
      <c r="E989" s="14"/>
      <c r="F989" s="96"/>
      <c r="H989" s="12"/>
      <c r="I989" s="12"/>
      <c r="J989" s="12"/>
      <c r="K989" s="12"/>
      <c r="L989" s="12"/>
      <c r="M989" s="12"/>
      <c r="N989" s="12"/>
      <c r="O989" s="12"/>
      <c r="P989" s="12"/>
    </row>
    <row r="990">
      <c r="A990" s="12"/>
      <c r="D990" s="95"/>
      <c r="E990" s="14"/>
      <c r="F990" s="96"/>
      <c r="H990" s="12"/>
      <c r="I990" s="12"/>
      <c r="J990" s="12"/>
      <c r="K990" s="12"/>
      <c r="L990" s="12"/>
      <c r="M990" s="12"/>
      <c r="N990" s="12"/>
      <c r="O990" s="12"/>
      <c r="P990" s="12"/>
    </row>
    <row r="991">
      <c r="A991" s="12"/>
      <c r="D991" s="95"/>
      <c r="E991" s="14"/>
      <c r="F991" s="96"/>
      <c r="H991" s="12"/>
      <c r="I991" s="12"/>
      <c r="J991" s="12"/>
      <c r="K991" s="12"/>
      <c r="L991" s="12"/>
      <c r="M991" s="12"/>
      <c r="N991" s="12"/>
      <c r="O991" s="12"/>
      <c r="P991" s="12"/>
    </row>
    <row r="992">
      <c r="A992" s="12"/>
      <c r="D992" s="95"/>
      <c r="E992" s="14"/>
      <c r="F992" s="96"/>
      <c r="H992" s="12"/>
      <c r="I992" s="12"/>
      <c r="J992" s="12"/>
      <c r="K992" s="12"/>
      <c r="L992" s="12"/>
      <c r="M992" s="12"/>
      <c r="N992" s="12"/>
      <c r="O992" s="12"/>
      <c r="P992" s="12"/>
    </row>
    <row r="993">
      <c r="A993" s="12"/>
      <c r="D993" s="95"/>
      <c r="E993" s="14"/>
      <c r="F993" s="96"/>
      <c r="H993" s="12"/>
      <c r="I993" s="12"/>
      <c r="J993" s="12"/>
      <c r="K993" s="12"/>
      <c r="L993" s="12"/>
      <c r="M993" s="12"/>
      <c r="N993" s="12"/>
      <c r="O993" s="12"/>
      <c r="P993" s="12"/>
    </row>
    <row r="994">
      <c r="A994" s="12"/>
      <c r="D994" s="95"/>
      <c r="E994" s="14"/>
      <c r="F994" s="96"/>
      <c r="H994" s="12"/>
      <c r="I994" s="12"/>
      <c r="J994" s="12"/>
      <c r="K994" s="12"/>
      <c r="L994" s="12"/>
      <c r="M994" s="12"/>
      <c r="N994" s="12"/>
      <c r="O994" s="12"/>
      <c r="P994" s="12"/>
    </row>
    <row r="995">
      <c r="A995" s="12"/>
      <c r="D995" s="95"/>
      <c r="E995" s="14"/>
      <c r="F995" s="96"/>
      <c r="H995" s="12"/>
      <c r="I995" s="12"/>
      <c r="J995" s="12"/>
      <c r="K995" s="12"/>
      <c r="L995" s="12"/>
      <c r="M995" s="12"/>
      <c r="N995" s="12"/>
      <c r="O995" s="12"/>
      <c r="P995" s="12"/>
    </row>
    <row r="996">
      <c r="A996" s="12"/>
      <c r="D996" s="95"/>
      <c r="E996" s="14"/>
      <c r="F996" s="96"/>
      <c r="H996" s="12"/>
      <c r="I996" s="12"/>
      <c r="J996" s="12"/>
      <c r="K996" s="12"/>
      <c r="L996" s="12"/>
      <c r="M996" s="12"/>
      <c r="N996" s="12"/>
      <c r="O996" s="12"/>
      <c r="P996" s="12"/>
    </row>
    <row r="997">
      <c r="A997" s="12"/>
      <c r="D997" s="95"/>
      <c r="E997" s="14"/>
      <c r="F997" s="96"/>
      <c r="H997" s="12"/>
      <c r="I997" s="12"/>
      <c r="J997" s="12"/>
      <c r="K997" s="12"/>
      <c r="L997" s="12"/>
      <c r="M997" s="12"/>
      <c r="N997" s="12"/>
      <c r="O997" s="12"/>
      <c r="P997" s="12"/>
    </row>
    <row r="998">
      <c r="A998" s="12"/>
      <c r="D998" s="95"/>
      <c r="E998" s="14"/>
      <c r="F998" s="96"/>
      <c r="H998" s="12"/>
      <c r="I998" s="12"/>
      <c r="J998" s="12"/>
      <c r="K998" s="12"/>
      <c r="L998" s="12"/>
      <c r="M998" s="12"/>
      <c r="N998" s="12"/>
      <c r="O998" s="12"/>
      <c r="P998" s="12"/>
    </row>
    <row r="999">
      <c r="A999" s="12"/>
      <c r="D999" s="95"/>
      <c r="E999" s="14"/>
      <c r="F999" s="96"/>
      <c r="H999" s="12"/>
      <c r="I999" s="12"/>
      <c r="J999" s="12"/>
      <c r="K999" s="12"/>
      <c r="L999" s="12"/>
      <c r="M999" s="12"/>
      <c r="N999" s="12"/>
      <c r="O999" s="12"/>
      <c r="P999" s="12"/>
    </row>
    <row r="1000">
      <c r="A1000" s="12"/>
      <c r="D1000" s="95"/>
      <c r="E1000" s="14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>
      <c r="A1001" s="12"/>
      <c r="D1001" s="95"/>
      <c r="E1001" s="14"/>
      <c r="F1001" s="96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>
      <c r="A1002" s="12"/>
      <c r="D1002" s="95"/>
      <c r="E1002" s="14"/>
      <c r="F1002" s="96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>
      <c r="A1003" s="12"/>
      <c r="D1003" s="95"/>
      <c r="E1003" s="14"/>
      <c r="F1003" s="96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>
      <c r="A1004" s="12"/>
      <c r="D1004" s="95"/>
      <c r="E1004" s="14"/>
      <c r="F1004" s="96"/>
      <c r="H1004" s="12"/>
      <c r="I1004" s="12"/>
      <c r="J1004" s="12"/>
      <c r="K1004" s="12"/>
      <c r="L1004" s="12"/>
      <c r="M1004" s="12"/>
      <c r="N1004" s="12"/>
      <c r="O1004" s="12"/>
      <c r="P1004" s="12"/>
    </row>
    <row r="1005">
      <c r="A1005" s="12"/>
      <c r="D1005" s="95"/>
      <c r="E1005" s="14"/>
      <c r="F1005" s="96"/>
      <c r="H1005" s="12"/>
      <c r="I1005" s="12"/>
      <c r="J1005" s="12"/>
      <c r="K1005" s="12"/>
      <c r="L1005" s="12"/>
      <c r="M1005" s="12"/>
      <c r="N1005" s="12"/>
      <c r="O1005" s="12"/>
      <c r="P1005" s="12"/>
    </row>
  </sheetData>
  <conditionalFormatting sqref="H2:P34">
    <cfRule type="cellIs" dxfId="22" priority="1" operator="equal">
      <formula>0</formula>
    </cfRule>
  </conditionalFormatting>
  <conditionalFormatting sqref="H2:H34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4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4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4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4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4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4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34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1:C48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1:F48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7:F38">
      <formula1>OR(NOT(ISERROR(DATEVALUE(F37))), AND(ISNUMBER(F37), LEFT(CELL("format", F37))="D"))</formula1>
    </dataValidation>
    <dataValidation type="list" allowBlank="1" showDropDown="1" sqref="C2:C34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17.63"/>
    <col customWidth="1" min="3" max="3" width="15.88"/>
    <col customWidth="1" min="4" max="4" width="30.63"/>
    <col customWidth="1" min="5" max="5" width="9.25"/>
    <col customWidth="1" min="6" max="6" width="25.8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601" t="s">
        <v>48</v>
      </c>
      <c r="B1" s="602" t="s">
        <v>49</v>
      </c>
      <c r="C1" s="602" t="s">
        <v>50</v>
      </c>
      <c r="D1" s="603" t="s">
        <v>56</v>
      </c>
      <c r="E1" s="601" t="s">
        <v>57</v>
      </c>
      <c r="F1" s="604" t="s">
        <v>52</v>
      </c>
      <c r="G1" s="605" t="s">
        <v>53</v>
      </c>
      <c r="H1" s="601" t="s">
        <v>4</v>
      </c>
      <c r="I1" s="601" t="s">
        <v>58</v>
      </c>
      <c r="J1" s="601" t="s">
        <v>59</v>
      </c>
      <c r="K1" s="601" t="s">
        <v>60</v>
      </c>
      <c r="L1" s="601" t="s">
        <v>61</v>
      </c>
      <c r="M1" s="601" t="s">
        <v>62</v>
      </c>
      <c r="N1" s="601" t="s">
        <v>63</v>
      </c>
      <c r="O1" s="606" t="s">
        <v>387</v>
      </c>
      <c r="P1" s="606" t="s">
        <v>64</v>
      </c>
      <c r="Q1" s="601" t="s">
        <v>65</v>
      </c>
    </row>
    <row r="2" ht="22.5" customHeight="1">
      <c r="A2" s="607">
        <v>1.0</v>
      </c>
      <c r="B2" s="608" t="s">
        <v>951</v>
      </c>
      <c r="C2" s="609" t="s">
        <v>67</v>
      </c>
      <c r="D2" s="610" t="s">
        <v>952</v>
      </c>
      <c r="E2" s="611" t="str">
        <f t="shared" ref="E2:E3" si="1">IMAGE("https://flagcdn.com/w320/tr.png")</f>
        <v/>
      </c>
      <c r="F2" s="612">
        <v>35160.0</v>
      </c>
      <c r="G2" s="613">
        <f t="shared" ref="G2:G30" si="2">DATEDIF(F2,TODAY(),"Y")</f>
        <v>29</v>
      </c>
      <c r="H2" s="614">
        <f>1+1+1+1+1+1+1</f>
        <v>7</v>
      </c>
      <c r="I2" s="614">
        <f>90+90+90+90+90+67+90</f>
        <v>607</v>
      </c>
      <c r="J2" s="614"/>
      <c r="K2" s="614"/>
      <c r="L2" s="614">
        <f>1</f>
        <v>1</v>
      </c>
      <c r="M2" s="614"/>
      <c r="N2" s="614">
        <f>1+1</f>
        <v>2</v>
      </c>
      <c r="O2" s="614"/>
      <c r="P2" s="614">
        <f t="shared" ref="P2:P30" si="3">J2+K2</f>
        <v>0</v>
      </c>
      <c r="Q2" s="614">
        <f>1</f>
        <v>1</v>
      </c>
    </row>
    <row r="3" ht="22.5" customHeight="1">
      <c r="A3" s="607">
        <v>3.0</v>
      </c>
      <c r="B3" s="608" t="s">
        <v>953</v>
      </c>
      <c r="C3" s="609" t="s">
        <v>70</v>
      </c>
      <c r="D3" s="610" t="s">
        <v>952</v>
      </c>
      <c r="E3" s="611" t="str">
        <f t="shared" si="1"/>
        <v/>
      </c>
      <c r="F3" s="612">
        <v>37563.0</v>
      </c>
      <c r="G3" s="613">
        <f t="shared" si="2"/>
        <v>23</v>
      </c>
      <c r="H3" s="615">
        <v>0.0</v>
      </c>
      <c r="I3" s="615">
        <v>0.0</v>
      </c>
      <c r="J3" s="614"/>
      <c r="K3" s="614"/>
      <c r="L3" s="614"/>
      <c r="M3" s="614"/>
      <c r="N3" s="614"/>
      <c r="O3" s="614"/>
      <c r="P3" s="614">
        <f t="shared" si="3"/>
        <v>0</v>
      </c>
      <c r="Q3" s="614"/>
    </row>
    <row r="4" ht="22.5" customHeight="1">
      <c r="A4" s="607">
        <v>4.0</v>
      </c>
      <c r="B4" s="608" t="s">
        <v>954</v>
      </c>
      <c r="C4" s="609" t="s">
        <v>70</v>
      </c>
      <c r="D4" s="610" t="s">
        <v>955</v>
      </c>
      <c r="E4" s="611" t="str">
        <f>IMAGE("https://flagcdn.com/w320/sn.png")</f>
        <v/>
      </c>
      <c r="F4" s="612">
        <v>36389.0</v>
      </c>
      <c r="G4" s="613">
        <f t="shared" si="2"/>
        <v>26</v>
      </c>
      <c r="H4" s="614">
        <f t="shared" ref="H4:H7" si="4">1+1+1+1+1+1+1</f>
        <v>7</v>
      </c>
      <c r="I4" s="614">
        <f>24+90+90+85+52+78+11</f>
        <v>430</v>
      </c>
      <c r="J4" s="614"/>
      <c r="K4" s="614"/>
      <c r="L4" s="614">
        <f t="shared" ref="L4:L5" si="5">1+1</f>
        <v>2</v>
      </c>
      <c r="M4" s="614"/>
      <c r="N4" s="614"/>
      <c r="O4" s="614"/>
      <c r="P4" s="614">
        <f t="shared" si="3"/>
        <v>0</v>
      </c>
      <c r="Q4" s="614"/>
    </row>
    <row r="5" ht="22.5" customHeight="1">
      <c r="A5" s="607">
        <v>6.0</v>
      </c>
      <c r="B5" s="608" t="s">
        <v>956</v>
      </c>
      <c r="C5" s="609" t="s">
        <v>70</v>
      </c>
      <c r="D5" s="610" t="s">
        <v>581</v>
      </c>
      <c r="E5" s="611" t="str">
        <f>IMAGE("https://flagcdn.com/w320/co.png")</f>
        <v/>
      </c>
      <c r="F5" s="612">
        <v>35228.0</v>
      </c>
      <c r="G5" s="613">
        <f t="shared" si="2"/>
        <v>29</v>
      </c>
      <c r="H5" s="614">
        <f t="shared" si="4"/>
        <v>7</v>
      </c>
      <c r="I5" s="614">
        <f>90+90+90+90+90+90+90</f>
        <v>630</v>
      </c>
      <c r="J5" s="614"/>
      <c r="K5" s="614"/>
      <c r="L5" s="614">
        <f t="shared" si="5"/>
        <v>2</v>
      </c>
      <c r="M5" s="614"/>
      <c r="N5" s="614"/>
      <c r="O5" s="614">
        <f>1</f>
        <v>1</v>
      </c>
      <c r="P5" s="614">
        <f t="shared" si="3"/>
        <v>0</v>
      </c>
      <c r="Q5" s="614"/>
    </row>
    <row r="6" ht="22.5" customHeight="1">
      <c r="A6" s="607">
        <v>7.0</v>
      </c>
      <c r="B6" s="608" t="s">
        <v>957</v>
      </c>
      <c r="C6" s="609" t="s">
        <v>79</v>
      </c>
      <c r="D6" s="610" t="s">
        <v>958</v>
      </c>
      <c r="E6" s="611" t="str">
        <f>IMAGE("https://flagcdn.com/w320/hu.png")</f>
        <v/>
      </c>
      <c r="F6" s="612">
        <v>35572.0</v>
      </c>
      <c r="G6" s="613">
        <f t="shared" si="2"/>
        <v>28</v>
      </c>
      <c r="H6" s="614">
        <f t="shared" si="4"/>
        <v>7</v>
      </c>
      <c r="I6" s="614">
        <f>90+20+90+90+90+90+90</f>
        <v>560</v>
      </c>
      <c r="J6" s="614"/>
      <c r="K6" s="614"/>
      <c r="L6" s="614">
        <f>1</f>
        <v>1</v>
      </c>
      <c r="M6" s="614"/>
      <c r="N6" s="614"/>
      <c r="O6" s="614"/>
      <c r="P6" s="614">
        <f t="shared" si="3"/>
        <v>0</v>
      </c>
      <c r="Q6" s="614"/>
    </row>
    <row r="7" ht="22.5" customHeight="1">
      <c r="A7" s="607">
        <v>8.0</v>
      </c>
      <c r="B7" s="616" t="s">
        <v>959</v>
      </c>
      <c r="C7" s="609" t="s">
        <v>79</v>
      </c>
      <c r="D7" s="610" t="s">
        <v>182</v>
      </c>
      <c r="E7" s="611" t="str">
        <f>IMAGE("https://flagcdn.com/w320/br.png")</f>
        <v/>
      </c>
      <c r="F7" s="612">
        <v>36337.0</v>
      </c>
      <c r="G7" s="613">
        <f t="shared" si="2"/>
        <v>26</v>
      </c>
      <c r="H7" s="614">
        <f t="shared" si="4"/>
        <v>7</v>
      </c>
      <c r="I7" s="614">
        <f>24+16+26+45+90+90+26</f>
        <v>317</v>
      </c>
      <c r="J7" s="614"/>
      <c r="K7" s="614"/>
      <c r="L7" s="614"/>
      <c r="M7" s="614"/>
      <c r="N7" s="614"/>
      <c r="O7" s="614"/>
      <c r="P7" s="614">
        <f t="shared" si="3"/>
        <v>0</v>
      </c>
      <c r="Q7" s="614"/>
    </row>
    <row r="8" ht="22.5" customHeight="1">
      <c r="A8" s="607">
        <v>9.0</v>
      </c>
      <c r="B8" s="608" t="s">
        <v>960</v>
      </c>
      <c r="C8" s="609" t="s">
        <v>82</v>
      </c>
      <c r="D8" s="610" t="s">
        <v>961</v>
      </c>
      <c r="E8" s="611" t="str">
        <f>IMAGE("https://flagcdn.com/w320/ar.png")</f>
        <v/>
      </c>
      <c r="F8" s="612">
        <v>34019.0</v>
      </c>
      <c r="G8" s="613">
        <f t="shared" si="2"/>
        <v>32</v>
      </c>
      <c r="H8" s="614">
        <f t="shared" ref="H8:H9" si="6">1+1+1+1+1+1</f>
        <v>6</v>
      </c>
      <c r="I8" s="614">
        <f>36+20+18+10+90+12</f>
        <v>186</v>
      </c>
      <c r="J8" s="614"/>
      <c r="K8" s="614"/>
      <c r="L8" s="614">
        <f>1</f>
        <v>1</v>
      </c>
      <c r="M8" s="614"/>
      <c r="N8" s="614"/>
      <c r="O8" s="614"/>
      <c r="P8" s="614">
        <f t="shared" si="3"/>
        <v>0</v>
      </c>
      <c r="Q8" s="614"/>
    </row>
    <row r="9" ht="22.5" customHeight="1">
      <c r="A9" s="607">
        <v>10.0</v>
      </c>
      <c r="B9" s="608" t="s">
        <v>962</v>
      </c>
      <c r="C9" s="609" t="s">
        <v>82</v>
      </c>
      <c r="D9" s="610" t="s">
        <v>963</v>
      </c>
      <c r="E9" s="611" t="str">
        <f>IMAGE("https://flagcdn.com/w320/de.png")</f>
        <v/>
      </c>
      <c r="F9" s="612">
        <v>35075.0</v>
      </c>
      <c r="G9" s="613">
        <f t="shared" si="2"/>
        <v>30</v>
      </c>
      <c r="H9" s="614">
        <f t="shared" si="6"/>
        <v>6</v>
      </c>
      <c r="I9" s="614">
        <f>66+90+90+90+90+90</f>
        <v>516</v>
      </c>
      <c r="J9" s="614"/>
      <c r="K9" s="614">
        <f>1+1</f>
        <v>2</v>
      </c>
      <c r="L9" s="614"/>
      <c r="M9" s="614"/>
      <c r="N9" s="614"/>
      <c r="O9" s="614"/>
      <c r="P9" s="614">
        <f t="shared" si="3"/>
        <v>2</v>
      </c>
      <c r="Q9" s="614"/>
    </row>
    <row r="10" ht="22.5" customHeight="1">
      <c r="A10" s="607">
        <v>11.0</v>
      </c>
      <c r="B10" s="608" t="s">
        <v>964</v>
      </c>
      <c r="C10" s="609" t="s">
        <v>82</v>
      </c>
      <c r="D10" s="610" t="s">
        <v>952</v>
      </c>
      <c r="E10" s="611" t="str">
        <f t="shared" ref="E10:E14" si="7">IMAGE("https://flagcdn.com/w320/tr.png")</f>
        <v/>
      </c>
      <c r="F10" s="612">
        <v>36714.0</v>
      </c>
      <c r="G10" s="613">
        <f t="shared" si="2"/>
        <v>25</v>
      </c>
      <c r="H10" s="614">
        <f>1+1+1+1+1</f>
        <v>5</v>
      </c>
      <c r="I10" s="614">
        <f>76+70+72+28+64</f>
        <v>310</v>
      </c>
      <c r="J10" s="614">
        <f>1+1</f>
        <v>2</v>
      </c>
      <c r="K10" s="614"/>
      <c r="L10" s="614"/>
      <c r="M10" s="614"/>
      <c r="N10" s="614"/>
      <c r="O10" s="614"/>
      <c r="P10" s="614">
        <f t="shared" si="3"/>
        <v>2</v>
      </c>
      <c r="Q10" s="614"/>
    </row>
    <row r="11" ht="22.5" customHeight="1">
      <c r="A11" s="607">
        <v>12.0</v>
      </c>
      <c r="B11" s="608" t="s">
        <v>965</v>
      </c>
      <c r="C11" s="609" t="s">
        <v>67</v>
      </c>
      <c r="D11" s="610" t="s">
        <v>952</v>
      </c>
      <c r="E11" s="611" t="str">
        <f t="shared" si="7"/>
        <v/>
      </c>
      <c r="F11" s="612">
        <v>36194.0</v>
      </c>
      <c r="G11" s="613">
        <f t="shared" si="2"/>
        <v>26</v>
      </c>
      <c r="H11" s="615">
        <v>0.0</v>
      </c>
      <c r="I11" s="615">
        <v>0.0</v>
      </c>
      <c r="J11" s="614"/>
      <c r="K11" s="614"/>
      <c r="L11" s="614"/>
      <c r="M11" s="614"/>
      <c r="N11" s="614"/>
      <c r="O11" s="614"/>
      <c r="P11" s="614">
        <f t="shared" si="3"/>
        <v>0</v>
      </c>
      <c r="Q11" s="614"/>
    </row>
    <row r="12" ht="22.5" customHeight="1">
      <c r="A12" s="607">
        <v>17.0</v>
      </c>
      <c r="B12" s="608" t="s">
        <v>966</v>
      </c>
      <c r="C12" s="609" t="s">
        <v>70</v>
      </c>
      <c r="D12" s="610" t="s">
        <v>952</v>
      </c>
      <c r="E12" s="611" t="str">
        <f t="shared" si="7"/>
        <v/>
      </c>
      <c r="F12" s="612">
        <v>36714.0</v>
      </c>
      <c r="G12" s="613">
        <f t="shared" si="2"/>
        <v>25</v>
      </c>
      <c r="H12" s="614">
        <f>1+1+1+1+1</f>
        <v>5</v>
      </c>
      <c r="I12" s="614">
        <f>66+6+26+5+90</f>
        <v>193</v>
      </c>
      <c r="J12" s="614"/>
      <c r="K12" s="614"/>
      <c r="L12" s="614"/>
      <c r="M12" s="614"/>
      <c r="N12" s="614"/>
      <c r="O12" s="614"/>
      <c r="P12" s="614">
        <f t="shared" si="3"/>
        <v>0</v>
      </c>
      <c r="Q12" s="614"/>
    </row>
    <row r="13" ht="22.5" customHeight="1">
      <c r="A13" s="607">
        <v>18.0</v>
      </c>
      <c r="B13" s="608" t="s">
        <v>967</v>
      </c>
      <c r="C13" s="609" t="s">
        <v>79</v>
      </c>
      <c r="D13" s="610" t="s">
        <v>968</v>
      </c>
      <c r="E13" s="611" t="str">
        <f t="shared" si="7"/>
        <v/>
      </c>
      <c r="F13" s="612">
        <v>35820.0</v>
      </c>
      <c r="G13" s="613">
        <f t="shared" si="2"/>
        <v>28</v>
      </c>
      <c r="H13" s="615">
        <f>1+1</f>
        <v>2</v>
      </c>
      <c r="I13" s="615">
        <f>3+2</f>
        <v>5</v>
      </c>
      <c r="J13" s="614"/>
      <c r="K13" s="614"/>
      <c r="L13" s="614"/>
      <c r="M13" s="614"/>
      <c r="N13" s="614"/>
      <c r="O13" s="614"/>
      <c r="P13" s="614">
        <f t="shared" si="3"/>
        <v>0</v>
      </c>
      <c r="Q13" s="614"/>
    </row>
    <row r="14" ht="22.5" customHeight="1">
      <c r="A14" s="607">
        <v>19.0</v>
      </c>
      <c r="B14" s="608" t="s">
        <v>969</v>
      </c>
      <c r="C14" s="609" t="s">
        <v>67</v>
      </c>
      <c r="D14" s="610" t="s">
        <v>970</v>
      </c>
      <c r="E14" s="611" t="str">
        <f t="shared" si="7"/>
        <v/>
      </c>
      <c r="F14" s="612">
        <v>33444.0</v>
      </c>
      <c r="G14" s="613">
        <f t="shared" si="2"/>
        <v>34</v>
      </c>
      <c r="H14" s="615">
        <f>1</f>
        <v>1</v>
      </c>
      <c r="I14" s="615">
        <f>23</f>
        <v>23</v>
      </c>
      <c r="J14" s="614"/>
      <c r="K14" s="614"/>
      <c r="L14" s="614"/>
      <c r="M14" s="614"/>
      <c r="N14" s="614"/>
      <c r="O14" s="614"/>
      <c r="P14" s="614">
        <f t="shared" si="3"/>
        <v>0</v>
      </c>
      <c r="Q14" s="614"/>
    </row>
    <row r="15" ht="22.5" customHeight="1">
      <c r="A15" s="607">
        <v>20.0</v>
      </c>
      <c r="B15" s="608" t="s">
        <v>971</v>
      </c>
      <c r="C15" s="609" t="s">
        <v>79</v>
      </c>
      <c r="D15" s="610" t="s">
        <v>204</v>
      </c>
      <c r="E15" s="611" t="str">
        <f>IMAGE("https://flagcdn.com/w320/de.png")</f>
        <v/>
      </c>
      <c r="F15" s="612">
        <v>33170.0</v>
      </c>
      <c r="G15" s="613">
        <f t="shared" si="2"/>
        <v>35</v>
      </c>
      <c r="H15" s="614">
        <f>1+1+1+1+1</f>
        <v>5</v>
      </c>
      <c r="I15" s="614">
        <f>66+74+90+62+3</f>
        <v>295</v>
      </c>
      <c r="J15" s="614"/>
      <c r="K15" s="614"/>
      <c r="L15" s="614">
        <f>1</f>
        <v>1</v>
      </c>
      <c r="M15" s="614"/>
      <c r="N15" s="614"/>
      <c r="O15" s="614"/>
      <c r="P15" s="614">
        <f t="shared" si="3"/>
        <v>0</v>
      </c>
      <c r="Q15" s="614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ht="22.5" customHeight="1">
      <c r="A16" s="607">
        <v>21.0</v>
      </c>
      <c r="B16" s="608" t="s">
        <v>972</v>
      </c>
      <c r="C16" s="609" t="s">
        <v>82</v>
      </c>
      <c r="D16" s="610" t="s">
        <v>973</v>
      </c>
      <c r="E16" s="611" t="str">
        <f t="shared" ref="E16:E17" si="8">IMAGE("https://flagcdn.com/w320/tr.png")</f>
        <v/>
      </c>
      <c r="F16" s="612">
        <v>36586.0</v>
      </c>
      <c r="G16" s="613">
        <f t="shared" si="2"/>
        <v>25</v>
      </c>
      <c r="H16" s="614">
        <f>1</f>
        <v>1</v>
      </c>
      <c r="I16" s="614">
        <f>24</f>
        <v>24</v>
      </c>
      <c r="J16" s="614"/>
      <c r="K16" s="614"/>
      <c r="L16" s="614"/>
      <c r="M16" s="614"/>
      <c r="N16" s="614"/>
      <c r="O16" s="614"/>
      <c r="P16" s="614">
        <f t="shared" si="3"/>
        <v>0</v>
      </c>
      <c r="Q16" s="614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ht="22.5" customHeight="1">
      <c r="A17" s="607">
        <v>23.0</v>
      </c>
      <c r="B17" s="608" t="s">
        <v>974</v>
      </c>
      <c r="C17" s="609" t="s">
        <v>70</v>
      </c>
      <c r="D17" s="610" t="s">
        <v>975</v>
      </c>
      <c r="E17" s="611" t="str">
        <f t="shared" si="8"/>
        <v/>
      </c>
      <c r="F17" s="612">
        <v>34648.0</v>
      </c>
      <c r="G17" s="613">
        <f t="shared" si="2"/>
        <v>31</v>
      </c>
      <c r="H17" s="614">
        <f>1+1+1</f>
        <v>3</v>
      </c>
      <c r="I17" s="614">
        <f>14+18+5</f>
        <v>37</v>
      </c>
      <c r="J17" s="614"/>
      <c r="K17" s="614"/>
      <c r="L17" s="614"/>
      <c r="M17" s="614"/>
      <c r="N17" s="614"/>
      <c r="O17" s="614"/>
      <c r="P17" s="614">
        <f t="shared" si="3"/>
        <v>0</v>
      </c>
      <c r="Q17" s="614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ht="22.5" customHeight="1">
      <c r="A18" s="607">
        <v>30.0</v>
      </c>
      <c r="B18" s="608" t="s">
        <v>976</v>
      </c>
      <c r="C18" s="609" t="s">
        <v>82</v>
      </c>
      <c r="D18" s="610" t="s">
        <v>475</v>
      </c>
      <c r="E18" s="611" t="str">
        <f>IMAGE("https://flagcdn.com/w320/at.png")</f>
        <v/>
      </c>
      <c r="F18" s="612">
        <v>37774.0</v>
      </c>
      <c r="G18" s="613">
        <f t="shared" si="2"/>
        <v>22</v>
      </c>
      <c r="H18" s="615">
        <v>0.0</v>
      </c>
      <c r="I18" s="615">
        <v>0.0</v>
      </c>
      <c r="J18" s="614"/>
      <c r="K18" s="614"/>
      <c r="L18" s="614"/>
      <c r="M18" s="614"/>
      <c r="N18" s="614"/>
      <c r="O18" s="614"/>
      <c r="P18" s="614">
        <f t="shared" si="3"/>
        <v>0</v>
      </c>
      <c r="Q18" s="614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ht="22.5" customHeight="1">
      <c r="A19" s="607">
        <v>34.0</v>
      </c>
      <c r="B19" s="608" t="s">
        <v>977</v>
      </c>
      <c r="C19" s="609" t="s">
        <v>79</v>
      </c>
      <c r="D19" s="610" t="s">
        <v>978</v>
      </c>
      <c r="E19" s="611" t="str">
        <f>IMAGE("https://flagcdn.com/w320/uy.png")</f>
        <v/>
      </c>
      <c r="F19" s="612">
        <v>35106.0</v>
      </c>
      <c r="G19" s="613">
        <f t="shared" si="2"/>
        <v>29</v>
      </c>
      <c r="H19" s="614">
        <f>1+1+1+1+1+1+1</f>
        <v>7</v>
      </c>
      <c r="I19" s="614">
        <f>90+90+87+88+90+90+87</f>
        <v>622</v>
      </c>
      <c r="J19" s="614"/>
      <c r="K19" s="614"/>
      <c r="L19" s="614">
        <f t="shared" ref="L19:L22" si="9">1</f>
        <v>1</v>
      </c>
      <c r="M19" s="614"/>
      <c r="N19" s="614"/>
      <c r="O19" s="614"/>
      <c r="P19" s="614">
        <f t="shared" si="3"/>
        <v>0</v>
      </c>
      <c r="Q19" s="614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ht="22.5" customHeight="1">
      <c r="A20" s="607">
        <v>42.0</v>
      </c>
      <c r="B20" s="608" t="s">
        <v>979</v>
      </c>
      <c r="C20" s="609" t="s">
        <v>70</v>
      </c>
      <c r="D20" s="610" t="s">
        <v>952</v>
      </c>
      <c r="E20" s="611" t="str">
        <f>IMAGE("https://flagcdn.com/w320/tr.png")</f>
        <v/>
      </c>
      <c r="F20" s="612">
        <v>34584.0</v>
      </c>
      <c r="G20" s="613">
        <f t="shared" si="2"/>
        <v>31</v>
      </c>
      <c r="H20" s="614">
        <f>1+1+1+1+1+1</f>
        <v>6</v>
      </c>
      <c r="I20" s="614">
        <f>90+90+90+90+90+90</f>
        <v>540</v>
      </c>
      <c r="J20" s="614"/>
      <c r="K20" s="614"/>
      <c r="L20" s="614">
        <f t="shared" si="9"/>
        <v>1</v>
      </c>
      <c r="M20" s="614"/>
      <c r="N20" s="614"/>
      <c r="O20" s="614"/>
      <c r="P20" s="614">
        <f t="shared" si="3"/>
        <v>0</v>
      </c>
      <c r="Q20" s="614"/>
    </row>
    <row r="21" ht="22.5" customHeight="1">
      <c r="A21" s="607">
        <v>45.0</v>
      </c>
      <c r="B21" s="608" t="s">
        <v>980</v>
      </c>
      <c r="C21" s="609" t="s">
        <v>82</v>
      </c>
      <c r="D21" s="610" t="s">
        <v>800</v>
      </c>
      <c r="E21" s="611" t="str">
        <f>IMAGE("https://flagcdn.com/w320/ng.png")</f>
        <v/>
      </c>
      <c r="F21" s="612">
        <v>36158.0</v>
      </c>
      <c r="G21" s="613">
        <f t="shared" si="2"/>
        <v>27</v>
      </c>
      <c r="H21" s="614">
        <f>1+1+1+1+1</f>
        <v>5</v>
      </c>
      <c r="I21" s="614">
        <f>70+72+80+90+90</f>
        <v>402</v>
      </c>
      <c r="J21" s="614">
        <f>1+2+3</f>
        <v>6</v>
      </c>
      <c r="K21" s="614"/>
      <c r="L21" s="614">
        <f t="shared" si="9"/>
        <v>1</v>
      </c>
      <c r="M21" s="614"/>
      <c r="N21" s="614"/>
      <c r="O21" s="614"/>
      <c r="P21" s="614">
        <f t="shared" si="3"/>
        <v>6</v>
      </c>
      <c r="Q21" s="614"/>
    </row>
    <row r="22" ht="22.5" customHeight="1">
      <c r="A22" s="607">
        <v>53.0</v>
      </c>
      <c r="B22" s="608" t="s">
        <v>981</v>
      </c>
      <c r="C22" s="609" t="s">
        <v>82</v>
      </c>
      <c r="D22" s="610" t="s">
        <v>952</v>
      </c>
      <c r="E22" s="611" t="str">
        <f t="shared" ref="E22:E27" si="10">IMAGE("https://flagcdn.com/w320/tr.png")</f>
        <v/>
      </c>
      <c r="F22" s="612">
        <v>36669.0</v>
      </c>
      <c r="G22" s="613">
        <f t="shared" si="2"/>
        <v>25</v>
      </c>
      <c r="H22" s="614">
        <f>1+1+1+1+1+1+1</f>
        <v>7</v>
      </c>
      <c r="I22" s="614">
        <f>90+84+64+45+90+90+79</f>
        <v>542</v>
      </c>
      <c r="J22" s="614"/>
      <c r="K22" s="614"/>
      <c r="L22" s="614">
        <f t="shared" si="9"/>
        <v>1</v>
      </c>
      <c r="M22" s="614"/>
      <c r="N22" s="614"/>
      <c r="O22" s="614"/>
      <c r="P22" s="614">
        <f t="shared" si="3"/>
        <v>0</v>
      </c>
      <c r="Q22" s="614"/>
    </row>
    <row r="23" ht="22.5" customHeight="1">
      <c r="A23" s="617">
        <v>64.0</v>
      </c>
      <c r="B23" s="618" t="s">
        <v>982</v>
      </c>
      <c r="C23" s="619" t="s">
        <v>70</v>
      </c>
      <c r="D23" s="620" t="s">
        <v>952</v>
      </c>
      <c r="E23" s="621" t="str">
        <f t="shared" si="10"/>
        <v/>
      </c>
      <c r="F23" s="622">
        <v>39533.0</v>
      </c>
      <c r="G23" s="623">
        <f t="shared" si="2"/>
        <v>17</v>
      </c>
      <c r="H23" s="624">
        <f t="shared" ref="H23:I23" si="11">0</f>
        <v>0</v>
      </c>
      <c r="I23" s="624">
        <f t="shared" si="11"/>
        <v>0</v>
      </c>
      <c r="J23" s="625"/>
      <c r="K23" s="625"/>
      <c r="L23" s="625"/>
      <c r="M23" s="625"/>
      <c r="N23" s="625"/>
      <c r="O23" s="625"/>
      <c r="P23" s="625">
        <f t="shared" si="3"/>
        <v>0</v>
      </c>
      <c r="Q23" s="625"/>
    </row>
    <row r="24" ht="22.5" customHeight="1">
      <c r="A24" s="617">
        <v>65.0</v>
      </c>
      <c r="B24" s="618" t="s">
        <v>983</v>
      </c>
      <c r="C24" s="619" t="s">
        <v>79</v>
      </c>
      <c r="D24" s="620" t="s">
        <v>952</v>
      </c>
      <c r="E24" s="621" t="str">
        <f t="shared" si="10"/>
        <v/>
      </c>
      <c r="F24" s="622">
        <v>39141.0</v>
      </c>
      <c r="G24" s="623">
        <f t="shared" si="2"/>
        <v>18</v>
      </c>
      <c r="H24" s="624">
        <f t="shared" ref="H24:I24" si="12">0</f>
        <v>0</v>
      </c>
      <c r="I24" s="624">
        <f t="shared" si="12"/>
        <v>0</v>
      </c>
      <c r="J24" s="625"/>
      <c r="K24" s="625"/>
      <c r="L24" s="625"/>
      <c r="M24" s="625"/>
      <c r="N24" s="625"/>
      <c r="O24" s="625"/>
      <c r="P24" s="625">
        <f t="shared" si="3"/>
        <v>0</v>
      </c>
      <c r="Q24" s="625"/>
    </row>
    <row r="25" ht="22.5" customHeight="1">
      <c r="A25" s="617">
        <v>67.0</v>
      </c>
      <c r="B25" s="618" t="s">
        <v>984</v>
      </c>
      <c r="C25" s="619" t="s">
        <v>79</v>
      </c>
      <c r="D25" s="620" t="s">
        <v>952</v>
      </c>
      <c r="E25" s="621" t="str">
        <f t="shared" si="10"/>
        <v/>
      </c>
      <c r="F25" s="622">
        <v>39276.0</v>
      </c>
      <c r="G25" s="623">
        <f t="shared" si="2"/>
        <v>18</v>
      </c>
      <c r="H25" s="624">
        <f t="shared" ref="H25:I25" si="13">0</f>
        <v>0</v>
      </c>
      <c r="I25" s="624">
        <f t="shared" si="13"/>
        <v>0</v>
      </c>
      <c r="J25" s="625"/>
      <c r="K25" s="625"/>
      <c r="L25" s="625"/>
      <c r="M25" s="625"/>
      <c r="N25" s="625"/>
      <c r="O25" s="625"/>
      <c r="P25" s="625">
        <f t="shared" si="3"/>
        <v>0</v>
      </c>
      <c r="Q25" s="625"/>
    </row>
    <row r="26" ht="22.5" customHeight="1">
      <c r="A26" s="617">
        <v>68.0</v>
      </c>
      <c r="B26" s="618" t="s">
        <v>985</v>
      </c>
      <c r="C26" s="619" t="s">
        <v>79</v>
      </c>
      <c r="D26" s="620" t="s">
        <v>952</v>
      </c>
      <c r="E26" s="621" t="str">
        <f t="shared" si="10"/>
        <v/>
      </c>
      <c r="F26" s="622">
        <v>39509.0</v>
      </c>
      <c r="G26" s="623">
        <f t="shared" si="2"/>
        <v>17</v>
      </c>
      <c r="H26" s="624">
        <f t="shared" ref="H26:I26" si="14">0</f>
        <v>0</v>
      </c>
      <c r="I26" s="624">
        <f t="shared" si="14"/>
        <v>0</v>
      </c>
      <c r="J26" s="625"/>
      <c r="K26" s="625"/>
      <c r="L26" s="625"/>
      <c r="M26" s="625"/>
      <c r="N26" s="625"/>
      <c r="O26" s="625"/>
      <c r="P26" s="625">
        <f t="shared" si="3"/>
        <v>0</v>
      </c>
      <c r="Q26" s="625"/>
    </row>
    <row r="27" ht="22.5" customHeight="1">
      <c r="A27" s="617">
        <v>72.0</v>
      </c>
      <c r="B27" s="618" t="s">
        <v>986</v>
      </c>
      <c r="C27" s="619" t="s">
        <v>82</v>
      </c>
      <c r="D27" s="620" t="s">
        <v>952</v>
      </c>
      <c r="E27" s="621" t="str">
        <f t="shared" si="10"/>
        <v/>
      </c>
      <c r="F27" s="622">
        <v>39583.0</v>
      </c>
      <c r="G27" s="623">
        <f t="shared" si="2"/>
        <v>17</v>
      </c>
      <c r="H27" s="624">
        <f t="shared" ref="H27:I27" si="15">0</f>
        <v>0</v>
      </c>
      <c r="I27" s="624">
        <f t="shared" si="15"/>
        <v>0</v>
      </c>
      <c r="J27" s="625"/>
      <c r="K27" s="625"/>
      <c r="L27" s="625"/>
      <c r="M27" s="625"/>
      <c r="N27" s="625"/>
      <c r="O27" s="625"/>
      <c r="P27" s="625">
        <f t="shared" si="3"/>
        <v>0</v>
      </c>
      <c r="Q27" s="625"/>
    </row>
    <row r="28" ht="22.5" customHeight="1">
      <c r="A28" s="607">
        <v>90.0</v>
      </c>
      <c r="B28" s="608" t="s">
        <v>987</v>
      </c>
      <c r="C28" s="609" t="s">
        <v>70</v>
      </c>
      <c r="D28" s="610" t="s">
        <v>284</v>
      </c>
      <c r="E28" s="611" t="str">
        <f>IMAGE("https://flagcdn.com/w320/ci.png")</f>
        <v/>
      </c>
      <c r="F28" s="612">
        <v>36885.0</v>
      </c>
      <c r="G28" s="613">
        <f t="shared" si="2"/>
        <v>25</v>
      </c>
      <c r="H28" s="614">
        <f>1+1+1</f>
        <v>3</v>
      </c>
      <c r="I28" s="614">
        <f>90+90+90</f>
        <v>270</v>
      </c>
      <c r="J28" s="614"/>
      <c r="K28" s="614"/>
      <c r="L28" s="614"/>
      <c r="M28" s="614"/>
      <c r="N28" s="614"/>
      <c r="O28" s="614"/>
      <c r="P28" s="614">
        <f t="shared" si="3"/>
        <v>0</v>
      </c>
      <c r="Q28" s="614"/>
    </row>
    <row r="29" ht="22.5" customHeight="1">
      <c r="A29" s="607">
        <v>91.0</v>
      </c>
      <c r="B29" s="608" t="s">
        <v>988</v>
      </c>
      <c r="C29" s="609" t="s">
        <v>70</v>
      </c>
      <c r="D29" s="610" t="s">
        <v>952</v>
      </c>
      <c r="E29" s="611" t="str">
        <f>IMAGE("https://flagcdn.com/w320/tr.png")</f>
        <v/>
      </c>
      <c r="F29" s="612">
        <v>39100.0</v>
      </c>
      <c r="G29" s="613">
        <f t="shared" si="2"/>
        <v>19</v>
      </c>
      <c r="H29" s="615">
        <f>1</f>
        <v>1</v>
      </c>
      <c r="I29" s="615">
        <f>36</f>
        <v>36</v>
      </c>
      <c r="J29" s="614"/>
      <c r="K29" s="614"/>
      <c r="L29" s="614">
        <f>2</f>
        <v>2</v>
      </c>
      <c r="M29" s="614">
        <f>1</f>
        <v>1</v>
      </c>
      <c r="N29" s="614"/>
      <c r="O29" s="614"/>
      <c r="P29" s="614">
        <f t="shared" si="3"/>
        <v>0</v>
      </c>
      <c r="Q29" s="614"/>
    </row>
    <row r="30" ht="22.5" customHeight="1">
      <c r="A30" s="607">
        <v>99.0</v>
      </c>
      <c r="B30" s="608" t="s">
        <v>989</v>
      </c>
      <c r="C30" s="609" t="s">
        <v>79</v>
      </c>
      <c r="D30" s="610" t="s">
        <v>990</v>
      </c>
      <c r="E30" s="611" t="str">
        <f>IMAGE("https://flagcdn.com/w320/ga.png")</f>
        <v/>
      </c>
      <c r="F30" s="612">
        <v>34213.0</v>
      </c>
      <c r="G30" s="613">
        <f t="shared" si="2"/>
        <v>32</v>
      </c>
      <c r="H30" s="614">
        <f>1+1+1+1+1</f>
        <v>5</v>
      </c>
      <c r="I30" s="614">
        <f>54+90+64+85+90</f>
        <v>383</v>
      </c>
      <c r="J30" s="614"/>
      <c r="K30" s="614">
        <f>1</f>
        <v>1</v>
      </c>
      <c r="L30" s="614">
        <f>1+1</f>
        <v>2</v>
      </c>
      <c r="M30" s="614"/>
      <c r="N30" s="614"/>
      <c r="O30" s="614"/>
      <c r="P30" s="614">
        <f t="shared" si="3"/>
        <v>1</v>
      </c>
      <c r="Q30" s="614"/>
    </row>
    <row r="31">
      <c r="A31" s="11"/>
      <c r="B31" s="18"/>
      <c r="C31" s="18"/>
      <c r="D31" s="64"/>
      <c r="E31" s="65"/>
      <c r="F31" s="66"/>
      <c r="G31" s="18"/>
      <c r="H31" s="11">
        <f>SUM(H2:H30)</f>
        <v>103</v>
      </c>
      <c r="I31" s="11">
        <f>SUM(I2:I30)+2</f>
        <v>6930</v>
      </c>
      <c r="J31" s="11">
        <f t="shared" ref="J31:Q31" si="16">SUM(J2:J30)</f>
        <v>8</v>
      </c>
      <c r="K31" s="11">
        <f t="shared" si="16"/>
        <v>3</v>
      </c>
      <c r="L31" s="11">
        <f t="shared" si="16"/>
        <v>16</v>
      </c>
      <c r="M31" s="11">
        <f t="shared" si="16"/>
        <v>1</v>
      </c>
      <c r="N31" s="11">
        <f t="shared" si="16"/>
        <v>2</v>
      </c>
      <c r="O31" s="11">
        <f t="shared" si="16"/>
        <v>1</v>
      </c>
      <c r="P31" s="11">
        <f t="shared" si="16"/>
        <v>11</v>
      </c>
      <c r="Q31" s="11">
        <f t="shared" si="16"/>
        <v>1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ht="22.5" customHeight="1">
      <c r="A32" s="601" t="s">
        <v>150</v>
      </c>
      <c r="B32" s="602" t="s">
        <v>49</v>
      </c>
      <c r="C32" s="602" t="s">
        <v>265</v>
      </c>
      <c r="D32" s="626" t="s">
        <v>56</v>
      </c>
      <c r="E32" s="602" t="s">
        <v>57</v>
      </c>
      <c r="F32" s="602" t="s">
        <v>52</v>
      </c>
      <c r="G32" s="602" t="s">
        <v>53</v>
      </c>
      <c r="H32" s="627" t="s">
        <v>4</v>
      </c>
      <c r="I32" s="627" t="s">
        <v>5</v>
      </c>
      <c r="J32" s="627" t="s">
        <v>6</v>
      </c>
      <c r="K32" s="627" t="s">
        <v>7</v>
      </c>
      <c r="L32" s="627" t="s">
        <v>8</v>
      </c>
      <c r="M32" s="627" t="s">
        <v>9</v>
      </c>
      <c r="N32" s="627" t="s">
        <v>10</v>
      </c>
      <c r="O32" s="12"/>
      <c r="P32" s="12"/>
      <c r="Q32" s="12"/>
    </row>
    <row r="33" ht="22.5" customHeight="1">
      <c r="A33" s="628"/>
      <c r="B33" s="608" t="s">
        <v>991</v>
      </c>
      <c r="C33" s="608" t="s">
        <v>153</v>
      </c>
      <c r="D33" s="610" t="s">
        <v>952</v>
      </c>
      <c r="E33" s="629" t="str">
        <f>IMAGE("https://flagcdn.com/w320/tr.png")</f>
        <v/>
      </c>
      <c r="F33" s="612">
        <v>26956.0</v>
      </c>
      <c r="G33" s="613">
        <f>DATEDIF(F33,TODAY(),"Y")</f>
        <v>52</v>
      </c>
      <c r="H33" s="630">
        <f>L33+M33+N33</f>
        <v>7</v>
      </c>
      <c r="I33" s="630">
        <f>(3*L33)+M33</f>
        <v>10</v>
      </c>
      <c r="J33" s="630">
        <f>1+1+3+3+1</f>
        <v>9</v>
      </c>
      <c r="K33" s="630">
        <f>5+1+1+1+1</f>
        <v>9</v>
      </c>
      <c r="L33" s="631">
        <f>1+1+1</f>
        <v>3</v>
      </c>
      <c r="M33" s="632">
        <f>1</f>
        <v>1</v>
      </c>
      <c r="N33" s="633">
        <f>1+1+1</f>
        <v>3</v>
      </c>
      <c r="O33" s="12"/>
      <c r="P33" s="12"/>
      <c r="Q33" s="12"/>
    </row>
    <row r="34">
      <c r="A34" s="11"/>
      <c r="B34" s="18"/>
      <c r="C34" s="18"/>
      <c r="D34" s="64"/>
      <c r="E34" s="65"/>
      <c r="F34" s="66"/>
      <c r="G34" s="18"/>
      <c r="H34" s="11">
        <f t="shared" ref="H34:N34" si="17">SUM(H33)</f>
        <v>7</v>
      </c>
      <c r="I34" s="11">
        <f t="shared" si="17"/>
        <v>10</v>
      </c>
      <c r="J34" s="11">
        <f t="shared" si="17"/>
        <v>9</v>
      </c>
      <c r="K34" s="11">
        <f t="shared" si="17"/>
        <v>9</v>
      </c>
      <c r="L34" s="11">
        <f t="shared" si="17"/>
        <v>3</v>
      </c>
      <c r="M34" s="11">
        <f t="shared" si="17"/>
        <v>1</v>
      </c>
      <c r="N34" s="11">
        <f t="shared" si="17"/>
        <v>3</v>
      </c>
      <c r="O34" s="11"/>
      <c r="P34" s="11"/>
      <c r="Q34" s="11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ht="22.5" customHeight="1">
      <c r="A35" s="601" t="s">
        <v>156</v>
      </c>
      <c r="B35" s="601" t="s">
        <v>157</v>
      </c>
      <c r="C35" s="601" t="s">
        <v>158</v>
      </c>
      <c r="D35" s="605" t="s">
        <v>992</v>
      </c>
      <c r="E35" s="601" t="s">
        <v>160</v>
      </c>
      <c r="F35" s="601" t="s">
        <v>161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22.5" customHeight="1">
      <c r="A36" s="77">
        <v>1.0</v>
      </c>
      <c r="B36" s="78" t="s">
        <v>41</v>
      </c>
      <c r="C36" s="78" t="s">
        <v>27</v>
      </c>
      <c r="D36" s="83" t="s">
        <v>993</v>
      </c>
      <c r="E36" s="84">
        <v>45662.0</v>
      </c>
      <c r="F36" s="78" t="s">
        <v>335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ht="22.5" customHeight="1">
      <c r="A37" s="86">
        <v>2.0</v>
      </c>
      <c r="B37" s="87" t="s">
        <v>27</v>
      </c>
      <c r="C37" s="87" t="s">
        <v>18</v>
      </c>
      <c r="D37" s="88" t="s">
        <v>994</v>
      </c>
      <c r="E37" s="161" t="s">
        <v>677</v>
      </c>
      <c r="F37" s="87" t="s">
        <v>453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22.5" customHeight="1">
      <c r="A38" s="86">
        <v>3.0</v>
      </c>
      <c r="B38" s="87" t="s">
        <v>27</v>
      </c>
      <c r="C38" s="87" t="s">
        <v>44</v>
      </c>
      <c r="D38" s="88" t="s">
        <v>995</v>
      </c>
      <c r="E38" s="89">
        <v>45717.0</v>
      </c>
      <c r="F38" s="87" t="s">
        <v>453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22.5" customHeight="1">
      <c r="A39" s="86">
        <v>4.0</v>
      </c>
      <c r="B39" s="87" t="s">
        <v>43</v>
      </c>
      <c r="C39" s="87" t="s">
        <v>27</v>
      </c>
      <c r="D39" s="88" t="s">
        <v>996</v>
      </c>
      <c r="E39" s="161" t="s">
        <v>168</v>
      </c>
      <c r="F39" s="87" t="s">
        <v>163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22.5" customHeight="1">
      <c r="A40" s="77">
        <v>5.0</v>
      </c>
      <c r="B40" s="78" t="s">
        <v>27</v>
      </c>
      <c r="C40" s="78" t="s">
        <v>37</v>
      </c>
      <c r="D40" s="79"/>
      <c r="E40" s="80" t="s">
        <v>333</v>
      </c>
      <c r="F40" s="78" t="s">
        <v>453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22.5" customHeight="1">
      <c r="A41" s="77">
        <v>6.0</v>
      </c>
      <c r="B41" s="78" t="s">
        <v>29</v>
      </c>
      <c r="C41" s="78" t="s">
        <v>27</v>
      </c>
      <c r="D41" s="79"/>
      <c r="E41" s="80" t="s">
        <v>677</v>
      </c>
      <c r="F41" s="78" t="s">
        <v>997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22.5" customHeight="1">
      <c r="A42" s="197">
        <v>7.0</v>
      </c>
      <c r="B42" s="198" t="s">
        <v>27</v>
      </c>
      <c r="C42" s="198" t="s">
        <v>273</v>
      </c>
      <c r="D42" s="264" t="s">
        <v>998</v>
      </c>
      <c r="E42" s="265">
        <v>46023.0</v>
      </c>
      <c r="F42" s="198" t="s">
        <v>453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22.5" customHeight="1">
      <c r="A43" s="90">
        <v>8.0</v>
      </c>
      <c r="B43" s="91" t="s">
        <v>23</v>
      </c>
      <c r="C43" s="91" t="s">
        <v>27</v>
      </c>
      <c r="D43" s="92"/>
      <c r="E43" s="93"/>
      <c r="F43" s="94" t="s">
        <v>507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>
      <c r="A44" s="12"/>
      <c r="D44" s="95"/>
      <c r="E44" s="14"/>
      <c r="F44" s="96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>
      <c r="A45" s="12"/>
      <c r="D45" s="95"/>
      <c r="E45" s="14"/>
      <c r="F45" s="96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>
      <c r="A46" s="12"/>
      <c r="D46" s="95"/>
      <c r="E46" s="14"/>
      <c r="F46" s="96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>
      <c r="A47" s="12"/>
      <c r="D47" s="95"/>
      <c r="E47" s="14"/>
      <c r="F47" s="96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>
      <c r="A48" s="12"/>
      <c r="D48" s="95"/>
      <c r="E48" s="14"/>
      <c r="F48" s="96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>
      <c r="A49" s="12"/>
      <c r="D49" s="95"/>
      <c r="E49" s="14"/>
      <c r="F49" s="96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>
      <c r="A50" s="12"/>
      <c r="D50" s="95"/>
      <c r="E50" s="14"/>
      <c r="F50" s="96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A51" s="12"/>
      <c r="D51" s="95"/>
      <c r="E51" s="14"/>
      <c r="F51" s="96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A52" s="12"/>
      <c r="D52" s="95"/>
      <c r="E52" s="14"/>
      <c r="F52" s="96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A53" s="12"/>
      <c r="D53" s="95"/>
      <c r="E53" s="14"/>
      <c r="F53" s="96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A54" s="12"/>
      <c r="D54" s="95"/>
      <c r="E54" s="14"/>
      <c r="F54" s="96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A55" s="12"/>
      <c r="D55" s="95"/>
      <c r="E55" s="14"/>
      <c r="F55" s="96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A56" s="12"/>
      <c r="D56" s="95"/>
      <c r="E56" s="14"/>
      <c r="F56" s="96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A57" s="12"/>
      <c r="D57" s="95"/>
      <c r="E57" s="14"/>
      <c r="F57" s="96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A58" s="12"/>
      <c r="D58" s="95"/>
      <c r="E58" s="14"/>
      <c r="F58" s="96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A59" s="12"/>
      <c r="D59" s="95"/>
      <c r="E59" s="14"/>
      <c r="F59" s="96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A60" s="12"/>
      <c r="D60" s="95"/>
      <c r="E60" s="14"/>
      <c r="F60" s="96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A61" s="12"/>
      <c r="D61" s="95"/>
      <c r="E61" s="14"/>
      <c r="F61" s="96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A62" s="12"/>
      <c r="D62" s="95"/>
      <c r="E62" s="14"/>
      <c r="F62" s="96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A63" s="12"/>
      <c r="D63" s="95"/>
      <c r="E63" s="14"/>
      <c r="F63" s="96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A64" s="12"/>
      <c r="D64" s="95"/>
      <c r="E64" s="14"/>
      <c r="F64" s="96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A65" s="12"/>
      <c r="D65" s="95"/>
      <c r="E65" s="14"/>
      <c r="F65" s="96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A66" s="12"/>
      <c r="D66" s="95"/>
      <c r="E66" s="14"/>
      <c r="F66" s="96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A67" s="12"/>
      <c r="D67" s="95"/>
      <c r="E67" s="14"/>
      <c r="F67" s="96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A68" s="12"/>
      <c r="D68" s="95"/>
      <c r="E68" s="14"/>
      <c r="F68" s="96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A69" s="12"/>
      <c r="D69" s="95"/>
      <c r="E69" s="14"/>
      <c r="F69" s="96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A70" s="12"/>
      <c r="D70" s="95"/>
      <c r="E70" s="14"/>
      <c r="F70" s="96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A71" s="12"/>
      <c r="D71" s="95"/>
      <c r="E71" s="14"/>
      <c r="F71" s="96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A72" s="12"/>
      <c r="D72" s="95"/>
      <c r="E72" s="14"/>
      <c r="F72" s="96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A73" s="12"/>
      <c r="D73" s="95"/>
      <c r="E73" s="14"/>
      <c r="F73" s="96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A74" s="12"/>
      <c r="D74" s="95"/>
      <c r="E74" s="14"/>
      <c r="F74" s="96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A75" s="12"/>
      <c r="D75" s="95"/>
      <c r="E75" s="14"/>
      <c r="F75" s="96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A76" s="12"/>
      <c r="D76" s="95"/>
      <c r="E76" s="14"/>
      <c r="F76" s="96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A77" s="12"/>
      <c r="D77" s="95"/>
      <c r="E77" s="14"/>
      <c r="F77" s="96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A78" s="12"/>
      <c r="D78" s="95"/>
      <c r="E78" s="14"/>
      <c r="F78" s="96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A79" s="12"/>
      <c r="D79" s="95"/>
      <c r="E79" s="14"/>
      <c r="F79" s="96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A80" s="12"/>
      <c r="D80" s="95"/>
      <c r="E80" s="14"/>
      <c r="F80" s="96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A81" s="12"/>
      <c r="D81" s="95"/>
      <c r="E81" s="14"/>
      <c r="F81" s="96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A82" s="12"/>
      <c r="D82" s="95"/>
      <c r="E82" s="14"/>
      <c r="F82" s="96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A83" s="12"/>
      <c r="D83" s="95"/>
      <c r="E83" s="14"/>
      <c r="F83" s="96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A84" s="12"/>
      <c r="D84" s="95"/>
      <c r="E84" s="14"/>
      <c r="F84" s="96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A85" s="12"/>
      <c r="D85" s="95"/>
      <c r="E85" s="14"/>
      <c r="F85" s="96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A86" s="12"/>
      <c r="D86" s="95"/>
      <c r="E86" s="14"/>
      <c r="F86" s="96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A87" s="12"/>
      <c r="D87" s="95"/>
      <c r="E87" s="14"/>
      <c r="F87" s="96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A88" s="12"/>
      <c r="D88" s="95"/>
      <c r="E88" s="14"/>
      <c r="F88" s="96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A89" s="12"/>
      <c r="D89" s="95"/>
      <c r="E89" s="14"/>
      <c r="F89" s="96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A90" s="12"/>
      <c r="D90" s="95"/>
      <c r="E90" s="14"/>
      <c r="F90" s="96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A91" s="12"/>
      <c r="D91" s="95"/>
      <c r="E91" s="14"/>
      <c r="F91" s="96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A92" s="12"/>
      <c r="D92" s="95"/>
      <c r="E92" s="14"/>
      <c r="F92" s="96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A93" s="12"/>
      <c r="D93" s="95"/>
      <c r="E93" s="14"/>
      <c r="F93" s="96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A94" s="12"/>
      <c r="D94" s="95"/>
      <c r="E94" s="14"/>
      <c r="F94" s="96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A95" s="12"/>
      <c r="D95" s="95"/>
      <c r="E95" s="14"/>
      <c r="F95" s="96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A96" s="12"/>
      <c r="D96" s="95"/>
      <c r="E96" s="14"/>
      <c r="F96" s="96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A97" s="12"/>
      <c r="D97" s="95"/>
      <c r="E97" s="14"/>
      <c r="F97" s="96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A98" s="12"/>
      <c r="D98" s="95"/>
      <c r="E98" s="14"/>
      <c r="F98" s="96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A99" s="12"/>
      <c r="D99" s="95"/>
      <c r="E99" s="14"/>
      <c r="F99" s="96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A100" s="12"/>
      <c r="D100" s="95"/>
      <c r="E100" s="14"/>
      <c r="F100" s="96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A101" s="12"/>
      <c r="D101" s="95"/>
      <c r="E101" s="14"/>
      <c r="F101" s="96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A102" s="12"/>
      <c r="D102" s="95"/>
      <c r="E102" s="14"/>
      <c r="F102" s="96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A103" s="12"/>
      <c r="D103" s="95"/>
      <c r="E103" s="14"/>
      <c r="F103" s="96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12"/>
      <c r="D104" s="95"/>
      <c r="E104" s="14"/>
      <c r="F104" s="96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12"/>
      <c r="D105" s="95"/>
      <c r="E105" s="14"/>
      <c r="F105" s="96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12"/>
      <c r="D106" s="95"/>
      <c r="E106" s="14"/>
      <c r="F106" s="96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12"/>
      <c r="D107" s="95"/>
      <c r="E107" s="14"/>
      <c r="F107" s="96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A108" s="12"/>
      <c r="D108" s="95"/>
      <c r="E108" s="14"/>
      <c r="F108" s="96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A109" s="12"/>
      <c r="D109" s="95"/>
      <c r="E109" s="14"/>
      <c r="F109" s="96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A110" s="12"/>
      <c r="D110" s="95"/>
      <c r="E110" s="14"/>
      <c r="F110" s="96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A111" s="12"/>
      <c r="D111" s="95"/>
      <c r="E111" s="14"/>
      <c r="F111" s="96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A112" s="12"/>
      <c r="D112" s="95"/>
      <c r="E112" s="14"/>
      <c r="F112" s="96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A113" s="12"/>
      <c r="D113" s="95"/>
      <c r="E113" s="14"/>
      <c r="F113" s="96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A114" s="12"/>
      <c r="D114" s="95"/>
      <c r="E114" s="14"/>
      <c r="F114" s="96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A115" s="12"/>
      <c r="D115" s="95"/>
      <c r="E115" s="14"/>
      <c r="F115" s="96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A116" s="12"/>
      <c r="D116" s="95"/>
      <c r="E116" s="14"/>
      <c r="F116" s="96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A117" s="12"/>
      <c r="D117" s="95"/>
      <c r="E117" s="14"/>
      <c r="F117" s="96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A118" s="12"/>
      <c r="D118" s="95"/>
      <c r="E118" s="14"/>
      <c r="F118" s="96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A119" s="12"/>
      <c r="D119" s="95"/>
      <c r="E119" s="14"/>
      <c r="F119" s="96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A120" s="12"/>
      <c r="D120" s="95"/>
      <c r="E120" s="14"/>
      <c r="F120" s="96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A121" s="12"/>
      <c r="D121" s="95"/>
      <c r="E121" s="14"/>
      <c r="F121" s="96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A122" s="12"/>
      <c r="D122" s="95"/>
      <c r="E122" s="14"/>
      <c r="F122" s="96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A123" s="12"/>
      <c r="D123" s="95"/>
      <c r="E123" s="14"/>
      <c r="F123" s="96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A124" s="12"/>
      <c r="D124" s="95"/>
      <c r="E124" s="14"/>
      <c r="F124" s="96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A125" s="12"/>
      <c r="D125" s="95"/>
      <c r="E125" s="14"/>
      <c r="F125" s="96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A126" s="12"/>
      <c r="D126" s="95"/>
      <c r="E126" s="14"/>
      <c r="F126" s="96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A127" s="12"/>
      <c r="D127" s="95"/>
      <c r="E127" s="14"/>
      <c r="F127" s="96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A128" s="12"/>
      <c r="D128" s="95"/>
      <c r="E128" s="14"/>
      <c r="F128" s="96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A129" s="12"/>
      <c r="D129" s="95"/>
      <c r="E129" s="14"/>
      <c r="F129" s="96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A130" s="12"/>
      <c r="D130" s="95"/>
      <c r="E130" s="14"/>
      <c r="F130" s="96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A131" s="12"/>
      <c r="D131" s="95"/>
      <c r="E131" s="14"/>
      <c r="F131" s="96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A132" s="12"/>
      <c r="D132" s="95"/>
      <c r="E132" s="14"/>
      <c r="F132" s="96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A133" s="12"/>
      <c r="D133" s="95"/>
      <c r="E133" s="14"/>
      <c r="F133" s="96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A134" s="12"/>
      <c r="D134" s="95"/>
      <c r="E134" s="14"/>
      <c r="F134" s="96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A135" s="12"/>
      <c r="D135" s="95"/>
      <c r="E135" s="14"/>
      <c r="F135" s="96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A136" s="12"/>
      <c r="D136" s="95"/>
      <c r="E136" s="14"/>
      <c r="F136" s="96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A137" s="12"/>
      <c r="D137" s="95"/>
      <c r="E137" s="14"/>
      <c r="F137" s="96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A138" s="12"/>
      <c r="D138" s="95"/>
      <c r="E138" s="14"/>
      <c r="F138" s="96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A139" s="12"/>
      <c r="D139" s="95"/>
      <c r="E139" s="14"/>
      <c r="F139" s="96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A140" s="12"/>
      <c r="D140" s="95"/>
      <c r="E140" s="14"/>
      <c r="F140" s="96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A141" s="12"/>
      <c r="D141" s="95"/>
      <c r="E141" s="14"/>
      <c r="F141" s="96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A142" s="12"/>
      <c r="D142" s="95"/>
      <c r="E142" s="14"/>
      <c r="F142" s="96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A143" s="12"/>
      <c r="D143" s="95"/>
      <c r="E143" s="14"/>
      <c r="F143" s="96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A144" s="12"/>
      <c r="D144" s="95"/>
      <c r="E144" s="14"/>
      <c r="F144" s="96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A145" s="12"/>
      <c r="D145" s="95"/>
      <c r="E145" s="14"/>
      <c r="F145" s="96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A146" s="12"/>
      <c r="D146" s="95"/>
      <c r="E146" s="14"/>
      <c r="F146" s="96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A147" s="12"/>
      <c r="D147" s="95"/>
      <c r="E147" s="14"/>
      <c r="F147" s="96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A148" s="12"/>
      <c r="D148" s="95"/>
      <c r="E148" s="14"/>
      <c r="F148" s="96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A149" s="12"/>
      <c r="D149" s="95"/>
      <c r="E149" s="14"/>
      <c r="F149" s="96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A150" s="12"/>
      <c r="D150" s="95"/>
      <c r="E150" s="14"/>
      <c r="F150" s="96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A151" s="12"/>
      <c r="D151" s="95"/>
      <c r="E151" s="14"/>
      <c r="F151" s="96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A152" s="12"/>
      <c r="D152" s="95"/>
      <c r="E152" s="14"/>
      <c r="F152" s="96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A153" s="12"/>
      <c r="D153" s="95"/>
      <c r="E153" s="14"/>
      <c r="F153" s="96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A154" s="12"/>
      <c r="D154" s="95"/>
      <c r="E154" s="14"/>
      <c r="F154" s="96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A155" s="12"/>
      <c r="D155" s="95"/>
      <c r="E155" s="14"/>
      <c r="F155" s="96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A156" s="12"/>
      <c r="D156" s="95"/>
      <c r="E156" s="14"/>
      <c r="F156" s="96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A157" s="12"/>
      <c r="D157" s="95"/>
      <c r="E157" s="14"/>
      <c r="F157" s="96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A158" s="12"/>
      <c r="D158" s="95"/>
      <c r="E158" s="14"/>
      <c r="F158" s="96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A159" s="12"/>
      <c r="D159" s="95"/>
      <c r="E159" s="14"/>
      <c r="F159" s="96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A160" s="12"/>
      <c r="D160" s="95"/>
      <c r="E160" s="14"/>
      <c r="F160" s="96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A161" s="12"/>
      <c r="D161" s="95"/>
      <c r="E161" s="14"/>
      <c r="F161" s="96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A162" s="12"/>
      <c r="D162" s="95"/>
      <c r="E162" s="14"/>
      <c r="F162" s="96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A163" s="12"/>
      <c r="D163" s="95"/>
      <c r="E163" s="14"/>
      <c r="F163" s="96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A164" s="12"/>
      <c r="D164" s="95"/>
      <c r="E164" s="14"/>
      <c r="F164" s="96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A165" s="12"/>
      <c r="D165" s="95"/>
      <c r="E165" s="14"/>
      <c r="F165" s="96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A166" s="12"/>
      <c r="D166" s="95"/>
      <c r="E166" s="14"/>
      <c r="F166" s="96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A167" s="12"/>
      <c r="D167" s="95"/>
      <c r="E167" s="14"/>
      <c r="F167" s="96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A168" s="12"/>
      <c r="D168" s="95"/>
      <c r="E168" s="14"/>
      <c r="F168" s="96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A169" s="12"/>
      <c r="D169" s="95"/>
      <c r="E169" s="14"/>
      <c r="F169" s="96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A170" s="12"/>
      <c r="D170" s="95"/>
      <c r="E170" s="14"/>
      <c r="F170" s="96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A171" s="12"/>
      <c r="D171" s="95"/>
      <c r="E171" s="14"/>
      <c r="F171" s="96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A172" s="12"/>
      <c r="D172" s="95"/>
      <c r="E172" s="14"/>
      <c r="F172" s="96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2"/>
      <c r="D173" s="95"/>
      <c r="E173" s="14"/>
      <c r="F173" s="96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A174" s="12"/>
      <c r="D174" s="95"/>
      <c r="E174" s="14"/>
      <c r="F174" s="96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A175" s="12"/>
      <c r="D175" s="95"/>
      <c r="E175" s="14"/>
      <c r="F175" s="96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A176" s="12"/>
      <c r="D176" s="95"/>
      <c r="E176" s="14"/>
      <c r="F176" s="96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A177" s="12"/>
      <c r="D177" s="95"/>
      <c r="E177" s="14"/>
      <c r="F177" s="96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A178" s="12"/>
      <c r="D178" s="95"/>
      <c r="E178" s="14"/>
      <c r="F178" s="96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A179" s="12"/>
      <c r="D179" s="95"/>
      <c r="E179" s="14"/>
      <c r="F179" s="96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A180" s="12"/>
      <c r="D180" s="95"/>
      <c r="E180" s="14"/>
      <c r="F180" s="96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A181" s="12"/>
      <c r="D181" s="95"/>
      <c r="E181" s="14"/>
      <c r="F181" s="96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A182" s="12"/>
      <c r="D182" s="95"/>
      <c r="E182" s="14"/>
      <c r="F182" s="96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A183" s="12"/>
      <c r="D183" s="95"/>
      <c r="E183" s="14"/>
      <c r="F183" s="96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A184" s="12"/>
      <c r="D184" s="95"/>
      <c r="E184" s="14"/>
      <c r="F184" s="96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A185" s="12"/>
      <c r="D185" s="95"/>
      <c r="E185" s="14"/>
      <c r="F185" s="96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A186" s="12"/>
      <c r="D186" s="95"/>
      <c r="E186" s="14"/>
      <c r="F186" s="96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A187" s="12"/>
      <c r="D187" s="95"/>
      <c r="E187" s="14"/>
      <c r="F187" s="96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A188" s="12"/>
      <c r="D188" s="95"/>
      <c r="E188" s="14"/>
      <c r="F188" s="96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A189" s="12"/>
      <c r="D189" s="95"/>
      <c r="E189" s="14"/>
      <c r="F189" s="96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A190" s="12"/>
      <c r="D190" s="95"/>
      <c r="E190" s="14"/>
      <c r="F190" s="96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A191" s="12"/>
      <c r="D191" s="95"/>
      <c r="E191" s="14"/>
      <c r="F191" s="96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A192" s="12"/>
      <c r="D192" s="95"/>
      <c r="E192" s="14"/>
      <c r="F192" s="96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A193" s="12"/>
      <c r="D193" s="95"/>
      <c r="E193" s="14"/>
      <c r="F193" s="96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A194" s="12"/>
      <c r="D194" s="95"/>
      <c r="E194" s="14"/>
      <c r="F194" s="96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A195" s="12"/>
      <c r="D195" s="95"/>
      <c r="E195" s="14"/>
      <c r="F195" s="96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A196" s="12"/>
      <c r="D196" s="95"/>
      <c r="E196" s="14"/>
      <c r="F196" s="96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A197" s="12"/>
      <c r="D197" s="95"/>
      <c r="E197" s="14"/>
      <c r="F197" s="96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A198" s="12"/>
      <c r="D198" s="95"/>
      <c r="E198" s="14"/>
      <c r="F198" s="96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A199" s="12"/>
      <c r="D199" s="95"/>
      <c r="E199" s="14"/>
      <c r="F199" s="96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A200" s="12"/>
      <c r="D200" s="95"/>
      <c r="E200" s="14"/>
      <c r="F200" s="96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A201" s="12"/>
      <c r="D201" s="95"/>
      <c r="E201" s="14"/>
      <c r="F201" s="96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A202" s="12"/>
      <c r="D202" s="95"/>
      <c r="E202" s="14"/>
      <c r="F202" s="96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A203" s="12"/>
      <c r="D203" s="95"/>
      <c r="E203" s="14"/>
      <c r="F203" s="96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A204" s="12"/>
      <c r="D204" s="95"/>
      <c r="E204" s="14"/>
      <c r="F204" s="96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A205" s="12"/>
      <c r="D205" s="95"/>
      <c r="E205" s="14"/>
      <c r="F205" s="96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A206" s="12"/>
      <c r="D206" s="95"/>
      <c r="E206" s="14"/>
      <c r="F206" s="96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A207" s="12"/>
      <c r="D207" s="95"/>
      <c r="E207" s="14"/>
      <c r="F207" s="96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A208" s="12"/>
      <c r="D208" s="95"/>
      <c r="E208" s="14"/>
      <c r="F208" s="96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A209" s="12"/>
      <c r="D209" s="95"/>
      <c r="E209" s="14"/>
      <c r="F209" s="96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A210" s="12"/>
      <c r="D210" s="95"/>
      <c r="E210" s="14"/>
      <c r="F210" s="96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A211" s="12"/>
      <c r="D211" s="95"/>
      <c r="E211" s="14"/>
      <c r="F211" s="96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A212" s="12"/>
      <c r="D212" s="95"/>
      <c r="E212" s="14"/>
      <c r="F212" s="96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A213" s="12"/>
      <c r="D213" s="95"/>
      <c r="E213" s="14"/>
      <c r="F213" s="96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A214" s="12"/>
      <c r="D214" s="95"/>
      <c r="E214" s="14"/>
      <c r="F214" s="96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A215" s="12"/>
      <c r="D215" s="95"/>
      <c r="E215" s="14"/>
      <c r="F215" s="96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A216" s="12"/>
      <c r="D216" s="95"/>
      <c r="E216" s="14"/>
      <c r="F216" s="96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A217" s="12"/>
      <c r="D217" s="95"/>
      <c r="E217" s="14"/>
      <c r="F217" s="96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A218" s="12"/>
      <c r="D218" s="95"/>
      <c r="E218" s="14"/>
      <c r="F218" s="96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A219" s="12"/>
      <c r="D219" s="95"/>
      <c r="E219" s="14"/>
      <c r="F219" s="96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A220" s="12"/>
      <c r="D220" s="95"/>
      <c r="E220" s="14"/>
      <c r="F220" s="96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A221" s="12"/>
      <c r="D221" s="95"/>
      <c r="E221" s="14"/>
      <c r="F221" s="96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A222" s="12"/>
      <c r="D222" s="95"/>
      <c r="E222" s="14"/>
      <c r="F222" s="96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A223" s="12"/>
      <c r="D223" s="95"/>
      <c r="E223" s="14"/>
      <c r="F223" s="96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A224" s="12"/>
      <c r="D224" s="95"/>
      <c r="E224" s="14"/>
      <c r="F224" s="96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A225" s="12"/>
      <c r="D225" s="95"/>
      <c r="E225" s="14"/>
      <c r="F225" s="96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A226" s="12"/>
      <c r="D226" s="95"/>
      <c r="E226" s="14"/>
      <c r="F226" s="96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A227" s="12"/>
      <c r="D227" s="95"/>
      <c r="E227" s="14"/>
      <c r="F227" s="96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A228" s="12"/>
      <c r="D228" s="95"/>
      <c r="E228" s="14"/>
      <c r="F228" s="96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A229" s="12"/>
      <c r="D229" s="95"/>
      <c r="E229" s="14"/>
      <c r="F229" s="96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A230" s="12"/>
      <c r="D230" s="95"/>
      <c r="E230" s="14"/>
      <c r="F230" s="96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A231" s="12"/>
      <c r="D231" s="95"/>
      <c r="E231" s="14"/>
      <c r="F231" s="96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A232" s="12"/>
      <c r="D232" s="95"/>
      <c r="E232" s="14"/>
      <c r="F232" s="96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A233" s="12"/>
      <c r="D233" s="95"/>
      <c r="E233" s="14"/>
      <c r="F233" s="96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A234" s="12"/>
      <c r="D234" s="95"/>
      <c r="E234" s="14"/>
      <c r="F234" s="96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A235" s="12"/>
      <c r="D235" s="95"/>
      <c r="E235" s="14"/>
      <c r="F235" s="96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A236" s="12"/>
      <c r="D236" s="95"/>
      <c r="E236" s="14"/>
      <c r="F236" s="96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A237" s="12"/>
      <c r="D237" s="95"/>
      <c r="E237" s="14"/>
      <c r="F237" s="96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A238" s="12"/>
      <c r="D238" s="95"/>
      <c r="E238" s="14"/>
      <c r="F238" s="96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A239" s="12"/>
      <c r="D239" s="95"/>
      <c r="E239" s="14"/>
      <c r="F239" s="96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A240" s="12"/>
      <c r="D240" s="95"/>
      <c r="E240" s="14"/>
      <c r="F240" s="96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A241" s="12"/>
      <c r="D241" s="95"/>
      <c r="E241" s="14"/>
      <c r="F241" s="96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A242" s="12"/>
      <c r="D242" s="95"/>
      <c r="E242" s="14"/>
      <c r="F242" s="96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A243" s="12"/>
      <c r="D243" s="95"/>
      <c r="E243" s="14"/>
      <c r="F243" s="96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A244" s="12"/>
      <c r="D244" s="95"/>
      <c r="E244" s="14"/>
      <c r="F244" s="96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A245" s="12"/>
      <c r="D245" s="95"/>
      <c r="E245" s="14"/>
      <c r="F245" s="96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A246" s="12"/>
      <c r="D246" s="95"/>
      <c r="E246" s="14"/>
      <c r="F246" s="96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A247" s="12"/>
      <c r="D247" s="95"/>
      <c r="E247" s="14"/>
      <c r="F247" s="96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A248" s="12"/>
      <c r="D248" s="95"/>
      <c r="E248" s="14"/>
      <c r="F248" s="96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A249" s="12"/>
      <c r="D249" s="95"/>
      <c r="E249" s="14"/>
      <c r="F249" s="96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A250" s="12"/>
      <c r="D250" s="95"/>
      <c r="E250" s="14"/>
      <c r="F250" s="96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A251" s="12"/>
      <c r="D251" s="95"/>
      <c r="E251" s="14"/>
      <c r="F251" s="96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A252" s="12"/>
      <c r="D252" s="95"/>
      <c r="E252" s="14"/>
      <c r="F252" s="96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A253" s="12"/>
      <c r="D253" s="95"/>
      <c r="E253" s="14"/>
      <c r="F253" s="96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A254" s="12"/>
      <c r="D254" s="95"/>
      <c r="E254" s="14"/>
      <c r="F254" s="96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A255" s="12"/>
      <c r="D255" s="95"/>
      <c r="E255" s="14"/>
      <c r="F255" s="96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A256" s="12"/>
      <c r="D256" s="95"/>
      <c r="E256" s="14"/>
      <c r="F256" s="96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A257" s="12"/>
      <c r="D257" s="95"/>
      <c r="E257" s="14"/>
      <c r="F257" s="96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A258" s="12"/>
      <c r="D258" s="95"/>
      <c r="E258" s="14"/>
      <c r="F258" s="96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A259" s="12"/>
      <c r="D259" s="95"/>
      <c r="E259" s="14"/>
      <c r="F259" s="96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A260" s="12"/>
      <c r="D260" s="95"/>
      <c r="E260" s="14"/>
      <c r="F260" s="96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A261" s="12"/>
      <c r="D261" s="95"/>
      <c r="E261" s="14"/>
      <c r="F261" s="96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A262" s="12"/>
      <c r="D262" s="95"/>
      <c r="E262" s="14"/>
      <c r="F262" s="96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A263" s="12"/>
      <c r="D263" s="95"/>
      <c r="E263" s="14"/>
      <c r="F263" s="96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A264" s="12"/>
      <c r="D264" s="95"/>
      <c r="E264" s="14"/>
      <c r="F264" s="96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A265" s="12"/>
      <c r="D265" s="95"/>
      <c r="E265" s="14"/>
      <c r="F265" s="96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A266" s="12"/>
      <c r="D266" s="95"/>
      <c r="E266" s="14"/>
      <c r="F266" s="96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A267" s="12"/>
      <c r="D267" s="95"/>
      <c r="E267" s="14"/>
      <c r="F267" s="96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A268" s="12"/>
      <c r="D268" s="95"/>
      <c r="E268" s="14"/>
      <c r="F268" s="96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A269" s="12"/>
      <c r="D269" s="95"/>
      <c r="E269" s="14"/>
      <c r="F269" s="96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A270" s="12"/>
      <c r="D270" s="95"/>
      <c r="E270" s="14"/>
      <c r="F270" s="96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A271" s="12"/>
      <c r="D271" s="95"/>
      <c r="E271" s="14"/>
      <c r="F271" s="96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A272" s="12"/>
      <c r="D272" s="95"/>
      <c r="E272" s="14"/>
      <c r="F272" s="96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A273" s="12"/>
      <c r="D273" s="95"/>
      <c r="E273" s="14"/>
      <c r="F273" s="96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A274" s="12"/>
      <c r="D274" s="95"/>
      <c r="E274" s="14"/>
      <c r="F274" s="96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A275" s="12"/>
      <c r="D275" s="95"/>
      <c r="E275" s="14"/>
      <c r="F275" s="96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A276" s="12"/>
      <c r="D276" s="95"/>
      <c r="E276" s="14"/>
      <c r="F276" s="96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A277" s="12"/>
      <c r="D277" s="95"/>
      <c r="E277" s="14"/>
      <c r="F277" s="96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A278" s="12"/>
      <c r="D278" s="95"/>
      <c r="E278" s="14"/>
      <c r="F278" s="96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A279" s="12"/>
      <c r="D279" s="95"/>
      <c r="E279" s="14"/>
      <c r="F279" s="96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A280" s="12"/>
      <c r="D280" s="95"/>
      <c r="E280" s="14"/>
      <c r="F280" s="96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A281" s="12"/>
      <c r="D281" s="95"/>
      <c r="E281" s="14"/>
      <c r="F281" s="96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A282" s="12"/>
      <c r="D282" s="95"/>
      <c r="E282" s="14"/>
      <c r="F282" s="96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A283" s="12"/>
      <c r="D283" s="95"/>
      <c r="E283" s="14"/>
      <c r="F283" s="96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A284" s="12"/>
      <c r="D284" s="95"/>
      <c r="E284" s="14"/>
      <c r="F284" s="96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A285" s="12"/>
      <c r="D285" s="95"/>
      <c r="E285" s="14"/>
      <c r="F285" s="96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A286" s="12"/>
      <c r="D286" s="95"/>
      <c r="E286" s="14"/>
      <c r="F286" s="96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A287" s="12"/>
      <c r="D287" s="95"/>
      <c r="E287" s="14"/>
      <c r="F287" s="96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A288" s="12"/>
      <c r="D288" s="95"/>
      <c r="E288" s="14"/>
      <c r="F288" s="96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A289" s="12"/>
      <c r="D289" s="95"/>
      <c r="E289" s="14"/>
      <c r="F289" s="96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A290" s="12"/>
      <c r="D290" s="95"/>
      <c r="E290" s="14"/>
      <c r="F290" s="96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A291" s="12"/>
      <c r="D291" s="95"/>
      <c r="E291" s="14"/>
      <c r="F291" s="96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A292" s="12"/>
      <c r="D292" s="95"/>
      <c r="E292" s="14"/>
      <c r="F292" s="96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A293" s="12"/>
      <c r="D293" s="95"/>
      <c r="E293" s="14"/>
      <c r="F293" s="96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A294" s="12"/>
      <c r="D294" s="95"/>
      <c r="E294" s="14"/>
      <c r="F294" s="96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A295" s="12"/>
      <c r="D295" s="95"/>
      <c r="E295" s="14"/>
      <c r="F295" s="96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A296" s="12"/>
      <c r="D296" s="95"/>
      <c r="E296" s="14"/>
      <c r="F296" s="96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A297" s="12"/>
      <c r="D297" s="95"/>
      <c r="E297" s="14"/>
      <c r="F297" s="96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A298" s="12"/>
      <c r="D298" s="95"/>
      <c r="E298" s="14"/>
      <c r="F298" s="96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A299" s="12"/>
      <c r="D299" s="95"/>
      <c r="E299" s="14"/>
      <c r="F299" s="96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A300" s="12"/>
      <c r="D300" s="95"/>
      <c r="E300" s="14"/>
      <c r="F300" s="96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A301" s="12"/>
      <c r="D301" s="95"/>
      <c r="E301" s="14"/>
      <c r="F301" s="96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A302" s="12"/>
      <c r="D302" s="95"/>
      <c r="E302" s="14"/>
      <c r="F302" s="96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A303" s="12"/>
      <c r="D303" s="95"/>
      <c r="E303" s="14"/>
      <c r="F303" s="96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A304" s="12"/>
      <c r="D304" s="95"/>
      <c r="E304" s="14"/>
      <c r="F304" s="96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A305" s="12"/>
      <c r="D305" s="95"/>
      <c r="E305" s="14"/>
      <c r="F305" s="96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A306" s="12"/>
      <c r="D306" s="95"/>
      <c r="E306" s="14"/>
      <c r="F306" s="96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A307" s="12"/>
      <c r="D307" s="95"/>
      <c r="E307" s="14"/>
      <c r="F307" s="96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A308" s="12"/>
      <c r="D308" s="95"/>
      <c r="E308" s="14"/>
      <c r="F308" s="96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A309" s="12"/>
      <c r="D309" s="95"/>
      <c r="E309" s="14"/>
      <c r="F309" s="96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A310" s="12"/>
      <c r="D310" s="95"/>
      <c r="E310" s="14"/>
      <c r="F310" s="96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A311" s="12"/>
      <c r="D311" s="95"/>
      <c r="E311" s="14"/>
      <c r="F311" s="96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A312" s="12"/>
      <c r="D312" s="95"/>
      <c r="E312" s="14"/>
      <c r="F312" s="96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A313" s="12"/>
      <c r="D313" s="95"/>
      <c r="E313" s="14"/>
      <c r="F313" s="96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A314" s="12"/>
      <c r="D314" s="95"/>
      <c r="E314" s="14"/>
      <c r="F314" s="96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A315" s="12"/>
      <c r="D315" s="95"/>
      <c r="E315" s="14"/>
      <c r="F315" s="96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A316" s="12"/>
      <c r="D316" s="95"/>
      <c r="E316" s="14"/>
      <c r="F316" s="96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A317" s="12"/>
      <c r="D317" s="95"/>
      <c r="E317" s="14"/>
      <c r="F317" s="96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A318" s="12"/>
      <c r="D318" s="95"/>
      <c r="E318" s="14"/>
      <c r="F318" s="96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A319" s="12"/>
      <c r="D319" s="95"/>
      <c r="E319" s="14"/>
      <c r="F319" s="96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A320" s="12"/>
      <c r="D320" s="95"/>
      <c r="E320" s="14"/>
      <c r="F320" s="96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A321" s="12"/>
      <c r="D321" s="95"/>
      <c r="E321" s="14"/>
      <c r="F321" s="96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A322" s="12"/>
      <c r="D322" s="95"/>
      <c r="E322" s="14"/>
      <c r="F322" s="96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A323" s="12"/>
      <c r="D323" s="95"/>
      <c r="E323" s="14"/>
      <c r="F323" s="96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A324" s="12"/>
      <c r="D324" s="95"/>
      <c r="E324" s="14"/>
      <c r="F324" s="96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A325" s="12"/>
      <c r="D325" s="95"/>
      <c r="E325" s="14"/>
      <c r="F325" s="96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A326" s="12"/>
      <c r="D326" s="95"/>
      <c r="E326" s="14"/>
      <c r="F326" s="96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A327" s="12"/>
      <c r="D327" s="95"/>
      <c r="E327" s="14"/>
      <c r="F327" s="96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A328" s="12"/>
      <c r="D328" s="95"/>
      <c r="E328" s="14"/>
      <c r="F328" s="96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A329" s="12"/>
      <c r="D329" s="95"/>
      <c r="E329" s="14"/>
      <c r="F329" s="96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A330" s="12"/>
      <c r="D330" s="95"/>
      <c r="E330" s="14"/>
      <c r="F330" s="96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A331" s="12"/>
      <c r="D331" s="95"/>
      <c r="E331" s="14"/>
      <c r="F331" s="96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A332" s="12"/>
      <c r="D332" s="95"/>
      <c r="E332" s="14"/>
      <c r="F332" s="96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A333" s="12"/>
      <c r="D333" s="95"/>
      <c r="E333" s="14"/>
      <c r="F333" s="96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A334" s="12"/>
      <c r="D334" s="95"/>
      <c r="E334" s="14"/>
      <c r="F334" s="96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A335" s="12"/>
      <c r="D335" s="95"/>
      <c r="E335" s="14"/>
      <c r="F335" s="96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A336" s="12"/>
      <c r="D336" s="95"/>
      <c r="E336" s="14"/>
      <c r="F336" s="96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A337" s="12"/>
      <c r="D337" s="95"/>
      <c r="E337" s="14"/>
      <c r="F337" s="96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A338" s="12"/>
      <c r="D338" s="95"/>
      <c r="E338" s="14"/>
      <c r="F338" s="96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A339" s="12"/>
      <c r="D339" s="95"/>
      <c r="E339" s="14"/>
      <c r="F339" s="96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A340" s="12"/>
      <c r="D340" s="95"/>
      <c r="E340" s="14"/>
      <c r="F340" s="96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A341" s="12"/>
      <c r="D341" s="95"/>
      <c r="E341" s="14"/>
      <c r="F341" s="96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A342" s="12"/>
      <c r="D342" s="95"/>
      <c r="E342" s="14"/>
      <c r="F342" s="96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A343" s="12"/>
      <c r="D343" s="95"/>
      <c r="E343" s="14"/>
      <c r="F343" s="96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A344" s="12"/>
      <c r="D344" s="95"/>
      <c r="E344" s="14"/>
      <c r="F344" s="96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A345" s="12"/>
      <c r="D345" s="95"/>
      <c r="E345" s="14"/>
      <c r="F345" s="96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A346" s="12"/>
      <c r="D346" s="95"/>
      <c r="E346" s="14"/>
      <c r="F346" s="96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A347" s="12"/>
      <c r="D347" s="95"/>
      <c r="E347" s="14"/>
      <c r="F347" s="96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A348" s="12"/>
      <c r="D348" s="95"/>
      <c r="E348" s="14"/>
      <c r="F348" s="96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A349" s="12"/>
      <c r="D349" s="95"/>
      <c r="E349" s="14"/>
      <c r="F349" s="96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A350" s="12"/>
      <c r="D350" s="95"/>
      <c r="E350" s="14"/>
      <c r="F350" s="96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A351" s="12"/>
      <c r="D351" s="95"/>
      <c r="E351" s="14"/>
      <c r="F351" s="96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A352" s="12"/>
      <c r="D352" s="95"/>
      <c r="E352" s="14"/>
      <c r="F352" s="96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A353" s="12"/>
      <c r="D353" s="95"/>
      <c r="E353" s="14"/>
      <c r="F353" s="96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A354" s="12"/>
      <c r="D354" s="95"/>
      <c r="E354" s="14"/>
      <c r="F354" s="96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A355" s="12"/>
      <c r="D355" s="95"/>
      <c r="E355" s="14"/>
      <c r="F355" s="96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A356" s="12"/>
      <c r="D356" s="95"/>
      <c r="E356" s="14"/>
      <c r="F356" s="96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A357" s="12"/>
      <c r="D357" s="95"/>
      <c r="E357" s="14"/>
      <c r="F357" s="96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A358" s="12"/>
      <c r="D358" s="95"/>
      <c r="E358" s="14"/>
      <c r="F358" s="96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A359" s="12"/>
      <c r="D359" s="95"/>
      <c r="E359" s="14"/>
      <c r="F359" s="96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A360" s="12"/>
      <c r="D360" s="95"/>
      <c r="E360" s="14"/>
      <c r="F360" s="96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A361" s="12"/>
      <c r="D361" s="95"/>
      <c r="E361" s="14"/>
      <c r="F361" s="96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A362" s="12"/>
      <c r="D362" s="95"/>
      <c r="E362" s="14"/>
      <c r="F362" s="96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A363" s="12"/>
      <c r="D363" s="95"/>
      <c r="E363" s="14"/>
      <c r="F363" s="96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A364" s="12"/>
      <c r="D364" s="95"/>
      <c r="E364" s="14"/>
      <c r="F364" s="96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A365" s="12"/>
      <c r="D365" s="95"/>
      <c r="E365" s="14"/>
      <c r="F365" s="96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A366" s="12"/>
      <c r="D366" s="95"/>
      <c r="E366" s="14"/>
      <c r="F366" s="96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A367" s="12"/>
      <c r="D367" s="95"/>
      <c r="E367" s="14"/>
      <c r="F367" s="96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A368" s="12"/>
      <c r="D368" s="95"/>
      <c r="E368" s="14"/>
      <c r="F368" s="96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A369" s="12"/>
      <c r="D369" s="95"/>
      <c r="E369" s="14"/>
      <c r="F369" s="96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A370" s="12"/>
      <c r="D370" s="95"/>
      <c r="E370" s="14"/>
      <c r="F370" s="96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A371" s="12"/>
      <c r="D371" s="95"/>
      <c r="E371" s="14"/>
      <c r="F371" s="96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A372" s="12"/>
      <c r="D372" s="95"/>
      <c r="E372" s="14"/>
      <c r="F372" s="96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A373" s="12"/>
      <c r="D373" s="95"/>
      <c r="E373" s="14"/>
      <c r="F373" s="96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A374" s="12"/>
      <c r="D374" s="95"/>
      <c r="E374" s="14"/>
      <c r="F374" s="96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A375" s="12"/>
      <c r="D375" s="95"/>
      <c r="E375" s="14"/>
      <c r="F375" s="96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A376" s="12"/>
      <c r="D376" s="95"/>
      <c r="E376" s="14"/>
      <c r="F376" s="96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A377" s="12"/>
      <c r="D377" s="95"/>
      <c r="E377" s="14"/>
      <c r="F377" s="96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A378" s="12"/>
      <c r="D378" s="95"/>
      <c r="E378" s="14"/>
      <c r="F378" s="96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A379" s="12"/>
      <c r="D379" s="95"/>
      <c r="E379" s="14"/>
      <c r="F379" s="96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A380" s="12"/>
      <c r="D380" s="95"/>
      <c r="E380" s="14"/>
      <c r="F380" s="96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A381" s="12"/>
      <c r="D381" s="95"/>
      <c r="E381" s="14"/>
      <c r="F381" s="96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A382" s="12"/>
      <c r="D382" s="95"/>
      <c r="E382" s="14"/>
      <c r="F382" s="96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A383" s="12"/>
      <c r="D383" s="95"/>
      <c r="E383" s="14"/>
      <c r="F383" s="96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A384" s="12"/>
      <c r="D384" s="95"/>
      <c r="E384" s="14"/>
      <c r="F384" s="96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A385" s="12"/>
      <c r="D385" s="95"/>
      <c r="E385" s="14"/>
      <c r="F385" s="96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A386" s="12"/>
      <c r="D386" s="95"/>
      <c r="E386" s="14"/>
      <c r="F386" s="96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A387" s="12"/>
      <c r="D387" s="95"/>
      <c r="E387" s="14"/>
      <c r="F387" s="96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A388" s="12"/>
      <c r="D388" s="95"/>
      <c r="E388" s="14"/>
      <c r="F388" s="96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A389" s="12"/>
      <c r="D389" s="95"/>
      <c r="E389" s="14"/>
      <c r="F389" s="96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A390" s="12"/>
      <c r="D390" s="95"/>
      <c r="E390" s="14"/>
      <c r="F390" s="96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A391" s="12"/>
      <c r="D391" s="95"/>
      <c r="E391" s="14"/>
      <c r="F391" s="96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A392" s="12"/>
      <c r="D392" s="95"/>
      <c r="E392" s="14"/>
      <c r="F392" s="96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A393" s="12"/>
      <c r="D393" s="95"/>
      <c r="E393" s="14"/>
      <c r="F393" s="96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A394" s="12"/>
      <c r="D394" s="95"/>
      <c r="E394" s="14"/>
      <c r="F394" s="96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A395" s="12"/>
      <c r="D395" s="95"/>
      <c r="E395" s="14"/>
      <c r="F395" s="96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A396" s="12"/>
      <c r="D396" s="95"/>
      <c r="E396" s="14"/>
      <c r="F396" s="96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A397" s="12"/>
      <c r="D397" s="95"/>
      <c r="E397" s="14"/>
      <c r="F397" s="96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A398" s="12"/>
      <c r="D398" s="95"/>
      <c r="E398" s="14"/>
      <c r="F398" s="96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A399" s="12"/>
      <c r="D399" s="95"/>
      <c r="E399" s="14"/>
      <c r="F399" s="96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A400" s="12"/>
      <c r="D400" s="95"/>
      <c r="E400" s="14"/>
      <c r="F400" s="96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A401" s="12"/>
      <c r="D401" s="95"/>
      <c r="E401" s="14"/>
      <c r="F401" s="96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A402" s="12"/>
      <c r="D402" s="95"/>
      <c r="E402" s="14"/>
      <c r="F402" s="96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A403" s="12"/>
      <c r="D403" s="95"/>
      <c r="E403" s="14"/>
      <c r="F403" s="96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A404" s="12"/>
      <c r="D404" s="95"/>
      <c r="E404" s="14"/>
      <c r="F404" s="96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A405" s="12"/>
      <c r="D405" s="95"/>
      <c r="E405" s="14"/>
      <c r="F405" s="96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A406" s="12"/>
      <c r="D406" s="95"/>
      <c r="E406" s="14"/>
      <c r="F406" s="96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A407" s="12"/>
      <c r="D407" s="95"/>
      <c r="E407" s="14"/>
      <c r="F407" s="96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A408" s="12"/>
      <c r="D408" s="95"/>
      <c r="E408" s="14"/>
      <c r="F408" s="96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A409" s="12"/>
      <c r="D409" s="95"/>
      <c r="E409" s="14"/>
      <c r="F409" s="96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A410" s="12"/>
      <c r="D410" s="95"/>
      <c r="E410" s="14"/>
      <c r="F410" s="96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A411" s="12"/>
      <c r="D411" s="95"/>
      <c r="E411" s="14"/>
      <c r="F411" s="96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A412" s="12"/>
      <c r="D412" s="95"/>
      <c r="E412" s="14"/>
      <c r="F412" s="96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A413" s="12"/>
      <c r="D413" s="95"/>
      <c r="E413" s="14"/>
      <c r="F413" s="96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A414" s="12"/>
      <c r="D414" s="95"/>
      <c r="E414" s="14"/>
      <c r="F414" s="96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A415" s="12"/>
      <c r="D415" s="95"/>
      <c r="E415" s="14"/>
      <c r="F415" s="96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A416" s="12"/>
      <c r="D416" s="95"/>
      <c r="E416" s="14"/>
      <c r="F416" s="96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A417" s="12"/>
      <c r="D417" s="95"/>
      <c r="E417" s="14"/>
      <c r="F417" s="96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A418" s="12"/>
      <c r="D418" s="95"/>
      <c r="E418" s="14"/>
      <c r="F418" s="96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A419" s="12"/>
      <c r="D419" s="95"/>
      <c r="E419" s="14"/>
      <c r="F419" s="96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A420" s="12"/>
      <c r="D420" s="95"/>
      <c r="E420" s="14"/>
      <c r="F420" s="96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A421" s="12"/>
      <c r="D421" s="95"/>
      <c r="E421" s="14"/>
      <c r="F421" s="96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A422" s="12"/>
      <c r="D422" s="95"/>
      <c r="E422" s="14"/>
      <c r="F422" s="96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A423" s="12"/>
      <c r="D423" s="95"/>
      <c r="E423" s="14"/>
      <c r="F423" s="96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A424" s="12"/>
      <c r="D424" s="95"/>
      <c r="E424" s="14"/>
      <c r="F424" s="96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A425" s="12"/>
      <c r="D425" s="95"/>
      <c r="E425" s="14"/>
      <c r="F425" s="96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A426" s="12"/>
      <c r="D426" s="95"/>
      <c r="E426" s="14"/>
      <c r="F426" s="96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A427" s="12"/>
      <c r="D427" s="95"/>
      <c r="E427" s="14"/>
      <c r="F427" s="96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A428" s="12"/>
      <c r="D428" s="95"/>
      <c r="E428" s="14"/>
      <c r="F428" s="96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A429" s="12"/>
      <c r="D429" s="95"/>
      <c r="E429" s="14"/>
      <c r="F429" s="96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A430" s="12"/>
      <c r="D430" s="95"/>
      <c r="E430" s="14"/>
      <c r="F430" s="96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A431" s="12"/>
      <c r="D431" s="95"/>
      <c r="E431" s="14"/>
      <c r="F431" s="96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A432" s="12"/>
      <c r="D432" s="95"/>
      <c r="E432" s="14"/>
      <c r="F432" s="96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A433" s="12"/>
      <c r="D433" s="95"/>
      <c r="E433" s="14"/>
      <c r="F433" s="96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A434" s="12"/>
      <c r="D434" s="95"/>
      <c r="E434" s="14"/>
      <c r="F434" s="96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A435" s="12"/>
      <c r="D435" s="95"/>
      <c r="E435" s="14"/>
      <c r="F435" s="96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A436" s="12"/>
      <c r="D436" s="95"/>
      <c r="E436" s="14"/>
      <c r="F436" s="96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A437" s="12"/>
      <c r="D437" s="95"/>
      <c r="E437" s="14"/>
      <c r="F437" s="96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A438" s="12"/>
      <c r="D438" s="95"/>
      <c r="E438" s="14"/>
      <c r="F438" s="96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A439" s="12"/>
      <c r="D439" s="95"/>
      <c r="E439" s="14"/>
      <c r="F439" s="96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A440" s="12"/>
      <c r="D440" s="95"/>
      <c r="E440" s="14"/>
      <c r="F440" s="96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A441" s="12"/>
      <c r="D441" s="95"/>
      <c r="E441" s="14"/>
      <c r="F441" s="96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A442" s="12"/>
      <c r="D442" s="95"/>
      <c r="E442" s="14"/>
      <c r="F442" s="96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A443" s="12"/>
      <c r="D443" s="95"/>
      <c r="E443" s="14"/>
      <c r="F443" s="96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A444" s="12"/>
      <c r="D444" s="95"/>
      <c r="E444" s="14"/>
      <c r="F444" s="96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A445" s="12"/>
      <c r="D445" s="95"/>
      <c r="E445" s="14"/>
      <c r="F445" s="96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A446" s="12"/>
      <c r="D446" s="95"/>
      <c r="E446" s="14"/>
      <c r="F446" s="96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A447" s="12"/>
      <c r="D447" s="95"/>
      <c r="E447" s="14"/>
      <c r="F447" s="96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A448" s="12"/>
      <c r="D448" s="95"/>
      <c r="E448" s="14"/>
      <c r="F448" s="96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A449" s="12"/>
      <c r="D449" s="95"/>
      <c r="E449" s="14"/>
      <c r="F449" s="96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A450" s="12"/>
      <c r="D450" s="95"/>
      <c r="E450" s="14"/>
      <c r="F450" s="96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A451" s="12"/>
      <c r="D451" s="95"/>
      <c r="E451" s="14"/>
      <c r="F451" s="96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A452" s="12"/>
      <c r="D452" s="95"/>
      <c r="E452" s="14"/>
      <c r="F452" s="96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A453" s="12"/>
      <c r="D453" s="95"/>
      <c r="E453" s="14"/>
      <c r="F453" s="96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A454" s="12"/>
      <c r="D454" s="95"/>
      <c r="E454" s="14"/>
      <c r="F454" s="96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A455" s="12"/>
      <c r="D455" s="95"/>
      <c r="E455" s="14"/>
      <c r="F455" s="96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A456" s="12"/>
      <c r="D456" s="95"/>
      <c r="E456" s="14"/>
      <c r="F456" s="96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A457" s="12"/>
      <c r="D457" s="95"/>
      <c r="E457" s="14"/>
      <c r="F457" s="96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A458" s="12"/>
      <c r="D458" s="95"/>
      <c r="E458" s="14"/>
      <c r="F458" s="96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A459" s="12"/>
      <c r="D459" s="95"/>
      <c r="E459" s="14"/>
      <c r="F459" s="96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A460" s="12"/>
      <c r="D460" s="95"/>
      <c r="E460" s="14"/>
      <c r="F460" s="96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A461" s="12"/>
      <c r="D461" s="95"/>
      <c r="E461" s="14"/>
      <c r="F461" s="96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A462" s="12"/>
      <c r="D462" s="95"/>
      <c r="E462" s="14"/>
      <c r="F462" s="96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A463" s="12"/>
      <c r="D463" s="95"/>
      <c r="E463" s="14"/>
      <c r="F463" s="96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A464" s="12"/>
      <c r="D464" s="95"/>
      <c r="E464" s="14"/>
      <c r="F464" s="96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A465" s="12"/>
      <c r="D465" s="95"/>
      <c r="E465" s="14"/>
      <c r="F465" s="96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A466" s="12"/>
      <c r="D466" s="95"/>
      <c r="E466" s="14"/>
      <c r="F466" s="96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A467" s="12"/>
      <c r="D467" s="95"/>
      <c r="E467" s="14"/>
      <c r="F467" s="96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A468" s="12"/>
      <c r="D468" s="95"/>
      <c r="E468" s="14"/>
      <c r="F468" s="96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A469" s="12"/>
      <c r="D469" s="95"/>
      <c r="E469" s="14"/>
      <c r="F469" s="96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A470" s="12"/>
      <c r="D470" s="95"/>
      <c r="E470" s="14"/>
      <c r="F470" s="96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A471" s="12"/>
      <c r="D471" s="95"/>
      <c r="E471" s="14"/>
      <c r="F471" s="96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A472" s="12"/>
      <c r="D472" s="95"/>
      <c r="E472" s="14"/>
      <c r="F472" s="96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A473" s="12"/>
      <c r="D473" s="95"/>
      <c r="E473" s="14"/>
      <c r="F473" s="96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A474" s="12"/>
      <c r="D474" s="95"/>
      <c r="E474" s="14"/>
      <c r="F474" s="96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A475" s="12"/>
      <c r="D475" s="95"/>
      <c r="E475" s="14"/>
      <c r="F475" s="96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A476" s="12"/>
      <c r="D476" s="95"/>
      <c r="E476" s="14"/>
      <c r="F476" s="96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A477" s="12"/>
      <c r="D477" s="95"/>
      <c r="E477" s="14"/>
      <c r="F477" s="96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A478" s="12"/>
      <c r="D478" s="95"/>
      <c r="E478" s="14"/>
      <c r="F478" s="96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A479" s="12"/>
      <c r="D479" s="95"/>
      <c r="E479" s="14"/>
      <c r="F479" s="96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A480" s="12"/>
      <c r="D480" s="95"/>
      <c r="E480" s="14"/>
      <c r="F480" s="96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A481" s="12"/>
      <c r="D481" s="95"/>
      <c r="E481" s="14"/>
      <c r="F481" s="96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A482" s="12"/>
      <c r="D482" s="95"/>
      <c r="E482" s="14"/>
      <c r="F482" s="96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A483" s="12"/>
      <c r="D483" s="95"/>
      <c r="E483" s="14"/>
      <c r="F483" s="96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A484" s="12"/>
      <c r="D484" s="95"/>
      <c r="E484" s="14"/>
      <c r="F484" s="96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A485" s="12"/>
      <c r="D485" s="95"/>
      <c r="E485" s="14"/>
      <c r="F485" s="96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A486" s="12"/>
      <c r="D486" s="95"/>
      <c r="E486" s="14"/>
      <c r="F486" s="96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A487" s="12"/>
      <c r="D487" s="95"/>
      <c r="E487" s="14"/>
      <c r="F487" s="96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A488" s="12"/>
      <c r="D488" s="95"/>
      <c r="E488" s="14"/>
      <c r="F488" s="96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A489" s="12"/>
      <c r="D489" s="95"/>
      <c r="E489" s="14"/>
      <c r="F489" s="96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A490" s="12"/>
      <c r="D490" s="95"/>
      <c r="E490" s="14"/>
      <c r="F490" s="96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A491" s="12"/>
      <c r="D491" s="95"/>
      <c r="E491" s="14"/>
      <c r="F491" s="96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A492" s="12"/>
      <c r="D492" s="95"/>
      <c r="E492" s="14"/>
      <c r="F492" s="96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A493" s="12"/>
      <c r="D493" s="95"/>
      <c r="E493" s="14"/>
      <c r="F493" s="96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A494" s="12"/>
      <c r="D494" s="95"/>
      <c r="E494" s="14"/>
      <c r="F494" s="96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A495" s="12"/>
      <c r="D495" s="95"/>
      <c r="E495" s="14"/>
      <c r="F495" s="96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A496" s="12"/>
      <c r="D496" s="95"/>
      <c r="E496" s="14"/>
      <c r="F496" s="96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A497" s="12"/>
      <c r="D497" s="95"/>
      <c r="E497" s="14"/>
      <c r="F497" s="96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A498" s="12"/>
      <c r="D498" s="95"/>
      <c r="E498" s="14"/>
      <c r="F498" s="96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A499" s="12"/>
      <c r="D499" s="95"/>
      <c r="E499" s="14"/>
      <c r="F499" s="96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A500" s="12"/>
      <c r="D500" s="95"/>
      <c r="E500" s="14"/>
      <c r="F500" s="96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A501" s="12"/>
      <c r="D501" s="95"/>
      <c r="E501" s="14"/>
      <c r="F501" s="96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A502" s="12"/>
      <c r="D502" s="95"/>
      <c r="E502" s="14"/>
      <c r="F502" s="96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A503" s="12"/>
      <c r="D503" s="95"/>
      <c r="E503" s="14"/>
      <c r="F503" s="96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A504" s="12"/>
      <c r="D504" s="95"/>
      <c r="E504" s="14"/>
      <c r="F504" s="96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A505" s="12"/>
      <c r="D505" s="95"/>
      <c r="E505" s="14"/>
      <c r="F505" s="96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A506" s="12"/>
      <c r="D506" s="95"/>
      <c r="E506" s="14"/>
      <c r="F506" s="96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A507" s="12"/>
      <c r="D507" s="95"/>
      <c r="E507" s="14"/>
      <c r="F507" s="96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A508" s="12"/>
      <c r="D508" s="95"/>
      <c r="E508" s="14"/>
      <c r="F508" s="96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A509" s="12"/>
      <c r="D509" s="95"/>
      <c r="E509" s="14"/>
      <c r="F509" s="96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A510" s="12"/>
      <c r="D510" s="95"/>
      <c r="E510" s="14"/>
      <c r="F510" s="96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A511" s="12"/>
      <c r="D511" s="95"/>
      <c r="E511" s="14"/>
      <c r="F511" s="96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A512" s="12"/>
      <c r="D512" s="95"/>
      <c r="E512" s="14"/>
      <c r="F512" s="96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A513" s="12"/>
      <c r="D513" s="95"/>
      <c r="E513" s="14"/>
      <c r="F513" s="96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A514" s="12"/>
      <c r="D514" s="95"/>
      <c r="E514" s="14"/>
      <c r="F514" s="96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A515" s="12"/>
      <c r="D515" s="95"/>
      <c r="E515" s="14"/>
      <c r="F515" s="96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A516" s="12"/>
      <c r="D516" s="95"/>
      <c r="E516" s="14"/>
      <c r="F516" s="96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A517" s="12"/>
      <c r="D517" s="95"/>
      <c r="E517" s="14"/>
      <c r="F517" s="96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A518" s="12"/>
      <c r="D518" s="95"/>
      <c r="E518" s="14"/>
      <c r="F518" s="96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A519" s="12"/>
      <c r="D519" s="95"/>
      <c r="E519" s="14"/>
      <c r="F519" s="96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A520" s="12"/>
      <c r="D520" s="95"/>
      <c r="E520" s="14"/>
      <c r="F520" s="96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A521" s="12"/>
      <c r="D521" s="95"/>
      <c r="E521" s="14"/>
      <c r="F521" s="96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A522" s="12"/>
      <c r="D522" s="95"/>
      <c r="E522" s="14"/>
      <c r="F522" s="96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A523" s="12"/>
      <c r="D523" s="95"/>
      <c r="E523" s="14"/>
      <c r="F523" s="96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A524" s="12"/>
      <c r="D524" s="95"/>
      <c r="E524" s="14"/>
      <c r="F524" s="96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A525" s="12"/>
      <c r="D525" s="95"/>
      <c r="E525" s="14"/>
      <c r="F525" s="96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A526" s="12"/>
      <c r="D526" s="95"/>
      <c r="E526" s="14"/>
      <c r="F526" s="96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A527" s="12"/>
      <c r="D527" s="95"/>
      <c r="E527" s="14"/>
      <c r="F527" s="96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A528" s="12"/>
      <c r="D528" s="95"/>
      <c r="E528" s="14"/>
      <c r="F528" s="96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A529" s="12"/>
      <c r="D529" s="95"/>
      <c r="E529" s="14"/>
      <c r="F529" s="96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A530" s="12"/>
      <c r="D530" s="95"/>
      <c r="E530" s="14"/>
      <c r="F530" s="96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A531" s="12"/>
      <c r="D531" s="95"/>
      <c r="E531" s="14"/>
      <c r="F531" s="96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A532" s="12"/>
      <c r="D532" s="95"/>
      <c r="E532" s="14"/>
      <c r="F532" s="96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A533" s="12"/>
      <c r="D533" s="95"/>
      <c r="E533" s="14"/>
      <c r="F533" s="96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A534" s="12"/>
      <c r="D534" s="95"/>
      <c r="E534" s="14"/>
      <c r="F534" s="96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A535" s="12"/>
      <c r="D535" s="95"/>
      <c r="E535" s="14"/>
      <c r="F535" s="96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A536" s="12"/>
      <c r="D536" s="95"/>
      <c r="E536" s="14"/>
      <c r="F536" s="96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A537" s="12"/>
      <c r="D537" s="95"/>
      <c r="E537" s="14"/>
      <c r="F537" s="96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A538" s="12"/>
      <c r="D538" s="95"/>
      <c r="E538" s="14"/>
      <c r="F538" s="96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A539" s="12"/>
      <c r="D539" s="95"/>
      <c r="E539" s="14"/>
      <c r="F539" s="96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A540" s="12"/>
      <c r="D540" s="95"/>
      <c r="E540" s="14"/>
      <c r="F540" s="96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A541" s="12"/>
      <c r="D541" s="95"/>
      <c r="E541" s="14"/>
      <c r="F541" s="96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A542" s="12"/>
      <c r="D542" s="95"/>
      <c r="E542" s="14"/>
      <c r="F542" s="96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A543" s="12"/>
      <c r="D543" s="95"/>
      <c r="E543" s="14"/>
      <c r="F543" s="96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A544" s="12"/>
      <c r="D544" s="95"/>
      <c r="E544" s="14"/>
      <c r="F544" s="96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A545" s="12"/>
      <c r="D545" s="95"/>
      <c r="E545" s="14"/>
      <c r="F545" s="96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A546" s="12"/>
      <c r="D546" s="95"/>
      <c r="E546" s="14"/>
      <c r="F546" s="96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A547" s="12"/>
      <c r="D547" s="95"/>
      <c r="E547" s="14"/>
      <c r="F547" s="96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A548" s="12"/>
      <c r="D548" s="95"/>
      <c r="E548" s="14"/>
      <c r="F548" s="96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A549" s="12"/>
      <c r="D549" s="95"/>
      <c r="E549" s="14"/>
      <c r="F549" s="96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A550" s="12"/>
      <c r="D550" s="95"/>
      <c r="E550" s="14"/>
      <c r="F550" s="96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A551" s="12"/>
      <c r="D551" s="95"/>
      <c r="E551" s="14"/>
      <c r="F551" s="96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A552" s="12"/>
      <c r="D552" s="95"/>
      <c r="E552" s="14"/>
      <c r="F552" s="96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A553" s="12"/>
      <c r="D553" s="95"/>
      <c r="E553" s="14"/>
      <c r="F553" s="96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A554" s="12"/>
      <c r="D554" s="95"/>
      <c r="E554" s="14"/>
      <c r="F554" s="96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A555" s="12"/>
      <c r="D555" s="95"/>
      <c r="E555" s="14"/>
      <c r="F555" s="96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A556" s="12"/>
      <c r="D556" s="95"/>
      <c r="E556" s="14"/>
      <c r="F556" s="96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A557" s="12"/>
      <c r="D557" s="95"/>
      <c r="E557" s="14"/>
      <c r="F557" s="96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A558" s="12"/>
      <c r="D558" s="95"/>
      <c r="E558" s="14"/>
      <c r="F558" s="96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A559" s="12"/>
      <c r="D559" s="95"/>
      <c r="E559" s="14"/>
      <c r="F559" s="96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A560" s="12"/>
      <c r="D560" s="95"/>
      <c r="E560" s="14"/>
      <c r="F560" s="96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A561" s="12"/>
      <c r="D561" s="95"/>
      <c r="E561" s="14"/>
      <c r="F561" s="96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A562" s="12"/>
      <c r="D562" s="95"/>
      <c r="E562" s="14"/>
      <c r="F562" s="96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A563" s="12"/>
      <c r="D563" s="95"/>
      <c r="E563" s="14"/>
      <c r="F563" s="96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A564" s="12"/>
      <c r="D564" s="95"/>
      <c r="E564" s="14"/>
      <c r="F564" s="96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A565" s="12"/>
      <c r="D565" s="95"/>
      <c r="E565" s="14"/>
      <c r="F565" s="96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A566" s="12"/>
      <c r="D566" s="95"/>
      <c r="E566" s="14"/>
      <c r="F566" s="96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A567" s="12"/>
      <c r="D567" s="95"/>
      <c r="E567" s="14"/>
      <c r="F567" s="96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A568" s="12"/>
      <c r="D568" s="95"/>
      <c r="E568" s="14"/>
      <c r="F568" s="96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A569" s="12"/>
      <c r="D569" s="95"/>
      <c r="E569" s="14"/>
      <c r="F569" s="96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A570" s="12"/>
      <c r="D570" s="95"/>
      <c r="E570" s="14"/>
      <c r="F570" s="96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A571" s="12"/>
      <c r="D571" s="95"/>
      <c r="E571" s="14"/>
      <c r="F571" s="96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A572" s="12"/>
      <c r="D572" s="95"/>
      <c r="E572" s="14"/>
      <c r="F572" s="96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A573" s="12"/>
      <c r="D573" s="95"/>
      <c r="E573" s="14"/>
      <c r="F573" s="96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A574" s="12"/>
      <c r="D574" s="95"/>
      <c r="E574" s="14"/>
      <c r="F574" s="96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A575" s="12"/>
      <c r="D575" s="95"/>
      <c r="E575" s="14"/>
      <c r="F575" s="96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A576" s="12"/>
      <c r="D576" s="95"/>
      <c r="E576" s="14"/>
      <c r="F576" s="96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A577" s="12"/>
      <c r="D577" s="95"/>
      <c r="E577" s="14"/>
      <c r="F577" s="96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A578" s="12"/>
      <c r="D578" s="95"/>
      <c r="E578" s="14"/>
      <c r="F578" s="96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A579" s="12"/>
      <c r="D579" s="95"/>
      <c r="E579" s="14"/>
      <c r="F579" s="96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A580" s="12"/>
      <c r="D580" s="95"/>
      <c r="E580" s="14"/>
      <c r="F580" s="96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A581" s="12"/>
      <c r="D581" s="95"/>
      <c r="E581" s="14"/>
      <c r="F581" s="96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A582" s="12"/>
      <c r="D582" s="95"/>
      <c r="E582" s="14"/>
      <c r="F582" s="96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A583" s="12"/>
      <c r="D583" s="95"/>
      <c r="E583" s="14"/>
      <c r="F583" s="96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A584" s="12"/>
      <c r="D584" s="95"/>
      <c r="E584" s="14"/>
      <c r="F584" s="96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A585" s="12"/>
      <c r="D585" s="95"/>
      <c r="E585" s="14"/>
      <c r="F585" s="96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A586" s="12"/>
      <c r="D586" s="95"/>
      <c r="E586" s="14"/>
      <c r="F586" s="96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A587" s="12"/>
      <c r="D587" s="95"/>
      <c r="E587" s="14"/>
      <c r="F587" s="96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A588" s="12"/>
      <c r="D588" s="95"/>
      <c r="E588" s="14"/>
      <c r="F588" s="96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A589" s="12"/>
      <c r="D589" s="95"/>
      <c r="E589" s="14"/>
      <c r="F589" s="96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A590" s="12"/>
      <c r="D590" s="95"/>
      <c r="E590" s="14"/>
      <c r="F590" s="96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A591" s="12"/>
      <c r="D591" s="95"/>
      <c r="E591" s="14"/>
      <c r="F591" s="96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A592" s="12"/>
      <c r="D592" s="95"/>
      <c r="E592" s="14"/>
      <c r="F592" s="96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A593" s="12"/>
      <c r="D593" s="95"/>
      <c r="E593" s="14"/>
      <c r="F593" s="96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A594" s="12"/>
      <c r="D594" s="95"/>
      <c r="E594" s="14"/>
      <c r="F594" s="96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A595" s="12"/>
      <c r="D595" s="95"/>
      <c r="E595" s="14"/>
      <c r="F595" s="96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A596" s="12"/>
      <c r="D596" s="95"/>
      <c r="E596" s="14"/>
      <c r="F596" s="96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A597" s="12"/>
      <c r="D597" s="95"/>
      <c r="E597" s="14"/>
      <c r="F597" s="96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A598" s="12"/>
      <c r="D598" s="95"/>
      <c r="E598" s="14"/>
      <c r="F598" s="96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A599" s="12"/>
      <c r="D599" s="95"/>
      <c r="E599" s="14"/>
      <c r="F599" s="96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A600" s="12"/>
      <c r="D600" s="95"/>
      <c r="E600" s="14"/>
      <c r="F600" s="96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A601" s="12"/>
      <c r="D601" s="95"/>
      <c r="E601" s="14"/>
      <c r="F601" s="96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A602" s="12"/>
      <c r="D602" s="95"/>
      <c r="E602" s="14"/>
      <c r="F602" s="96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A603" s="12"/>
      <c r="D603" s="95"/>
      <c r="E603" s="14"/>
      <c r="F603" s="96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A604" s="12"/>
      <c r="D604" s="95"/>
      <c r="E604" s="14"/>
      <c r="F604" s="96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A605" s="12"/>
      <c r="D605" s="95"/>
      <c r="E605" s="14"/>
      <c r="F605" s="96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A606" s="12"/>
      <c r="D606" s="95"/>
      <c r="E606" s="14"/>
      <c r="F606" s="96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A607" s="12"/>
      <c r="D607" s="95"/>
      <c r="E607" s="14"/>
      <c r="F607" s="96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A608" s="12"/>
      <c r="D608" s="95"/>
      <c r="E608" s="14"/>
      <c r="F608" s="96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A609" s="12"/>
      <c r="D609" s="95"/>
      <c r="E609" s="14"/>
      <c r="F609" s="96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A610" s="12"/>
      <c r="D610" s="95"/>
      <c r="E610" s="14"/>
      <c r="F610" s="96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A611" s="12"/>
      <c r="D611" s="95"/>
      <c r="E611" s="14"/>
      <c r="F611" s="96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A612" s="12"/>
      <c r="D612" s="95"/>
      <c r="E612" s="14"/>
      <c r="F612" s="96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A613" s="12"/>
      <c r="D613" s="95"/>
      <c r="E613" s="14"/>
      <c r="F613" s="96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A614" s="12"/>
      <c r="D614" s="95"/>
      <c r="E614" s="14"/>
      <c r="F614" s="96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A615" s="12"/>
      <c r="D615" s="95"/>
      <c r="E615" s="14"/>
      <c r="F615" s="96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A616" s="12"/>
      <c r="D616" s="95"/>
      <c r="E616" s="14"/>
      <c r="F616" s="96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A617" s="12"/>
      <c r="D617" s="95"/>
      <c r="E617" s="14"/>
      <c r="F617" s="96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A618" s="12"/>
      <c r="D618" s="95"/>
      <c r="E618" s="14"/>
      <c r="F618" s="96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A619" s="12"/>
      <c r="D619" s="95"/>
      <c r="E619" s="14"/>
      <c r="F619" s="96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A620" s="12"/>
      <c r="D620" s="95"/>
      <c r="E620" s="14"/>
      <c r="F620" s="96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A621" s="12"/>
      <c r="D621" s="95"/>
      <c r="E621" s="14"/>
      <c r="F621" s="96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A622" s="12"/>
      <c r="D622" s="95"/>
      <c r="E622" s="14"/>
      <c r="F622" s="96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A623" s="12"/>
      <c r="D623" s="95"/>
      <c r="E623" s="14"/>
      <c r="F623" s="96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A624" s="12"/>
      <c r="D624" s="95"/>
      <c r="E624" s="14"/>
      <c r="F624" s="96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A625" s="12"/>
      <c r="D625" s="95"/>
      <c r="E625" s="14"/>
      <c r="F625" s="96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A626" s="12"/>
      <c r="D626" s="95"/>
      <c r="E626" s="14"/>
      <c r="F626" s="96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A627" s="12"/>
      <c r="D627" s="95"/>
      <c r="E627" s="14"/>
      <c r="F627" s="96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A628" s="12"/>
      <c r="D628" s="95"/>
      <c r="E628" s="14"/>
      <c r="F628" s="96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A629" s="12"/>
      <c r="D629" s="95"/>
      <c r="E629" s="14"/>
      <c r="F629" s="96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A630" s="12"/>
      <c r="D630" s="95"/>
      <c r="E630" s="14"/>
      <c r="F630" s="96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A631" s="12"/>
      <c r="D631" s="95"/>
      <c r="E631" s="14"/>
      <c r="F631" s="96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A632" s="12"/>
      <c r="D632" s="95"/>
      <c r="E632" s="14"/>
      <c r="F632" s="96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A633" s="12"/>
      <c r="D633" s="95"/>
      <c r="E633" s="14"/>
      <c r="F633" s="96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A634" s="12"/>
      <c r="D634" s="95"/>
      <c r="E634" s="14"/>
      <c r="F634" s="96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A635" s="12"/>
      <c r="D635" s="95"/>
      <c r="E635" s="14"/>
      <c r="F635" s="96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A636" s="12"/>
      <c r="D636" s="95"/>
      <c r="E636" s="14"/>
      <c r="F636" s="96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A637" s="12"/>
      <c r="D637" s="95"/>
      <c r="E637" s="14"/>
      <c r="F637" s="96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A638" s="12"/>
      <c r="D638" s="95"/>
      <c r="E638" s="14"/>
      <c r="F638" s="96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A639" s="12"/>
      <c r="D639" s="95"/>
      <c r="E639" s="14"/>
      <c r="F639" s="96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A640" s="12"/>
      <c r="D640" s="95"/>
      <c r="E640" s="14"/>
      <c r="F640" s="96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A641" s="12"/>
      <c r="D641" s="95"/>
      <c r="E641" s="14"/>
      <c r="F641" s="96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A642" s="12"/>
      <c r="D642" s="95"/>
      <c r="E642" s="14"/>
      <c r="F642" s="96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A643" s="12"/>
      <c r="D643" s="95"/>
      <c r="E643" s="14"/>
      <c r="F643" s="96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A644" s="12"/>
      <c r="D644" s="95"/>
      <c r="E644" s="14"/>
      <c r="F644" s="96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A645" s="12"/>
      <c r="D645" s="95"/>
      <c r="E645" s="14"/>
      <c r="F645" s="96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A646" s="12"/>
      <c r="D646" s="95"/>
      <c r="E646" s="14"/>
      <c r="F646" s="96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A647" s="12"/>
      <c r="D647" s="95"/>
      <c r="E647" s="14"/>
      <c r="F647" s="96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A648" s="12"/>
      <c r="D648" s="95"/>
      <c r="E648" s="14"/>
      <c r="F648" s="96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A649" s="12"/>
      <c r="D649" s="95"/>
      <c r="E649" s="14"/>
      <c r="F649" s="96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A650" s="12"/>
      <c r="D650" s="95"/>
      <c r="E650" s="14"/>
      <c r="F650" s="96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A651" s="12"/>
      <c r="D651" s="95"/>
      <c r="E651" s="14"/>
      <c r="F651" s="96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A652" s="12"/>
      <c r="D652" s="95"/>
      <c r="E652" s="14"/>
      <c r="F652" s="96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A653" s="12"/>
      <c r="D653" s="95"/>
      <c r="E653" s="14"/>
      <c r="F653" s="96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A654" s="12"/>
      <c r="D654" s="95"/>
      <c r="E654" s="14"/>
      <c r="F654" s="96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A655" s="12"/>
      <c r="D655" s="95"/>
      <c r="E655" s="14"/>
      <c r="F655" s="96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A656" s="12"/>
      <c r="D656" s="95"/>
      <c r="E656" s="14"/>
      <c r="F656" s="96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A657" s="12"/>
      <c r="D657" s="95"/>
      <c r="E657" s="14"/>
      <c r="F657" s="96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A658" s="12"/>
      <c r="D658" s="95"/>
      <c r="E658" s="14"/>
      <c r="F658" s="96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A659" s="12"/>
      <c r="D659" s="95"/>
      <c r="E659" s="14"/>
      <c r="F659" s="96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A660" s="12"/>
      <c r="D660" s="95"/>
      <c r="E660" s="14"/>
      <c r="F660" s="96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A661" s="12"/>
      <c r="D661" s="95"/>
      <c r="E661" s="14"/>
      <c r="F661" s="96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A662" s="12"/>
      <c r="D662" s="95"/>
      <c r="E662" s="14"/>
      <c r="F662" s="96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A663" s="12"/>
      <c r="D663" s="95"/>
      <c r="E663" s="14"/>
      <c r="F663" s="96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A664" s="12"/>
      <c r="D664" s="95"/>
      <c r="E664" s="14"/>
      <c r="F664" s="96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A665" s="12"/>
      <c r="D665" s="95"/>
      <c r="E665" s="14"/>
      <c r="F665" s="96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A666" s="12"/>
      <c r="D666" s="95"/>
      <c r="E666" s="14"/>
      <c r="F666" s="96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A667" s="12"/>
      <c r="D667" s="95"/>
      <c r="E667" s="14"/>
      <c r="F667" s="96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A668" s="12"/>
      <c r="D668" s="95"/>
      <c r="E668" s="14"/>
      <c r="F668" s="96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A669" s="12"/>
      <c r="D669" s="95"/>
      <c r="E669" s="14"/>
      <c r="F669" s="96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A670" s="12"/>
      <c r="D670" s="95"/>
      <c r="E670" s="14"/>
      <c r="F670" s="96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A671" s="12"/>
      <c r="D671" s="95"/>
      <c r="E671" s="14"/>
      <c r="F671" s="96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A672" s="12"/>
      <c r="D672" s="95"/>
      <c r="E672" s="14"/>
      <c r="F672" s="96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A673" s="12"/>
      <c r="D673" s="95"/>
      <c r="E673" s="14"/>
      <c r="F673" s="96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A674" s="12"/>
      <c r="D674" s="95"/>
      <c r="E674" s="14"/>
      <c r="F674" s="96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A675" s="12"/>
      <c r="D675" s="95"/>
      <c r="E675" s="14"/>
      <c r="F675" s="96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A676" s="12"/>
      <c r="D676" s="95"/>
      <c r="E676" s="14"/>
      <c r="F676" s="96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A677" s="12"/>
      <c r="D677" s="95"/>
      <c r="E677" s="14"/>
      <c r="F677" s="96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A678" s="12"/>
      <c r="D678" s="95"/>
      <c r="E678" s="14"/>
      <c r="F678" s="96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A679" s="12"/>
      <c r="D679" s="95"/>
      <c r="E679" s="14"/>
      <c r="F679" s="96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A680" s="12"/>
      <c r="D680" s="95"/>
      <c r="E680" s="14"/>
      <c r="F680" s="96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A681" s="12"/>
      <c r="D681" s="95"/>
      <c r="E681" s="14"/>
      <c r="F681" s="96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A682" s="12"/>
      <c r="D682" s="95"/>
      <c r="E682" s="14"/>
      <c r="F682" s="96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A683" s="12"/>
      <c r="D683" s="95"/>
      <c r="E683" s="14"/>
      <c r="F683" s="96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A684" s="12"/>
      <c r="D684" s="95"/>
      <c r="E684" s="14"/>
      <c r="F684" s="96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A685" s="12"/>
      <c r="D685" s="95"/>
      <c r="E685" s="14"/>
      <c r="F685" s="96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A686" s="12"/>
      <c r="D686" s="95"/>
      <c r="E686" s="14"/>
      <c r="F686" s="96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A687" s="12"/>
      <c r="D687" s="95"/>
      <c r="E687" s="14"/>
      <c r="F687" s="96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A688" s="12"/>
      <c r="D688" s="95"/>
      <c r="E688" s="14"/>
      <c r="F688" s="96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A689" s="12"/>
      <c r="D689" s="95"/>
      <c r="E689" s="14"/>
      <c r="F689" s="96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A690" s="12"/>
      <c r="D690" s="95"/>
      <c r="E690" s="14"/>
      <c r="F690" s="96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A691" s="12"/>
      <c r="D691" s="95"/>
      <c r="E691" s="14"/>
      <c r="F691" s="96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A692" s="12"/>
      <c r="D692" s="95"/>
      <c r="E692" s="14"/>
      <c r="F692" s="96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A693" s="12"/>
      <c r="D693" s="95"/>
      <c r="E693" s="14"/>
      <c r="F693" s="96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A694" s="12"/>
      <c r="D694" s="95"/>
      <c r="E694" s="14"/>
      <c r="F694" s="96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A695" s="12"/>
      <c r="D695" s="95"/>
      <c r="E695" s="14"/>
      <c r="F695" s="96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A696" s="12"/>
      <c r="D696" s="95"/>
      <c r="E696" s="14"/>
      <c r="F696" s="96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A697" s="12"/>
      <c r="D697" s="95"/>
      <c r="E697" s="14"/>
      <c r="F697" s="96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A698" s="12"/>
      <c r="D698" s="95"/>
      <c r="E698" s="14"/>
      <c r="F698" s="96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A699" s="12"/>
      <c r="D699" s="95"/>
      <c r="E699" s="14"/>
      <c r="F699" s="96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A700" s="12"/>
      <c r="D700" s="95"/>
      <c r="E700" s="14"/>
      <c r="F700" s="96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A701" s="12"/>
      <c r="D701" s="95"/>
      <c r="E701" s="14"/>
      <c r="F701" s="96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A702" s="12"/>
      <c r="D702" s="95"/>
      <c r="E702" s="14"/>
      <c r="F702" s="96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A703" s="12"/>
      <c r="D703" s="95"/>
      <c r="E703" s="14"/>
      <c r="F703" s="96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A704" s="12"/>
      <c r="D704" s="95"/>
      <c r="E704" s="14"/>
      <c r="F704" s="96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A705" s="12"/>
      <c r="D705" s="95"/>
      <c r="E705" s="14"/>
      <c r="F705" s="96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A706" s="12"/>
      <c r="D706" s="95"/>
      <c r="E706" s="14"/>
      <c r="F706" s="96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A707" s="12"/>
      <c r="D707" s="95"/>
      <c r="E707" s="14"/>
      <c r="F707" s="96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A708" s="12"/>
      <c r="D708" s="95"/>
      <c r="E708" s="14"/>
      <c r="F708" s="96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A709" s="12"/>
      <c r="D709" s="95"/>
      <c r="E709" s="14"/>
      <c r="F709" s="96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A710" s="12"/>
      <c r="D710" s="95"/>
      <c r="E710" s="14"/>
      <c r="F710" s="96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A711" s="12"/>
      <c r="D711" s="95"/>
      <c r="E711" s="14"/>
      <c r="F711" s="96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A712" s="12"/>
      <c r="D712" s="95"/>
      <c r="E712" s="14"/>
      <c r="F712" s="96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A713" s="12"/>
      <c r="D713" s="95"/>
      <c r="E713" s="14"/>
      <c r="F713" s="96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A714" s="12"/>
      <c r="D714" s="95"/>
      <c r="E714" s="14"/>
      <c r="F714" s="96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A715" s="12"/>
      <c r="D715" s="95"/>
      <c r="E715" s="14"/>
      <c r="F715" s="96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A716" s="12"/>
      <c r="D716" s="95"/>
      <c r="E716" s="14"/>
      <c r="F716" s="96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A717" s="12"/>
      <c r="D717" s="95"/>
      <c r="E717" s="14"/>
      <c r="F717" s="96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A718" s="12"/>
      <c r="D718" s="95"/>
      <c r="E718" s="14"/>
      <c r="F718" s="96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A719" s="12"/>
      <c r="D719" s="95"/>
      <c r="E719" s="14"/>
      <c r="F719" s="96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A720" s="12"/>
      <c r="D720" s="95"/>
      <c r="E720" s="14"/>
      <c r="F720" s="96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A721" s="12"/>
      <c r="D721" s="95"/>
      <c r="E721" s="14"/>
      <c r="F721" s="96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A722" s="12"/>
      <c r="D722" s="95"/>
      <c r="E722" s="14"/>
      <c r="F722" s="96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A723" s="12"/>
      <c r="D723" s="95"/>
      <c r="E723" s="14"/>
      <c r="F723" s="96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A724" s="12"/>
      <c r="D724" s="95"/>
      <c r="E724" s="14"/>
      <c r="F724" s="96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A725" s="12"/>
      <c r="D725" s="95"/>
      <c r="E725" s="14"/>
      <c r="F725" s="96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A726" s="12"/>
      <c r="D726" s="95"/>
      <c r="E726" s="14"/>
      <c r="F726" s="96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A727" s="12"/>
      <c r="D727" s="95"/>
      <c r="E727" s="14"/>
      <c r="F727" s="96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A728" s="12"/>
      <c r="D728" s="95"/>
      <c r="E728" s="14"/>
      <c r="F728" s="96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A729" s="12"/>
      <c r="D729" s="95"/>
      <c r="E729" s="14"/>
      <c r="F729" s="96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A730" s="12"/>
      <c r="D730" s="95"/>
      <c r="E730" s="14"/>
      <c r="F730" s="96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A731" s="12"/>
      <c r="D731" s="95"/>
      <c r="E731" s="14"/>
      <c r="F731" s="96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A732" s="12"/>
      <c r="D732" s="95"/>
      <c r="E732" s="14"/>
      <c r="F732" s="96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A733" s="12"/>
      <c r="D733" s="95"/>
      <c r="E733" s="14"/>
      <c r="F733" s="96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A734" s="12"/>
      <c r="D734" s="95"/>
      <c r="E734" s="14"/>
      <c r="F734" s="96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A735" s="12"/>
      <c r="D735" s="95"/>
      <c r="E735" s="14"/>
      <c r="F735" s="96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A736" s="12"/>
      <c r="D736" s="95"/>
      <c r="E736" s="14"/>
      <c r="F736" s="96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A737" s="12"/>
      <c r="D737" s="95"/>
      <c r="E737" s="14"/>
      <c r="F737" s="96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A738" s="12"/>
      <c r="D738" s="95"/>
      <c r="E738" s="14"/>
      <c r="F738" s="96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A739" s="12"/>
      <c r="D739" s="95"/>
      <c r="E739" s="14"/>
      <c r="F739" s="96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A740" s="12"/>
      <c r="D740" s="95"/>
      <c r="E740" s="14"/>
      <c r="F740" s="96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A741" s="12"/>
      <c r="D741" s="95"/>
      <c r="E741" s="14"/>
      <c r="F741" s="96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A742" s="12"/>
      <c r="D742" s="95"/>
      <c r="E742" s="14"/>
      <c r="F742" s="96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A743" s="12"/>
      <c r="D743" s="95"/>
      <c r="E743" s="14"/>
      <c r="F743" s="96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A744" s="12"/>
      <c r="D744" s="95"/>
      <c r="E744" s="14"/>
      <c r="F744" s="96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A745" s="12"/>
      <c r="D745" s="95"/>
      <c r="E745" s="14"/>
      <c r="F745" s="96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A746" s="12"/>
      <c r="D746" s="95"/>
      <c r="E746" s="14"/>
      <c r="F746" s="96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A747" s="12"/>
      <c r="D747" s="95"/>
      <c r="E747" s="14"/>
      <c r="F747" s="96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A748" s="12"/>
      <c r="D748" s="95"/>
      <c r="E748" s="14"/>
      <c r="F748" s="96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A749" s="12"/>
      <c r="D749" s="95"/>
      <c r="E749" s="14"/>
      <c r="F749" s="96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A750" s="12"/>
      <c r="D750" s="95"/>
      <c r="E750" s="14"/>
      <c r="F750" s="96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A751" s="12"/>
      <c r="D751" s="95"/>
      <c r="E751" s="14"/>
      <c r="F751" s="96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A752" s="12"/>
      <c r="D752" s="95"/>
      <c r="E752" s="14"/>
      <c r="F752" s="96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A753" s="12"/>
      <c r="D753" s="95"/>
      <c r="E753" s="14"/>
      <c r="F753" s="96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A754" s="12"/>
      <c r="D754" s="95"/>
      <c r="E754" s="14"/>
      <c r="F754" s="96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A755" s="12"/>
      <c r="D755" s="95"/>
      <c r="E755" s="14"/>
      <c r="F755" s="96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A756" s="12"/>
      <c r="D756" s="95"/>
      <c r="E756" s="14"/>
      <c r="F756" s="96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A757" s="12"/>
      <c r="D757" s="95"/>
      <c r="E757" s="14"/>
      <c r="F757" s="96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A758" s="12"/>
      <c r="D758" s="95"/>
      <c r="E758" s="14"/>
      <c r="F758" s="96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A759" s="12"/>
      <c r="D759" s="95"/>
      <c r="E759" s="14"/>
      <c r="F759" s="96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A760" s="12"/>
      <c r="D760" s="95"/>
      <c r="E760" s="14"/>
      <c r="F760" s="96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A761" s="12"/>
      <c r="D761" s="95"/>
      <c r="E761" s="14"/>
      <c r="F761" s="96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A762" s="12"/>
      <c r="D762" s="95"/>
      <c r="E762" s="14"/>
      <c r="F762" s="96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A763" s="12"/>
      <c r="D763" s="95"/>
      <c r="E763" s="14"/>
      <c r="F763" s="96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A764" s="12"/>
      <c r="D764" s="95"/>
      <c r="E764" s="14"/>
      <c r="F764" s="96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A765" s="12"/>
      <c r="D765" s="95"/>
      <c r="E765" s="14"/>
      <c r="F765" s="96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A766" s="12"/>
      <c r="D766" s="95"/>
      <c r="E766" s="14"/>
      <c r="F766" s="96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A767" s="12"/>
      <c r="D767" s="95"/>
      <c r="E767" s="14"/>
      <c r="F767" s="96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A768" s="12"/>
      <c r="D768" s="95"/>
      <c r="E768" s="14"/>
      <c r="F768" s="96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A769" s="12"/>
      <c r="D769" s="95"/>
      <c r="E769" s="14"/>
      <c r="F769" s="96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A770" s="12"/>
      <c r="D770" s="95"/>
      <c r="E770" s="14"/>
      <c r="F770" s="96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A771" s="12"/>
      <c r="D771" s="95"/>
      <c r="E771" s="14"/>
      <c r="F771" s="96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A772" s="12"/>
      <c r="D772" s="95"/>
      <c r="E772" s="14"/>
      <c r="F772" s="96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A773" s="12"/>
      <c r="D773" s="95"/>
      <c r="E773" s="14"/>
      <c r="F773" s="96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A774" s="12"/>
      <c r="D774" s="95"/>
      <c r="E774" s="14"/>
      <c r="F774" s="96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A775" s="12"/>
      <c r="D775" s="95"/>
      <c r="E775" s="14"/>
      <c r="F775" s="96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A776" s="12"/>
      <c r="D776" s="95"/>
      <c r="E776" s="14"/>
      <c r="F776" s="96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A777" s="12"/>
      <c r="D777" s="95"/>
      <c r="E777" s="14"/>
      <c r="F777" s="96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A778" s="12"/>
      <c r="D778" s="95"/>
      <c r="E778" s="14"/>
      <c r="F778" s="96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A779" s="12"/>
      <c r="D779" s="95"/>
      <c r="E779" s="14"/>
      <c r="F779" s="96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A780" s="12"/>
      <c r="D780" s="95"/>
      <c r="E780" s="14"/>
      <c r="F780" s="96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A781" s="12"/>
      <c r="D781" s="95"/>
      <c r="E781" s="14"/>
      <c r="F781" s="96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A782" s="12"/>
      <c r="D782" s="95"/>
      <c r="E782" s="14"/>
      <c r="F782" s="96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A783" s="12"/>
      <c r="D783" s="95"/>
      <c r="E783" s="14"/>
      <c r="F783" s="96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A784" s="12"/>
      <c r="D784" s="95"/>
      <c r="E784" s="14"/>
      <c r="F784" s="96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A785" s="12"/>
      <c r="D785" s="95"/>
      <c r="E785" s="14"/>
      <c r="F785" s="96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A786" s="12"/>
      <c r="D786" s="95"/>
      <c r="E786" s="14"/>
      <c r="F786" s="96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A787" s="12"/>
      <c r="D787" s="95"/>
      <c r="E787" s="14"/>
      <c r="F787" s="96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A788" s="12"/>
      <c r="D788" s="95"/>
      <c r="E788" s="14"/>
      <c r="F788" s="96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A789" s="12"/>
      <c r="D789" s="95"/>
      <c r="E789" s="14"/>
      <c r="F789" s="96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A790" s="12"/>
      <c r="D790" s="95"/>
      <c r="E790" s="14"/>
      <c r="F790" s="96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A791" s="12"/>
      <c r="D791" s="95"/>
      <c r="E791" s="14"/>
      <c r="F791" s="96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A792" s="12"/>
      <c r="D792" s="95"/>
      <c r="E792" s="14"/>
      <c r="F792" s="96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A793" s="12"/>
      <c r="D793" s="95"/>
      <c r="E793" s="14"/>
      <c r="F793" s="96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A794" s="12"/>
      <c r="D794" s="95"/>
      <c r="E794" s="14"/>
      <c r="F794" s="96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A795" s="12"/>
      <c r="D795" s="95"/>
      <c r="E795" s="14"/>
      <c r="F795" s="96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A796" s="12"/>
      <c r="D796" s="95"/>
      <c r="E796" s="14"/>
      <c r="F796" s="96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A797" s="12"/>
      <c r="D797" s="95"/>
      <c r="E797" s="14"/>
      <c r="F797" s="96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A798" s="12"/>
      <c r="D798" s="95"/>
      <c r="E798" s="14"/>
      <c r="F798" s="96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A799" s="12"/>
      <c r="D799" s="95"/>
      <c r="E799" s="14"/>
      <c r="F799" s="96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A800" s="12"/>
      <c r="D800" s="95"/>
      <c r="E800" s="14"/>
      <c r="F800" s="96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A801" s="12"/>
      <c r="D801" s="95"/>
      <c r="E801" s="14"/>
      <c r="F801" s="96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A802" s="12"/>
      <c r="D802" s="95"/>
      <c r="E802" s="14"/>
      <c r="F802" s="96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A803" s="12"/>
      <c r="D803" s="95"/>
      <c r="E803" s="14"/>
      <c r="F803" s="96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A804" s="12"/>
      <c r="D804" s="95"/>
      <c r="E804" s="14"/>
      <c r="F804" s="96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A805" s="12"/>
      <c r="D805" s="95"/>
      <c r="E805" s="14"/>
      <c r="F805" s="96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A806" s="12"/>
      <c r="D806" s="95"/>
      <c r="E806" s="14"/>
      <c r="F806" s="96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A807" s="12"/>
      <c r="D807" s="95"/>
      <c r="E807" s="14"/>
      <c r="F807" s="96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A808" s="12"/>
      <c r="D808" s="95"/>
      <c r="E808" s="14"/>
      <c r="F808" s="96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A809" s="12"/>
      <c r="D809" s="95"/>
      <c r="E809" s="14"/>
      <c r="F809" s="96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A810" s="12"/>
      <c r="D810" s="95"/>
      <c r="E810" s="14"/>
      <c r="F810" s="96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A811" s="12"/>
      <c r="D811" s="95"/>
      <c r="E811" s="14"/>
      <c r="F811" s="96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A812" s="12"/>
      <c r="D812" s="95"/>
      <c r="E812" s="14"/>
      <c r="F812" s="96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A813" s="12"/>
      <c r="D813" s="95"/>
      <c r="E813" s="14"/>
      <c r="F813" s="96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A814" s="12"/>
      <c r="D814" s="95"/>
      <c r="E814" s="14"/>
      <c r="F814" s="96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A815" s="12"/>
      <c r="D815" s="95"/>
      <c r="E815" s="14"/>
      <c r="F815" s="96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A816" s="12"/>
      <c r="D816" s="95"/>
      <c r="E816" s="14"/>
      <c r="F816" s="96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A817" s="12"/>
      <c r="D817" s="95"/>
      <c r="E817" s="14"/>
      <c r="F817" s="96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A818" s="12"/>
      <c r="D818" s="95"/>
      <c r="E818" s="14"/>
      <c r="F818" s="96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A819" s="12"/>
      <c r="D819" s="95"/>
      <c r="E819" s="14"/>
      <c r="F819" s="96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A820" s="12"/>
      <c r="D820" s="95"/>
      <c r="E820" s="14"/>
      <c r="F820" s="96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A821" s="12"/>
      <c r="D821" s="95"/>
      <c r="E821" s="14"/>
      <c r="F821" s="96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A822" s="12"/>
      <c r="D822" s="95"/>
      <c r="E822" s="14"/>
      <c r="F822" s="96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A823" s="12"/>
      <c r="D823" s="95"/>
      <c r="E823" s="14"/>
      <c r="F823" s="96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A824" s="12"/>
      <c r="D824" s="95"/>
      <c r="E824" s="14"/>
      <c r="F824" s="96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A825" s="12"/>
      <c r="D825" s="95"/>
      <c r="E825" s="14"/>
      <c r="F825" s="96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A826" s="12"/>
      <c r="D826" s="95"/>
      <c r="E826" s="14"/>
      <c r="F826" s="96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A827" s="12"/>
      <c r="D827" s="95"/>
      <c r="E827" s="14"/>
      <c r="F827" s="96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A828" s="12"/>
      <c r="D828" s="95"/>
      <c r="E828" s="14"/>
      <c r="F828" s="96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A829" s="12"/>
      <c r="D829" s="95"/>
      <c r="E829" s="14"/>
      <c r="F829" s="96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A830" s="12"/>
      <c r="D830" s="95"/>
      <c r="E830" s="14"/>
      <c r="F830" s="96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A831" s="12"/>
      <c r="D831" s="95"/>
      <c r="E831" s="14"/>
      <c r="F831" s="96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A832" s="12"/>
      <c r="D832" s="95"/>
      <c r="E832" s="14"/>
      <c r="F832" s="96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A833" s="12"/>
      <c r="D833" s="95"/>
      <c r="E833" s="14"/>
      <c r="F833" s="96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A834" s="12"/>
      <c r="D834" s="95"/>
      <c r="E834" s="14"/>
      <c r="F834" s="96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A835" s="12"/>
      <c r="D835" s="95"/>
      <c r="E835" s="14"/>
      <c r="F835" s="96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A836" s="12"/>
      <c r="D836" s="95"/>
      <c r="E836" s="14"/>
      <c r="F836" s="96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A837" s="12"/>
      <c r="D837" s="95"/>
      <c r="E837" s="14"/>
      <c r="F837" s="96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A838" s="12"/>
      <c r="D838" s="95"/>
      <c r="E838" s="14"/>
      <c r="F838" s="96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A839" s="12"/>
      <c r="D839" s="95"/>
      <c r="E839" s="14"/>
      <c r="F839" s="96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A840" s="12"/>
      <c r="D840" s="95"/>
      <c r="E840" s="14"/>
      <c r="F840" s="96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A841" s="12"/>
      <c r="D841" s="95"/>
      <c r="E841" s="14"/>
      <c r="F841" s="96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A842" s="12"/>
      <c r="D842" s="95"/>
      <c r="E842" s="14"/>
      <c r="F842" s="96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A843" s="12"/>
      <c r="D843" s="95"/>
      <c r="E843" s="14"/>
      <c r="F843" s="96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A844" s="12"/>
      <c r="D844" s="95"/>
      <c r="E844" s="14"/>
      <c r="F844" s="96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A845" s="12"/>
      <c r="D845" s="95"/>
      <c r="E845" s="14"/>
      <c r="F845" s="96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A846" s="12"/>
      <c r="D846" s="95"/>
      <c r="E846" s="14"/>
      <c r="F846" s="96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A847" s="12"/>
      <c r="D847" s="95"/>
      <c r="E847" s="14"/>
      <c r="F847" s="96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A848" s="12"/>
      <c r="D848" s="95"/>
      <c r="E848" s="14"/>
      <c r="F848" s="96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A849" s="12"/>
      <c r="D849" s="95"/>
      <c r="E849" s="14"/>
      <c r="F849" s="96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A850" s="12"/>
      <c r="D850" s="95"/>
      <c r="E850" s="14"/>
      <c r="F850" s="96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A851" s="12"/>
      <c r="D851" s="95"/>
      <c r="E851" s="14"/>
      <c r="F851" s="96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A852" s="12"/>
      <c r="D852" s="95"/>
      <c r="E852" s="14"/>
      <c r="F852" s="96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A853" s="12"/>
      <c r="D853" s="95"/>
      <c r="E853" s="14"/>
      <c r="F853" s="96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A854" s="12"/>
      <c r="D854" s="95"/>
      <c r="E854" s="14"/>
      <c r="F854" s="96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A855" s="12"/>
      <c r="D855" s="95"/>
      <c r="E855" s="14"/>
      <c r="F855" s="96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A856" s="12"/>
      <c r="D856" s="95"/>
      <c r="E856" s="14"/>
      <c r="F856" s="96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A857" s="12"/>
      <c r="D857" s="95"/>
      <c r="E857" s="14"/>
      <c r="F857" s="96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A858" s="12"/>
      <c r="D858" s="95"/>
      <c r="E858" s="14"/>
      <c r="F858" s="96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A859" s="12"/>
      <c r="D859" s="95"/>
      <c r="E859" s="14"/>
      <c r="F859" s="96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A860" s="12"/>
      <c r="D860" s="95"/>
      <c r="E860" s="14"/>
      <c r="F860" s="96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A861" s="12"/>
      <c r="D861" s="95"/>
      <c r="E861" s="14"/>
      <c r="F861" s="96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A862" s="12"/>
      <c r="D862" s="95"/>
      <c r="E862" s="14"/>
      <c r="F862" s="96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A863" s="12"/>
      <c r="D863" s="95"/>
      <c r="E863" s="14"/>
      <c r="F863" s="96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A864" s="12"/>
      <c r="D864" s="95"/>
      <c r="E864" s="14"/>
      <c r="F864" s="96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A865" s="12"/>
      <c r="D865" s="95"/>
      <c r="E865" s="14"/>
      <c r="F865" s="96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A866" s="12"/>
      <c r="D866" s="95"/>
      <c r="E866" s="14"/>
      <c r="F866" s="96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A867" s="12"/>
      <c r="D867" s="95"/>
      <c r="E867" s="14"/>
      <c r="F867" s="96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A868" s="12"/>
      <c r="D868" s="95"/>
      <c r="E868" s="14"/>
      <c r="F868" s="96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A869" s="12"/>
      <c r="D869" s="95"/>
      <c r="E869" s="14"/>
      <c r="F869" s="96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A870" s="12"/>
      <c r="D870" s="95"/>
      <c r="E870" s="14"/>
      <c r="F870" s="96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A871" s="12"/>
      <c r="D871" s="95"/>
      <c r="E871" s="14"/>
      <c r="F871" s="96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A872" s="12"/>
      <c r="D872" s="95"/>
      <c r="E872" s="14"/>
      <c r="F872" s="96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A873" s="12"/>
      <c r="D873" s="95"/>
      <c r="E873" s="14"/>
      <c r="F873" s="96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A874" s="12"/>
      <c r="D874" s="95"/>
      <c r="E874" s="14"/>
      <c r="F874" s="96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A875" s="12"/>
      <c r="D875" s="95"/>
      <c r="E875" s="14"/>
      <c r="F875" s="96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A876" s="12"/>
      <c r="D876" s="95"/>
      <c r="E876" s="14"/>
      <c r="F876" s="96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A877" s="12"/>
      <c r="D877" s="95"/>
      <c r="E877" s="14"/>
      <c r="F877" s="96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A878" s="12"/>
      <c r="D878" s="95"/>
      <c r="E878" s="14"/>
      <c r="F878" s="96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A879" s="12"/>
      <c r="D879" s="95"/>
      <c r="E879" s="14"/>
      <c r="F879" s="96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A880" s="12"/>
      <c r="D880" s="95"/>
      <c r="E880" s="14"/>
      <c r="F880" s="96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A881" s="12"/>
      <c r="D881" s="95"/>
      <c r="E881" s="14"/>
      <c r="F881" s="96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A882" s="12"/>
      <c r="D882" s="95"/>
      <c r="E882" s="14"/>
      <c r="F882" s="96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A883" s="12"/>
      <c r="D883" s="95"/>
      <c r="E883" s="14"/>
      <c r="F883" s="96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A884" s="12"/>
      <c r="D884" s="95"/>
      <c r="E884" s="14"/>
      <c r="F884" s="96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A885" s="12"/>
      <c r="D885" s="95"/>
      <c r="E885" s="14"/>
      <c r="F885" s="96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A886" s="12"/>
      <c r="D886" s="95"/>
      <c r="E886" s="14"/>
      <c r="F886" s="96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A887" s="12"/>
      <c r="D887" s="95"/>
      <c r="E887" s="14"/>
      <c r="F887" s="96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A888" s="12"/>
      <c r="D888" s="95"/>
      <c r="E888" s="14"/>
      <c r="F888" s="96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A889" s="12"/>
      <c r="D889" s="95"/>
      <c r="E889" s="14"/>
      <c r="F889" s="96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A890" s="12"/>
      <c r="D890" s="95"/>
      <c r="E890" s="14"/>
      <c r="F890" s="96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A891" s="12"/>
      <c r="D891" s="95"/>
      <c r="E891" s="14"/>
      <c r="F891" s="96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A892" s="12"/>
      <c r="D892" s="95"/>
      <c r="E892" s="14"/>
      <c r="F892" s="96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A893" s="12"/>
      <c r="D893" s="95"/>
      <c r="E893" s="14"/>
      <c r="F893" s="96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A894" s="12"/>
      <c r="D894" s="95"/>
      <c r="E894" s="14"/>
      <c r="F894" s="96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A895" s="12"/>
      <c r="D895" s="95"/>
      <c r="E895" s="14"/>
      <c r="F895" s="96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A896" s="12"/>
      <c r="D896" s="95"/>
      <c r="E896" s="14"/>
      <c r="F896" s="96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A897" s="12"/>
      <c r="D897" s="95"/>
      <c r="E897" s="14"/>
      <c r="F897" s="96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A898" s="12"/>
      <c r="D898" s="95"/>
      <c r="E898" s="14"/>
      <c r="F898" s="96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A899" s="12"/>
      <c r="D899" s="95"/>
      <c r="E899" s="14"/>
      <c r="F899" s="96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A900" s="12"/>
      <c r="D900" s="95"/>
      <c r="E900" s="14"/>
      <c r="F900" s="96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A901" s="12"/>
      <c r="D901" s="95"/>
      <c r="E901" s="14"/>
      <c r="F901" s="96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A902" s="12"/>
      <c r="D902" s="95"/>
      <c r="E902" s="14"/>
      <c r="F902" s="96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A903" s="12"/>
      <c r="D903" s="95"/>
      <c r="E903" s="14"/>
      <c r="F903" s="96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A904" s="12"/>
      <c r="D904" s="95"/>
      <c r="E904" s="14"/>
      <c r="F904" s="96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A905" s="12"/>
      <c r="D905" s="95"/>
      <c r="E905" s="14"/>
      <c r="F905" s="96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A906" s="12"/>
      <c r="D906" s="95"/>
      <c r="E906" s="14"/>
      <c r="F906" s="96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A907" s="12"/>
      <c r="D907" s="95"/>
      <c r="E907" s="14"/>
      <c r="F907" s="96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A908" s="12"/>
      <c r="D908" s="95"/>
      <c r="E908" s="14"/>
      <c r="F908" s="96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A909" s="12"/>
      <c r="D909" s="95"/>
      <c r="E909" s="14"/>
      <c r="F909" s="96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A910" s="12"/>
      <c r="D910" s="95"/>
      <c r="E910" s="14"/>
      <c r="F910" s="96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A911" s="12"/>
      <c r="D911" s="95"/>
      <c r="E911" s="14"/>
      <c r="F911" s="96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A912" s="12"/>
      <c r="D912" s="95"/>
      <c r="E912" s="14"/>
      <c r="F912" s="96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A913" s="12"/>
      <c r="D913" s="95"/>
      <c r="E913" s="14"/>
      <c r="F913" s="96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A914" s="12"/>
      <c r="D914" s="95"/>
      <c r="E914" s="14"/>
      <c r="F914" s="96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A915" s="12"/>
      <c r="D915" s="95"/>
      <c r="E915" s="14"/>
      <c r="F915" s="96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A916" s="12"/>
      <c r="D916" s="95"/>
      <c r="E916" s="14"/>
      <c r="F916" s="96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A917" s="12"/>
      <c r="D917" s="95"/>
      <c r="E917" s="14"/>
      <c r="F917" s="96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A918" s="12"/>
      <c r="D918" s="95"/>
      <c r="E918" s="14"/>
      <c r="F918" s="96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A919" s="12"/>
      <c r="D919" s="95"/>
      <c r="E919" s="14"/>
      <c r="F919" s="96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A920" s="12"/>
      <c r="D920" s="95"/>
      <c r="E920" s="14"/>
      <c r="F920" s="96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A921" s="12"/>
      <c r="D921" s="95"/>
      <c r="E921" s="14"/>
      <c r="F921" s="96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A922" s="12"/>
      <c r="D922" s="95"/>
      <c r="E922" s="14"/>
      <c r="F922" s="96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A923" s="12"/>
      <c r="D923" s="95"/>
      <c r="E923" s="14"/>
      <c r="F923" s="96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A924" s="12"/>
      <c r="D924" s="95"/>
      <c r="E924" s="14"/>
      <c r="F924" s="96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A925" s="12"/>
      <c r="D925" s="95"/>
      <c r="E925" s="14"/>
      <c r="F925" s="96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A926" s="12"/>
      <c r="D926" s="95"/>
      <c r="E926" s="14"/>
      <c r="F926" s="96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A927" s="12"/>
      <c r="D927" s="95"/>
      <c r="E927" s="14"/>
      <c r="F927" s="96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A928" s="12"/>
      <c r="D928" s="95"/>
      <c r="E928" s="14"/>
      <c r="F928" s="96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A929" s="12"/>
      <c r="D929" s="95"/>
      <c r="E929" s="14"/>
      <c r="F929" s="96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A930" s="12"/>
      <c r="D930" s="95"/>
      <c r="E930" s="14"/>
      <c r="F930" s="96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A931" s="12"/>
      <c r="D931" s="95"/>
      <c r="E931" s="14"/>
      <c r="F931" s="96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A932" s="12"/>
      <c r="D932" s="95"/>
      <c r="E932" s="14"/>
      <c r="F932" s="96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A933" s="12"/>
      <c r="D933" s="95"/>
      <c r="E933" s="14"/>
      <c r="F933" s="96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A934" s="12"/>
      <c r="D934" s="95"/>
      <c r="E934" s="14"/>
      <c r="F934" s="96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A935" s="12"/>
      <c r="D935" s="95"/>
      <c r="E935" s="14"/>
      <c r="F935" s="96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A936" s="12"/>
      <c r="D936" s="95"/>
      <c r="E936" s="14"/>
      <c r="F936" s="96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A937" s="12"/>
      <c r="D937" s="95"/>
      <c r="E937" s="14"/>
      <c r="F937" s="96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A938" s="12"/>
      <c r="D938" s="95"/>
      <c r="E938" s="14"/>
      <c r="F938" s="96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A939" s="12"/>
      <c r="D939" s="95"/>
      <c r="E939" s="14"/>
      <c r="F939" s="96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A940" s="12"/>
      <c r="D940" s="95"/>
      <c r="E940" s="14"/>
      <c r="F940" s="96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A941" s="12"/>
      <c r="D941" s="95"/>
      <c r="E941" s="14"/>
      <c r="F941" s="96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A942" s="12"/>
      <c r="D942" s="95"/>
      <c r="E942" s="14"/>
      <c r="F942" s="96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A943" s="12"/>
      <c r="D943" s="95"/>
      <c r="E943" s="14"/>
      <c r="F943" s="96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A944" s="12"/>
      <c r="D944" s="95"/>
      <c r="E944" s="14"/>
      <c r="F944" s="96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A945" s="12"/>
      <c r="D945" s="95"/>
      <c r="E945" s="14"/>
      <c r="F945" s="96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A946" s="12"/>
      <c r="D946" s="95"/>
      <c r="E946" s="14"/>
      <c r="F946" s="96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A947" s="12"/>
      <c r="D947" s="95"/>
      <c r="E947" s="14"/>
      <c r="F947" s="96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A948" s="12"/>
      <c r="D948" s="95"/>
      <c r="E948" s="14"/>
      <c r="F948" s="96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A949" s="12"/>
      <c r="D949" s="95"/>
      <c r="E949" s="14"/>
      <c r="F949" s="96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A950" s="12"/>
      <c r="D950" s="95"/>
      <c r="E950" s="14"/>
      <c r="F950" s="96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A951" s="12"/>
      <c r="D951" s="95"/>
      <c r="E951" s="14"/>
      <c r="F951" s="96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A952" s="12"/>
      <c r="D952" s="95"/>
      <c r="E952" s="14"/>
      <c r="F952" s="96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A953" s="12"/>
      <c r="D953" s="95"/>
      <c r="E953" s="14"/>
      <c r="F953" s="96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A954" s="12"/>
      <c r="D954" s="95"/>
      <c r="E954" s="14"/>
      <c r="F954" s="96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A955" s="12"/>
      <c r="D955" s="95"/>
      <c r="E955" s="14"/>
      <c r="F955" s="96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A956" s="12"/>
      <c r="D956" s="95"/>
      <c r="E956" s="14"/>
      <c r="F956" s="96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A957" s="12"/>
      <c r="D957" s="95"/>
      <c r="E957" s="14"/>
      <c r="F957" s="96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A958" s="12"/>
      <c r="D958" s="95"/>
      <c r="E958" s="14"/>
      <c r="F958" s="96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A959" s="12"/>
      <c r="D959" s="95"/>
      <c r="E959" s="14"/>
      <c r="F959" s="96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A960" s="12"/>
      <c r="D960" s="95"/>
      <c r="E960" s="14"/>
      <c r="F960" s="96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A961" s="12"/>
      <c r="D961" s="95"/>
      <c r="E961" s="14"/>
      <c r="F961" s="96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A962" s="12"/>
      <c r="D962" s="95"/>
      <c r="E962" s="14"/>
      <c r="F962" s="96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A963" s="12"/>
      <c r="D963" s="95"/>
      <c r="E963" s="14"/>
      <c r="F963" s="96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A964" s="12"/>
      <c r="D964" s="95"/>
      <c r="E964" s="14"/>
      <c r="F964" s="96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A965" s="12"/>
      <c r="D965" s="95"/>
      <c r="E965" s="14"/>
      <c r="F965" s="96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A966" s="12"/>
      <c r="D966" s="95"/>
      <c r="E966" s="14"/>
      <c r="F966" s="96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A967" s="12"/>
      <c r="D967" s="95"/>
      <c r="E967" s="14"/>
      <c r="F967" s="96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A968" s="12"/>
      <c r="D968" s="95"/>
      <c r="E968" s="14"/>
      <c r="F968" s="96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A969" s="12"/>
      <c r="D969" s="95"/>
      <c r="E969" s="14"/>
      <c r="F969" s="96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A970" s="12"/>
      <c r="D970" s="95"/>
      <c r="E970" s="14"/>
      <c r="F970" s="96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A971" s="12"/>
      <c r="D971" s="95"/>
      <c r="E971" s="14"/>
      <c r="F971" s="96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A972" s="12"/>
      <c r="D972" s="95"/>
      <c r="E972" s="14"/>
      <c r="F972" s="96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A973" s="12"/>
      <c r="D973" s="95"/>
      <c r="E973" s="14"/>
      <c r="F973" s="96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A974" s="12"/>
      <c r="D974" s="95"/>
      <c r="E974" s="14"/>
      <c r="F974" s="96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A975" s="12"/>
      <c r="D975" s="95"/>
      <c r="E975" s="14"/>
      <c r="F975" s="96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A976" s="12"/>
      <c r="D976" s="95"/>
      <c r="E976" s="14"/>
      <c r="F976" s="96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A977" s="12"/>
      <c r="D977" s="95"/>
      <c r="E977" s="14"/>
      <c r="F977" s="96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A978" s="12"/>
      <c r="D978" s="95"/>
      <c r="E978" s="14"/>
      <c r="F978" s="96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A979" s="12"/>
      <c r="D979" s="95"/>
      <c r="E979" s="14"/>
      <c r="F979" s="96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A980" s="12"/>
      <c r="D980" s="95"/>
      <c r="E980" s="14"/>
      <c r="F980" s="96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A981" s="12"/>
      <c r="D981" s="95"/>
      <c r="E981" s="14"/>
      <c r="F981" s="96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A982" s="12"/>
      <c r="D982" s="95"/>
      <c r="E982" s="14"/>
      <c r="F982" s="96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A983" s="12"/>
      <c r="D983" s="95"/>
      <c r="E983" s="14"/>
      <c r="F983" s="96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A984" s="12"/>
      <c r="D984" s="95"/>
      <c r="E984" s="14"/>
      <c r="F984" s="96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A985" s="12"/>
      <c r="D985" s="95"/>
      <c r="E985" s="14"/>
      <c r="F985" s="96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A986" s="12"/>
      <c r="D986" s="95"/>
      <c r="E986" s="14"/>
      <c r="F986" s="96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A987" s="12"/>
      <c r="D987" s="95"/>
      <c r="E987" s="14"/>
      <c r="F987" s="96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A988" s="12"/>
      <c r="D988" s="95"/>
      <c r="E988" s="14"/>
      <c r="F988" s="96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A989" s="12"/>
      <c r="D989" s="95"/>
      <c r="E989" s="14"/>
      <c r="F989" s="96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A990" s="12"/>
      <c r="D990" s="95"/>
      <c r="E990" s="14"/>
      <c r="F990" s="96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A991" s="12"/>
      <c r="D991" s="95"/>
      <c r="E991" s="14"/>
      <c r="F991" s="96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A992" s="12"/>
      <c r="D992" s="95"/>
      <c r="E992" s="14"/>
      <c r="F992" s="96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A993" s="12"/>
      <c r="D993" s="95"/>
      <c r="E993" s="14"/>
      <c r="F993" s="96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A994" s="12"/>
      <c r="D994" s="95"/>
      <c r="E994" s="14"/>
      <c r="F994" s="96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A995" s="12"/>
      <c r="D995" s="95"/>
      <c r="E995" s="14"/>
      <c r="F995" s="96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A996" s="12"/>
      <c r="D996" s="95"/>
      <c r="E996" s="14"/>
      <c r="F996" s="96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A997" s="12"/>
      <c r="D997" s="95"/>
      <c r="E997" s="14"/>
      <c r="F997" s="96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A998" s="12"/>
      <c r="D998" s="95"/>
      <c r="E998" s="14"/>
      <c r="F998" s="96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A999" s="12"/>
      <c r="D999" s="95"/>
      <c r="E999" s="14"/>
      <c r="F999" s="96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A1000" s="12"/>
      <c r="D1000" s="95"/>
      <c r="E1000" s="14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</sheetData>
  <conditionalFormatting sqref="H2:Q30">
    <cfRule type="cellIs" dxfId="23" priority="1" operator="equal">
      <formula>0</formula>
    </cfRule>
  </conditionalFormatting>
  <conditionalFormatting sqref="H2:H30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0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0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0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0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0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P30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0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Q2:Q30">
    <cfRule type="colorScale" priority="11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6:C4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6:F4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3">
      <formula1>OR(NOT(ISERROR(DATEVALUE(F33))), AND(ISNUMBER(F33), LEFT(CELL("format", F33))="D"))</formula1>
    </dataValidation>
    <dataValidation type="list" allowBlank="1" showDropDown="1" sqref="C2:C30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8.13"/>
    <col customWidth="1" min="3" max="3" width="14.5"/>
    <col customWidth="1" min="4" max="4" width="35.13"/>
    <col customWidth="1" min="5" max="5" width="9.25"/>
    <col customWidth="1" min="6" max="6" width="33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634" t="s">
        <v>48</v>
      </c>
      <c r="B1" s="635" t="s">
        <v>49</v>
      </c>
      <c r="C1" s="635" t="s">
        <v>50</v>
      </c>
      <c r="D1" s="636" t="s">
        <v>56</v>
      </c>
      <c r="E1" s="634" t="s">
        <v>57</v>
      </c>
      <c r="F1" s="637" t="s">
        <v>52</v>
      </c>
      <c r="G1" s="638" t="s">
        <v>53</v>
      </c>
      <c r="H1" s="634" t="s">
        <v>4</v>
      </c>
      <c r="I1" s="634" t="s">
        <v>58</v>
      </c>
      <c r="J1" s="634" t="s">
        <v>59</v>
      </c>
      <c r="K1" s="634" t="s">
        <v>60</v>
      </c>
      <c r="L1" s="634" t="s">
        <v>61</v>
      </c>
      <c r="M1" s="634" t="s">
        <v>62</v>
      </c>
      <c r="N1" s="634" t="s">
        <v>63</v>
      </c>
      <c r="O1" s="639" t="s">
        <v>64</v>
      </c>
      <c r="P1" s="634" t="s">
        <v>65</v>
      </c>
    </row>
    <row r="2" ht="22.5" customHeight="1">
      <c r="A2" s="640">
        <v>1.0</v>
      </c>
      <c r="B2" s="641" t="s">
        <v>999</v>
      </c>
      <c r="C2" s="642" t="s">
        <v>67</v>
      </c>
      <c r="D2" s="643" t="s">
        <v>455</v>
      </c>
      <c r="E2" s="644" t="str">
        <f>IMAGE("https://flagcdn.com/w320/ch.png")</f>
        <v/>
      </c>
      <c r="F2" s="645">
        <v>32494.0</v>
      </c>
      <c r="G2" s="646">
        <f t="shared" ref="G2:G29" si="1">DATEDIF(F2,TODAY(),"Y")</f>
        <v>37</v>
      </c>
      <c r="H2" s="647">
        <f>1+1+1+1+1+1+1</f>
        <v>7</v>
      </c>
      <c r="I2" s="647">
        <f>90+90+90+90+90+90+90</f>
        <v>630</v>
      </c>
      <c r="J2" s="647"/>
      <c r="K2" s="647"/>
      <c r="L2" s="647"/>
      <c r="M2" s="647"/>
      <c r="N2" s="647">
        <f>1+1+1</f>
        <v>3</v>
      </c>
      <c r="O2" s="647">
        <f t="shared" ref="O2:O29" si="2">J2+K2</f>
        <v>0</v>
      </c>
      <c r="P2" s="647"/>
    </row>
    <row r="3" ht="22.5" customHeight="1">
      <c r="A3" s="640">
        <v>2.0</v>
      </c>
      <c r="B3" s="641" t="s">
        <v>1000</v>
      </c>
      <c r="C3" s="642" t="s">
        <v>70</v>
      </c>
      <c r="D3" s="643" t="s">
        <v>1001</v>
      </c>
      <c r="E3" s="644" t="str">
        <f t="shared" ref="E3:E4" si="3">IMAGE("https://flagcdn.com/w320/nl.png")</f>
        <v/>
      </c>
      <c r="F3" s="645">
        <v>35173.0</v>
      </c>
      <c r="G3" s="646">
        <f t="shared" si="1"/>
        <v>29</v>
      </c>
      <c r="H3" s="647">
        <f>1+1+1+1</f>
        <v>4</v>
      </c>
      <c r="I3" s="647">
        <f>90+75+76+90</f>
        <v>331</v>
      </c>
      <c r="J3" s="647">
        <f>1+1</f>
        <v>2</v>
      </c>
      <c r="K3" s="647"/>
      <c r="L3" s="647"/>
      <c r="M3" s="647"/>
      <c r="N3" s="647"/>
      <c r="O3" s="647">
        <f t="shared" si="2"/>
        <v>2</v>
      </c>
      <c r="P3" s="647"/>
    </row>
    <row r="4" ht="22.5" customHeight="1">
      <c r="A4" s="640">
        <v>6.0</v>
      </c>
      <c r="B4" s="641" t="s">
        <v>1002</v>
      </c>
      <c r="C4" s="642" t="s">
        <v>70</v>
      </c>
      <c r="D4" s="643" t="s">
        <v>80</v>
      </c>
      <c r="E4" s="644" t="str">
        <f t="shared" si="3"/>
        <v/>
      </c>
      <c r="F4" s="645">
        <v>33639.0</v>
      </c>
      <c r="G4" s="646">
        <f t="shared" si="1"/>
        <v>33</v>
      </c>
      <c r="H4" s="647">
        <f>1+1+1</f>
        <v>3</v>
      </c>
      <c r="I4" s="647">
        <f>90+45+90</f>
        <v>225</v>
      </c>
      <c r="J4" s="647"/>
      <c r="K4" s="647"/>
      <c r="L4" s="647">
        <f>1</f>
        <v>1</v>
      </c>
      <c r="M4" s="647"/>
      <c r="N4" s="647"/>
      <c r="O4" s="647">
        <f t="shared" si="2"/>
        <v>0</v>
      </c>
      <c r="P4" s="647"/>
    </row>
    <row r="5" ht="22.5" customHeight="1">
      <c r="A5" s="640">
        <v>7.0</v>
      </c>
      <c r="B5" s="641" t="s">
        <v>1003</v>
      </c>
      <c r="C5" s="642" t="s">
        <v>79</v>
      </c>
      <c r="D5" s="643" t="s">
        <v>1004</v>
      </c>
      <c r="E5" s="644" t="str">
        <f>IMAGE("https://flagcdn.com/w320/pl.png")</f>
        <v/>
      </c>
      <c r="F5" s="645">
        <v>34474.0</v>
      </c>
      <c r="G5" s="646">
        <f t="shared" si="1"/>
        <v>31</v>
      </c>
      <c r="H5" s="647">
        <f t="shared" ref="H5:H6" si="4">1+1+1+1+1+1+1</f>
        <v>7</v>
      </c>
      <c r="I5" s="647">
        <f>12+65+90+90+64+80+81</f>
        <v>482</v>
      </c>
      <c r="J5" s="647">
        <f t="shared" ref="J5:J6" si="5">1</f>
        <v>1</v>
      </c>
      <c r="K5" s="647"/>
      <c r="L5" s="647"/>
      <c r="M5" s="647"/>
      <c r="N5" s="647"/>
      <c r="O5" s="647">
        <f t="shared" si="2"/>
        <v>1</v>
      </c>
      <c r="P5" s="647"/>
    </row>
    <row r="6" ht="22.5" customHeight="1">
      <c r="A6" s="640">
        <v>8.0</v>
      </c>
      <c r="B6" s="641" t="s">
        <v>1005</v>
      </c>
      <c r="C6" s="642" t="s">
        <v>79</v>
      </c>
      <c r="D6" s="643" t="s">
        <v>1006</v>
      </c>
      <c r="E6" s="644" t="str">
        <f>IMAGE("https://flagcdn.com/w320/hr.png")</f>
        <v/>
      </c>
      <c r="F6" s="645">
        <v>37919.0</v>
      </c>
      <c r="G6" s="646">
        <f t="shared" si="1"/>
        <v>22</v>
      </c>
      <c r="H6" s="647">
        <f t="shared" si="4"/>
        <v>7</v>
      </c>
      <c r="I6" s="647">
        <f>5+90+32+28+26+8+90</f>
        <v>279</v>
      </c>
      <c r="J6" s="647">
        <f t="shared" si="5"/>
        <v>1</v>
      </c>
      <c r="K6" s="647"/>
      <c r="L6" s="647"/>
      <c r="M6" s="647"/>
      <c r="N6" s="647"/>
      <c r="O6" s="647">
        <f t="shared" si="2"/>
        <v>1</v>
      </c>
      <c r="P6" s="647"/>
    </row>
    <row r="7" ht="22.5" customHeight="1">
      <c r="A7" s="640">
        <v>9.0</v>
      </c>
      <c r="B7" s="641" t="s">
        <v>1007</v>
      </c>
      <c r="C7" s="642" t="s">
        <v>82</v>
      </c>
      <c r="D7" s="643" t="s">
        <v>1008</v>
      </c>
      <c r="E7" s="644" t="str">
        <f>IMAGE("https://flagcdn.com/w320/fr.png")</f>
        <v/>
      </c>
      <c r="F7" s="645">
        <v>35648.0</v>
      </c>
      <c r="G7" s="646">
        <f t="shared" si="1"/>
        <v>28</v>
      </c>
      <c r="H7" s="647">
        <f t="shared" ref="H7:H8" si="7">1+1+1+1+1+1</f>
        <v>6</v>
      </c>
      <c r="I7" s="647">
        <f>85+65+20+26+82+90</f>
        <v>368</v>
      </c>
      <c r="J7" s="647">
        <f>2</f>
        <v>2</v>
      </c>
      <c r="K7" s="647">
        <f t="shared" ref="K7:L7" si="6">1</f>
        <v>1</v>
      </c>
      <c r="L7" s="647">
        <f t="shared" si="6"/>
        <v>1</v>
      </c>
      <c r="M7" s="647"/>
      <c r="N7" s="647"/>
      <c r="O7" s="647">
        <f t="shared" si="2"/>
        <v>3</v>
      </c>
      <c r="P7" s="647"/>
    </row>
    <row r="8" ht="22.5" customHeight="1">
      <c r="A8" s="640">
        <v>10.0</v>
      </c>
      <c r="B8" s="641" t="s">
        <v>1009</v>
      </c>
      <c r="C8" s="642" t="s">
        <v>82</v>
      </c>
      <c r="D8" s="643" t="s">
        <v>403</v>
      </c>
      <c r="E8" s="644" t="str">
        <f>IMAGE("https://flagcdn.com/w320/ar.png")</f>
        <v/>
      </c>
      <c r="F8" s="645">
        <v>35664.0</v>
      </c>
      <c r="G8" s="646">
        <f t="shared" si="1"/>
        <v>28</v>
      </c>
      <c r="H8" s="648">
        <f t="shared" si="7"/>
        <v>6</v>
      </c>
      <c r="I8" s="648">
        <f>65+57+45+71+90+62</f>
        <v>390</v>
      </c>
      <c r="J8" s="647">
        <f>2+1+1</f>
        <v>4</v>
      </c>
      <c r="K8" s="647"/>
      <c r="L8" s="647">
        <f>1+1</f>
        <v>2</v>
      </c>
      <c r="M8" s="647"/>
      <c r="N8" s="647"/>
      <c r="O8" s="647">
        <f t="shared" si="2"/>
        <v>4</v>
      </c>
      <c r="P8" s="64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22.5" customHeight="1">
      <c r="A9" s="640">
        <v>11.0</v>
      </c>
      <c r="B9" s="649" t="s">
        <v>1010</v>
      </c>
      <c r="C9" s="642" t="s">
        <v>79</v>
      </c>
      <c r="D9" s="643" t="s">
        <v>182</v>
      </c>
      <c r="E9" s="644" t="str">
        <f>IMAGE("https://flagcdn.com/w320/br.png")</f>
        <v/>
      </c>
      <c r="F9" s="645">
        <v>37239.0</v>
      </c>
      <c r="G9" s="646">
        <f t="shared" si="1"/>
        <v>24</v>
      </c>
      <c r="H9" s="648">
        <f>1+1+1+1</f>
        <v>4</v>
      </c>
      <c r="I9" s="648">
        <f>14+12+90+81</f>
        <v>197</v>
      </c>
      <c r="J9" s="647"/>
      <c r="K9" s="647"/>
      <c r="L9" s="647"/>
      <c r="M9" s="647"/>
      <c r="N9" s="647"/>
      <c r="O9" s="647">
        <f t="shared" si="2"/>
        <v>0</v>
      </c>
      <c r="P9" s="647"/>
    </row>
    <row r="10" ht="22.5" customHeight="1">
      <c r="A10" s="640">
        <v>12.0</v>
      </c>
      <c r="B10" s="641" t="s">
        <v>1011</v>
      </c>
      <c r="C10" s="642" t="s">
        <v>67</v>
      </c>
      <c r="D10" s="643" t="s">
        <v>206</v>
      </c>
      <c r="E10" s="644" t="str">
        <f>IMAGE("https://flagcdn.com/w320/it.png")</f>
        <v/>
      </c>
      <c r="F10" s="645">
        <v>34245.0</v>
      </c>
      <c r="G10" s="646">
        <f t="shared" si="1"/>
        <v>32</v>
      </c>
      <c r="H10" s="647"/>
      <c r="I10" s="647"/>
      <c r="J10" s="647"/>
      <c r="K10" s="647"/>
      <c r="L10" s="647"/>
      <c r="M10" s="647"/>
      <c r="N10" s="647"/>
      <c r="O10" s="647">
        <f t="shared" si="2"/>
        <v>0</v>
      </c>
      <c r="P10" s="647"/>
    </row>
    <row r="11" ht="22.5" customHeight="1">
      <c r="A11" s="640">
        <v>13.0</v>
      </c>
      <c r="B11" s="641" t="s">
        <v>1012</v>
      </c>
      <c r="C11" s="642" t="s">
        <v>67</v>
      </c>
      <c r="D11" s="643" t="s">
        <v>83</v>
      </c>
      <c r="E11" s="644" t="str">
        <f>IMAGE("https://flagcdn.com/w320/es.png")</f>
        <v/>
      </c>
      <c r="F11" s="645">
        <v>35942.0</v>
      </c>
      <c r="G11" s="646">
        <f t="shared" si="1"/>
        <v>27</v>
      </c>
      <c r="H11" s="648">
        <v>0.0</v>
      </c>
      <c r="I11" s="648">
        <v>0.0</v>
      </c>
      <c r="J11" s="647"/>
      <c r="K11" s="647"/>
      <c r="L11" s="647"/>
      <c r="M11" s="647"/>
      <c r="N11" s="647"/>
      <c r="O11" s="647">
        <f t="shared" si="2"/>
        <v>0</v>
      </c>
      <c r="P11" s="647"/>
    </row>
    <row r="12" ht="22.5" customHeight="1">
      <c r="A12" s="640">
        <v>14.0</v>
      </c>
      <c r="B12" s="641" t="s">
        <v>1013</v>
      </c>
      <c r="C12" s="642" t="s">
        <v>82</v>
      </c>
      <c r="D12" s="643" t="s">
        <v>1014</v>
      </c>
      <c r="E12" s="644" t="str">
        <f>IMAGE("https://flagcdn.com/w320/fr.png")</f>
        <v/>
      </c>
      <c r="F12" s="645">
        <v>37919.0</v>
      </c>
      <c r="G12" s="646">
        <f t="shared" si="1"/>
        <v>22</v>
      </c>
      <c r="H12" s="647">
        <f>1+1+1+1+1+1+1</f>
        <v>7</v>
      </c>
      <c r="I12" s="647">
        <f>5+25+33+45+64+8+9</f>
        <v>189</v>
      </c>
      <c r="J12" s="647"/>
      <c r="K12" s="647">
        <f>1+1</f>
        <v>2</v>
      </c>
      <c r="L12" s="647"/>
      <c r="M12" s="647"/>
      <c r="N12" s="647"/>
      <c r="O12" s="647">
        <f t="shared" si="2"/>
        <v>2</v>
      </c>
      <c r="P12" s="647"/>
    </row>
    <row r="13" ht="22.5" customHeight="1">
      <c r="A13" s="640">
        <v>15.0</v>
      </c>
      <c r="B13" s="641" t="s">
        <v>1015</v>
      </c>
      <c r="C13" s="642" t="s">
        <v>70</v>
      </c>
      <c r="D13" s="643" t="s">
        <v>206</v>
      </c>
      <c r="E13" s="644" t="str">
        <f t="shared" ref="E13:E14" si="8">IMAGE("https://flagcdn.com/w320/it.png")</f>
        <v/>
      </c>
      <c r="F13" s="645">
        <v>32183.0</v>
      </c>
      <c r="G13" s="646">
        <f t="shared" si="1"/>
        <v>37</v>
      </c>
      <c r="H13" s="648">
        <f>1+1+1</f>
        <v>3</v>
      </c>
      <c r="I13" s="648">
        <f>90+30+90</f>
        <v>210</v>
      </c>
      <c r="J13" s="647"/>
      <c r="K13" s="647"/>
      <c r="L13" s="647">
        <f>1</f>
        <v>1</v>
      </c>
      <c r="M13" s="647"/>
      <c r="N13" s="647"/>
      <c r="O13" s="647">
        <f t="shared" si="2"/>
        <v>0</v>
      </c>
      <c r="P13" s="647"/>
    </row>
    <row r="14" ht="22.5" customHeight="1">
      <c r="A14" s="640">
        <v>16.0</v>
      </c>
      <c r="B14" s="641" t="s">
        <v>1016</v>
      </c>
      <c r="C14" s="642" t="s">
        <v>79</v>
      </c>
      <c r="D14" s="643" t="s">
        <v>206</v>
      </c>
      <c r="E14" s="644" t="str">
        <f t="shared" si="8"/>
        <v/>
      </c>
      <c r="F14" s="645">
        <v>36405.0</v>
      </c>
      <c r="G14" s="646">
        <f t="shared" si="1"/>
        <v>26</v>
      </c>
      <c r="H14" s="647">
        <f>1+1+1+1+1</f>
        <v>5</v>
      </c>
      <c r="I14" s="647">
        <f>22+90+62+19+28</f>
        <v>221</v>
      </c>
      <c r="J14" s="647"/>
      <c r="K14" s="647"/>
      <c r="L14" s="647"/>
      <c r="M14" s="647"/>
      <c r="N14" s="647"/>
      <c r="O14" s="647">
        <f t="shared" si="2"/>
        <v>0</v>
      </c>
      <c r="P14" s="647"/>
    </row>
    <row r="15" ht="22.5" customHeight="1">
      <c r="A15" s="640">
        <v>17.0</v>
      </c>
      <c r="B15" s="641" t="s">
        <v>1017</v>
      </c>
      <c r="C15" s="642" t="s">
        <v>79</v>
      </c>
      <c r="D15" s="643" t="s">
        <v>1018</v>
      </c>
      <c r="E15" s="644" t="str">
        <f>IMAGE("https://flagcdn.com/w320/fr.png")</f>
        <v/>
      </c>
      <c r="F15" s="645">
        <v>37697.0</v>
      </c>
      <c r="G15" s="646">
        <f t="shared" si="1"/>
        <v>22</v>
      </c>
      <c r="H15" s="648">
        <f>1</f>
        <v>1</v>
      </c>
      <c r="I15" s="648">
        <f>9</f>
        <v>9</v>
      </c>
      <c r="J15" s="647"/>
      <c r="K15" s="647"/>
      <c r="L15" s="647"/>
      <c r="M15" s="647"/>
      <c r="N15" s="647"/>
      <c r="O15" s="647">
        <f t="shared" si="2"/>
        <v>0</v>
      </c>
      <c r="P15" s="647"/>
    </row>
    <row r="16" ht="22.5" customHeight="1">
      <c r="A16" s="640">
        <v>20.0</v>
      </c>
      <c r="B16" s="641" t="s">
        <v>1019</v>
      </c>
      <c r="C16" s="642" t="s">
        <v>79</v>
      </c>
      <c r="D16" s="643" t="s">
        <v>1020</v>
      </c>
      <c r="E16" s="644" t="str">
        <f>IMAGE("https://flagcdn.com/w320/tr.png")</f>
        <v/>
      </c>
      <c r="F16" s="645">
        <v>34373.0</v>
      </c>
      <c r="G16" s="646">
        <f t="shared" si="1"/>
        <v>31</v>
      </c>
      <c r="H16" s="647">
        <f>1+1+1+1+1+1</f>
        <v>6</v>
      </c>
      <c r="I16" s="647">
        <f>85+90+58+20+71+10</f>
        <v>334</v>
      </c>
      <c r="J16" s="647">
        <f>1</f>
        <v>1</v>
      </c>
      <c r="K16" s="647">
        <f>2</f>
        <v>2</v>
      </c>
      <c r="L16" s="647"/>
      <c r="M16" s="647"/>
      <c r="N16" s="647"/>
      <c r="O16" s="647">
        <f t="shared" si="2"/>
        <v>3</v>
      </c>
      <c r="P16" s="647"/>
    </row>
    <row r="17" ht="22.5" customHeight="1">
      <c r="A17" s="640">
        <v>22.0</v>
      </c>
      <c r="B17" s="641" t="s">
        <v>1021</v>
      </c>
      <c r="C17" s="642" t="s">
        <v>79</v>
      </c>
      <c r="D17" s="643" t="s">
        <v>1022</v>
      </c>
      <c r="E17" s="644" t="str">
        <f>IMAGE("https://flagcdn.com/w320/am.png")</f>
        <v/>
      </c>
      <c r="F17" s="645">
        <v>32529.0</v>
      </c>
      <c r="G17" s="646">
        <f t="shared" si="1"/>
        <v>37</v>
      </c>
      <c r="H17" s="647">
        <f>1+1</f>
        <v>2</v>
      </c>
      <c r="I17" s="647">
        <f>68+82</f>
        <v>150</v>
      </c>
      <c r="J17" s="647"/>
      <c r="K17" s="647"/>
      <c r="L17" s="647">
        <f>1+1</f>
        <v>2</v>
      </c>
      <c r="M17" s="647"/>
      <c r="N17" s="647"/>
      <c r="O17" s="647">
        <f t="shared" si="2"/>
        <v>0</v>
      </c>
      <c r="P17" s="647"/>
    </row>
    <row r="18" ht="22.5" customHeight="1">
      <c r="A18" s="640">
        <v>23.0</v>
      </c>
      <c r="B18" s="641" t="s">
        <v>1023</v>
      </c>
      <c r="C18" s="642" t="s">
        <v>79</v>
      </c>
      <c r="D18" s="643" t="s">
        <v>206</v>
      </c>
      <c r="E18" s="644" t="str">
        <f>IMAGE("https://flagcdn.com/w320/it.png")</f>
        <v/>
      </c>
      <c r="F18" s="645">
        <v>35468.0</v>
      </c>
      <c r="G18" s="646">
        <f t="shared" si="1"/>
        <v>28</v>
      </c>
      <c r="H18" s="647">
        <f>1+1+1+1+1+1</f>
        <v>6</v>
      </c>
      <c r="I18" s="647">
        <f>78+25+70+90+90+62</f>
        <v>415</v>
      </c>
      <c r="J18" s="647"/>
      <c r="K18" s="647"/>
      <c r="L18" s="647">
        <f>1</f>
        <v>1</v>
      </c>
      <c r="M18" s="647"/>
      <c r="N18" s="647"/>
      <c r="O18" s="647">
        <f t="shared" si="2"/>
        <v>0</v>
      </c>
      <c r="P18" s="647"/>
    </row>
    <row r="19" ht="22.5" customHeight="1">
      <c r="A19" s="640">
        <v>25.0</v>
      </c>
      <c r="B19" s="641" t="s">
        <v>1024</v>
      </c>
      <c r="C19" s="642" t="s">
        <v>70</v>
      </c>
      <c r="D19" s="643" t="s">
        <v>1025</v>
      </c>
      <c r="E19" s="644" t="str">
        <f>IMAGE("https://flagcdn.com/w320/ch.png")</f>
        <v/>
      </c>
      <c r="F19" s="645">
        <v>34899.0</v>
      </c>
      <c r="G19" s="646">
        <f t="shared" si="1"/>
        <v>30</v>
      </c>
      <c r="H19" s="647">
        <f>1+1+1+1+1+1+1</f>
        <v>7</v>
      </c>
      <c r="I19" s="647">
        <f>90+25+45+10+90+90+90</f>
        <v>440</v>
      </c>
      <c r="J19" s="647"/>
      <c r="K19" s="647"/>
      <c r="L19" s="647"/>
      <c r="M19" s="647"/>
      <c r="N19" s="647"/>
      <c r="O19" s="647">
        <f t="shared" si="2"/>
        <v>0</v>
      </c>
      <c r="P19" s="647"/>
    </row>
    <row r="20" ht="22.5" customHeight="1">
      <c r="A20" s="640">
        <v>30.0</v>
      </c>
      <c r="B20" s="649" t="s">
        <v>1026</v>
      </c>
      <c r="C20" s="642" t="s">
        <v>70</v>
      </c>
      <c r="D20" s="643" t="s">
        <v>1027</v>
      </c>
      <c r="E20" s="644" t="str">
        <f>IMAGE("https://flagcdn.com/w320/br.png")</f>
        <v/>
      </c>
      <c r="F20" s="645">
        <v>36167.0</v>
      </c>
      <c r="G20" s="646">
        <f t="shared" si="1"/>
        <v>27</v>
      </c>
      <c r="H20" s="647">
        <f t="shared" ref="H20:H21" si="9">1+1+1+1+1</f>
        <v>5</v>
      </c>
      <c r="I20" s="647">
        <f>12+90+90+90+8</f>
        <v>290</v>
      </c>
      <c r="J20" s="647">
        <f>1</f>
        <v>1</v>
      </c>
      <c r="K20" s="647"/>
      <c r="L20" s="647"/>
      <c r="M20" s="647"/>
      <c r="N20" s="647"/>
      <c r="O20" s="647">
        <f t="shared" si="2"/>
        <v>1</v>
      </c>
      <c r="P20" s="647"/>
    </row>
    <row r="21" ht="22.5" customHeight="1">
      <c r="A21" s="640">
        <v>31.0</v>
      </c>
      <c r="B21" s="641" t="s">
        <v>1028</v>
      </c>
      <c r="C21" s="642" t="s">
        <v>70</v>
      </c>
      <c r="D21" s="643" t="s">
        <v>1029</v>
      </c>
      <c r="E21" s="644" t="str">
        <f>IMAGE("https://flagcdn.com/w320/de.png")</f>
        <v/>
      </c>
      <c r="F21" s="645">
        <v>36859.0</v>
      </c>
      <c r="G21" s="646">
        <f t="shared" si="1"/>
        <v>25</v>
      </c>
      <c r="H21" s="648">
        <f t="shared" si="9"/>
        <v>5</v>
      </c>
      <c r="I21" s="648">
        <f>65+90+80+90+60</f>
        <v>385</v>
      </c>
      <c r="J21" s="647"/>
      <c r="K21" s="647">
        <f t="shared" ref="K21:L21" si="10">1</f>
        <v>1</v>
      </c>
      <c r="L21" s="647">
        <f t="shared" si="10"/>
        <v>1</v>
      </c>
      <c r="M21" s="647"/>
      <c r="N21" s="647"/>
      <c r="O21" s="647">
        <f t="shared" si="2"/>
        <v>1</v>
      </c>
      <c r="P21" s="647"/>
    </row>
    <row r="22" ht="22.5" customHeight="1">
      <c r="A22" s="640">
        <v>32.0</v>
      </c>
      <c r="B22" s="641" t="s">
        <v>1030</v>
      </c>
      <c r="C22" s="642" t="s">
        <v>70</v>
      </c>
      <c r="D22" s="643" t="s">
        <v>206</v>
      </c>
      <c r="E22" s="644" t="str">
        <f t="shared" ref="E22:E25" si="11">IMAGE("https://flagcdn.com/w320/it.png")</f>
        <v/>
      </c>
      <c r="F22" s="645">
        <v>35744.0</v>
      </c>
      <c r="G22" s="646">
        <f t="shared" si="1"/>
        <v>28</v>
      </c>
      <c r="H22" s="647">
        <f>1+1+1+1+1+1</f>
        <v>6</v>
      </c>
      <c r="I22" s="647">
        <f>78+90+32+90+78+82</f>
        <v>450</v>
      </c>
      <c r="J22" s="647"/>
      <c r="K22" s="647"/>
      <c r="L22" s="647">
        <f>1</f>
        <v>1</v>
      </c>
      <c r="M22" s="647"/>
      <c r="N22" s="647"/>
      <c r="O22" s="647">
        <f t="shared" si="2"/>
        <v>0</v>
      </c>
      <c r="P22" s="647"/>
    </row>
    <row r="23" ht="22.5" customHeight="1">
      <c r="A23" s="640">
        <v>36.0</v>
      </c>
      <c r="B23" s="641" t="s">
        <v>1031</v>
      </c>
      <c r="C23" s="642" t="s">
        <v>70</v>
      </c>
      <c r="D23" s="643" t="s">
        <v>206</v>
      </c>
      <c r="E23" s="644" t="str">
        <f t="shared" si="11"/>
        <v/>
      </c>
      <c r="F23" s="645">
        <v>32844.0</v>
      </c>
      <c r="G23" s="646">
        <f t="shared" si="1"/>
        <v>36</v>
      </c>
      <c r="H23" s="647">
        <f>1+1</f>
        <v>2</v>
      </c>
      <c r="I23" s="647">
        <f>15+90</f>
        <v>105</v>
      </c>
      <c r="J23" s="647"/>
      <c r="K23" s="647"/>
      <c r="L23" s="647"/>
      <c r="M23" s="647"/>
      <c r="N23" s="647"/>
      <c r="O23" s="647">
        <f t="shared" si="2"/>
        <v>0</v>
      </c>
      <c r="P23" s="647"/>
    </row>
    <row r="24" ht="22.5" customHeight="1">
      <c r="A24" s="650">
        <v>40.0</v>
      </c>
      <c r="B24" s="651" t="s">
        <v>1032</v>
      </c>
      <c r="C24" s="652" t="s">
        <v>67</v>
      </c>
      <c r="D24" s="653" t="s">
        <v>206</v>
      </c>
      <c r="E24" s="654" t="str">
        <f t="shared" si="11"/>
        <v/>
      </c>
      <c r="F24" s="655">
        <v>38418.0</v>
      </c>
      <c r="G24" s="656">
        <f t="shared" si="1"/>
        <v>20</v>
      </c>
      <c r="H24" s="657">
        <v>0.0</v>
      </c>
      <c r="I24" s="657">
        <v>0.0</v>
      </c>
      <c r="J24" s="658"/>
      <c r="K24" s="658"/>
      <c r="L24" s="658"/>
      <c r="M24" s="658"/>
      <c r="N24" s="658"/>
      <c r="O24" s="658">
        <f t="shared" si="2"/>
        <v>0</v>
      </c>
      <c r="P24" s="658"/>
    </row>
    <row r="25" ht="22.5" customHeight="1">
      <c r="A25" s="650">
        <v>43.0</v>
      </c>
      <c r="B25" s="651" t="s">
        <v>1033</v>
      </c>
      <c r="C25" s="652" t="s">
        <v>70</v>
      </c>
      <c r="D25" s="653" t="s">
        <v>206</v>
      </c>
      <c r="E25" s="654" t="str">
        <f t="shared" si="11"/>
        <v/>
      </c>
      <c r="F25" s="655">
        <v>39114.0</v>
      </c>
      <c r="G25" s="656">
        <f t="shared" si="1"/>
        <v>18</v>
      </c>
      <c r="H25" s="657">
        <v>0.0</v>
      </c>
      <c r="I25" s="657">
        <v>0.0</v>
      </c>
      <c r="J25" s="658"/>
      <c r="K25" s="658"/>
      <c r="L25" s="658"/>
      <c r="M25" s="658"/>
      <c r="N25" s="658"/>
      <c r="O25" s="658">
        <f t="shared" si="2"/>
        <v>0</v>
      </c>
      <c r="P25" s="658"/>
    </row>
    <row r="26" ht="22.5" customHeight="1">
      <c r="A26" s="650">
        <v>53.0</v>
      </c>
      <c r="B26" s="651" t="s">
        <v>1034</v>
      </c>
      <c r="C26" s="652" t="s">
        <v>70</v>
      </c>
      <c r="D26" s="653" t="s">
        <v>640</v>
      </c>
      <c r="E26" s="654" t="str">
        <f>IMAGE("https://flagcdn.com/w320/gr.png")</f>
        <v/>
      </c>
      <c r="F26" s="655">
        <v>38533.0</v>
      </c>
      <c r="G26" s="656">
        <f t="shared" si="1"/>
        <v>20</v>
      </c>
      <c r="H26" s="657">
        <v>0.0</v>
      </c>
      <c r="I26" s="657">
        <v>0.0</v>
      </c>
      <c r="J26" s="658"/>
      <c r="K26" s="658"/>
      <c r="L26" s="658"/>
      <c r="M26" s="658"/>
      <c r="N26" s="658"/>
      <c r="O26" s="658">
        <f t="shared" si="2"/>
        <v>0</v>
      </c>
      <c r="P26" s="658"/>
    </row>
    <row r="27" ht="22.5" customHeight="1">
      <c r="A27" s="650">
        <v>60.0</v>
      </c>
      <c r="B27" s="651" t="s">
        <v>1035</v>
      </c>
      <c r="C27" s="652" t="s">
        <v>67</v>
      </c>
      <c r="D27" s="653" t="s">
        <v>1036</v>
      </c>
      <c r="E27" s="654" t="str">
        <f>IMAGE("https://flagcdn.com/w320/al.png")</f>
        <v/>
      </c>
      <c r="F27" s="655">
        <v>39202.0</v>
      </c>
      <c r="G27" s="656">
        <f t="shared" si="1"/>
        <v>18</v>
      </c>
      <c r="H27" s="657">
        <v>0.0</v>
      </c>
      <c r="I27" s="657">
        <v>0.0</v>
      </c>
      <c r="J27" s="658"/>
      <c r="K27" s="658"/>
      <c r="L27" s="658"/>
      <c r="M27" s="658"/>
      <c r="N27" s="658"/>
      <c r="O27" s="658">
        <f t="shared" si="2"/>
        <v>0</v>
      </c>
      <c r="P27" s="658"/>
    </row>
    <row r="28" ht="22.5" customHeight="1">
      <c r="A28" s="650">
        <v>94.0</v>
      </c>
      <c r="B28" s="651" t="s">
        <v>1037</v>
      </c>
      <c r="C28" s="652" t="s">
        <v>82</v>
      </c>
      <c r="D28" s="653" t="s">
        <v>206</v>
      </c>
      <c r="E28" s="654" t="str">
        <f t="shared" ref="E28:E29" si="12">IMAGE("https://flagcdn.com/w320/it.png")</f>
        <v/>
      </c>
      <c r="F28" s="655">
        <v>38531.0</v>
      </c>
      <c r="G28" s="656">
        <f t="shared" si="1"/>
        <v>20</v>
      </c>
      <c r="H28" s="658">
        <f>1+1+1+1+1</f>
        <v>5</v>
      </c>
      <c r="I28" s="658">
        <f>90+25+90+70+28</f>
        <v>303</v>
      </c>
      <c r="J28" s="658">
        <f>1</f>
        <v>1</v>
      </c>
      <c r="K28" s="658">
        <f>1+1</f>
        <v>2</v>
      </c>
      <c r="L28" s="658"/>
      <c r="M28" s="658"/>
      <c r="N28" s="658"/>
      <c r="O28" s="658">
        <f t="shared" si="2"/>
        <v>3</v>
      </c>
      <c r="P28" s="658"/>
    </row>
    <row r="29" ht="22.5" customHeight="1">
      <c r="A29" s="640">
        <v>95.0</v>
      </c>
      <c r="B29" s="641" t="s">
        <v>1038</v>
      </c>
      <c r="C29" s="642" t="s">
        <v>70</v>
      </c>
      <c r="D29" s="643" t="s">
        <v>206</v>
      </c>
      <c r="E29" s="644" t="str">
        <f t="shared" si="12"/>
        <v/>
      </c>
      <c r="F29" s="645">
        <v>36263.0</v>
      </c>
      <c r="G29" s="646">
        <f t="shared" si="1"/>
        <v>26</v>
      </c>
      <c r="H29" s="647">
        <f>1+1+1+1+1+1+1</f>
        <v>7</v>
      </c>
      <c r="I29" s="647">
        <f>90+90+58+90+19+90+90</f>
        <v>527</v>
      </c>
      <c r="J29" s="647"/>
      <c r="K29" s="647">
        <f>1</f>
        <v>1</v>
      </c>
      <c r="L29" s="647">
        <f>1+1</f>
        <v>2</v>
      </c>
      <c r="M29" s="647"/>
      <c r="N29" s="647"/>
      <c r="O29" s="647">
        <f t="shared" si="2"/>
        <v>1</v>
      </c>
      <c r="P29" s="647"/>
    </row>
    <row r="30">
      <c r="A30" s="11"/>
      <c r="B30" s="18"/>
      <c r="C30" s="18"/>
      <c r="D30" s="64"/>
      <c r="E30" s="65"/>
      <c r="F30" s="66"/>
      <c r="G30" s="18"/>
      <c r="H30" s="11">
        <f t="shared" ref="H30:P30" si="13">SUM(H2:H29)</f>
        <v>111</v>
      </c>
      <c r="I30" s="11">
        <f t="shared" si="13"/>
        <v>6930</v>
      </c>
      <c r="J30" s="11">
        <f t="shared" si="13"/>
        <v>13</v>
      </c>
      <c r="K30" s="11">
        <f t="shared" si="13"/>
        <v>9</v>
      </c>
      <c r="L30" s="11">
        <f t="shared" si="13"/>
        <v>12</v>
      </c>
      <c r="M30" s="11">
        <f t="shared" si="13"/>
        <v>0</v>
      </c>
      <c r="N30" s="11">
        <f t="shared" si="13"/>
        <v>3</v>
      </c>
      <c r="O30" s="11">
        <f t="shared" si="13"/>
        <v>22</v>
      </c>
      <c r="P30" s="11">
        <f t="shared" si="13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22.5" customHeight="1">
      <c r="A31" s="634" t="s">
        <v>150</v>
      </c>
      <c r="B31" s="635" t="s">
        <v>49</v>
      </c>
      <c r="C31" s="635" t="s">
        <v>265</v>
      </c>
      <c r="D31" s="659" t="s">
        <v>56</v>
      </c>
      <c r="E31" s="635" t="s">
        <v>57</v>
      </c>
      <c r="F31" s="635" t="s">
        <v>52</v>
      </c>
      <c r="G31" s="635" t="s">
        <v>53</v>
      </c>
      <c r="H31" s="660" t="s">
        <v>4</v>
      </c>
      <c r="I31" s="660" t="s">
        <v>5</v>
      </c>
      <c r="J31" s="660" t="s">
        <v>6</v>
      </c>
      <c r="K31" s="660" t="s">
        <v>7</v>
      </c>
      <c r="L31" s="660" t="s">
        <v>8</v>
      </c>
      <c r="M31" s="660" t="s">
        <v>9</v>
      </c>
      <c r="N31" s="660" t="s">
        <v>10</v>
      </c>
      <c r="O31" s="12"/>
      <c r="P31" s="12"/>
    </row>
    <row r="32" ht="22.5" customHeight="1">
      <c r="A32" s="661"/>
      <c r="B32" s="641" t="s">
        <v>1039</v>
      </c>
      <c r="C32" s="641" t="s">
        <v>153</v>
      </c>
      <c r="D32" s="643" t="s">
        <v>1040</v>
      </c>
      <c r="E32" s="662" t="str">
        <f>IMAGE("https://flagcdn.com/w320/ro.png")</f>
        <v/>
      </c>
      <c r="F32" s="645">
        <v>29520.0</v>
      </c>
      <c r="G32" s="646">
        <f>DATEDIF(F32,TODAY(),"Y")</f>
        <v>45</v>
      </c>
      <c r="H32" s="157">
        <f>L32+M32+N32</f>
        <v>7</v>
      </c>
      <c r="I32" s="157">
        <f>(3*L32)+M32</f>
        <v>12</v>
      </c>
      <c r="J32" s="157">
        <f>2+3+4+2+1+1</f>
        <v>13</v>
      </c>
      <c r="K32" s="157">
        <f>1+2+1+3</f>
        <v>7</v>
      </c>
      <c r="L32" s="158">
        <f>1+1+1+1</f>
        <v>4</v>
      </c>
      <c r="M32" s="159">
        <f>0</f>
        <v>0</v>
      </c>
      <c r="N32" s="487">
        <f>1+1+1</f>
        <v>3</v>
      </c>
      <c r="O32" s="12"/>
      <c r="P32" s="12"/>
    </row>
    <row r="33">
      <c r="A33" s="11"/>
      <c r="B33" s="18"/>
      <c r="C33" s="18"/>
      <c r="D33" s="64"/>
      <c r="E33" s="65"/>
      <c r="F33" s="66"/>
      <c r="G33" s="18"/>
      <c r="H33" s="11">
        <f t="shared" ref="H33:N33" si="14">SUM(H32)</f>
        <v>7</v>
      </c>
      <c r="I33" s="11">
        <f t="shared" si="14"/>
        <v>12</v>
      </c>
      <c r="J33" s="11">
        <f t="shared" si="14"/>
        <v>13</v>
      </c>
      <c r="K33" s="11">
        <f t="shared" si="14"/>
        <v>7</v>
      </c>
      <c r="L33" s="11">
        <f t="shared" si="14"/>
        <v>4</v>
      </c>
      <c r="M33" s="11">
        <f t="shared" si="14"/>
        <v>0</v>
      </c>
      <c r="N33" s="11">
        <f t="shared" si="14"/>
        <v>3</v>
      </c>
      <c r="O33" s="11"/>
      <c r="P33" s="11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22.5" customHeight="1">
      <c r="A34" s="634" t="s">
        <v>156</v>
      </c>
      <c r="B34" s="634" t="s">
        <v>157</v>
      </c>
      <c r="C34" s="634" t="s">
        <v>158</v>
      </c>
      <c r="D34" s="638" t="s">
        <v>1041</v>
      </c>
      <c r="E34" s="634" t="s">
        <v>160</v>
      </c>
      <c r="F34" s="634" t="s">
        <v>161</v>
      </c>
      <c r="H34" s="12"/>
      <c r="I34" s="12"/>
      <c r="J34" s="12"/>
      <c r="K34" s="12"/>
      <c r="L34" s="12"/>
      <c r="M34" s="12"/>
      <c r="N34" s="12"/>
      <c r="O34" s="12"/>
      <c r="P34" s="12"/>
    </row>
    <row r="35" ht="22.5" customHeight="1">
      <c r="A35" s="86">
        <v>1.0</v>
      </c>
      <c r="B35" s="87" t="s">
        <v>43</v>
      </c>
      <c r="C35" s="87" t="s">
        <v>16</v>
      </c>
      <c r="D35" s="88" t="s">
        <v>1042</v>
      </c>
      <c r="E35" s="161" t="s">
        <v>162</v>
      </c>
      <c r="F35" s="87" t="s">
        <v>163</v>
      </c>
      <c r="H35" s="12"/>
      <c r="I35" s="12"/>
      <c r="J35" s="12"/>
      <c r="K35" s="12"/>
      <c r="L35" s="12"/>
      <c r="M35" s="12"/>
      <c r="N35" s="12"/>
      <c r="O35" s="12"/>
      <c r="P35" s="12"/>
    </row>
    <row r="36" ht="22.5" customHeight="1">
      <c r="A36" s="86">
        <v>2.0</v>
      </c>
      <c r="B36" s="87" t="s">
        <v>16</v>
      </c>
      <c r="C36" s="87" t="s">
        <v>45</v>
      </c>
      <c r="D36" s="88" t="s">
        <v>1043</v>
      </c>
      <c r="E36" s="161" t="s">
        <v>560</v>
      </c>
      <c r="F36" s="87" t="s">
        <v>281</v>
      </c>
      <c r="H36" s="12"/>
      <c r="I36" s="12"/>
      <c r="J36" s="12"/>
      <c r="K36" s="12"/>
      <c r="L36" s="12"/>
      <c r="M36" s="12"/>
      <c r="N36" s="12"/>
      <c r="O36" s="12"/>
      <c r="P36" s="12"/>
    </row>
    <row r="37" ht="22.5" customHeight="1">
      <c r="A37" s="86">
        <v>3.0</v>
      </c>
      <c r="B37" s="87" t="s">
        <v>37</v>
      </c>
      <c r="C37" s="87" t="s">
        <v>16</v>
      </c>
      <c r="D37" s="88" t="s">
        <v>1044</v>
      </c>
      <c r="E37" s="161" t="s">
        <v>1045</v>
      </c>
      <c r="F37" s="87" t="s">
        <v>338</v>
      </c>
      <c r="H37" s="12"/>
      <c r="I37" s="12"/>
      <c r="J37" s="12"/>
      <c r="K37" s="12"/>
      <c r="L37" s="12"/>
      <c r="M37" s="12"/>
      <c r="N37" s="12"/>
      <c r="O37" s="12"/>
      <c r="P37" s="12"/>
    </row>
    <row r="38" ht="22.5" customHeight="1">
      <c r="A38" s="86">
        <v>4.0</v>
      </c>
      <c r="B38" s="87" t="s">
        <v>16</v>
      </c>
      <c r="C38" s="87" t="s">
        <v>47</v>
      </c>
      <c r="D38" s="88" t="s">
        <v>1046</v>
      </c>
      <c r="E38" s="89">
        <v>45689.0</v>
      </c>
      <c r="F38" s="87" t="s">
        <v>281</v>
      </c>
      <c r="H38" s="12"/>
      <c r="I38" s="12"/>
      <c r="J38" s="12"/>
      <c r="K38" s="12"/>
      <c r="L38" s="12"/>
      <c r="M38" s="12"/>
      <c r="N38" s="12"/>
      <c r="O38" s="12"/>
      <c r="P38" s="12"/>
    </row>
    <row r="39" ht="22.5" customHeight="1">
      <c r="A39" s="77">
        <v>5.0</v>
      </c>
      <c r="B39" s="78" t="s">
        <v>273</v>
      </c>
      <c r="C39" s="78" t="s">
        <v>16</v>
      </c>
      <c r="D39" s="83" t="s">
        <v>1047</v>
      </c>
      <c r="E39" s="84">
        <v>45689.0</v>
      </c>
      <c r="F39" s="78" t="s">
        <v>447</v>
      </c>
      <c r="H39" s="12"/>
      <c r="I39" s="12"/>
      <c r="J39" s="12"/>
      <c r="K39" s="12"/>
      <c r="L39" s="12"/>
      <c r="M39" s="12"/>
      <c r="N39" s="12"/>
      <c r="O39" s="12"/>
      <c r="P39" s="12"/>
    </row>
    <row r="40" ht="22.5" customHeight="1">
      <c r="A40" s="77">
        <v>6.0</v>
      </c>
      <c r="B40" s="78" t="s">
        <v>16</v>
      </c>
      <c r="C40" s="78" t="s">
        <v>18</v>
      </c>
      <c r="D40" s="79"/>
      <c r="E40" s="85"/>
      <c r="F40" s="78" t="s">
        <v>281</v>
      </c>
      <c r="H40" s="12"/>
      <c r="I40" s="12"/>
      <c r="J40" s="12"/>
      <c r="K40" s="12"/>
      <c r="L40" s="12"/>
      <c r="M40" s="12"/>
      <c r="N40" s="12"/>
      <c r="O40" s="12"/>
      <c r="P40" s="12"/>
    </row>
    <row r="41" ht="22.5" customHeight="1">
      <c r="A41" s="77">
        <v>7.0</v>
      </c>
      <c r="B41" s="78" t="s">
        <v>16</v>
      </c>
      <c r="C41" s="78" t="s">
        <v>12</v>
      </c>
      <c r="D41" s="83" t="s">
        <v>1048</v>
      </c>
      <c r="E41" s="84">
        <v>46025.0</v>
      </c>
      <c r="F41" s="78" t="s">
        <v>281</v>
      </c>
      <c r="H41" s="12"/>
      <c r="I41" s="12"/>
      <c r="J41" s="12"/>
      <c r="K41" s="12"/>
      <c r="L41" s="12"/>
      <c r="M41" s="12"/>
      <c r="N41" s="12"/>
      <c r="O41" s="12"/>
      <c r="P41" s="12"/>
    </row>
    <row r="42" ht="22.5" customHeight="1">
      <c r="A42" s="90">
        <v>8.0</v>
      </c>
      <c r="B42" s="91" t="s">
        <v>21</v>
      </c>
      <c r="C42" s="91" t="s">
        <v>16</v>
      </c>
      <c r="D42" s="92"/>
      <c r="E42" s="93"/>
      <c r="F42" s="94" t="s">
        <v>383</v>
      </c>
      <c r="H42" s="12"/>
      <c r="I42" s="12"/>
      <c r="J42" s="12"/>
      <c r="K42" s="12"/>
      <c r="L42" s="12"/>
      <c r="M42" s="12"/>
      <c r="N42" s="12"/>
      <c r="O42" s="12"/>
      <c r="P42" s="12"/>
    </row>
    <row r="43">
      <c r="A43" s="12"/>
      <c r="D43" s="95"/>
      <c r="E43" s="14"/>
      <c r="F43" s="96"/>
      <c r="H43" s="12"/>
      <c r="I43" s="12"/>
      <c r="J43" s="12"/>
      <c r="K43" s="12"/>
      <c r="L43" s="12"/>
      <c r="M43" s="12"/>
      <c r="N43" s="12"/>
      <c r="O43" s="12"/>
      <c r="P43" s="12"/>
    </row>
    <row r="44">
      <c r="A44" s="12"/>
      <c r="D44" s="95"/>
      <c r="E44" s="14"/>
      <c r="F44" s="96"/>
      <c r="H44" s="12"/>
      <c r="I44" s="12"/>
      <c r="J44" s="12"/>
      <c r="K44" s="12"/>
      <c r="L44" s="12"/>
      <c r="M44" s="12"/>
      <c r="N44" s="12"/>
      <c r="O44" s="12"/>
      <c r="P44" s="12"/>
    </row>
    <row r="45">
      <c r="A45" s="12"/>
      <c r="D45" s="95"/>
      <c r="E45" s="14"/>
      <c r="F45" s="96"/>
      <c r="H45" s="12"/>
      <c r="I45" s="12"/>
      <c r="J45" s="12"/>
      <c r="K45" s="12"/>
      <c r="L45" s="12"/>
      <c r="M45" s="12"/>
      <c r="N45" s="12"/>
      <c r="O45" s="12"/>
      <c r="P45" s="12"/>
    </row>
    <row r="46">
      <c r="A46" s="12"/>
      <c r="D46" s="95"/>
      <c r="E46" s="14"/>
      <c r="F46" s="96"/>
      <c r="H46" s="12"/>
      <c r="I46" s="12"/>
      <c r="J46" s="12"/>
      <c r="K46" s="12"/>
      <c r="L46" s="12"/>
      <c r="M46" s="12"/>
      <c r="N46" s="12"/>
      <c r="O46" s="12"/>
      <c r="P46" s="12"/>
    </row>
    <row r="47">
      <c r="A47" s="12"/>
      <c r="D47" s="95"/>
      <c r="E47" s="14"/>
      <c r="F47" s="96"/>
      <c r="H47" s="12"/>
      <c r="I47" s="12"/>
      <c r="J47" s="12"/>
      <c r="K47" s="12"/>
      <c r="L47" s="12"/>
      <c r="M47" s="12"/>
      <c r="N47" s="12"/>
      <c r="O47" s="12"/>
      <c r="P47" s="12"/>
    </row>
    <row r="48">
      <c r="A48" s="12"/>
      <c r="D48" s="95"/>
      <c r="E48" s="14"/>
      <c r="F48" s="96"/>
      <c r="H48" s="12"/>
      <c r="I48" s="12"/>
      <c r="J48" s="12"/>
      <c r="K48" s="12"/>
      <c r="L48" s="12"/>
      <c r="M48" s="12"/>
      <c r="N48" s="12"/>
      <c r="O48" s="12"/>
      <c r="P48" s="12"/>
    </row>
    <row r="49">
      <c r="A49" s="12"/>
      <c r="D49" s="95"/>
      <c r="E49" s="14"/>
      <c r="F49" s="96"/>
      <c r="H49" s="12"/>
      <c r="I49" s="12"/>
      <c r="J49" s="12"/>
      <c r="K49" s="12"/>
      <c r="L49" s="12"/>
      <c r="M49" s="12"/>
      <c r="N49" s="12"/>
      <c r="O49" s="12"/>
      <c r="P49" s="12"/>
    </row>
    <row r="50">
      <c r="A50" s="12"/>
      <c r="D50" s="95"/>
      <c r="E50" s="14"/>
      <c r="F50" s="96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12"/>
      <c r="D51" s="95"/>
      <c r="E51" s="14"/>
      <c r="F51" s="96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2"/>
      <c r="D52" s="95"/>
      <c r="E52" s="14"/>
      <c r="F52" s="96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2"/>
      <c r="D53" s="95"/>
      <c r="E53" s="14"/>
      <c r="F53" s="96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2"/>
      <c r="D54" s="95"/>
      <c r="E54" s="14"/>
      <c r="F54" s="96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2"/>
      <c r="D55" s="95"/>
      <c r="E55" s="14"/>
      <c r="F55" s="96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2"/>
      <c r="D56" s="95"/>
      <c r="E56" s="14"/>
      <c r="F56" s="96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12"/>
      <c r="D57" s="95"/>
      <c r="E57" s="14"/>
      <c r="F57" s="96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12"/>
      <c r="D58" s="95"/>
      <c r="E58" s="14"/>
      <c r="F58" s="96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2"/>
      <c r="D59" s="95"/>
      <c r="E59" s="14"/>
      <c r="F59" s="96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12"/>
      <c r="D60" s="95"/>
      <c r="E60" s="14"/>
      <c r="F60" s="96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12"/>
      <c r="D61" s="95"/>
      <c r="E61" s="14"/>
      <c r="F61" s="96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12"/>
      <c r="D62" s="95"/>
      <c r="E62" s="14"/>
      <c r="F62" s="96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2"/>
      <c r="D63" s="95"/>
      <c r="E63" s="14"/>
      <c r="F63" s="96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12"/>
      <c r="D64" s="95"/>
      <c r="E64" s="14"/>
      <c r="F64" s="96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12"/>
      <c r="D65" s="95"/>
      <c r="E65" s="14"/>
      <c r="F65" s="96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12"/>
      <c r="D66" s="95"/>
      <c r="E66" s="14"/>
      <c r="F66" s="96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12"/>
      <c r="D67" s="95"/>
      <c r="E67" s="14"/>
      <c r="F67" s="96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2"/>
      <c r="D68" s="95"/>
      <c r="E68" s="14"/>
      <c r="F68" s="96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2"/>
      <c r="D69" s="95"/>
      <c r="E69" s="14"/>
      <c r="F69" s="96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12"/>
      <c r="D70" s="95"/>
      <c r="E70" s="14"/>
      <c r="F70" s="96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12"/>
      <c r="D71" s="95"/>
      <c r="E71" s="14"/>
      <c r="F71" s="96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12"/>
      <c r="D72" s="95"/>
      <c r="E72" s="14"/>
      <c r="F72" s="96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12"/>
      <c r="D73" s="95"/>
      <c r="E73" s="14"/>
      <c r="F73" s="96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12"/>
      <c r="D74" s="95"/>
      <c r="E74" s="14"/>
      <c r="F74" s="96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12"/>
      <c r="D75" s="95"/>
      <c r="E75" s="14"/>
      <c r="F75" s="96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12"/>
      <c r="D76" s="95"/>
      <c r="E76" s="14"/>
      <c r="F76" s="96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2"/>
      <c r="D77" s="95"/>
      <c r="E77" s="14"/>
      <c r="F77" s="96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2"/>
      <c r="D78" s="95"/>
      <c r="E78" s="14"/>
      <c r="F78" s="96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2"/>
      <c r="D79" s="95"/>
      <c r="E79" s="14"/>
      <c r="F79" s="96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2"/>
      <c r="D80" s="95"/>
      <c r="E80" s="14"/>
      <c r="F80" s="96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2"/>
      <c r="D81" s="95"/>
      <c r="E81" s="14"/>
      <c r="F81" s="96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2"/>
      <c r="D82" s="95"/>
      <c r="E82" s="14"/>
      <c r="F82" s="96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12"/>
      <c r="D83" s="95"/>
      <c r="E83" s="14"/>
      <c r="F83" s="96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12"/>
      <c r="D84" s="95"/>
      <c r="E84" s="14"/>
      <c r="F84" s="96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2"/>
      <c r="D85" s="95"/>
      <c r="E85" s="14"/>
      <c r="F85" s="96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12"/>
      <c r="D86" s="95"/>
      <c r="E86" s="14"/>
      <c r="F86" s="96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2"/>
      <c r="D87" s="95"/>
      <c r="E87" s="14"/>
      <c r="F87" s="96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12"/>
      <c r="D88" s="95"/>
      <c r="E88" s="14"/>
      <c r="F88" s="96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12"/>
      <c r="D89" s="95"/>
      <c r="E89" s="14"/>
      <c r="F89" s="96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2"/>
      <c r="D90" s="95"/>
      <c r="E90" s="14"/>
      <c r="F90" s="96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12"/>
      <c r="D91" s="95"/>
      <c r="E91" s="14"/>
      <c r="F91" s="96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12"/>
      <c r="D92" s="95"/>
      <c r="E92" s="14"/>
      <c r="F92" s="96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12"/>
      <c r="D93" s="95"/>
      <c r="E93" s="14"/>
      <c r="F93" s="96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12"/>
      <c r="D94" s="95"/>
      <c r="E94" s="14"/>
      <c r="F94" s="96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12"/>
      <c r="D95" s="95"/>
      <c r="E95" s="14"/>
      <c r="F95" s="96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2"/>
      <c r="D96" s="95"/>
      <c r="E96" s="14"/>
      <c r="F96" s="96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12"/>
      <c r="D97" s="95"/>
      <c r="E97" s="14"/>
      <c r="F97" s="96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12"/>
      <c r="D98" s="95"/>
      <c r="E98" s="14"/>
      <c r="F98" s="96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12"/>
      <c r="D99" s="95"/>
      <c r="E99" s="14"/>
      <c r="F99" s="96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2"/>
      <c r="D100" s="95"/>
      <c r="E100" s="14"/>
      <c r="F100" s="96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A101" s="12"/>
      <c r="D101" s="95"/>
      <c r="E101" s="14"/>
      <c r="F101" s="96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A102" s="12"/>
      <c r="D102" s="95"/>
      <c r="E102" s="14"/>
      <c r="F102" s="96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2"/>
      <c r="D103" s="95"/>
      <c r="E103" s="14"/>
      <c r="F103" s="96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A104" s="12"/>
      <c r="D104" s="95"/>
      <c r="E104" s="14"/>
      <c r="F104" s="96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A105" s="12"/>
      <c r="D105" s="95"/>
      <c r="E105" s="14"/>
      <c r="F105" s="96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A106" s="12"/>
      <c r="D106" s="95"/>
      <c r="E106" s="14"/>
      <c r="F106" s="96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A107" s="12"/>
      <c r="D107" s="95"/>
      <c r="E107" s="14"/>
      <c r="F107" s="96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A108" s="12"/>
      <c r="D108" s="95"/>
      <c r="E108" s="14"/>
      <c r="F108" s="96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A109" s="12"/>
      <c r="D109" s="95"/>
      <c r="E109" s="14"/>
      <c r="F109" s="96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A110" s="12"/>
      <c r="D110" s="95"/>
      <c r="E110" s="14"/>
      <c r="F110" s="96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A111" s="12"/>
      <c r="D111" s="95"/>
      <c r="E111" s="14"/>
      <c r="F111" s="96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A112" s="12"/>
      <c r="D112" s="95"/>
      <c r="E112" s="14"/>
      <c r="F112" s="96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A113" s="12"/>
      <c r="D113" s="95"/>
      <c r="E113" s="14"/>
      <c r="F113" s="96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A114" s="12"/>
      <c r="D114" s="95"/>
      <c r="E114" s="14"/>
      <c r="F114" s="96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A115" s="12"/>
      <c r="D115" s="95"/>
      <c r="E115" s="14"/>
      <c r="F115" s="96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A116" s="12"/>
      <c r="D116" s="95"/>
      <c r="E116" s="14"/>
      <c r="F116" s="96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A117" s="12"/>
      <c r="D117" s="95"/>
      <c r="E117" s="14"/>
      <c r="F117" s="96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A118" s="12"/>
      <c r="D118" s="95"/>
      <c r="E118" s="14"/>
      <c r="F118" s="96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A119" s="12"/>
      <c r="D119" s="95"/>
      <c r="E119" s="14"/>
      <c r="F119" s="96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A120" s="12"/>
      <c r="D120" s="95"/>
      <c r="E120" s="14"/>
      <c r="F120" s="96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A121" s="12"/>
      <c r="D121" s="95"/>
      <c r="E121" s="14"/>
      <c r="F121" s="96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A122" s="12"/>
      <c r="D122" s="95"/>
      <c r="E122" s="14"/>
      <c r="F122" s="96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A123" s="12"/>
      <c r="D123" s="95"/>
      <c r="E123" s="14"/>
      <c r="F123" s="96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A124" s="12"/>
      <c r="D124" s="95"/>
      <c r="E124" s="14"/>
      <c r="F124" s="96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A125" s="12"/>
      <c r="D125" s="95"/>
      <c r="E125" s="14"/>
      <c r="F125" s="96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A126" s="12"/>
      <c r="D126" s="95"/>
      <c r="E126" s="14"/>
      <c r="F126" s="96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A127" s="12"/>
      <c r="D127" s="95"/>
      <c r="E127" s="14"/>
      <c r="F127" s="96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A128" s="12"/>
      <c r="D128" s="95"/>
      <c r="E128" s="14"/>
      <c r="F128" s="96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A129" s="12"/>
      <c r="D129" s="95"/>
      <c r="E129" s="14"/>
      <c r="F129" s="96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A130" s="12"/>
      <c r="D130" s="95"/>
      <c r="E130" s="14"/>
      <c r="F130" s="96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A131" s="12"/>
      <c r="D131" s="95"/>
      <c r="E131" s="14"/>
      <c r="F131" s="96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A132" s="12"/>
      <c r="D132" s="95"/>
      <c r="E132" s="14"/>
      <c r="F132" s="96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A133" s="12"/>
      <c r="D133" s="95"/>
      <c r="E133" s="14"/>
      <c r="F133" s="96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A134" s="12"/>
      <c r="D134" s="95"/>
      <c r="E134" s="14"/>
      <c r="F134" s="96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A135" s="12"/>
      <c r="D135" s="95"/>
      <c r="E135" s="14"/>
      <c r="F135" s="96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A136" s="12"/>
      <c r="D136" s="95"/>
      <c r="E136" s="14"/>
      <c r="F136" s="96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A137" s="12"/>
      <c r="D137" s="95"/>
      <c r="E137" s="14"/>
      <c r="F137" s="96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A138" s="12"/>
      <c r="D138" s="95"/>
      <c r="E138" s="14"/>
      <c r="F138" s="96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A139" s="12"/>
      <c r="D139" s="95"/>
      <c r="E139" s="14"/>
      <c r="F139" s="96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A140" s="12"/>
      <c r="D140" s="95"/>
      <c r="E140" s="14"/>
      <c r="F140" s="96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A141" s="12"/>
      <c r="D141" s="95"/>
      <c r="E141" s="14"/>
      <c r="F141" s="96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A142" s="12"/>
      <c r="D142" s="95"/>
      <c r="E142" s="14"/>
      <c r="F142" s="96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A143" s="12"/>
      <c r="D143" s="95"/>
      <c r="E143" s="14"/>
      <c r="F143" s="96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A144" s="12"/>
      <c r="D144" s="95"/>
      <c r="E144" s="14"/>
      <c r="F144" s="96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A145" s="12"/>
      <c r="D145" s="95"/>
      <c r="E145" s="14"/>
      <c r="F145" s="96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A146" s="12"/>
      <c r="D146" s="95"/>
      <c r="E146" s="14"/>
      <c r="F146" s="96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A147" s="12"/>
      <c r="D147" s="95"/>
      <c r="E147" s="14"/>
      <c r="F147" s="96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A148" s="12"/>
      <c r="D148" s="95"/>
      <c r="E148" s="14"/>
      <c r="F148" s="96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A149" s="12"/>
      <c r="D149" s="95"/>
      <c r="E149" s="14"/>
      <c r="F149" s="96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A150" s="12"/>
      <c r="D150" s="95"/>
      <c r="E150" s="14"/>
      <c r="F150" s="96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A151" s="12"/>
      <c r="D151" s="95"/>
      <c r="E151" s="14"/>
      <c r="F151" s="96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A152" s="12"/>
      <c r="D152" s="95"/>
      <c r="E152" s="14"/>
      <c r="F152" s="96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A153" s="12"/>
      <c r="D153" s="95"/>
      <c r="E153" s="14"/>
      <c r="F153" s="96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A154" s="12"/>
      <c r="D154" s="95"/>
      <c r="E154" s="14"/>
      <c r="F154" s="96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A155" s="12"/>
      <c r="D155" s="95"/>
      <c r="E155" s="14"/>
      <c r="F155" s="96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A156" s="12"/>
      <c r="D156" s="95"/>
      <c r="E156" s="14"/>
      <c r="F156" s="96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A157" s="12"/>
      <c r="D157" s="95"/>
      <c r="E157" s="14"/>
      <c r="F157" s="96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A158" s="12"/>
      <c r="D158" s="95"/>
      <c r="E158" s="14"/>
      <c r="F158" s="96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A159" s="12"/>
      <c r="D159" s="95"/>
      <c r="E159" s="14"/>
      <c r="F159" s="96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A160" s="12"/>
      <c r="D160" s="95"/>
      <c r="E160" s="14"/>
      <c r="F160" s="96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A161" s="12"/>
      <c r="D161" s="95"/>
      <c r="E161" s="14"/>
      <c r="F161" s="96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A162" s="12"/>
      <c r="D162" s="95"/>
      <c r="E162" s="14"/>
      <c r="F162" s="96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A163" s="12"/>
      <c r="D163" s="95"/>
      <c r="E163" s="14"/>
      <c r="F163" s="96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A164" s="12"/>
      <c r="D164" s="95"/>
      <c r="E164" s="14"/>
      <c r="F164" s="96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A165" s="12"/>
      <c r="D165" s="95"/>
      <c r="E165" s="14"/>
      <c r="F165" s="96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A166" s="12"/>
      <c r="D166" s="95"/>
      <c r="E166" s="14"/>
      <c r="F166" s="96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A167" s="12"/>
      <c r="D167" s="95"/>
      <c r="E167" s="14"/>
      <c r="F167" s="96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A168" s="12"/>
      <c r="D168" s="95"/>
      <c r="E168" s="14"/>
      <c r="F168" s="96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A169" s="12"/>
      <c r="D169" s="95"/>
      <c r="E169" s="14"/>
      <c r="F169" s="96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A170" s="12"/>
      <c r="D170" s="95"/>
      <c r="E170" s="14"/>
      <c r="F170" s="96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A171" s="12"/>
      <c r="D171" s="95"/>
      <c r="E171" s="14"/>
      <c r="F171" s="96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A172" s="12"/>
      <c r="D172" s="95"/>
      <c r="E172" s="14"/>
      <c r="F172" s="96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A173" s="12"/>
      <c r="D173" s="95"/>
      <c r="E173" s="14"/>
      <c r="F173" s="96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A174" s="12"/>
      <c r="D174" s="95"/>
      <c r="E174" s="14"/>
      <c r="F174" s="96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A175" s="12"/>
      <c r="D175" s="95"/>
      <c r="E175" s="14"/>
      <c r="F175" s="96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A176" s="12"/>
      <c r="D176" s="95"/>
      <c r="E176" s="14"/>
      <c r="F176" s="96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A177" s="12"/>
      <c r="D177" s="95"/>
      <c r="E177" s="14"/>
      <c r="F177" s="96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A178" s="12"/>
      <c r="D178" s="95"/>
      <c r="E178" s="14"/>
      <c r="F178" s="96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A179" s="12"/>
      <c r="D179" s="95"/>
      <c r="E179" s="14"/>
      <c r="F179" s="96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A180" s="12"/>
      <c r="D180" s="95"/>
      <c r="E180" s="14"/>
      <c r="F180" s="96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A181" s="12"/>
      <c r="D181" s="95"/>
      <c r="E181" s="14"/>
      <c r="F181" s="96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A182" s="12"/>
      <c r="D182" s="95"/>
      <c r="E182" s="14"/>
      <c r="F182" s="96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A183" s="12"/>
      <c r="D183" s="95"/>
      <c r="E183" s="14"/>
      <c r="F183" s="96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A184" s="12"/>
      <c r="D184" s="95"/>
      <c r="E184" s="14"/>
      <c r="F184" s="96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A185" s="12"/>
      <c r="D185" s="95"/>
      <c r="E185" s="14"/>
      <c r="F185" s="96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A186" s="12"/>
      <c r="D186" s="95"/>
      <c r="E186" s="14"/>
      <c r="F186" s="96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A187" s="12"/>
      <c r="D187" s="95"/>
      <c r="E187" s="14"/>
      <c r="F187" s="96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A188" s="12"/>
      <c r="D188" s="95"/>
      <c r="E188" s="14"/>
      <c r="F188" s="96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A189" s="12"/>
      <c r="D189" s="95"/>
      <c r="E189" s="14"/>
      <c r="F189" s="96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A190" s="12"/>
      <c r="D190" s="95"/>
      <c r="E190" s="14"/>
      <c r="F190" s="96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A191" s="12"/>
      <c r="D191" s="95"/>
      <c r="E191" s="14"/>
      <c r="F191" s="96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A192" s="12"/>
      <c r="D192" s="95"/>
      <c r="E192" s="14"/>
      <c r="F192" s="96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A193" s="12"/>
      <c r="D193" s="95"/>
      <c r="E193" s="14"/>
      <c r="F193" s="96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A194" s="12"/>
      <c r="D194" s="95"/>
      <c r="E194" s="14"/>
      <c r="F194" s="96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A195" s="12"/>
      <c r="D195" s="95"/>
      <c r="E195" s="14"/>
      <c r="F195" s="96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A196" s="12"/>
      <c r="D196" s="95"/>
      <c r="E196" s="14"/>
      <c r="F196" s="96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A197" s="12"/>
      <c r="D197" s="95"/>
      <c r="E197" s="14"/>
      <c r="F197" s="96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A198" s="12"/>
      <c r="D198" s="95"/>
      <c r="E198" s="14"/>
      <c r="F198" s="96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A199" s="12"/>
      <c r="D199" s="95"/>
      <c r="E199" s="14"/>
      <c r="F199" s="96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A200" s="12"/>
      <c r="D200" s="95"/>
      <c r="E200" s="14"/>
      <c r="F200" s="96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A201" s="12"/>
      <c r="D201" s="95"/>
      <c r="E201" s="14"/>
      <c r="F201" s="96"/>
      <c r="H201" s="12"/>
      <c r="I201" s="12"/>
      <c r="J201" s="12"/>
      <c r="K201" s="12"/>
      <c r="L201" s="12"/>
      <c r="M201" s="12"/>
      <c r="N201" s="12"/>
      <c r="O201" s="12"/>
      <c r="P201" s="12"/>
    </row>
    <row r="202">
      <c r="A202" s="12"/>
      <c r="D202" s="95"/>
      <c r="E202" s="14"/>
      <c r="F202" s="96"/>
      <c r="H202" s="12"/>
      <c r="I202" s="12"/>
      <c r="J202" s="12"/>
      <c r="K202" s="12"/>
      <c r="L202" s="12"/>
      <c r="M202" s="12"/>
      <c r="N202" s="12"/>
      <c r="O202" s="12"/>
      <c r="P202" s="12"/>
    </row>
    <row r="203">
      <c r="A203" s="12"/>
      <c r="D203" s="95"/>
      <c r="E203" s="14"/>
      <c r="F203" s="96"/>
      <c r="H203" s="12"/>
      <c r="I203" s="12"/>
      <c r="J203" s="12"/>
      <c r="K203" s="12"/>
      <c r="L203" s="12"/>
      <c r="M203" s="12"/>
      <c r="N203" s="12"/>
      <c r="O203" s="12"/>
      <c r="P203" s="12"/>
    </row>
    <row r="204">
      <c r="A204" s="12"/>
      <c r="D204" s="95"/>
      <c r="E204" s="14"/>
      <c r="F204" s="96"/>
      <c r="H204" s="12"/>
      <c r="I204" s="12"/>
      <c r="J204" s="12"/>
      <c r="K204" s="12"/>
      <c r="L204" s="12"/>
      <c r="M204" s="12"/>
      <c r="N204" s="12"/>
      <c r="O204" s="12"/>
      <c r="P204" s="12"/>
    </row>
    <row r="205">
      <c r="A205" s="12"/>
      <c r="D205" s="95"/>
      <c r="E205" s="14"/>
      <c r="F205" s="96"/>
      <c r="H205" s="12"/>
      <c r="I205" s="12"/>
      <c r="J205" s="12"/>
      <c r="K205" s="12"/>
      <c r="L205" s="12"/>
      <c r="M205" s="12"/>
      <c r="N205" s="12"/>
      <c r="O205" s="12"/>
      <c r="P205" s="12"/>
    </row>
    <row r="206">
      <c r="A206" s="12"/>
      <c r="D206" s="95"/>
      <c r="E206" s="14"/>
      <c r="F206" s="96"/>
      <c r="H206" s="12"/>
      <c r="I206" s="12"/>
      <c r="J206" s="12"/>
      <c r="K206" s="12"/>
      <c r="L206" s="12"/>
      <c r="M206" s="12"/>
      <c r="N206" s="12"/>
      <c r="O206" s="12"/>
      <c r="P206" s="12"/>
    </row>
    <row r="207">
      <c r="A207" s="12"/>
      <c r="D207" s="95"/>
      <c r="E207" s="14"/>
      <c r="F207" s="96"/>
      <c r="H207" s="12"/>
      <c r="I207" s="12"/>
      <c r="J207" s="12"/>
      <c r="K207" s="12"/>
      <c r="L207" s="12"/>
      <c r="M207" s="12"/>
      <c r="N207" s="12"/>
      <c r="O207" s="12"/>
      <c r="P207" s="12"/>
    </row>
    <row r="208">
      <c r="A208" s="12"/>
      <c r="D208" s="95"/>
      <c r="E208" s="14"/>
      <c r="F208" s="96"/>
      <c r="H208" s="12"/>
      <c r="I208" s="12"/>
      <c r="J208" s="12"/>
      <c r="K208" s="12"/>
      <c r="L208" s="12"/>
      <c r="M208" s="12"/>
      <c r="N208" s="12"/>
      <c r="O208" s="12"/>
      <c r="P208" s="12"/>
    </row>
    <row r="209">
      <c r="A209" s="12"/>
      <c r="D209" s="95"/>
      <c r="E209" s="14"/>
      <c r="F209" s="96"/>
      <c r="H209" s="12"/>
      <c r="I209" s="12"/>
      <c r="J209" s="12"/>
      <c r="K209" s="12"/>
      <c r="L209" s="12"/>
      <c r="M209" s="12"/>
      <c r="N209" s="12"/>
      <c r="O209" s="12"/>
      <c r="P209" s="12"/>
    </row>
    <row r="210">
      <c r="A210" s="12"/>
      <c r="D210" s="95"/>
      <c r="E210" s="14"/>
      <c r="F210" s="96"/>
      <c r="H210" s="12"/>
      <c r="I210" s="12"/>
      <c r="J210" s="12"/>
      <c r="K210" s="12"/>
      <c r="L210" s="12"/>
      <c r="M210" s="12"/>
      <c r="N210" s="12"/>
      <c r="O210" s="12"/>
      <c r="P210" s="12"/>
    </row>
    <row r="211">
      <c r="A211" s="12"/>
      <c r="D211" s="95"/>
      <c r="E211" s="14"/>
      <c r="F211" s="96"/>
      <c r="H211" s="12"/>
      <c r="I211" s="12"/>
      <c r="J211" s="12"/>
      <c r="K211" s="12"/>
      <c r="L211" s="12"/>
      <c r="M211" s="12"/>
      <c r="N211" s="12"/>
      <c r="O211" s="12"/>
      <c r="P211" s="12"/>
    </row>
    <row r="212">
      <c r="A212" s="12"/>
      <c r="D212" s="95"/>
      <c r="E212" s="14"/>
      <c r="F212" s="96"/>
      <c r="H212" s="12"/>
      <c r="I212" s="12"/>
      <c r="J212" s="12"/>
      <c r="K212" s="12"/>
      <c r="L212" s="12"/>
      <c r="M212" s="12"/>
      <c r="N212" s="12"/>
      <c r="O212" s="12"/>
      <c r="P212" s="12"/>
    </row>
    <row r="213">
      <c r="A213" s="12"/>
      <c r="D213" s="95"/>
      <c r="E213" s="14"/>
      <c r="F213" s="96"/>
      <c r="H213" s="12"/>
      <c r="I213" s="12"/>
      <c r="J213" s="12"/>
      <c r="K213" s="12"/>
      <c r="L213" s="12"/>
      <c r="M213" s="12"/>
      <c r="N213" s="12"/>
      <c r="O213" s="12"/>
      <c r="P213" s="12"/>
    </row>
    <row r="214">
      <c r="A214" s="12"/>
      <c r="D214" s="95"/>
      <c r="E214" s="14"/>
      <c r="F214" s="96"/>
      <c r="H214" s="12"/>
      <c r="I214" s="12"/>
      <c r="J214" s="12"/>
      <c r="K214" s="12"/>
      <c r="L214" s="12"/>
      <c r="M214" s="12"/>
      <c r="N214" s="12"/>
      <c r="O214" s="12"/>
      <c r="P214" s="12"/>
    </row>
    <row r="215">
      <c r="A215" s="12"/>
      <c r="D215" s="95"/>
      <c r="E215" s="14"/>
      <c r="F215" s="96"/>
      <c r="H215" s="12"/>
      <c r="I215" s="12"/>
      <c r="J215" s="12"/>
      <c r="K215" s="12"/>
      <c r="L215" s="12"/>
      <c r="M215" s="12"/>
      <c r="N215" s="12"/>
      <c r="O215" s="12"/>
      <c r="P215" s="12"/>
    </row>
    <row r="216">
      <c r="A216" s="12"/>
      <c r="D216" s="95"/>
      <c r="E216" s="14"/>
      <c r="F216" s="96"/>
      <c r="H216" s="12"/>
      <c r="I216" s="12"/>
      <c r="J216" s="12"/>
      <c r="K216" s="12"/>
      <c r="L216" s="12"/>
      <c r="M216" s="12"/>
      <c r="N216" s="12"/>
      <c r="O216" s="12"/>
      <c r="P216" s="12"/>
    </row>
    <row r="217">
      <c r="A217" s="12"/>
      <c r="D217" s="95"/>
      <c r="E217" s="14"/>
      <c r="F217" s="96"/>
      <c r="H217" s="12"/>
      <c r="I217" s="12"/>
      <c r="J217" s="12"/>
      <c r="K217" s="12"/>
      <c r="L217" s="12"/>
      <c r="M217" s="12"/>
      <c r="N217" s="12"/>
      <c r="O217" s="12"/>
      <c r="P217" s="12"/>
    </row>
    <row r="218">
      <c r="A218" s="12"/>
      <c r="D218" s="95"/>
      <c r="E218" s="14"/>
      <c r="F218" s="96"/>
      <c r="H218" s="12"/>
      <c r="I218" s="12"/>
      <c r="J218" s="12"/>
      <c r="K218" s="12"/>
      <c r="L218" s="12"/>
      <c r="M218" s="12"/>
      <c r="N218" s="12"/>
      <c r="O218" s="12"/>
      <c r="P218" s="12"/>
    </row>
    <row r="219">
      <c r="A219" s="12"/>
      <c r="D219" s="95"/>
      <c r="E219" s="14"/>
      <c r="F219" s="96"/>
      <c r="H219" s="12"/>
      <c r="I219" s="12"/>
      <c r="J219" s="12"/>
      <c r="K219" s="12"/>
      <c r="L219" s="12"/>
      <c r="M219" s="12"/>
      <c r="N219" s="12"/>
      <c r="O219" s="12"/>
      <c r="P219" s="12"/>
    </row>
    <row r="220">
      <c r="A220" s="12"/>
      <c r="D220" s="95"/>
      <c r="E220" s="14"/>
      <c r="F220" s="96"/>
      <c r="H220" s="12"/>
      <c r="I220" s="12"/>
      <c r="J220" s="12"/>
      <c r="K220" s="12"/>
      <c r="L220" s="12"/>
      <c r="M220" s="12"/>
      <c r="N220" s="12"/>
      <c r="O220" s="12"/>
      <c r="P220" s="12"/>
    </row>
    <row r="221">
      <c r="A221" s="12"/>
      <c r="D221" s="95"/>
      <c r="E221" s="14"/>
      <c r="F221" s="96"/>
      <c r="H221" s="12"/>
      <c r="I221" s="12"/>
      <c r="J221" s="12"/>
      <c r="K221" s="12"/>
      <c r="L221" s="12"/>
      <c r="M221" s="12"/>
      <c r="N221" s="12"/>
      <c r="O221" s="12"/>
      <c r="P221" s="12"/>
    </row>
    <row r="222">
      <c r="A222" s="12"/>
      <c r="D222" s="95"/>
      <c r="E222" s="14"/>
      <c r="F222" s="96"/>
      <c r="H222" s="12"/>
      <c r="I222" s="12"/>
      <c r="J222" s="12"/>
      <c r="K222" s="12"/>
      <c r="L222" s="12"/>
      <c r="M222" s="12"/>
      <c r="N222" s="12"/>
      <c r="O222" s="12"/>
      <c r="P222" s="12"/>
    </row>
    <row r="223">
      <c r="A223" s="12"/>
      <c r="D223" s="95"/>
      <c r="E223" s="14"/>
      <c r="F223" s="96"/>
      <c r="H223" s="12"/>
      <c r="I223" s="12"/>
      <c r="J223" s="12"/>
      <c r="K223" s="12"/>
      <c r="L223" s="12"/>
      <c r="M223" s="12"/>
      <c r="N223" s="12"/>
      <c r="O223" s="12"/>
      <c r="P223" s="12"/>
    </row>
    <row r="224">
      <c r="A224" s="12"/>
      <c r="D224" s="95"/>
      <c r="E224" s="14"/>
      <c r="F224" s="96"/>
      <c r="H224" s="12"/>
      <c r="I224" s="12"/>
      <c r="J224" s="12"/>
      <c r="K224" s="12"/>
      <c r="L224" s="12"/>
      <c r="M224" s="12"/>
      <c r="N224" s="12"/>
      <c r="O224" s="12"/>
      <c r="P224" s="12"/>
    </row>
    <row r="225">
      <c r="A225" s="12"/>
      <c r="D225" s="95"/>
      <c r="E225" s="14"/>
      <c r="F225" s="96"/>
      <c r="H225" s="12"/>
      <c r="I225" s="12"/>
      <c r="J225" s="12"/>
      <c r="K225" s="12"/>
      <c r="L225" s="12"/>
      <c r="M225" s="12"/>
      <c r="N225" s="12"/>
      <c r="O225" s="12"/>
      <c r="P225" s="12"/>
    </row>
    <row r="226">
      <c r="A226" s="12"/>
      <c r="D226" s="95"/>
      <c r="E226" s="14"/>
      <c r="F226" s="96"/>
      <c r="H226" s="12"/>
      <c r="I226" s="12"/>
      <c r="J226" s="12"/>
      <c r="K226" s="12"/>
      <c r="L226" s="12"/>
      <c r="M226" s="12"/>
      <c r="N226" s="12"/>
      <c r="O226" s="12"/>
      <c r="P226" s="12"/>
    </row>
    <row r="227">
      <c r="A227" s="12"/>
      <c r="D227" s="95"/>
      <c r="E227" s="14"/>
      <c r="F227" s="96"/>
      <c r="H227" s="12"/>
      <c r="I227" s="12"/>
      <c r="J227" s="12"/>
      <c r="K227" s="12"/>
      <c r="L227" s="12"/>
      <c r="M227" s="12"/>
      <c r="N227" s="12"/>
      <c r="O227" s="12"/>
      <c r="P227" s="12"/>
    </row>
    <row r="228">
      <c r="A228" s="12"/>
      <c r="D228" s="95"/>
      <c r="E228" s="14"/>
      <c r="F228" s="96"/>
      <c r="H228" s="12"/>
      <c r="I228" s="12"/>
      <c r="J228" s="12"/>
      <c r="K228" s="12"/>
      <c r="L228" s="12"/>
      <c r="M228" s="12"/>
      <c r="N228" s="12"/>
      <c r="O228" s="12"/>
      <c r="P228" s="12"/>
    </row>
    <row r="229">
      <c r="A229" s="12"/>
      <c r="D229" s="95"/>
      <c r="E229" s="14"/>
      <c r="F229" s="96"/>
      <c r="H229" s="12"/>
      <c r="I229" s="12"/>
      <c r="J229" s="12"/>
      <c r="K229" s="12"/>
      <c r="L229" s="12"/>
      <c r="M229" s="12"/>
      <c r="N229" s="12"/>
      <c r="O229" s="12"/>
      <c r="P229" s="12"/>
    </row>
    <row r="230">
      <c r="A230" s="12"/>
      <c r="D230" s="95"/>
      <c r="E230" s="14"/>
      <c r="F230" s="96"/>
      <c r="H230" s="12"/>
      <c r="I230" s="12"/>
      <c r="J230" s="12"/>
      <c r="K230" s="12"/>
      <c r="L230" s="12"/>
      <c r="M230" s="12"/>
      <c r="N230" s="12"/>
      <c r="O230" s="12"/>
      <c r="P230" s="12"/>
    </row>
    <row r="231">
      <c r="A231" s="12"/>
      <c r="D231" s="95"/>
      <c r="E231" s="14"/>
      <c r="F231" s="96"/>
      <c r="H231" s="12"/>
      <c r="I231" s="12"/>
      <c r="J231" s="12"/>
      <c r="K231" s="12"/>
      <c r="L231" s="12"/>
      <c r="M231" s="12"/>
      <c r="N231" s="12"/>
      <c r="O231" s="12"/>
      <c r="P231" s="12"/>
    </row>
    <row r="232">
      <c r="A232" s="12"/>
      <c r="D232" s="95"/>
      <c r="E232" s="14"/>
      <c r="F232" s="96"/>
      <c r="H232" s="12"/>
      <c r="I232" s="12"/>
      <c r="J232" s="12"/>
      <c r="K232" s="12"/>
      <c r="L232" s="12"/>
      <c r="M232" s="12"/>
      <c r="N232" s="12"/>
      <c r="O232" s="12"/>
      <c r="P232" s="12"/>
    </row>
    <row r="233">
      <c r="A233" s="12"/>
      <c r="D233" s="95"/>
      <c r="E233" s="14"/>
      <c r="F233" s="96"/>
      <c r="H233" s="12"/>
      <c r="I233" s="12"/>
      <c r="J233" s="12"/>
      <c r="K233" s="12"/>
      <c r="L233" s="12"/>
      <c r="M233" s="12"/>
      <c r="N233" s="12"/>
      <c r="O233" s="12"/>
      <c r="P233" s="12"/>
    </row>
    <row r="234">
      <c r="A234" s="12"/>
      <c r="D234" s="95"/>
      <c r="E234" s="14"/>
      <c r="F234" s="96"/>
      <c r="H234" s="12"/>
      <c r="I234" s="12"/>
      <c r="J234" s="12"/>
      <c r="K234" s="12"/>
      <c r="L234" s="12"/>
      <c r="M234" s="12"/>
      <c r="N234" s="12"/>
      <c r="O234" s="12"/>
      <c r="P234" s="12"/>
    </row>
    <row r="235">
      <c r="A235" s="12"/>
      <c r="D235" s="95"/>
      <c r="E235" s="14"/>
      <c r="F235" s="96"/>
      <c r="H235" s="12"/>
      <c r="I235" s="12"/>
      <c r="J235" s="12"/>
      <c r="K235" s="12"/>
      <c r="L235" s="12"/>
      <c r="M235" s="12"/>
      <c r="N235" s="12"/>
      <c r="O235" s="12"/>
      <c r="P235" s="12"/>
    </row>
    <row r="236">
      <c r="A236" s="12"/>
      <c r="D236" s="95"/>
      <c r="E236" s="14"/>
      <c r="F236" s="96"/>
      <c r="H236" s="12"/>
      <c r="I236" s="12"/>
      <c r="J236" s="12"/>
      <c r="K236" s="12"/>
      <c r="L236" s="12"/>
      <c r="M236" s="12"/>
      <c r="N236" s="12"/>
      <c r="O236" s="12"/>
      <c r="P236" s="12"/>
    </row>
    <row r="237">
      <c r="A237" s="12"/>
      <c r="D237" s="95"/>
      <c r="E237" s="14"/>
      <c r="F237" s="96"/>
      <c r="H237" s="12"/>
      <c r="I237" s="12"/>
      <c r="J237" s="12"/>
      <c r="K237" s="12"/>
      <c r="L237" s="12"/>
      <c r="M237" s="12"/>
      <c r="N237" s="12"/>
      <c r="O237" s="12"/>
      <c r="P237" s="12"/>
    </row>
    <row r="238">
      <c r="A238" s="12"/>
      <c r="D238" s="95"/>
      <c r="E238" s="14"/>
      <c r="F238" s="96"/>
      <c r="H238" s="12"/>
      <c r="I238" s="12"/>
      <c r="J238" s="12"/>
      <c r="K238" s="12"/>
      <c r="L238" s="12"/>
      <c r="M238" s="12"/>
      <c r="N238" s="12"/>
      <c r="O238" s="12"/>
      <c r="P238" s="12"/>
    </row>
    <row r="239">
      <c r="A239" s="12"/>
      <c r="D239" s="95"/>
      <c r="E239" s="14"/>
      <c r="F239" s="96"/>
      <c r="H239" s="12"/>
      <c r="I239" s="12"/>
      <c r="J239" s="12"/>
      <c r="K239" s="12"/>
      <c r="L239" s="12"/>
      <c r="M239" s="12"/>
      <c r="N239" s="12"/>
      <c r="O239" s="12"/>
      <c r="P239" s="12"/>
    </row>
    <row r="240">
      <c r="A240" s="12"/>
      <c r="D240" s="95"/>
      <c r="E240" s="14"/>
      <c r="F240" s="96"/>
      <c r="H240" s="12"/>
      <c r="I240" s="12"/>
      <c r="J240" s="12"/>
      <c r="K240" s="12"/>
      <c r="L240" s="12"/>
      <c r="M240" s="12"/>
      <c r="N240" s="12"/>
      <c r="O240" s="12"/>
      <c r="P240" s="12"/>
    </row>
    <row r="241">
      <c r="A241" s="12"/>
      <c r="D241" s="95"/>
      <c r="E241" s="14"/>
      <c r="F241" s="96"/>
      <c r="H241" s="12"/>
      <c r="I241" s="12"/>
      <c r="J241" s="12"/>
      <c r="K241" s="12"/>
      <c r="L241" s="12"/>
      <c r="M241" s="12"/>
      <c r="N241" s="12"/>
      <c r="O241" s="12"/>
      <c r="P241" s="12"/>
    </row>
    <row r="242">
      <c r="A242" s="12"/>
      <c r="D242" s="95"/>
      <c r="E242" s="14"/>
      <c r="F242" s="96"/>
      <c r="H242" s="12"/>
      <c r="I242" s="12"/>
      <c r="J242" s="12"/>
      <c r="K242" s="12"/>
      <c r="L242" s="12"/>
      <c r="M242" s="12"/>
      <c r="N242" s="12"/>
      <c r="O242" s="12"/>
      <c r="P242" s="12"/>
    </row>
    <row r="243">
      <c r="A243" s="12"/>
      <c r="D243" s="95"/>
      <c r="E243" s="14"/>
      <c r="F243" s="96"/>
      <c r="H243" s="12"/>
      <c r="I243" s="12"/>
      <c r="J243" s="12"/>
      <c r="K243" s="12"/>
      <c r="L243" s="12"/>
      <c r="M243" s="12"/>
      <c r="N243" s="12"/>
      <c r="O243" s="12"/>
      <c r="P243" s="12"/>
    </row>
    <row r="244">
      <c r="A244" s="12"/>
      <c r="D244" s="95"/>
      <c r="E244" s="14"/>
      <c r="F244" s="96"/>
      <c r="H244" s="12"/>
      <c r="I244" s="12"/>
      <c r="J244" s="12"/>
      <c r="K244" s="12"/>
      <c r="L244" s="12"/>
      <c r="M244" s="12"/>
      <c r="N244" s="12"/>
      <c r="O244" s="12"/>
      <c r="P244" s="12"/>
    </row>
    <row r="245">
      <c r="A245" s="12"/>
      <c r="D245" s="95"/>
      <c r="E245" s="14"/>
      <c r="F245" s="96"/>
      <c r="H245" s="12"/>
      <c r="I245" s="12"/>
      <c r="J245" s="12"/>
      <c r="K245" s="12"/>
      <c r="L245" s="12"/>
      <c r="M245" s="12"/>
      <c r="N245" s="12"/>
      <c r="O245" s="12"/>
      <c r="P245" s="12"/>
    </row>
    <row r="246">
      <c r="A246" s="12"/>
      <c r="D246" s="95"/>
      <c r="E246" s="14"/>
      <c r="F246" s="96"/>
      <c r="H246" s="12"/>
      <c r="I246" s="12"/>
      <c r="J246" s="12"/>
      <c r="K246" s="12"/>
      <c r="L246" s="12"/>
      <c r="M246" s="12"/>
      <c r="N246" s="12"/>
      <c r="O246" s="12"/>
      <c r="P246" s="12"/>
    </row>
    <row r="247">
      <c r="A247" s="12"/>
      <c r="D247" s="95"/>
      <c r="E247" s="14"/>
      <c r="F247" s="96"/>
      <c r="H247" s="12"/>
      <c r="I247" s="12"/>
      <c r="J247" s="12"/>
      <c r="K247" s="12"/>
      <c r="L247" s="12"/>
      <c r="M247" s="12"/>
      <c r="N247" s="12"/>
      <c r="O247" s="12"/>
      <c r="P247" s="12"/>
    </row>
    <row r="248">
      <c r="A248" s="12"/>
      <c r="D248" s="95"/>
      <c r="E248" s="14"/>
      <c r="F248" s="96"/>
      <c r="H248" s="12"/>
      <c r="I248" s="12"/>
      <c r="J248" s="12"/>
      <c r="K248" s="12"/>
      <c r="L248" s="12"/>
      <c r="M248" s="12"/>
      <c r="N248" s="12"/>
      <c r="O248" s="12"/>
      <c r="P248" s="12"/>
    </row>
    <row r="249">
      <c r="A249" s="12"/>
      <c r="D249" s="95"/>
      <c r="E249" s="14"/>
      <c r="F249" s="96"/>
      <c r="H249" s="12"/>
      <c r="I249" s="12"/>
      <c r="J249" s="12"/>
      <c r="K249" s="12"/>
      <c r="L249" s="12"/>
      <c r="M249" s="12"/>
      <c r="N249" s="12"/>
      <c r="O249" s="12"/>
      <c r="P249" s="12"/>
    </row>
    <row r="250">
      <c r="A250" s="12"/>
      <c r="D250" s="95"/>
      <c r="E250" s="14"/>
      <c r="F250" s="96"/>
      <c r="H250" s="12"/>
      <c r="I250" s="12"/>
      <c r="J250" s="12"/>
      <c r="K250" s="12"/>
      <c r="L250" s="12"/>
      <c r="M250" s="12"/>
      <c r="N250" s="12"/>
      <c r="O250" s="12"/>
      <c r="P250" s="12"/>
    </row>
    <row r="251">
      <c r="A251" s="12"/>
      <c r="D251" s="95"/>
      <c r="E251" s="14"/>
      <c r="F251" s="96"/>
      <c r="H251" s="12"/>
      <c r="I251" s="12"/>
      <c r="J251" s="12"/>
      <c r="K251" s="12"/>
      <c r="L251" s="12"/>
      <c r="M251" s="12"/>
      <c r="N251" s="12"/>
      <c r="O251" s="12"/>
      <c r="P251" s="12"/>
    </row>
    <row r="252">
      <c r="A252" s="12"/>
      <c r="D252" s="95"/>
      <c r="E252" s="14"/>
      <c r="F252" s="96"/>
      <c r="H252" s="12"/>
      <c r="I252" s="12"/>
      <c r="J252" s="12"/>
      <c r="K252" s="12"/>
      <c r="L252" s="12"/>
      <c r="M252" s="12"/>
      <c r="N252" s="12"/>
      <c r="O252" s="12"/>
      <c r="P252" s="12"/>
    </row>
    <row r="253">
      <c r="A253" s="12"/>
      <c r="D253" s="95"/>
      <c r="E253" s="14"/>
      <c r="F253" s="96"/>
      <c r="H253" s="12"/>
      <c r="I253" s="12"/>
      <c r="J253" s="12"/>
      <c r="K253" s="12"/>
      <c r="L253" s="12"/>
      <c r="M253" s="12"/>
      <c r="N253" s="12"/>
      <c r="O253" s="12"/>
      <c r="P253" s="12"/>
    </row>
    <row r="254">
      <c r="A254" s="12"/>
      <c r="D254" s="95"/>
      <c r="E254" s="14"/>
      <c r="F254" s="96"/>
      <c r="H254" s="12"/>
      <c r="I254" s="12"/>
      <c r="J254" s="12"/>
      <c r="K254" s="12"/>
      <c r="L254" s="12"/>
      <c r="M254" s="12"/>
      <c r="N254" s="12"/>
      <c r="O254" s="12"/>
      <c r="P254" s="12"/>
    </row>
    <row r="255">
      <c r="A255" s="12"/>
      <c r="D255" s="95"/>
      <c r="E255" s="14"/>
      <c r="F255" s="96"/>
      <c r="H255" s="12"/>
      <c r="I255" s="12"/>
      <c r="J255" s="12"/>
      <c r="K255" s="12"/>
      <c r="L255" s="12"/>
      <c r="M255" s="12"/>
      <c r="N255" s="12"/>
      <c r="O255" s="12"/>
      <c r="P255" s="12"/>
    </row>
    <row r="256">
      <c r="A256" s="12"/>
      <c r="D256" s="95"/>
      <c r="E256" s="14"/>
      <c r="F256" s="96"/>
      <c r="H256" s="12"/>
      <c r="I256" s="12"/>
      <c r="J256" s="12"/>
      <c r="K256" s="12"/>
      <c r="L256" s="12"/>
      <c r="M256" s="12"/>
      <c r="N256" s="12"/>
      <c r="O256" s="12"/>
      <c r="P256" s="12"/>
    </row>
    <row r="257">
      <c r="A257" s="12"/>
      <c r="D257" s="95"/>
      <c r="E257" s="14"/>
      <c r="F257" s="96"/>
      <c r="H257" s="12"/>
      <c r="I257" s="12"/>
      <c r="J257" s="12"/>
      <c r="K257" s="12"/>
      <c r="L257" s="12"/>
      <c r="M257" s="12"/>
      <c r="N257" s="12"/>
      <c r="O257" s="12"/>
      <c r="P257" s="12"/>
    </row>
    <row r="258">
      <c r="A258" s="12"/>
      <c r="D258" s="95"/>
      <c r="E258" s="14"/>
      <c r="F258" s="96"/>
      <c r="H258" s="12"/>
      <c r="I258" s="12"/>
      <c r="J258" s="12"/>
      <c r="K258" s="12"/>
      <c r="L258" s="12"/>
      <c r="M258" s="12"/>
      <c r="N258" s="12"/>
      <c r="O258" s="12"/>
      <c r="P258" s="12"/>
    </row>
    <row r="259">
      <c r="A259" s="12"/>
      <c r="D259" s="95"/>
      <c r="E259" s="14"/>
      <c r="F259" s="96"/>
      <c r="H259" s="12"/>
      <c r="I259" s="12"/>
      <c r="J259" s="12"/>
      <c r="K259" s="12"/>
      <c r="L259" s="12"/>
      <c r="M259" s="12"/>
      <c r="N259" s="12"/>
      <c r="O259" s="12"/>
      <c r="P259" s="12"/>
    </row>
    <row r="260">
      <c r="A260" s="12"/>
      <c r="D260" s="95"/>
      <c r="E260" s="14"/>
      <c r="F260" s="96"/>
      <c r="H260" s="12"/>
      <c r="I260" s="12"/>
      <c r="J260" s="12"/>
      <c r="K260" s="12"/>
      <c r="L260" s="12"/>
      <c r="M260" s="12"/>
      <c r="N260" s="12"/>
      <c r="O260" s="12"/>
      <c r="P260" s="12"/>
    </row>
    <row r="261">
      <c r="A261" s="12"/>
      <c r="D261" s="95"/>
      <c r="E261" s="14"/>
      <c r="F261" s="96"/>
      <c r="H261" s="12"/>
      <c r="I261" s="12"/>
      <c r="J261" s="12"/>
      <c r="K261" s="12"/>
      <c r="L261" s="12"/>
      <c r="M261" s="12"/>
      <c r="N261" s="12"/>
      <c r="O261" s="12"/>
      <c r="P261" s="12"/>
    </row>
    <row r="262">
      <c r="A262" s="12"/>
      <c r="D262" s="95"/>
      <c r="E262" s="14"/>
      <c r="F262" s="96"/>
      <c r="H262" s="12"/>
      <c r="I262" s="12"/>
      <c r="J262" s="12"/>
      <c r="K262" s="12"/>
      <c r="L262" s="12"/>
      <c r="M262" s="12"/>
      <c r="N262" s="12"/>
      <c r="O262" s="12"/>
      <c r="P262" s="12"/>
    </row>
    <row r="263">
      <c r="A263" s="12"/>
      <c r="D263" s="95"/>
      <c r="E263" s="14"/>
      <c r="F263" s="96"/>
      <c r="H263" s="12"/>
      <c r="I263" s="12"/>
      <c r="J263" s="12"/>
      <c r="K263" s="12"/>
      <c r="L263" s="12"/>
      <c r="M263" s="12"/>
      <c r="N263" s="12"/>
      <c r="O263" s="12"/>
      <c r="P263" s="12"/>
    </row>
    <row r="264">
      <c r="A264" s="12"/>
      <c r="D264" s="95"/>
      <c r="E264" s="14"/>
      <c r="F264" s="96"/>
      <c r="H264" s="12"/>
      <c r="I264" s="12"/>
      <c r="J264" s="12"/>
      <c r="K264" s="12"/>
      <c r="L264" s="12"/>
      <c r="M264" s="12"/>
      <c r="N264" s="12"/>
      <c r="O264" s="12"/>
      <c r="P264" s="12"/>
    </row>
    <row r="265">
      <c r="A265" s="12"/>
      <c r="D265" s="95"/>
      <c r="E265" s="14"/>
      <c r="F265" s="96"/>
      <c r="H265" s="12"/>
      <c r="I265" s="12"/>
      <c r="J265" s="12"/>
      <c r="K265" s="12"/>
      <c r="L265" s="12"/>
      <c r="M265" s="12"/>
      <c r="N265" s="12"/>
      <c r="O265" s="12"/>
      <c r="P265" s="12"/>
    </row>
    <row r="266">
      <c r="A266" s="12"/>
      <c r="D266" s="95"/>
      <c r="E266" s="14"/>
      <c r="F266" s="96"/>
      <c r="H266" s="12"/>
      <c r="I266" s="12"/>
      <c r="J266" s="12"/>
      <c r="K266" s="12"/>
      <c r="L266" s="12"/>
      <c r="M266" s="12"/>
      <c r="N266" s="12"/>
      <c r="O266" s="12"/>
      <c r="P266" s="12"/>
    </row>
    <row r="267">
      <c r="A267" s="12"/>
      <c r="D267" s="95"/>
      <c r="E267" s="14"/>
      <c r="F267" s="96"/>
      <c r="H267" s="12"/>
      <c r="I267" s="12"/>
      <c r="J267" s="12"/>
      <c r="K267" s="12"/>
      <c r="L267" s="12"/>
      <c r="M267" s="12"/>
      <c r="N267" s="12"/>
      <c r="O267" s="12"/>
      <c r="P267" s="12"/>
    </row>
    <row r="268">
      <c r="A268" s="12"/>
      <c r="D268" s="95"/>
      <c r="E268" s="14"/>
      <c r="F268" s="96"/>
      <c r="H268" s="12"/>
      <c r="I268" s="12"/>
      <c r="J268" s="12"/>
      <c r="K268" s="12"/>
      <c r="L268" s="12"/>
      <c r="M268" s="12"/>
      <c r="N268" s="12"/>
      <c r="O268" s="12"/>
      <c r="P268" s="12"/>
    </row>
    <row r="269">
      <c r="A269" s="12"/>
      <c r="D269" s="95"/>
      <c r="E269" s="14"/>
      <c r="F269" s="96"/>
      <c r="H269" s="12"/>
      <c r="I269" s="12"/>
      <c r="J269" s="12"/>
      <c r="K269" s="12"/>
      <c r="L269" s="12"/>
      <c r="M269" s="12"/>
      <c r="N269" s="12"/>
      <c r="O269" s="12"/>
      <c r="P269" s="12"/>
    </row>
    <row r="270">
      <c r="A270" s="12"/>
      <c r="D270" s="95"/>
      <c r="E270" s="14"/>
      <c r="F270" s="96"/>
      <c r="H270" s="12"/>
      <c r="I270" s="12"/>
      <c r="J270" s="12"/>
      <c r="K270" s="12"/>
      <c r="L270" s="12"/>
      <c r="M270" s="12"/>
      <c r="N270" s="12"/>
      <c r="O270" s="12"/>
      <c r="P270" s="12"/>
    </row>
    <row r="271">
      <c r="A271" s="12"/>
      <c r="D271" s="95"/>
      <c r="E271" s="14"/>
      <c r="F271" s="96"/>
      <c r="H271" s="12"/>
      <c r="I271" s="12"/>
      <c r="J271" s="12"/>
      <c r="K271" s="12"/>
      <c r="L271" s="12"/>
      <c r="M271" s="12"/>
      <c r="N271" s="12"/>
      <c r="O271" s="12"/>
      <c r="P271" s="12"/>
    </row>
    <row r="272">
      <c r="A272" s="12"/>
      <c r="D272" s="95"/>
      <c r="E272" s="14"/>
      <c r="F272" s="96"/>
      <c r="H272" s="12"/>
      <c r="I272" s="12"/>
      <c r="J272" s="12"/>
      <c r="K272" s="12"/>
      <c r="L272" s="12"/>
      <c r="M272" s="12"/>
      <c r="N272" s="12"/>
      <c r="O272" s="12"/>
      <c r="P272" s="12"/>
    </row>
    <row r="273">
      <c r="A273" s="12"/>
      <c r="D273" s="95"/>
      <c r="E273" s="14"/>
      <c r="F273" s="96"/>
      <c r="H273" s="12"/>
      <c r="I273" s="12"/>
      <c r="J273" s="12"/>
      <c r="K273" s="12"/>
      <c r="L273" s="12"/>
      <c r="M273" s="12"/>
      <c r="N273" s="12"/>
      <c r="O273" s="12"/>
      <c r="P273" s="12"/>
    </row>
    <row r="274">
      <c r="A274" s="12"/>
      <c r="D274" s="95"/>
      <c r="E274" s="14"/>
      <c r="F274" s="96"/>
      <c r="H274" s="12"/>
      <c r="I274" s="12"/>
      <c r="J274" s="12"/>
      <c r="K274" s="12"/>
      <c r="L274" s="12"/>
      <c r="M274" s="12"/>
      <c r="N274" s="12"/>
      <c r="O274" s="12"/>
      <c r="P274" s="12"/>
    </row>
    <row r="275">
      <c r="A275" s="12"/>
      <c r="D275" s="95"/>
      <c r="E275" s="14"/>
      <c r="F275" s="96"/>
      <c r="H275" s="12"/>
      <c r="I275" s="12"/>
      <c r="J275" s="12"/>
      <c r="K275" s="12"/>
      <c r="L275" s="12"/>
      <c r="M275" s="12"/>
      <c r="N275" s="12"/>
      <c r="O275" s="12"/>
      <c r="P275" s="12"/>
    </row>
    <row r="276">
      <c r="A276" s="12"/>
      <c r="D276" s="95"/>
      <c r="E276" s="14"/>
      <c r="F276" s="96"/>
      <c r="H276" s="12"/>
      <c r="I276" s="12"/>
      <c r="J276" s="12"/>
      <c r="K276" s="12"/>
      <c r="L276" s="12"/>
      <c r="M276" s="12"/>
      <c r="N276" s="12"/>
      <c r="O276" s="12"/>
      <c r="P276" s="12"/>
    </row>
    <row r="277">
      <c r="A277" s="12"/>
      <c r="D277" s="95"/>
      <c r="E277" s="14"/>
      <c r="F277" s="96"/>
      <c r="H277" s="12"/>
      <c r="I277" s="12"/>
      <c r="J277" s="12"/>
      <c r="K277" s="12"/>
      <c r="L277" s="12"/>
      <c r="M277" s="12"/>
      <c r="N277" s="12"/>
      <c r="O277" s="12"/>
      <c r="P277" s="12"/>
    </row>
    <row r="278">
      <c r="A278" s="12"/>
      <c r="D278" s="95"/>
      <c r="E278" s="14"/>
      <c r="F278" s="96"/>
      <c r="H278" s="12"/>
      <c r="I278" s="12"/>
      <c r="J278" s="12"/>
      <c r="K278" s="12"/>
      <c r="L278" s="12"/>
      <c r="M278" s="12"/>
      <c r="N278" s="12"/>
      <c r="O278" s="12"/>
      <c r="P278" s="12"/>
    </row>
    <row r="279">
      <c r="A279" s="12"/>
      <c r="D279" s="95"/>
      <c r="E279" s="14"/>
      <c r="F279" s="96"/>
      <c r="H279" s="12"/>
      <c r="I279" s="12"/>
      <c r="J279" s="12"/>
      <c r="K279" s="12"/>
      <c r="L279" s="12"/>
      <c r="M279" s="12"/>
      <c r="N279" s="12"/>
      <c r="O279" s="12"/>
      <c r="P279" s="12"/>
    </row>
    <row r="280">
      <c r="A280" s="12"/>
      <c r="D280" s="95"/>
      <c r="E280" s="14"/>
      <c r="F280" s="96"/>
      <c r="H280" s="12"/>
      <c r="I280" s="12"/>
      <c r="J280" s="12"/>
      <c r="K280" s="12"/>
      <c r="L280" s="12"/>
      <c r="M280" s="12"/>
      <c r="N280" s="12"/>
      <c r="O280" s="12"/>
      <c r="P280" s="12"/>
    </row>
    <row r="281">
      <c r="A281" s="12"/>
      <c r="D281" s="95"/>
      <c r="E281" s="14"/>
      <c r="F281" s="96"/>
      <c r="H281" s="12"/>
      <c r="I281" s="12"/>
      <c r="J281" s="12"/>
      <c r="K281" s="12"/>
      <c r="L281" s="12"/>
      <c r="M281" s="12"/>
      <c r="N281" s="12"/>
      <c r="O281" s="12"/>
      <c r="P281" s="12"/>
    </row>
    <row r="282">
      <c r="A282" s="12"/>
      <c r="D282" s="95"/>
      <c r="E282" s="14"/>
      <c r="F282" s="96"/>
      <c r="H282" s="12"/>
      <c r="I282" s="12"/>
      <c r="J282" s="12"/>
      <c r="K282" s="12"/>
      <c r="L282" s="12"/>
      <c r="M282" s="12"/>
      <c r="N282" s="12"/>
      <c r="O282" s="12"/>
      <c r="P282" s="12"/>
    </row>
    <row r="283">
      <c r="A283" s="12"/>
      <c r="D283" s="95"/>
      <c r="E283" s="14"/>
      <c r="F283" s="96"/>
      <c r="H283" s="12"/>
      <c r="I283" s="12"/>
      <c r="J283" s="12"/>
      <c r="K283" s="12"/>
      <c r="L283" s="12"/>
      <c r="M283" s="12"/>
      <c r="N283" s="12"/>
      <c r="O283" s="12"/>
      <c r="P283" s="12"/>
    </row>
    <row r="284">
      <c r="A284" s="12"/>
      <c r="D284" s="95"/>
      <c r="E284" s="14"/>
      <c r="F284" s="96"/>
      <c r="H284" s="12"/>
      <c r="I284" s="12"/>
      <c r="J284" s="12"/>
      <c r="K284" s="12"/>
      <c r="L284" s="12"/>
      <c r="M284" s="12"/>
      <c r="N284" s="12"/>
      <c r="O284" s="12"/>
      <c r="P284" s="12"/>
    </row>
    <row r="285">
      <c r="A285" s="12"/>
      <c r="D285" s="95"/>
      <c r="E285" s="14"/>
      <c r="F285" s="96"/>
      <c r="H285" s="12"/>
      <c r="I285" s="12"/>
      <c r="J285" s="12"/>
      <c r="K285" s="12"/>
      <c r="L285" s="12"/>
      <c r="M285" s="12"/>
      <c r="N285" s="12"/>
      <c r="O285" s="12"/>
      <c r="P285" s="12"/>
    </row>
    <row r="286">
      <c r="A286" s="12"/>
      <c r="D286" s="95"/>
      <c r="E286" s="14"/>
      <c r="F286" s="96"/>
      <c r="H286" s="12"/>
      <c r="I286" s="12"/>
      <c r="J286" s="12"/>
      <c r="K286" s="12"/>
      <c r="L286" s="12"/>
      <c r="M286" s="12"/>
      <c r="N286" s="12"/>
      <c r="O286" s="12"/>
      <c r="P286" s="12"/>
    </row>
    <row r="287">
      <c r="A287" s="12"/>
      <c r="D287" s="95"/>
      <c r="E287" s="14"/>
      <c r="F287" s="96"/>
      <c r="H287" s="12"/>
      <c r="I287" s="12"/>
      <c r="J287" s="12"/>
      <c r="K287" s="12"/>
      <c r="L287" s="12"/>
      <c r="M287" s="12"/>
      <c r="N287" s="12"/>
      <c r="O287" s="12"/>
      <c r="P287" s="12"/>
    </row>
    <row r="288">
      <c r="A288" s="12"/>
      <c r="D288" s="95"/>
      <c r="E288" s="14"/>
      <c r="F288" s="96"/>
      <c r="H288" s="12"/>
      <c r="I288" s="12"/>
      <c r="J288" s="12"/>
      <c r="K288" s="12"/>
      <c r="L288" s="12"/>
      <c r="M288" s="12"/>
      <c r="N288" s="12"/>
      <c r="O288" s="12"/>
      <c r="P288" s="12"/>
    </row>
    <row r="289">
      <c r="A289" s="12"/>
      <c r="D289" s="95"/>
      <c r="E289" s="14"/>
      <c r="F289" s="96"/>
      <c r="H289" s="12"/>
      <c r="I289" s="12"/>
      <c r="J289" s="12"/>
      <c r="K289" s="12"/>
      <c r="L289" s="12"/>
      <c r="M289" s="12"/>
      <c r="N289" s="12"/>
      <c r="O289" s="12"/>
      <c r="P289" s="12"/>
    </row>
    <row r="290">
      <c r="A290" s="12"/>
      <c r="D290" s="95"/>
      <c r="E290" s="14"/>
      <c r="F290" s="96"/>
      <c r="H290" s="12"/>
      <c r="I290" s="12"/>
      <c r="J290" s="12"/>
      <c r="K290" s="12"/>
      <c r="L290" s="12"/>
      <c r="M290" s="12"/>
      <c r="N290" s="12"/>
      <c r="O290" s="12"/>
      <c r="P290" s="12"/>
    </row>
    <row r="291">
      <c r="A291" s="12"/>
      <c r="D291" s="95"/>
      <c r="E291" s="14"/>
      <c r="F291" s="96"/>
      <c r="H291" s="12"/>
      <c r="I291" s="12"/>
      <c r="J291" s="12"/>
      <c r="K291" s="12"/>
      <c r="L291" s="12"/>
      <c r="M291" s="12"/>
      <c r="N291" s="12"/>
      <c r="O291" s="12"/>
      <c r="P291" s="12"/>
    </row>
    <row r="292">
      <c r="A292" s="12"/>
      <c r="D292" s="95"/>
      <c r="E292" s="14"/>
      <c r="F292" s="96"/>
      <c r="H292" s="12"/>
      <c r="I292" s="12"/>
      <c r="J292" s="12"/>
      <c r="K292" s="12"/>
      <c r="L292" s="12"/>
      <c r="M292" s="12"/>
      <c r="N292" s="12"/>
      <c r="O292" s="12"/>
      <c r="P292" s="12"/>
    </row>
    <row r="293">
      <c r="A293" s="12"/>
      <c r="D293" s="95"/>
      <c r="E293" s="14"/>
      <c r="F293" s="96"/>
      <c r="H293" s="12"/>
      <c r="I293" s="12"/>
      <c r="J293" s="12"/>
      <c r="K293" s="12"/>
      <c r="L293" s="12"/>
      <c r="M293" s="12"/>
      <c r="N293" s="12"/>
      <c r="O293" s="12"/>
      <c r="P293" s="12"/>
    </row>
    <row r="294">
      <c r="A294" s="12"/>
      <c r="D294" s="95"/>
      <c r="E294" s="14"/>
      <c r="F294" s="96"/>
      <c r="H294" s="12"/>
      <c r="I294" s="12"/>
      <c r="J294" s="12"/>
      <c r="K294" s="12"/>
      <c r="L294" s="12"/>
      <c r="M294" s="12"/>
      <c r="N294" s="12"/>
      <c r="O294" s="12"/>
      <c r="P294" s="12"/>
    </row>
    <row r="295">
      <c r="A295" s="12"/>
      <c r="D295" s="95"/>
      <c r="E295" s="14"/>
      <c r="F295" s="96"/>
      <c r="H295" s="12"/>
      <c r="I295" s="12"/>
      <c r="J295" s="12"/>
      <c r="K295" s="12"/>
      <c r="L295" s="12"/>
      <c r="M295" s="12"/>
      <c r="N295" s="12"/>
      <c r="O295" s="12"/>
      <c r="P295" s="12"/>
    </row>
    <row r="296">
      <c r="A296" s="12"/>
      <c r="D296" s="95"/>
      <c r="E296" s="14"/>
      <c r="F296" s="96"/>
      <c r="H296" s="12"/>
      <c r="I296" s="12"/>
      <c r="J296" s="12"/>
      <c r="K296" s="12"/>
      <c r="L296" s="12"/>
      <c r="M296" s="12"/>
      <c r="N296" s="12"/>
      <c r="O296" s="12"/>
      <c r="P296" s="12"/>
    </row>
    <row r="297">
      <c r="A297" s="12"/>
      <c r="D297" s="95"/>
      <c r="E297" s="14"/>
      <c r="F297" s="96"/>
      <c r="H297" s="12"/>
      <c r="I297" s="12"/>
      <c r="J297" s="12"/>
      <c r="K297" s="12"/>
      <c r="L297" s="12"/>
      <c r="M297" s="12"/>
      <c r="N297" s="12"/>
      <c r="O297" s="12"/>
      <c r="P297" s="12"/>
    </row>
    <row r="298">
      <c r="A298" s="12"/>
      <c r="D298" s="95"/>
      <c r="E298" s="14"/>
      <c r="F298" s="96"/>
      <c r="H298" s="12"/>
      <c r="I298" s="12"/>
      <c r="J298" s="12"/>
      <c r="K298" s="12"/>
      <c r="L298" s="12"/>
      <c r="M298" s="12"/>
      <c r="N298" s="12"/>
      <c r="O298" s="12"/>
      <c r="P298" s="12"/>
    </row>
    <row r="299">
      <c r="A299" s="12"/>
      <c r="D299" s="95"/>
      <c r="E299" s="14"/>
      <c r="F299" s="96"/>
      <c r="H299" s="12"/>
      <c r="I299" s="12"/>
      <c r="J299" s="12"/>
      <c r="K299" s="12"/>
      <c r="L299" s="12"/>
      <c r="M299" s="12"/>
      <c r="N299" s="12"/>
      <c r="O299" s="12"/>
      <c r="P299" s="12"/>
    </row>
    <row r="300">
      <c r="A300" s="12"/>
      <c r="D300" s="95"/>
      <c r="E300" s="14"/>
      <c r="F300" s="96"/>
      <c r="H300" s="12"/>
      <c r="I300" s="12"/>
      <c r="J300" s="12"/>
      <c r="K300" s="12"/>
      <c r="L300" s="12"/>
      <c r="M300" s="12"/>
      <c r="N300" s="12"/>
      <c r="O300" s="12"/>
      <c r="P300" s="12"/>
    </row>
    <row r="301">
      <c r="A301" s="12"/>
      <c r="D301" s="95"/>
      <c r="E301" s="14"/>
      <c r="F301" s="96"/>
      <c r="H301" s="12"/>
      <c r="I301" s="12"/>
      <c r="J301" s="12"/>
      <c r="K301" s="12"/>
      <c r="L301" s="12"/>
      <c r="M301" s="12"/>
      <c r="N301" s="12"/>
      <c r="O301" s="12"/>
      <c r="P301" s="12"/>
    </row>
    <row r="302">
      <c r="A302" s="12"/>
      <c r="D302" s="95"/>
      <c r="E302" s="14"/>
      <c r="F302" s="96"/>
      <c r="H302" s="12"/>
      <c r="I302" s="12"/>
      <c r="J302" s="12"/>
      <c r="K302" s="12"/>
      <c r="L302" s="12"/>
      <c r="M302" s="12"/>
      <c r="N302" s="12"/>
      <c r="O302" s="12"/>
      <c r="P302" s="12"/>
    </row>
    <row r="303">
      <c r="A303" s="12"/>
      <c r="D303" s="95"/>
      <c r="E303" s="14"/>
      <c r="F303" s="96"/>
      <c r="H303" s="12"/>
      <c r="I303" s="12"/>
      <c r="J303" s="12"/>
      <c r="K303" s="12"/>
      <c r="L303" s="12"/>
      <c r="M303" s="12"/>
      <c r="N303" s="12"/>
      <c r="O303" s="12"/>
      <c r="P303" s="12"/>
    </row>
    <row r="304">
      <c r="A304" s="12"/>
      <c r="D304" s="95"/>
      <c r="E304" s="14"/>
      <c r="F304" s="96"/>
      <c r="H304" s="12"/>
      <c r="I304" s="12"/>
      <c r="J304" s="12"/>
      <c r="K304" s="12"/>
      <c r="L304" s="12"/>
      <c r="M304" s="12"/>
      <c r="N304" s="12"/>
      <c r="O304" s="12"/>
      <c r="P304" s="12"/>
    </row>
    <row r="305">
      <c r="A305" s="12"/>
      <c r="D305" s="95"/>
      <c r="E305" s="14"/>
      <c r="F305" s="96"/>
      <c r="H305" s="12"/>
      <c r="I305" s="12"/>
      <c r="J305" s="12"/>
      <c r="K305" s="12"/>
      <c r="L305" s="12"/>
      <c r="M305" s="12"/>
      <c r="N305" s="12"/>
      <c r="O305" s="12"/>
      <c r="P305" s="12"/>
    </row>
    <row r="306">
      <c r="A306" s="12"/>
      <c r="D306" s="95"/>
      <c r="E306" s="14"/>
      <c r="F306" s="96"/>
      <c r="H306" s="12"/>
      <c r="I306" s="12"/>
      <c r="J306" s="12"/>
      <c r="K306" s="12"/>
      <c r="L306" s="12"/>
      <c r="M306" s="12"/>
      <c r="N306" s="12"/>
      <c r="O306" s="12"/>
      <c r="P306" s="12"/>
    </row>
    <row r="307">
      <c r="A307" s="12"/>
      <c r="D307" s="95"/>
      <c r="E307" s="14"/>
      <c r="F307" s="96"/>
      <c r="H307" s="12"/>
      <c r="I307" s="12"/>
      <c r="J307" s="12"/>
      <c r="K307" s="12"/>
      <c r="L307" s="12"/>
      <c r="M307" s="12"/>
      <c r="N307" s="12"/>
      <c r="O307" s="12"/>
      <c r="P307" s="12"/>
    </row>
    <row r="308">
      <c r="A308" s="12"/>
      <c r="D308" s="95"/>
      <c r="E308" s="14"/>
      <c r="F308" s="96"/>
      <c r="H308" s="12"/>
      <c r="I308" s="12"/>
      <c r="J308" s="12"/>
      <c r="K308" s="12"/>
      <c r="L308" s="12"/>
      <c r="M308" s="12"/>
      <c r="N308" s="12"/>
      <c r="O308" s="12"/>
      <c r="P308" s="12"/>
    </row>
    <row r="309">
      <c r="A309" s="12"/>
      <c r="D309" s="95"/>
      <c r="E309" s="14"/>
      <c r="F309" s="96"/>
      <c r="H309" s="12"/>
      <c r="I309" s="12"/>
      <c r="J309" s="12"/>
      <c r="K309" s="12"/>
      <c r="L309" s="12"/>
      <c r="M309" s="12"/>
      <c r="N309" s="12"/>
      <c r="O309" s="12"/>
      <c r="P309" s="12"/>
    </row>
    <row r="310">
      <c r="A310" s="12"/>
      <c r="D310" s="95"/>
      <c r="E310" s="14"/>
      <c r="F310" s="96"/>
      <c r="H310" s="12"/>
      <c r="I310" s="12"/>
      <c r="J310" s="12"/>
      <c r="K310" s="12"/>
      <c r="L310" s="12"/>
      <c r="M310" s="12"/>
      <c r="N310" s="12"/>
      <c r="O310" s="12"/>
      <c r="P310" s="12"/>
    </row>
    <row r="311">
      <c r="A311" s="12"/>
      <c r="D311" s="95"/>
      <c r="E311" s="14"/>
      <c r="F311" s="96"/>
      <c r="H311" s="12"/>
      <c r="I311" s="12"/>
      <c r="J311" s="12"/>
      <c r="K311" s="12"/>
      <c r="L311" s="12"/>
      <c r="M311" s="12"/>
      <c r="N311" s="12"/>
      <c r="O311" s="12"/>
      <c r="P311" s="12"/>
    </row>
    <row r="312">
      <c r="A312" s="12"/>
      <c r="D312" s="95"/>
      <c r="E312" s="14"/>
      <c r="F312" s="96"/>
      <c r="H312" s="12"/>
      <c r="I312" s="12"/>
      <c r="J312" s="12"/>
      <c r="K312" s="12"/>
      <c r="L312" s="12"/>
      <c r="M312" s="12"/>
      <c r="N312" s="12"/>
      <c r="O312" s="12"/>
      <c r="P312" s="12"/>
    </row>
    <row r="313">
      <c r="A313" s="12"/>
      <c r="D313" s="95"/>
      <c r="E313" s="14"/>
      <c r="F313" s="96"/>
      <c r="H313" s="12"/>
      <c r="I313" s="12"/>
      <c r="J313" s="12"/>
      <c r="K313" s="12"/>
      <c r="L313" s="12"/>
      <c r="M313" s="12"/>
      <c r="N313" s="12"/>
      <c r="O313" s="12"/>
      <c r="P313" s="12"/>
    </row>
    <row r="314">
      <c r="A314" s="12"/>
      <c r="D314" s="95"/>
      <c r="E314" s="14"/>
      <c r="F314" s="96"/>
      <c r="H314" s="12"/>
      <c r="I314" s="12"/>
      <c r="J314" s="12"/>
      <c r="K314" s="12"/>
      <c r="L314" s="12"/>
      <c r="M314" s="12"/>
      <c r="N314" s="12"/>
      <c r="O314" s="12"/>
      <c r="P314" s="12"/>
    </row>
    <row r="315">
      <c r="A315" s="12"/>
      <c r="D315" s="95"/>
      <c r="E315" s="14"/>
      <c r="F315" s="96"/>
      <c r="H315" s="12"/>
      <c r="I315" s="12"/>
      <c r="J315" s="12"/>
      <c r="K315" s="12"/>
      <c r="L315" s="12"/>
      <c r="M315" s="12"/>
      <c r="N315" s="12"/>
      <c r="O315" s="12"/>
      <c r="P315" s="12"/>
    </row>
    <row r="316">
      <c r="A316" s="12"/>
      <c r="D316" s="95"/>
      <c r="E316" s="14"/>
      <c r="F316" s="96"/>
      <c r="H316" s="12"/>
      <c r="I316" s="12"/>
      <c r="J316" s="12"/>
      <c r="K316" s="12"/>
      <c r="L316" s="12"/>
      <c r="M316" s="12"/>
      <c r="N316" s="12"/>
      <c r="O316" s="12"/>
      <c r="P316" s="12"/>
    </row>
    <row r="317">
      <c r="A317" s="12"/>
      <c r="D317" s="95"/>
      <c r="E317" s="14"/>
      <c r="F317" s="96"/>
      <c r="H317" s="12"/>
      <c r="I317" s="12"/>
      <c r="J317" s="12"/>
      <c r="K317" s="12"/>
      <c r="L317" s="12"/>
      <c r="M317" s="12"/>
      <c r="N317" s="12"/>
      <c r="O317" s="12"/>
      <c r="P317" s="12"/>
    </row>
    <row r="318">
      <c r="A318" s="12"/>
      <c r="D318" s="95"/>
      <c r="E318" s="14"/>
      <c r="F318" s="96"/>
      <c r="H318" s="12"/>
      <c r="I318" s="12"/>
      <c r="J318" s="12"/>
      <c r="K318" s="12"/>
      <c r="L318" s="12"/>
      <c r="M318" s="12"/>
      <c r="N318" s="12"/>
      <c r="O318" s="12"/>
      <c r="P318" s="12"/>
    </row>
    <row r="319">
      <c r="A319" s="12"/>
      <c r="D319" s="95"/>
      <c r="E319" s="14"/>
      <c r="F319" s="96"/>
      <c r="H319" s="12"/>
      <c r="I319" s="12"/>
      <c r="J319" s="12"/>
      <c r="K319" s="12"/>
      <c r="L319" s="12"/>
      <c r="M319" s="12"/>
      <c r="N319" s="12"/>
      <c r="O319" s="12"/>
      <c r="P319" s="12"/>
    </row>
    <row r="320">
      <c r="A320" s="12"/>
      <c r="D320" s="95"/>
      <c r="E320" s="14"/>
      <c r="F320" s="96"/>
      <c r="H320" s="12"/>
      <c r="I320" s="12"/>
      <c r="J320" s="12"/>
      <c r="K320" s="12"/>
      <c r="L320" s="12"/>
      <c r="M320" s="12"/>
      <c r="N320" s="12"/>
      <c r="O320" s="12"/>
      <c r="P320" s="12"/>
    </row>
    <row r="321">
      <c r="A321" s="12"/>
      <c r="D321" s="95"/>
      <c r="E321" s="14"/>
      <c r="F321" s="96"/>
      <c r="H321" s="12"/>
      <c r="I321" s="12"/>
      <c r="J321" s="12"/>
      <c r="K321" s="12"/>
      <c r="L321" s="12"/>
      <c r="M321" s="12"/>
      <c r="N321" s="12"/>
      <c r="O321" s="12"/>
      <c r="P321" s="12"/>
    </row>
    <row r="322">
      <c r="A322" s="12"/>
      <c r="D322" s="95"/>
      <c r="E322" s="14"/>
      <c r="F322" s="96"/>
      <c r="H322" s="12"/>
      <c r="I322" s="12"/>
      <c r="J322" s="12"/>
      <c r="K322" s="12"/>
      <c r="L322" s="12"/>
      <c r="M322" s="12"/>
      <c r="N322" s="12"/>
      <c r="O322" s="12"/>
      <c r="P322" s="12"/>
    </row>
    <row r="323">
      <c r="A323" s="12"/>
      <c r="D323" s="95"/>
      <c r="E323" s="14"/>
      <c r="F323" s="96"/>
      <c r="H323" s="12"/>
      <c r="I323" s="12"/>
      <c r="J323" s="12"/>
      <c r="K323" s="12"/>
      <c r="L323" s="12"/>
      <c r="M323" s="12"/>
      <c r="N323" s="12"/>
      <c r="O323" s="12"/>
      <c r="P323" s="12"/>
    </row>
    <row r="324">
      <c r="A324" s="12"/>
      <c r="D324" s="95"/>
      <c r="E324" s="14"/>
      <c r="F324" s="96"/>
      <c r="H324" s="12"/>
      <c r="I324" s="12"/>
      <c r="J324" s="12"/>
      <c r="K324" s="12"/>
      <c r="L324" s="12"/>
      <c r="M324" s="12"/>
      <c r="N324" s="12"/>
      <c r="O324" s="12"/>
      <c r="P324" s="12"/>
    </row>
    <row r="325">
      <c r="A325" s="12"/>
      <c r="D325" s="95"/>
      <c r="E325" s="14"/>
      <c r="F325" s="96"/>
      <c r="H325" s="12"/>
      <c r="I325" s="12"/>
      <c r="J325" s="12"/>
      <c r="K325" s="12"/>
      <c r="L325" s="12"/>
      <c r="M325" s="12"/>
      <c r="N325" s="12"/>
      <c r="O325" s="12"/>
      <c r="P325" s="12"/>
    </row>
    <row r="326">
      <c r="A326" s="12"/>
      <c r="D326" s="95"/>
      <c r="E326" s="14"/>
      <c r="F326" s="96"/>
      <c r="H326" s="12"/>
      <c r="I326" s="12"/>
      <c r="J326" s="12"/>
      <c r="K326" s="12"/>
      <c r="L326" s="12"/>
      <c r="M326" s="12"/>
      <c r="N326" s="12"/>
      <c r="O326" s="12"/>
      <c r="P326" s="12"/>
    </row>
    <row r="327">
      <c r="A327" s="12"/>
      <c r="D327" s="95"/>
      <c r="E327" s="14"/>
      <c r="F327" s="96"/>
      <c r="H327" s="12"/>
      <c r="I327" s="12"/>
      <c r="J327" s="12"/>
      <c r="K327" s="12"/>
      <c r="L327" s="12"/>
      <c r="M327" s="12"/>
      <c r="N327" s="12"/>
      <c r="O327" s="12"/>
      <c r="P327" s="12"/>
    </row>
    <row r="328">
      <c r="A328" s="12"/>
      <c r="D328" s="95"/>
      <c r="E328" s="14"/>
      <c r="F328" s="96"/>
      <c r="H328" s="12"/>
      <c r="I328" s="12"/>
      <c r="J328" s="12"/>
      <c r="K328" s="12"/>
      <c r="L328" s="12"/>
      <c r="M328" s="12"/>
      <c r="N328" s="12"/>
      <c r="O328" s="12"/>
      <c r="P328" s="12"/>
    </row>
    <row r="329">
      <c r="A329" s="12"/>
      <c r="D329" s="95"/>
      <c r="E329" s="14"/>
      <c r="F329" s="96"/>
      <c r="H329" s="12"/>
      <c r="I329" s="12"/>
      <c r="J329" s="12"/>
      <c r="K329" s="12"/>
      <c r="L329" s="12"/>
      <c r="M329" s="12"/>
      <c r="N329" s="12"/>
      <c r="O329" s="12"/>
      <c r="P329" s="12"/>
    </row>
    <row r="330">
      <c r="A330" s="12"/>
      <c r="D330" s="95"/>
      <c r="E330" s="14"/>
      <c r="F330" s="96"/>
      <c r="H330" s="12"/>
      <c r="I330" s="12"/>
      <c r="J330" s="12"/>
      <c r="K330" s="12"/>
      <c r="L330" s="12"/>
      <c r="M330" s="12"/>
      <c r="N330" s="12"/>
      <c r="O330" s="12"/>
      <c r="P330" s="12"/>
    </row>
    <row r="331">
      <c r="A331" s="12"/>
      <c r="D331" s="95"/>
      <c r="E331" s="14"/>
      <c r="F331" s="96"/>
      <c r="H331" s="12"/>
      <c r="I331" s="12"/>
      <c r="J331" s="12"/>
      <c r="K331" s="12"/>
      <c r="L331" s="12"/>
      <c r="M331" s="12"/>
      <c r="N331" s="12"/>
      <c r="O331" s="12"/>
      <c r="P331" s="12"/>
    </row>
    <row r="332">
      <c r="A332" s="12"/>
      <c r="D332" s="95"/>
      <c r="E332" s="14"/>
      <c r="F332" s="96"/>
      <c r="H332" s="12"/>
      <c r="I332" s="12"/>
      <c r="J332" s="12"/>
      <c r="K332" s="12"/>
      <c r="L332" s="12"/>
      <c r="M332" s="12"/>
      <c r="N332" s="12"/>
      <c r="O332" s="12"/>
      <c r="P332" s="12"/>
    </row>
    <row r="333">
      <c r="A333" s="12"/>
      <c r="D333" s="95"/>
      <c r="E333" s="14"/>
      <c r="F333" s="96"/>
      <c r="H333" s="12"/>
      <c r="I333" s="12"/>
      <c r="J333" s="12"/>
      <c r="K333" s="12"/>
      <c r="L333" s="12"/>
      <c r="M333" s="12"/>
      <c r="N333" s="12"/>
      <c r="O333" s="12"/>
      <c r="P333" s="12"/>
    </row>
    <row r="334">
      <c r="A334" s="12"/>
      <c r="D334" s="95"/>
      <c r="E334" s="14"/>
      <c r="F334" s="96"/>
      <c r="H334" s="12"/>
      <c r="I334" s="12"/>
      <c r="J334" s="12"/>
      <c r="K334" s="12"/>
      <c r="L334" s="12"/>
      <c r="M334" s="12"/>
      <c r="N334" s="12"/>
      <c r="O334" s="12"/>
      <c r="P334" s="12"/>
    </row>
    <row r="335">
      <c r="A335" s="12"/>
      <c r="D335" s="95"/>
      <c r="E335" s="14"/>
      <c r="F335" s="96"/>
      <c r="H335" s="12"/>
      <c r="I335" s="12"/>
      <c r="J335" s="12"/>
      <c r="K335" s="12"/>
      <c r="L335" s="12"/>
      <c r="M335" s="12"/>
      <c r="N335" s="12"/>
      <c r="O335" s="12"/>
      <c r="P335" s="12"/>
    </row>
    <row r="336">
      <c r="A336" s="12"/>
      <c r="D336" s="95"/>
      <c r="E336" s="14"/>
      <c r="F336" s="96"/>
      <c r="H336" s="12"/>
      <c r="I336" s="12"/>
      <c r="J336" s="12"/>
      <c r="K336" s="12"/>
      <c r="L336" s="12"/>
      <c r="M336" s="12"/>
      <c r="N336" s="12"/>
      <c r="O336" s="12"/>
      <c r="P336" s="12"/>
    </row>
    <row r="337">
      <c r="A337" s="12"/>
      <c r="D337" s="95"/>
      <c r="E337" s="14"/>
      <c r="F337" s="96"/>
      <c r="H337" s="12"/>
      <c r="I337" s="12"/>
      <c r="J337" s="12"/>
      <c r="K337" s="12"/>
      <c r="L337" s="12"/>
      <c r="M337" s="12"/>
      <c r="N337" s="12"/>
      <c r="O337" s="12"/>
      <c r="P337" s="12"/>
    </row>
    <row r="338">
      <c r="A338" s="12"/>
      <c r="D338" s="95"/>
      <c r="E338" s="14"/>
      <c r="F338" s="96"/>
      <c r="H338" s="12"/>
      <c r="I338" s="12"/>
      <c r="J338" s="12"/>
      <c r="K338" s="12"/>
      <c r="L338" s="12"/>
      <c r="M338" s="12"/>
      <c r="N338" s="12"/>
      <c r="O338" s="12"/>
      <c r="P338" s="12"/>
    </row>
    <row r="339">
      <c r="A339" s="12"/>
      <c r="D339" s="95"/>
      <c r="E339" s="14"/>
      <c r="F339" s="96"/>
      <c r="H339" s="12"/>
      <c r="I339" s="12"/>
      <c r="J339" s="12"/>
      <c r="K339" s="12"/>
      <c r="L339" s="12"/>
      <c r="M339" s="12"/>
      <c r="N339" s="12"/>
      <c r="O339" s="12"/>
      <c r="P339" s="12"/>
    </row>
    <row r="340">
      <c r="A340" s="12"/>
      <c r="D340" s="95"/>
      <c r="E340" s="14"/>
      <c r="F340" s="96"/>
      <c r="H340" s="12"/>
      <c r="I340" s="12"/>
      <c r="J340" s="12"/>
      <c r="K340" s="12"/>
      <c r="L340" s="12"/>
      <c r="M340" s="12"/>
      <c r="N340" s="12"/>
      <c r="O340" s="12"/>
      <c r="P340" s="12"/>
    </row>
    <row r="341">
      <c r="A341" s="12"/>
      <c r="D341" s="95"/>
      <c r="E341" s="14"/>
      <c r="F341" s="96"/>
      <c r="H341" s="12"/>
      <c r="I341" s="12"/>
      <c r="J341" s="12"/>
      <c r="K341" s="12"/>
      <c r="L341" s="12"/>
      <c r="M341" s="12"/>
      <c r="N341" s="12"/>
      <c r="O341" s="12"/>
      <c r="P341" s="12"/>
    </row>
    <row r="342">
      <c r="A342" s="12"/>
      <c r="D342" s="95"/>
      <c r="E342" s="14"/>
      <c r="F342" s="96"/>
      <c r="H342" s="12"/>
      <c r="I342" s="12"/>
      <c r="J342" s="12"/>
      <c r="K342" s="12"/>
      <c r="L342" s="12"/>
      <c r="M342" s="12"/>
      <c r="N342" s="12"/>
      <c r="O342" s="12"/>
      <c r="P342" s="12"/>
    </row>
    <row r="343">
      <c r="A343" s="12"/>
      <c r="D343" s="95"/>
      <c r="E343" s="14"/>
      <c r="F343" s="96"/>
      <c r="H343" s="12"/>
      <c r="I343" s="12"/>
      <c r="J343" s="12"/>
      <c r="K343" s="12"/>
      <c r="L343" s="12"/>
      <c r="M343" s="12"/>
      <c r="N343" s="12"/>
      <c r="O343" s="12"/>
      <c r="P343" s="12"/>
    </row>
    <row r="344">
      <c r="A344" s="12"/>
      <c r="D344" s="95"/>
      <c r="E344" s="14"/>
      <c r="F344" s="96"/>
      <c r="H344" s="12"/>
      <c r="I344" s="12"/>
      <c r="J344" s="12"/>
      <c r="K344" s="12"/>
      <c r="L344" s="12"/>
      <c r="M344" s="12"/>
      <c r="N344" s="12"/>
      <c r="O344" s="12"/>
      <c r="P344" s="12"/>
    </row>
    <row r="345">
      <c r="A345" s="12"/>
      <c r="D345" s="95"/>
      <c r="E345" s="14"/>
      <c r="F345" s="96"/>
      <c r="H345" s="12"/>
      <c r="I345" s="12"/>
      <c r="J345" s="12"/>
      <c r="K345" s="12"/>
      <c r="L345" s="12"/>
      <c r="M345" s="12"/>
      <c r="N345" s="12"/>
      <c r="O345" s="12"/>
      <c r="P345" s="12"/>
    </row>
    <row r="346">
      <c r="A346" s="12"/>
      <c r="D346" s="95"/>
      <c r="E346" s="14"/>
      <c r="F346" s="96"/>
      <c r="H346" s="12"/>
      <c r="I346" s="12"/>
      <c r="J346" s="12"/>
      <c r="K346" s="12"/>
      <c r="L346" s="12"/>
      <c r="M346" s="12"/>
      <c r="N346" s="12"/>
      <c r="O346" s="12"/>
      <c r="P346" s="12"/>
    </row>
    <row r="347">
      <c r="A347" s="12"/>
      <c r="D347" s="95"/>
      <c r="E347" s="14"/>
      <c r="F347" s="96"/>
      <c r="H347" s="12"/>
      <c r="I347" s="12"/>
      <c r="J347" s="12"/>
      <c r="K347" s="12"/>
      <c r="L347" s="12"/>
      <c r="M347" s="12"/>
      <c r="N347" s="12"/>
      <c r="O347" s="12"/>
      <c r="P347" s="12"/>
    </row>
    <row r="348">
      <c r="A348" s="12"/>
      <c r="D348" s="95"/>
      <c r="E348" s="14"/>
      <c r="F348" s="96"/>
      <c r="H348" s="12"/>
      <c r="I348" s="12"/>
      <c r="J348" s="12"/>
      <c r="K348" s="12"/>
      <c r="L348" s="12"/>
      <c r="M348" s="12"/>
      <c r="N348" s="12"/>
      <c r="O348" s="12"/>
      <c r="P348" s="12"/>
    </row>
    <row r="349">
      <c r="A349" s="12"/>
      <c r="D349" s="95"/>
      <c r="E349" s="14"/>
      <c r="F349" s="96"/>
      <c r="H349" s="12"/>
      <c r="I349" s="12"/>
      <c r="J349" s="12"/>
      <c r="K349" s="12"/>
      <c r="L349" s="12"/>
      <c r="M349" s="12"/>
      <c r="N349" s="12"/>
      <c r="O349" s="12"/>
      <c r="P349" s="12"/>
    </row>
    <row r="350">
      <c r="A350" s="12"/>
      <c r="D350" s="95"/>
      <c r="E350" s="14"/>
      <c r="F350" s="96"/>
      <c r="H350" s="12"/>
      <c r="I350" s="12"/>
      <c r="J350" s="12"/>
      <c r="K350" s="12"/>
      <c r="L350" s="12"/>
      <c r="M350" s="12"/>
      <c r="N350" s="12"/>
      <c r="O350" s="12"/>
      <c r="P350" s="12"/>
    </row>
    <row r="351">
      <c r="A351" s="12"/>
      <c r="D351" s="95"/>
      <c r="E351" s="14"/>
      <c r="F351" s="96"/>
      <c r="H351" s="12"/>
      <c r="I351" s="12"/>
      <c r="J351" s="12"/>
      <c r="K351" s="12"/>
      <c r="L351" s="12"/>
      <c r="M351" s="12"/>
      <c r="N351" s="12"/>
      <c r="O351" s="12"/>
      <c r="P351" s="12"/>
    </row>
    <row r="352">
      <c r="A352" s="12"/>
      <c r="D352" s="95"/>
      <c r="E352" s="14"/>
      <c r="F352" s="96"/>
      <c r="H352" s="12"/>
      <c r="I352" s="12"/>
      <c r="J352" s="12"/>
      <c r="K352" s="12"/>
      <c r="L352" s="12"/>
      <c r="M352" s="12"/>
      <c r="N352" s="12"/>
      <c r="O352" s="12"/>
      <c r="P352" s="12"/>
    </row>
    <row r="353">
      <c r="A353" s="12"/>
      <c r="D353" s="95"/>
      <c r="E353" s="14"/>
      <c r="F353" s="96"/>
      <c r="H353" s="12"/>
      <c r="I353" s="12"/>
      <c r="J353" s="12"/>
      <c r="K353" s="12"/>
      <c r="L353" s="12"/>
      <c r="M353" s="12"/>
      <c r="N353" s="12"/>
      <c r="O353" s="12"/>
      <c r="P353" s="12"/>
    </row>
    <row r="354">
      <c r="A354" s="12"/>
      <c r="D354" s="95"/>
      <c r="E354" s="14"/>
      <c r="F354" s="96"/>
      <c r="H354" s="12"/>
      <c r="I354" s="12"/>
      <c r="J354" s="12"/>
      <c r="K354" s="12"/>
      <c r="L354" s="12"/>
      <c r="M354" s="12"/>
      <c r="N354" s="12"/>
      <c r="O354" s="12"/>
      <c r="P354" s="12"/>
    </row>
    <row r="355">
      <c r="A355" s="12"/>
      <c r="D355" s="95"/>
      <c r="E355" s="14"/>
      <c r="F355" s="96"/>
      <c r="H355" s="12"/>
      <c r="I355" s="12"/>
      <c r="J355" s="12"/>
      <c r="K355" s="12"/>
      <c r="L355" s="12"/>
      <c r="M355" s="12"/>
      <c r="N355" s="12"/>
      <c r="O355" s="12"/>
      <c r="P355" s="12"/>
    </row>
    <row r="356">
      <c r="A356" s="12"/>
      <c r="D356" s="95"/>
      <c r="E356" s="14"/>
      <c r="F356" s="96"/>
      <c r="H356" s="12"/>
      <c r="I356" s="12"/>
      <c r="J356" s="12"/>
      <c r="K356" s="12"/>
      <c r="L356" s="12"/>
      <c r="M356" s="12"/>
      <c r="N356" s="12"/>
      <c r="O356" s="12"/>
      <c r="P356" s="12"/>
    </row>
    <row r="357">
      <c r="A357" s="12"/>
      <c r="D357" s="95"/>
      <c r="E357" s="14"/>
      <c r="F357" s="96"/>
      <c r="H357" s="12"/>
      <c r="I357" s="12"/>
      <c r="J357" s="12"/>
      <c r="K357" s="12"/>
      <c r="L357" s="12"/>
      <c r="M357" s="12"/>
      <c r="N357" s="12"/>
      <c r="O357" s="12"/>
      <c r="P357" s="12"/>
    </row>
    <row r="358">
      <c r="A358" s="12"/>
      <c r="D358" s="95"/>
      <c r="E358" s="14"/>
      <c r="F358" s="96"/>
      <c r="H358" s="12"/>
      <c r="I358" s="12"/>
      <c r="J358" s="12"/>
      <c r="K358" s="12"/>
      <c r="L358" s="12"/>
      <c r="M358" s="12"/>
      <c r="N358" s="12"/>
      <c r="O358" s="12"/>
      <c r="P358" s="12"/>
    </row>
    <row r="359">
      <c r="A359" s="12"/>
      <c r="D359" s="95"/>
      <c r="E359" s="14"/>
      <c r="F359" s="96"/>
      <c r="H359" s="12"/>
      <c r="I359" s="12"/>
      <c r="J359" s="12"/>
      <c r="K359" s="12"/>
      <c r="L359" s="12"/>
      <c r="M359" s="12"/>
      <c r="N359" s="12"/>
      <c r="O359" s="12"/>
      <c r="P359" s="12"/>
    </row>
    <row r="360">
      <c r="A360" s="12"/>
      <c r="D360" s="95"/>
      <c r="E360" s="14"/>
      <c r="F360" s="96"/>
      <c r="H360" s="12"/>
      <c r="I360" s="12"/>
      <c r="J360" s="12"/>
      <c r="K360" s="12"/>
      <c r="L360" s="12"/>
      <c r="M360" s="12"/>
      <c r="N360" s="12"/>
      <c r="O360" s="12"/>
      <c r="P360" s="12"/>
    </row>
    <row r="361">
      <c r="A361" s="12"/>
      <c r="D361" s="95"/>
      <c r="E361" s="14"/>
      <c r="F361" s="96"/>
      <c r="H361" s="12"/>
      <c r="I361" s="12"/>
      <c r="J361" s="12"/>
      <c r="K361" s="12"/>
      <c r="L361" s="12"/>
      <c r="M361" s="12"/>
      <c r="N361" s="12"/>
      <c r="O361" s="12"/>
      <c r="P361" s="12"/>
    </row>
    <row r="362">
      <c r="A362" s="12"/>
      <c r="D362" s="95"/>
      <c r="E362" s="14"/>
      <c r="F362" s="96"/>
      <c r="H362" s="12"/>
      <c r="I362" s="12"/>
      <c r="J362" s="12"/>
      <c r="K362" s="12"/>
      <c r="L362" s="12"/>
      <c r="M362" s="12"/>
      <c r="N362" s="12"/>
      <c r="O362" s="12"/>
      <c r="P362" s="12"/>
    </row>
    <row r="363">
      <c r="A363" s="12"/>
      <c r="D363" s="95"/>
      <c r="E363" s="14"/>
      <c r="F363" s="96"/>
      <c r="H363" s="12"/>
      <c r="I363" s="12"/>
      <c r="J363" s="12"/>
      <c r="K363" s="12"/>
      <c r="L363" s="12"/>
      <c r="M363" s="12"/>
      <c r="N363" s="12"/>
      <c r="O363" s="12"/>
      <c r="P363" s="12"/>
    </row>
    <row r="364">
      <c r="A364" s="12"/>
      <c r="D364" s="95"/>
      <c r="E364" s="14"/>
      <c r="F364" s="96"/>
      <c r="H364" s="12"/>
      <c r="I364" s="12"/>
      <c r="J364" s="12"/>
      <c r="K364" s="12"/>
      <c r="L364" s="12"/>
      <c r="M364" s="12"/>
      <c r="N364" s="12"/>
      <c r="O364" s="12"/>
      <c r="P364" s="12"/>
    </row>
    <row r="365">
      <c r="A365" s="12"/>
      <c r="D365" s="95"/>
      <c r="E365" s="14"/>
      <c r="F365" s="96"/>
      <c r="H365" s="12"/>
      <c r="I365" s="12"/>
      <c r="J365" s="12"/>
      <c r="K365" s="12"/>
      <c r="L365" s="12"/>
      <c r="M365" s="12"/>
      <c r="N365" s="12"/>
      <c r="O365" s="12"/>
      <c r="P365" s="12"/>
    </row>
    <row r="366">
      <c r="A366" s="12"/>
      <c r="D366" s="95"/>
      <c r="E366" s="14"/>
      <c r="F366" s="96"/>
      <c r="H366" s="12"/>
      <c r="I366" s="12"/>
      <c r="J366" s="12"/>
      <c r="K366" s="12"/>
      <c r="L366" s="12"/>
      <c r="M366" s="12"/>
      <c r="N366" s="12"/>
      <c r="O366" s="12"/>
      <c r="P366" s="12"/>
    </row>
    <row r="367">
      <c r="A367" s="12"/>
      <c r="D367" s="95"/>
      <c r="E367" s="14"/>
      <c r="F367" s="96"/>
      <c r="H367" s="12"/>
      <c r="I367" s="12"/>
      <c r="J367" s="12"/>
      <c r="K367" s="12"/>
      <c r="L367" s="12"/>
      <c r="M367" s="12"/>
      <c r="N367" s="12"/>
      <c r="O367" s="12"/>
      <c r="P367" s="12"/>
    </row>
    <row r="368">
      <c r="A368" s="12"/>
      <c r="D368" s="95"/>
      <c r="E368" s="14"/>
      <c r="F368" s="96"/>
      <c r="H368" s="12"/>
      <c r="I368" s="12"/>
      <c r="J368" s="12"/>
      <c r="K368" s="12"/>
      <c r="L368" s="12"/>
      <c r="M368" s="12"/>
      <c r="N368" s="12"/>
      <c r="O368" s="12"/>
      <c r="P368" s="12"/>
    </row>
    <row r="369">
      <c r="A369" s="12"/>
      <c r="D369" s="95"/>
      <c r="E369" s="14"/>
      <c r="F369" s="96"/>
      <c r="H369" s="12"/>
      <c r="I369" s="12"/>
      <c r="J369" s="12"/>
      <c r="K369" s="12"/>
      <c r="L369" s="12"/>
      <c r="M369" s="12"/>
      <c r="N369" s="12"/>
      <c r="O369" s="12"/>
      <c r="P369" s="12"/>
    </row>
    <row r="370">
      <c r="A370" s="12"/>
      <c r="D370" s="95"/>
      <c r="E370" s="14"/>
      <c r="F370" s="96"/>
      <c r="H370" s="12"/>
      <c r="I370" s="12"/>
      <c r="J370" s="12"/>
      <c r="K370" s="12"/>
      <c r="L370" s="12"/>
      <c r="M370" s="12"/>
      <c r="N370" s="12"/>
      <c r="O370" s="12"/>
      <c r="P370" s="12"/>
    </row>
    <row r="371">
      <c r="A371" s="12"/>
      <c r="D371" s="95"/>
      <c r="E371" s="14"/>
      <c r="F371" s="96"/>
      <c r="H371" s="12"/>
      <c r="I371" s="12"/>
      <c r="J371" s="12"/>
      <c r="K371" s="12"/>
      <c r="L371" s="12"/>
      <c r="M371" s="12"/>
      <c r="N371" s="12"/>
      <c r="O371" s="12"/>
      <c r="P371" s="12"/>
    </row>
    <row r="372">
      <c r="A372" s="12"/>
      <c r="D372" s="95"/>
      <c r="E372" s="14"/>
      <c r="F372" s="96"/>
      <c r="H372" s="12"/>
      <c r="I372" s="12"/>
      <c r="J372" s="12"/>
      <c r="K372" s="12"/>
      <c r="L372" s="12"/>
      <c r="M372" s="12"/>
      <c r="N372" s="12"/>
      <c r="O372" s="12"/>
      <c r="P372" s="12"/>
    </row>
    <row r="373">
      <c r="A373" s="12"/>
      <c r="D373" s="95"/>
      <c r="E373" s="14"/>
      <c r="F373" s="96"/>
      <c r="H373" s="12"/>
      <c r="I373" s="12"/>
      <c r="J373" s="12"/>
      <c r="K373" s="12"/>
      <c r="L373" s="12"/>
      <c r="M373" s="12"/>
      <c r="N373" s="12"/>
      <c r="O373" s="12"/>
      <c r="P373" s="12"/>
    </row>
    <row r="374">
      <c r="A374" s="12"/>
      <c r="D374" s="95"/>
      <c r="E374" s="14"/>
      <c r="F374" s="96"/>
      <c r="H374" s="12"/>
      <c r="I374" s="12"/>
      <c r="J374" s="12"/>
      <c r="K374" s="12"/>
      <c r="L374" s="12"/>
      <c r="M374" s="12"/>
      <c r="N374" s="12"/>
      <c r="O374" s="12"/>
      <c r="P374" s="12"/>
    </row>
    <row r="375">
      <c r="A375" s="12"/>
      <c r="D375" s="95"/>
      <c r="E375" s="14"/>
      <c r="F375" s="96"/>
      <c r="H375" s="12"/>
      <c r="I375" s="12"/>
      <c r="J375" s="12"/>
      <c r="K375" s="12"/>
      <c r="L375" s="12"/>
      <c r="M375" s="12"/>
      <c r="N375" s="12"/>
      <c r="O375" s="12"/>
      <c r="P375" s="12"/>
    </row>
    <row r="376">
      <c r="A376" s="12"/>
      <c r="D376" s="95"/>
      <c r="E376" s="14"/>
      <c r="F376" s="96"/>
      <c r="H376" s="12"/>
      <c r="I376" s="12"/>
      <c r="J376" s="12"/>
      <c r="K376" s="12"/>
      <c r="L376" s="12"/>
      <c r="M376" s="12"/>
      <c r="N376" s="12"/>
      <c r="O376" s="12"/>
      <c r="P376" s="12"/>
    </row>
    <row r="377">
      <c r="A377" s="12"/>
      <c r="D377" s="95"/>
      <c r="E377" s="14"/>
      <c r="F377" s="96"/>
      <c r="H377" s="12"/>
      <c r="I377" s="12"/>
      <c r="J377" s="12"/>
      <c r="K377" s="12"/>
      <c r="L377" s="12"/>
      <c r="M377" s="12"/>
      <c r="N377" s="12"/>
      <c r="O377" s="12"/>
      <c r="P377" s="12"/>
    </row>
    <row r="378">
      <c r="A378" s="12"/>
      <c r="D378" s="95"/>
      <c r="E378" s="14"/>
      <c r="F378" s="96"/>
      <c r="H378" s="12"/>
      <c r="I378" s="12"/>
      <c r="J378" s="12"/>
      <c r="K378" s="12"/>
      <c r="L378" s="12"/>
      <c r="M378" s="12"/>
      <c r="N378" s="12"/>
      <c r="O378" s="12"/>
      <c r="P378" s="12"/>
    </row>
    <row r="379">
      <c r="A379" s="12"/>
      <c r="D379" s="95"/>
      <c r="E379" s="14"/>
      <c r="F379" s="96"/>
      <c r="H379" s="12"/>
      <c r="I379" s="12"/>
      <c r="J379" s="12"/>
      <c r="K379" s="12"/>
      <c r="L379" s="12"/>
      <c r="M379" s="12"/>
      <c r="N379" s="12"/>
      <c r="O379" s="12"/>
      <c r="P379" s="12"/>
    </row>
    <row r="380">
      <c r="A380" s="12"/>
      <c r="D380" s="95"/>
      <c r="E380" s="14"/>
      <c r="F380" s="96"/>
      <c r="H380" s="12"/>
      <c r="I380" s="12"/>
      <c r="J380" s="12"/>
      <c r="K380" s="12"/>
      <c r="L380" s="12"/>
      <c r="M380" s="12"/>
      <c r="N380" s="12"/>
      <c r="O380" s="12"/>
      <c r="P380" s="12"/>
    </row>
    <row r="381">
      <c r="A381" s="12"/>
      <c r="D381" s="95"/>
      <c r="E381" s="14"/>
      <c r="F381" s="96"/>
      <c r="H381" s="12"/>
      <c r="I381" s="12"/>
      <c r="J381" s="12"/>
      <c r="K381" s="12"/>
      <c r="L381" s="12"/>
      <c r="M381" s="12"/>
      <c r="N381" s="12"/>
      <c r="O381" s="12"/>
      <c r="P381" s="12"/>
    </row>
    <row r="382">
      <c r="A382" s="12"/>
      <c r="D382" s="95"/>
      <c r="E382" s="14"/>
      <c r="F382" s="96"/>
      <c r="H382" s="12"/>
      <c r="I382" s="12"/>
      <c r="J382" s="12"/>
      <c r="K382" s="12"/>
      <c r="L382" s="12"/>
      <c r="M382" s="12"/>
      <c r="N382" s="12"/>
      <c r="O382" s="12"/>
      <c r="P382" s="12"/>
    </row>
    <row r="383">
      <c r="A383" s="12"/>
      <c r="D383" s="95"/>
      <c r="E383" s="14"/>
      <c r="F383" s="96"/>
      <c r="H383" s="12"/>
      <c r="I383" s="12"/>
      <c r="J383" s="12"/>
      <c r="K383" s="12"/>
      <c r="L383" s="12"/>
      <c r="M383" s="12"/>
      <c r="N383" s="12"/>
      <c r="O383" s="12"/>
      <c r="P383" s="12"/>
    </row>
    <row r="384">
      <c r="A384" s="12"/>
      <c r="D384" s="95"/>
      <c r="E384" s="14"/>
      <c r="F384" s="96"/>
      <c r="H384" s="12"/>
      <c r="I384" s="12"/>
      <c r="J384" s="12"/>
      <c r="K384" s="12"/>
      <c r="L384" s="12"/>
      <c r="M384" s="12"/>
      <c r="N384" s="12"/>
      <c r="O384" s="12"/>
      <c r="P384" s="12"/>
    </row>
    <row r="385">
      <c r="A385" s="12"/>
      <c r="D385" s="95"/>
      <c r="E385" s="14"/>
      <c r="F385" s="96"/>
      <c r="H385" s="12"/>
      <c r="I385" s="12"/>
      <c r="J385" s="12"/>
      <c r="K385" s="12"/>
      <c r="L385" s="12"/>
      <c r="M385" s="12"/>
      <c r="N385" s="12"/>
      <c r="O385" s="12"/>
      <c r="P385" s="12"/>
    </row>
    <row r="386">
      <c r="A386" s="12"/>
      <c r="D386" s="95"/>
      <c r="E386" s="14"/>
      <c r="F386" s="96"/>
      <c r="H386" s="12"/>
      <c r="I386" s="12"/>
      <c r="J386" s="12"/>
      <c r="K386" s="12"/>
      <c r="L386" s="12"/>
      <c r="M386" s="12"/>
      <c r="N386" s="12"/>
      <c r="O386" s="12"/>
      <c r="P386" s="12"/>
    </row>
    <row r="387">
      <c r="A387" s="12"/>
      <c r="D387" s="95"/>
      <c r="E387" s="14"/>
      <c r="F387" s="96"/>
      <c r="H387" s="12"/>
      <c r="I387" s="12"/>
      <c r="J387" s="12"/>
      <c r="K387" s="12"/>
      <c r="L387" s="12"/>
      <c r="M387" s="12"/>
      <c r="N387" s="12"/>
      <c r="O387" s="12"/>
      <c r="P387" s="12"/>
    </row>
    <row r="388">
      <c r="A388" s="12"/>
      <c r="D388" s="95"/>
      <c r="E388" s="14"/>
      <c r="F388" s="96"/>
      <c r="H388" s="12"/>
      <c r="I388" s="12"/>
      <c r="J388" s="12"/>
      <c r="K388" s="12"/>
      <c r="L388" s="12"/>
      <c r="M388" s="12"/>
      <c r="N388" s="12"/>
      <c r="O388" s="12"/>
      <c r="P388" s="12"/>
    </row>
    <row r="389">
      <c r="A389" s="12"/>
      <c r="D389" s="95"/>
      <c r="E389" s="14"/>
      <c r="F389" s="96"/>
      <c r="H389" s="12"/>
      <c r="I389" s="12"/>
      <c r="J389" s="12"/>
      <c r="K389" s="12"/>
      <c r="L389" s="12"/>
      <c r="M389" s="12"/>
      <c r="N389" s="12"/>
      <c r="O389" s="12"/>
      <c r="P389" s="12"/>
    </row>
    <row r="390">
      <c r="A390" s="12"/>
      <c r="D390" s="95"/>
      <c r="E390" s="14"/>
      <c r="F390" s="96"/>
      <c r="H390" s="12"/>
      <c r="I390" s="12"/>
      <c r="J390" s="12"/>
      <c r="K390" s="12"/>
      <c r="L390" s="12"/>
      <c r="M390" s="12"/>
      <c r="N390" s="12"/>
      <c r="O390" s="12"/>
      <c r="P390" s="12"/>
    </row>
    <row r="391">
      <c r="A391" s="12"/>
      <c r="D391" s="95"/>
      <c r="E391" s="14"/>
      <c r="F391" s="96"/>
      <c r="H391" s="12"/>
      <c r="I391" s="12"/>
      <c r="J391" s="12"/>
      <c r="K391" s="12"/>
      <c r="L391" s="12"/>
      <c r="M391" s="12"/>
      <c r="N391" s="12"/>
      <c r="O391" s="12"/>
      <c r="P391" s="12"/>
    </row>
    <row r="392">
      <c r="A392" s="12"/>
      <c r="D392" s="95"/>
      <c r="E392" s="14"/>
      <c r="F392" s="96"/>
      <c r="H392" s="12"/>
      <c r="I392" s="12"/>
      <c r="J392" s="12"/>
      <c r="K392" s="12"/>
      <c r="L392" s="12"/>
      <c r="M392" s="12"/>
      <c r="N392" s="12"/>
      <c r="O392" s="12"/>
      <c r="P392" s="12"/>
    </row>
    <row r="393">
      <c r="A393" s="12"/>
      <c r="D393" s="95"/>
      <c r="E393" s="14"/>
      <c r="F393" s="96"/>
      <c r="H393" s="12"/>
      <c r="I393" s="12"/>
      <c r="J393" s="12"/>
      <c r="K393" s="12"/>
      <c r="L393" s="12"/>
      <c r="M393" s="12"/>
      <c r="N393" s="12"/>
      <c r="O393" s="12"/>
      <c r="P393" s="12"/>
    </row>
    <row r="394">
      <c r="A394" s="12"/>
      <c r="D394" s="95"/>
      <c r="E394" s="14"/>
      <c r="F394" s="96"/>
      <c r="H394" s="12"/>
      <c r="I394" s="12"/>
      <c r="J394" s="12"/>
      <c r="K394" s="12"/>
      <c r="L394" s="12"/>
      <c r="M394" s="12"/>
      <c r="N394" s="12"/>
      <c r="O394" s="12"/>
      <c r="P394" s="12"/>
    </row>
    <row r="395">
      <c r="A395" s="12"/>
      <c r="D395" s="95"/>
      <c r="E395" s="14"/>
      <c r="F395" s="96"/>
      <c r="H395" s="12"/>
      <c r="I395" s="12"/>
      <c r="J395" s="12"/>
      <c r="K395" s="12"/>
      <c r="L395" s="12"/>
      <c r="M395" s="12"/>
      <c r="N395" s="12"/>
      <c r="O395" s="12"/>
      <c r="P395" s="12"/>
    </row>
    <row r="396">
      <c r="A396" s="12"/>
      <c r="D396" s="95"/>
      <c r="E396" s="14"/>
      <c r="F396" s="96"/>
      <c r="H396" s="12"/>
      <c r="I396" s="12"/>
      <c r="J396" s="12"/>
      <c r="K396" s="12"/>
      <c r="L396" s="12"/>
      <c r="M396" s="12"/>
      <c r="N396" s="12"/>
      <c r="O396" s="12"/>
      <c r="P396" s="12"/>
    </row>
    <row r="397">
      <c r="A397" s="12"/>
      <c r="D397" s="95"/>
      <c r="E397" s="14"/>
      <c r="F397" s="96"/>
      <c r="H397" s="12"/>
      <c r="I397" s="12"/>
      <c r="J397" s="12"/>
      <c r="K397" s="12"/>
      <c r="L397" s="12"/>
      <c r="M397" s="12"/>
      <c r="N397" s="12"/>
      <c r="O397" s="12"/>
      <c r="P397" s="12"/>
    </row>
    <row r="398">
      <c r="A398" s="12"/>
      <c r="D398" s="95"/>
      <c r="E398" s="14"/>
      <c r="F398" s="96"/>
      <c r="H398" s="12"/>
      <c r="I398" s="12"/>
      <c r="J398" s="12"/>
      <c r="K398" s="12"/>
      <c r="L398" s="12"/>
      <c r="M398" s="12"/>
      <c r="N398" s="12"/>
      <c r="O398" s="12"/>
      <c r="P398" s="12"/>
    </row>
    <row r="399">
      <c r="A399" s="12"/>
      <c r="D399" s="95"/>
      <c r="E399" s="14"/>
      <c r="F399" s="96"/>
      <c r="H399" s="12"/>
      <c r="I399" s="12"/>
      <c r="J399" s="12"/>
      <c r="K399" s="12"/>
      <c r="L399" s="12"/>
      <c r="M399" s="12"/>
      <c r="N399" s="12"/>
      <c r="O399" s="12"/>
      <c r="P399" s="12"/>
    </row>
    <row r="400">
      <c r="A400" s="12"/>
      <c r="D400" s="95"/>
      <c r="E400" s="14"/>
      <c r="F400" s="96"/>
      <c r="H400" s="12"/>
      <c r="I400" s="12"/>
      <c r="J400" s="12"/>
      <c r="K400" s="12"/>
      <c r="L400" s="12"/>
      <c r="M400" s="12"/>
      <c r="N400" s="12"/>
      <c r="O400" s="12"/>
      <c r="P400" s="12"/>
    </row>
    <row r="401">
      <c r="A401" s="12"/>
      <c r="D401" s="95"/>
      <c r="E401" s="14"/>
      <c r="F401" s="96"/>
      <c r="H401" s="12"/>
      <c r="I401" s="12"/>
      <c r="J401" s="12"/>
      <c r="K401" s="12"/>
      <c r="L401" s="12"/>
      <c r="M401" s="12"/>
      <c r="N401" s="12"/>
      <c r="O401" s="12"/>
      <c r="P401" s="12"/>
    </row>
    <row r="402">
      <c r="A402" s="12"/>
      <c r="D402" s="95"/>
      <c r="E402" s="14"/>
      <c r="F402" s="96"/>
      <c r="H402" s="12"/>
      <c r="I402" s="12"/>
      <c r="J402" s="12"/>
      <c r="K402" s="12"/>
      <c r="L402" s="12"/>
      <c r="M402" s="12"/>
      <c r="N402" s="12"/>
      <c r="O402" s="12"/>
      <c r="P402" s="12"/>
    </row>
    <row r="403">
      <c r="A403" s="12"/>
      <c r="D403" s="95"/>
      <c r="E403" s="14"/>
      <c r="F403" s="96"/>
      <c r="H403" s="12"/>
      <c r="I403" s="12"/>
      <c r="J403" s="12"/>
      <c r="K403" s="12"/>
      <c r="L403" s="12"/>
      <c r="M403" s="12"/>
      <c r="N403" s="12"/>
      <c r="O403" s="12"/>
      <c r="P403" s="12"/>
    </row>
    <row r="404">
      <c r="A404" s="12"/>
      <c r="D404" s="95"/>
      <c r="E404" s="14"/>
      <c r="F404" s="96"/>
      <c r="H404" s="12"/>
      <c r="I404" s="12"/>
      <c r="J404" s="12"/>
      <c r="K404" s="12"/>
      <c r="L404" s="12"/>
      <c r="M404" s="12"/>
      <c r="N404" s="12"/>
      <c r="O404" s="12"/>
      <c r="P404" s="12"/>
    </row>
    <row r="405">
      <c r="A405" s="12"/>
      <c r="D405" s="95"/>
      <c r="E405" s="14"/>
      <c r="F405" s="96"/>
      <c r="H405" s="12"/>
      <c r="I405" s="12"/>
      <c r="J405" s="12"/>
      <c r="K405" s="12"/>
      <c r="L405" s="12"/>
      <c r="M405" s="12"/>
      <c r="N405" s="12"/>
      <c r="O405" s="12"/>
      <c r="P405" s="12"/>
    </row>
    <row r="406">
      <c r="A406" s="12"/>
      <c r="D406" s="95"/>
      <c r="E406" s="14"/>
      <c r="F406" s="96"/>
      <c r="H406" s="12"/>
      <c r="I406" s="12"/>
      <c r="J406" s="12"/>
      <c r="K406" s="12"/>
      <c r="L406" s="12"/>
      <c r="M406" s="12"/>
      <c r="N406" s="12"/>
      <c r="O406" s="12"/>
      <c r="P406" s="12"/>
    </row>
    <row r="407">
      <c r="A407" s="12"/>
      <c r="D407" s="95"/>
      <c r="E407" s="14"/>
      <c r="F407" s="96"/>
      <c r="H407" s="12"/>
      <c r="I407" s="12"/>
      <c r="J407" s="12"/>
      <c r="K407" s="12"/>
      <c r="L407" s="12"/>
      <c r="M407" s="12"/>
      <c r="N407" s="12"/>
      <c r="O407" s="12"/>
      <c r="P407" s="12"/>
    </row>
    <row r="408">
      <c r="A408" s="12"/>
      <c r="D408" s="95"/>
      <c r="E408" s="14"/>
      <c r="F408" s="96"/>
      <c r="H408" s="12"/>
      <c r="I408" s="12"/>
      <c r="J408" s="12"/>
      <c r="K408" s="12"/>
      <c r="L408" s="12"/>
      <c r="M408" s="12"/>
      <c r="N408" s="12"/>
      <c r="O408" s="12"/>
      <c r="P408" s="12"/>
    </row>
    <row r="409">
      <c r="A409" s="12"/>
      <c r="D409" s="95"/>
      <c r="E409" s="14"/>
      <c r="F409" s="96"/>
      <c r="H409" s="12"/>
      <c r="I409" s="12"/>
      <c r="J409" s="12"/>
      <c r="K409" s="12"/>
      <c r="L409" s="12"/>
      <c r="M409" s="12"/>
      <c r="N409" s="12"/>
      <c r="O409" s="12"/>
      <c r="P409" s="12"/>
    </row>
    <row r="410">
      <c r="A410" s="12"/>
      <c r="D410" s="95"/>
      <c r="E410" s="14"/>
      <c r="F410" s="96"/>
      <c r="H410" s="12"/>
      <c r="I410" s="12"/>
      <c r="J410" s="12"/>
      <c r="K410" s="12"/>
      <c r="L410" s="12"/>
      <c r="M410" s="12"/>
      <c r="N410" s="12"/>
      <c r="O410" s="12"/>
      <c r="P410" s="12"/>
    </row>
    <row r="411">
      <c r="A411" s="12"/>
      <c r="D411" s="95"/>
      <c r="E411" s="14"/>
      <c r="F411" s="96"/>
      <c r="H411" s="12"/>
      <c r="I411" s="12"/>
      <c r="J411" s="12"/>
      <c r="K411" s="12"/>
      <c r="L411" s="12"/>
      <c r="M411" s="12"/>
      <c r="N411" s="12"/>
      <c r="O411" s="12"/>
      <c r="P411" s="12"/>
    </row>
    <row r="412">
      <c r="A412" s="12"/>
      <c r="D412" s="95"/>
      <c r="E412" s="14"/>
      <c r="F412" s="96"/>
      <c r="H412" s="12"/>
      <c r="I412" s="12"/>
      <c r="J412" s="12"/>
      <c r="K412" s="12"/>
      <c r="L412" s="12"/>
      <c r="M412" s="12"/>
      <c r="N412" s="12"/>
      <c r="O412" s="12"/>
      <c r="P412" s="12"/>
    </row>
    <row r="413">
      <c r="A413" s="12"/>
      <c r="D413" s="95"/>
      <c r="E413" s="14"/>
      <c r="F413" s="96"/>
      <c r="H413" s="12"/>
      <c r="I413" s="12"/>
      <c r="J413" s="12"/>
      <c r="K413" s="12"/>
      <c r="L413" s="12"/>
      <c r="M413" s="12"/>
      <c r="N413" s="12"/>
      <c r="O413" s="12"/>
      <c r="P413" s="12"/>
    </row>
    <row r="414">
      <c r="A414" s="12"/>
      <c r="D414" s="95"/>
      <c r="E414" s="14"/>
      <c r="F414" s="96"/>
      <c r="H414" s="12"/>
      <c r="I414" s="12"/>
      <c r="J414" s="12"/>
      <c r="K414" s="12"/>
      <c r="L414" s="12"/>
      <c r="M414" s="12"/>
      <c r="N414" s="12"/>
      <c r="O414" s="12"/>
      <c r="P414" s="12"/>
    </row>
    <row r="415">
      <c r="A415" s="12"/>
      <c r="D415" s="95"/>
      <c r="E415" s="14"/>
      <c r="F415" s="96"/>
      <c r="H415" s="12"/>
      <c r="I415" s="12"/>
      <c r="J415" s="12"/>
      <c r="K415" s="12"/>
      <c r="L415" s="12"/>
      <c r="M415" s="12"/>
      <c r="N415" s="12"/>
      <c r="O415" s="12"/>
      <c r="P415" s="12"/>
    </row>
    <row r="416">
      <c r="A416" s="12"/>
      <c r="D416" s="95"/>
      <c r="E416" s="14"/>
      <c r="F416" s="96"/>
      <c r="H416" s="12"/>
      <c r="I416" s="12"/>
      <c r="J416" s="12"/>
      <c r="K416" s="12"/>
      <c r="L416" s="12"/>
      <c r="M416" s="12"/>
      <c r="N416" s="12"/>
      <c r="O416" s="12"/>
      <c r="P416" s="12"/>
    </row>
    <row r="417">
      <c r="A417" s="12"/>
      <c r="D417" s="95"/>
      <c r="E417" s="14"/>
      <c r="F417" s="96"/>
      <c r="H417" s="12"/>
      <c r="I417" s="12"/>
      <c r="J417" s="12"/>
      <c r="K417" s="12"/>
      <c r="L417" s="12"/>
      <c r="M417" s="12"/>
      <c r="N417" s="12"/>
      <c r="O417" s="12"/>
      <c r="P417" s="12"/>
    </row>
    <row r="418">
      <c r="A418" s="12"/>
      <c r="D418" s="95"/>
      <c r="E418" s="14"/>
      <c r="F418" s="96"/>
      <c r="H418" s="12"/>
      <c r="I418" s="12"/>
      <c r="J418" s="12"/>
      <c r="K418" s="12"/>
      <c r="L418" s="12"/>
      <c r="M418" s="12"/>
      <c r="N418" s="12"/>
      <c r="O418" s="12"/>
      <c r="P418" s="12"/>
    </row>
    <row r="419">
      <c r="A419" s="12"/>
      <c r="D419" s="95"/>
      <c r="E419" s="14"/>
      <c r="F419" s="96"/>
      <c r="H419" s="12"/>
      <c r="I419" s="12"/>
      <c r="J419" s="12"/>
      <c r="K419" s="12"/>
      <c r="L419" s="12"/>
      <c r="M419" s="12"/>
      <c r="N419" s="12"/>
      <c r="O419" s="12"/>
      <c r="P419" s="12"/>
    </row>
    <row r="420">
      <c r="A420" s="12"/>
      <c r="D420" s="95"/>
      <c r="E420" s="14"/>
      <c r="F420" s="96"/>
      <c r="H420" s="12"/>
      <c r="I420" s="12"/>
      <c r="J420" s="12"/>
      <c r="K420" s="12"/>
      <c r="L420" s="12"/>
      <c r="M420" s="12"/>
      <c r="N420" s="12"/>
      <c r="O420" s="12"/>
      <c r="P420" s="12"/>
    </row>
    <row r="421">
      <c r="A421" s="12"/>
      <c r="D421" s="95"/>
      <c r="E421" s="14"/>
      <c r="F421" s="96"/>
      <c r="H421" s="12"/>
      <c r="I421" s="12"/>
      <c r="J421" s="12"/>
      <c r="K421" s="12"/>
      <c r="L421" s="12"/>
      <c r="M421" s="12"/>
      <c r="N421" s="12"/>
      <c r="O421" s="12"/>
      <c r="P421" s="12"/>
    </row>
    <row r="422">
      <c r="A422" s="12"/>
      <c r="D422" s="95"/>
      <c r="E422" s="14"/>
      <c r="F422" s="96"/>
      <c r="H422" s="12"/>
      <c r="I422" s="12"/>
      <c r="J422" s="12"/>
      <c r="K422" s="12"/>
      <c r="L422" s="12"/>
      <c r="M422" s="12"/>
      <c r="N422" s="12"/>
      <c r="O422" s="12"/>
      <c r="P422" s="12"/>
    </row>
    <row r="423">
      <c r="A423" s="12"/>
      <c r="D423" s="95"/>
      <c r="E423" s="14"/>
      <c r="F423" s="96"/>
      <c r="H423" s="12"/>
      <c r="I423" s="12"/>
      <c r="J423" s="12"/>
      <c r="K423" s="12"/>
      <c r="L423" s="12"/>
      <c r="M423" s="12"/>
      <c r="N423" s="12"/>
      <c r="O423" s="12"/>
      <c r="P423" s="12"/>
    </row>
    <row r="424">
      <c r="A424" s="12"/>
      <c r="D424" s="95"/>
      <c r="E424" s="14"/>
      <c r="F424" s="96"/>
      <c r="H424" s="12"/>
      <c r="I424" s="12"/>
      <c r="J424" s="12"/>
      <c r="K424" s="12"/>
      <c r="L424" s="12"/>
      <c r="M424" s="12"/>
      <c r="N424" s="12"/>
      <c r="O424" s="12"/>
      <c r="P424" s="12"/>
    </row>
    <row r="425">
      <c r="A425" s="12"/>
      <c r="D425" s="95"/>
      <c r="E425" s="14"/>
      <c r="F425" s="96"/>
      <c r="H425" s="12"/>
      <c r="I425" s="12"/>
      <c r="J425" s="12"/>
      <c r="K425" s="12"/>
      <c r="L425" s="12"/>
      <c r="M425" s="12"/>
      <c r="N425" s="12"/>
      <c r="O425" s="12"/>
      <c r="P425" s="12"/>
    </row>
    <row r="426">
      <c r="A426" s="12"/>
      <c r="D426" s="95"/>
      <c r="E426" s="14"/>
      <c r="F426" s="96"/>
      <c r="H426" s="12"/>
      <c r="I426" s="12"/>
      <c r="J426" s="12"/>
      <c r="K426" s="12"/>
      <c r="L426" s="12"/>
      <c r="M426" s="12"/>
      <c r="N426" s="12"/>
      <c r="O426" s="12"/>
      <c r="P426" s="12"/>
    </row>
    <row r="427">
      <c r="A427" s="12"/>
      <c r="D427" s="95"/>
      <c r="E427" s="14"/>
      <c r="F427" s="96"/>
      <c r="H427" s="12"/>
      <c r="I427" s="12"/>
      <c r="J427" s="12"/>
      <c r="K427" s="12"/>
      <c r="L427" s="12"/>
      <c r="M427" s="12"/>
      <c r="N427" s="12"/>
      <c r="O427" s="12"/>
      <c r="P427" s="12"/>
    </row>
    <row r="428">
      <c r="A428" s="12"/>
      <c r="D428" s="95"/>
      <c r="E428" s="14"/>
      <c r="F428" s="96"/>
      <c r="H428" s="12"/>
      <c r="I428" s="12"/>
      <c r="J428" s="12"/>
      <c r="K428" s="12"/>
      <c r="L428" s="12"/>
      <c r="M428" s="12"/>
      <c r="N428" s="12"/>
      <c r="O428" s="12"/>
      <c r="P428" s="12"/>
    </row>
    <row r="429">
      <c r="A429" s="12"/>
      <c r="D429" s="95"/>
      <c r="E429" s="14"/>
      <c r="F429" s="96"/>
      <c r="H429" s="12"/>
      <c r="I429" s="12"/>
      <c r="J429" s="12"/>
      <c r="K429" s="12"/>
      <c r="L429" s="12"/>
      <c r="M429" s="12"/>
      <c r="N429" s="12"/>
      <c r="O429" s="12"/>
      <c r="P429" s="12"/>
    </row>
    <row r="430">
      <c r="A430" s="12"/>
      <c r="D430" s="95"/>
      <c r="E430" s="14"/>
      <c r="F430" s="96"/>
      <c r="H430" s="12"/>
      <c r="I430" s="12"/>
      <c r="J430" s="12"/>
      <c r="K430" s="12"/>
      <c r="L430" s="12"/>
      <c r="M430" s="12"/>
      <c r="N430" s="12"/>
      <c r="O430" s="12"/>
      <c r="P430" s="12"/>
    </row>
    <row r="431">
      <c r="A431" s="12"/>
      <c r="D431" s="95"/>
      <c r="E431" s="14"/>
      <c r="F431" s="96"/>
      <c r="H431" s="12"/>
      <c r="I431" s="12"/>
      <c r="J431" s="12"/>
      <c r="K431" s="12"/>
      <c r="L431" s="12"/>
      <c r="M431" s="12"/>
      <c r="N431" s="12"/>
      <c r="O431" s="12"/>
      <c r="P431" s="12"/>
    </row>
    <row r="432">
      <c r="A432" s="12"/>
      <c r="D432" s="95"/>
      <c r="E432" s="14"/>
      <c r="F432" s="96"/>
      <c r="H432" s="12"/>
      <c r="I432" s="12"/>
      <c r="J432" s="12"/>
      <c r="K432" s="12"/>
      <c r="L432" s="12"/>
      <c r="M432" s="12"/>
      <c r="N432" s="12"/>
      <c r="O432" s="12"/>
      <c r="P432" s="12"/>
    </row>
    <row r="433">
      <c r="A433" s="12"/>
      <c r="D433" s="95"/>
      <c r="E433" s="14"/>
      <c r="F433" s="96"/>
      <c r="H433" s="12"/>
      <c r="I433" s="12"/>
      <c r="J433" s="12"/>
      <c r="K433" s="12"/>
      <c r="L433" s="12"/>
      <c r="M433" s="12"/>
      <c r="N433" s="12"/>
      <c r="O433" s="12"/>
      <c r="P433" s="12"/>
    </row>
    <row r="434">
      <c r="A434" s="12"/>
      <c r="D434" s="95"/>
      <c r="E434" s="14"/>
      <c r="F434" s="96"/>
      <c r="H434" s="12"/>
      <c r="I434" s="12"/>
      <c r="J434" s="12"/>
      <c r="K434" s="12"/>
      <c r="L434" s="12"/>
      <c r="M434" s="12"/>
      <c r="N434" s="12"/>
      <c r="O434" s="12"/>
      <c r="P434" s="12"/>
    </row>
    <row r="435">
      <c r="A435" s="12"/>
      <c r="D435" s="95"/>
      <c r="E435" s="14"/>
      <c r="F435" s="96"/>
      <c r="H435" s="12"/>
      <c r="I435" s="12"/>
      <c r="J435" s="12"/>
      <c r="K435" s="12"/>
      <c r="L435" s="12"/>
      <c r="M435" s="12"/>
      <c r="N435" s="12"/>
      <c r="O435" s="12"/>
      <c r="P435" s="12"/>
    </row>
    <row r="436">
      <c r="A436" s="12"/>
      <c r="D436" s="95"/>
      <c r="E436" s="14"/>
      <c r="F436" s="96"/>
      <c r="H436" s="12"/>
      <c r="I436" s="12"/>
      <c r="J436" s="12"/>
      <c r="K436" s="12"/>
      <c r="L436" s="12"/>
      <c r="M436" s="12"/>
      <c r="N436" s="12"/>
      <c r="O436" s="12"/>
      <c r="P436" s="12"/>
    </row>
    <row r="437">
      <c r="A437" s="12"/>
      <c r="D437" s="95"/>
      <c r="E437" s="14"/>
      <c r="F437" s="96"/>
      <c r="H437" s="12"/>
      <c r="I437" s="12"/>
      <c r="J437" s="12"/>
      <c r="K437" s="12"/>
      <c r="L437" s="12"/>
      <c r="M437" s="12"/>
      <c r="N437" s="12"/>
      <c r="O437" s="12"/>
      <c r="P437" s="12"/>
    </row>
    <row r="438">
      <c r="A438" s="12"/>
      <c r="D438" s="95"/>
      <c r="E438" s="14"/>
      <c r="F438" s="96"/>
      <c r="H438" s="12"/>
      <c r="I438" s="12"/>
      <c r="J438" s="12"/>
      <c r="K438" s="12"/>
      <c r="L438" s="12"/>
      <c r="M438" s="12"/>
      <c r="N438" s="12"/>
      <c r="O438" s="12"/>
      <c r="P438" s="12"/>
    </row>
    <row r="439">
      <c r="A439" s="12"/>
      <c r="D439" s="95"/>
      <c r="E439" s="14"/>
      <c r="F439" s="96"/>
      <c r="H439" s="12"/>
      <c r="I439" s="12"/>
      <c r="J439" s="12"/>
      <c r="K439" s="12"/>
      <c r="L439" s="12"/>
      <c r="M439" s="12"/>
      <c r="N439" s="12"/>
      <c r="O439" s="12"/>
      <c r="P439" s="12"/>
    </row>
    <row r="440">
      <c r="A440" s="12"/>
      <c r="D440" s="95"/>
      <c r="E440" s="14"/>
      <c r="F440" s="96"/>
      <c r="H440" s="12"/>
      <c r="I440" s="12"/>
      <c r="J440" s="12"/>
      <c r="K440" s="12"/>
      <c r="L440" s="12"/>
      <c r="M440" s="12"/>
      <c r="N440" s="12"/>
      <c r="O440" s="12"/>
      <c r="P440" s="12"/>
    </row>
    <row r="441">
      <c r="A441" s="12"/>
      <c r="D441" s="95"/>
      <c r="E441" s="14"/>
      <c r="F441" s="96"/>
      <c r="H441" s="12"/>
      <c r="I441" s="12"/>
      <c r="J441" s="12"/>
      <c r="K441" s="12"/>
      <c r="L441" s="12"/>
      <c r="M441" s="12"/>
      <c r="N441" s="12"/>
      <c r="O441" s="12"/>
      <c r="P441" s="12"/>
    </row>
    <row r="442">
      <c r="A442" s="12"/>
      <c r="D442" s="95"/>
      <c r="E442" s="14"/>
      <c r="F442" s="96"/>
      <c r="H442" s="12"/>
      <c r="I442" s="12"/>
      <c r="J442" s="12"/>
      <c r="K442" s="12"/>
      <c r="L442" s="12"/>
      <c r="M442" s="12"/>
      <c r="N442" s="12"/>
      <c r="O442" s="12"/>
      <c r="P442" s="12"/>
    </row>
    <row r="443">
      <c r="A443" s="12"/>
      <c r="D443" s="95"/>
      <c r="E443" s="14"/>
      <c r="F443" s="96"/>
      <c r="H443" s="12"/>
      <c r="I443" s="12"/>
      <c r="J443" s="12"/>
      <c r="K443" s="12"/>
      <c r="L443" s="12"/>
      <c r="M443" s="12"/>
      <c r="N443" s="12"/>
      <c r="O443" s="12"/>
      <c r="P443" s="12"/>
    </row>
    <row r="444">
      <c r="A444" s="12"/>
      <c r="D444" s="95"/>
      <c r="E444" s="14"/>
      <c r="F444" s="96"/>
      <c r="H444" s="12"/>
      <c r="I444" s="12"/>
      <c r="J444" s="12"/>
      <c r="K444" s="12"/>
      <c r="L444" s="12"/>
      <c r="M444" s="12"/>
      <c r="N444" s="12"/>
      <c r="O444" s="12"/>
      <c r="P444" s="12"/>
    </row>
    <row r="445">
      <c r="A445" s="12"/>
      <c r="D445" s="95"/>
      <c r="E445" s="14"/>
      <c r="F445" s="96"/>
      <c r="H445" s="12"/>
      <c r="I445" s="12"/>
      <c r="J445" s="12"/>
      <c r="K445" s="12"/>
      <c r="L445" s="12"/>
      <c r="M445" s="12"/>
      <c r="N445" s="12"/>
      <c r="O445" s="12"/>
      <c r="P445" s="12"/>
    </row>
    <row r="446">
      <c r="A446" s="12"/>
      <c r="D446" s="95"/>
      <c r="E446" s="14"/>
      <c r="F446" s="96"/>
      <c r="H446" s="12"/>
      <c r="I446" s="12"/>
      <c r="J446" s="12"/>
      <c r="K446" s="12"/>
      <c r="L446" s="12"/>
      <c r="M446" s="12"/>
      <c r="N446" s="12"/>
      <c r="O446" s="12"/>
      <c r="P446" s="12"/>
    </row>
    <row r="447">
      <c r="A447" s="12"/>
      <c r="D447" s="95"/>
      <c r="E447" s="14"/>
      <c r="F447" s="96"/>
      <c r="H447" s="12"/>
      <c r="I447" s="12"/>
      <c r="J447" s="12"/>
      <c r="K447" s="12"/>
      <c r="L447" s="12"/>
      <c r="M447" s="12"/>
      <c r="N447" s="12"/>
      <c r="O447" s="12"/>
      <c r="P447" s="12"/>
    </row>
    <row r="448">
      <c r="A448" s="12"/>
      <c r="D448" s="95"/>
      <c r="E448" s="14"/>
      <c r="F448" s="96"/>
      <c r="H448" s="12"/>
      <c r="I448" s="12"/>
      <c r="J448" s="12"/>
      <c r="K448" s="12"/>
      <c r="L448" s="12"/>
      <c r="M448" s="12"/>
      <c r="N448" s="12"/>
      <c r="O448" s="12"/>
      <c r="P448" s="12"/>
    </row>
    <row r="449">
      <c r="A449" s="12"/>
      <c r="D449" s="95"/>
      <c r="E449" s="14"/>
      <c r="F449" s="96"/>
      <c r="H449" s="12"/>
      <c r="I449" s="12"/>
      <c r="J449" s="12"/>
      <c r="K449" s="12"/>
      <c r="L449" s="12"/>
      <c r="M449" s="12"/>
      <c r="N449" s="12"/>
      <c r="O449" s="12"/>
      <c r="P449" s="12"/>
    </row>
    <row r="450">
      <c r="A450" s="12"/>
      <c r="D450" s="95"/>
      <c r="E450" s="14"/>
      <c r="F450" s="96"/>
      <c r="H450" s="12"/>
      <c r="I450" s="12"/>
      <c r="J450" s="12"/>
      <c r="K450" s="12"/>
      <c r="L450" s="12"/>
      <c r="M450" s="12"/>
      <c r="N450" s="12"/>
      <c r="O450" s="12"/>
      <c r="P450" s="12"/>
    </row>
    <row r="451">
      <c r="A451" s="12"/>
      <c r="D451" s="95"/>
      <c r="E451" s="14"/>
      <c r="F451" s="96"/>
      <c r="H451" s="12"/>
      <c r="I451" s="12"/>
      <c r="J451" s="12"/>
      <c r="K451" s="12"/>
      <c r="L451" s="12"/>
      <c r="M451" s="12"/>
      <c r="N451" s="12"/>
      <c r="O451" s="12"/>
      <c r="P451" s="12"/>
    </row>
    <row r="452">
      <c r="A452" s="12"/>
      <c r="D452" s="95"/>
      <c r="E452" s="14"/>
      <c r="F452" s="96"/>
      <c r="H452" s="12"/>
      <c r="I452" s="12"/>
      <c r="J452" s="12"/>
      <c r="K452" s="12"/>
      <c r="L452" s="12"/>
      <c r="M452" s="12"/>
      <c r="N452" s="12"/>
      <c r="O452" s="12"/>
      <c r="P452" s="12"/>
    </row>
    <row r="453">
      <c r="A453" s="12"/>
      <c r="D453" s="95"/>
      <c r="E453" s="14"/>
      <c r="F453" s="96"/>
      <c r="H453" s="12"/>
      <c r="I453" s="12"/>
      <c r="J453" s="12"/>
      <c r="K453" s="12"/>
      <c r="L453" s="12"/>
      <c r="M453" s="12"/>
      <c r="N453" s="12"/>
      <c r="O453" s="12"/>
      <c r="P453" s="12"/>
    </row>
    <row r="454">
      <c r="A454" s="12"/>
      <c r="D454" s="95"/>
      <c r="E454" s="14"/>
      <c r="F454" s="96"/>
      <c r="H454" s="12"/>
      <c r="I454" s="12"/>
      <c r="J454" s="12"/>
      <c r="K454" s="12"/>
      <c r="L454" s="12"/>
      <c r="M454" s="12"/>
      <c r="N454" s="12"/>
      <c r="O454" s="12"/>
      <c r="P454" s="12"/>
    </row>
    <row r="455">
      <c r="A455" s="12"/>
      <c r="D455" s="95"/>
      <c r="E455" s="14"/>
      <c r="F455" s="96"/>
      <c r="H455" s="12"/>
      <c r="I455" s="12"/>
      <c r="J455" s="12"/>
      <c r="K455" s="12"/>
      <c r="L455" s="12"/>
      <c r="M455" s="12"/>
      <c r="N455" s="12"/>
      <c r="O455" s="12"/>
      <c r="P455" s="12"/>
    </row>
    <row r="456">
      <c r="A456" s="12"/>
      <c r="D456" s="95"/>
      <c r="E456" s="14"/>
      <c r="F456" s="96"/>
      <c r="H456" s="12"/>
      <c r="I456" s="12"/>
      <c r="J456" s="12"/>
      <c r="K456" s="12"/>
      <c r="L456" s="12"/>
      <c r="M456" s="12"/>
      <c r="N456" s="12"/>
      <c r="O456" s="12"/>
      <c r="P456" s="12"/>
    </row>
    <row r="457">
      <c r="A457" s="12"/>
      <c r="D457" s="95"/>
      <c r="E457" s="14"/>
      <c r="F457" s="96"/>
      <c r="H457" s="12"/>
      <c r="I457" s="12"/>
      <c r="J457" s="12"/>
      <c r="K457" s="12"/>
      <c r="L457" s="12"/>
      <c r="M457" s="12"/>
      <c r="N457" s="12"/>
      <c r="O457" s="12"/>
      <c r="P457" s="12"/>
    </row>
    <row r="458">
      <c r="A458" s="12"/>
      <c r="D458" s="95"/>
      <c r="E458" s="14"/>
      <c r="F458" s="96"/>
      <c r="H458" s="12"/>
      <c r="I458" s="12"/>
      <c r="J458" s="12"/>
      <c r="K458" s="12"/>
      <c r="L458" s="12"/>
      <c r="M458" s="12"/>
      <c r="N458" s="12"/>
      <c r="O458" s="12"/>
      <c r="P458" s="12"/>
    </row>
    <row r="459">
      <c r="A459" s="12"/>
      <c r="D459" s="95"/>
      <c r="E459" s="14"/>
      <c r="F459" s="96"/>
      <c r="H459" s="12"/>
      <c r="I459" s="12"/>
      <c r="J459" s="12"/>
      <c r="K459" s="12"/>
      <c r="L459" s="12"/>
      <c r="M459" s="12"/>
      <c r="N459" s="12"/>
      <c r="O459" s="12"/>
      <c r="P459" s="12"/>
    </row>
    <row r="460">
      <c r="A460" s="12"/>
      <c r="D460" s="95"/>
      <c r="E460" s="14"/>
      <c r="F460" s="96"/>
      <c r="H460" s="12"/>
      <c r="I460" s="12"/>
      <c r="J460" s="12"/>
      <c r="K460" s="12"/>
      <c r="L460" s="12"/>
      <c r="M460" s="12"/>
      <c r="N460" s="12"/>
      <c r="O460" s="12"/>
      <c r="P460" s="12"/>
    </row>
    <row r="461">
      <c r="A461" s="12"/>
      <c r="D461" s="95"/>
      <c r="E461" s="14"/>
      <c r="F461" s="96"/>
      <c r="H461" s="12"/>
      <c r="I461" s="12"/>
      <c r="J461" s="12"/>
      <c r="K461" s="12"/>
      <c r="L461" s="12"/>
      <c r="M461" s="12"/>
      <c r="N461" s="12"/>
      <c r="O461" s="12"/>
      <c r="P461" s="12"/>
    </row>
    <row r="462">
      <c r="A462" s="12"/>
      <c r="D462" s="95"/>
      <c r="E462" s="14"/>
      <c r="F462" s="96"/>
      <c r="H462" s="12"/>
      <c r="I462" s="12"/>
      <c r="J462" s="12"/>
      <c r="K462" s="12"/>
      <c r="L462" s="12"/>
      <c r="M462" s="12"/>
      <c r="N462" s="12"/>
      <c r="O462" s="12"/>
      <c r="P462" s="12"/>
    </row>
    <row r="463">
      <c r="A463" s="12"/>
      <c r="D463" s="95"/>
      <c r="E463" s="14"/>
      <c r="F463" s="96"/>
      <c r="H463" s="12"/>
      <c r="I463" s="12"/>
      <c r="J463" s="12"/>
      <c r="K463" s="12"/>
      <c r="L463" s="12"/>
      <c r="M463" s="12"/>
      <c r="N463" s="12"/>
      <c r="O463" s="12"/>
      <c r="P463" s="12"/>
    </row>
    <row r="464">
      <c r="A464" s="12"/>
      <c r="D464" s="95"/>
      <c r="E464" s="14"/>
      <c r="F464" s="96"/>
      <c r="H464" s="12"/>
      <c r="I464" s="12"/>
      <c r="J464" s="12"/>
      <c r="K464" s="12"/>
      <c r="L464" s="12"/>
      <c r="M464" s="12"/>
      <c r="N464" s="12"/>
      <c r="O464" s="12"/>
      <c r="P464" s="12"/>
    </row>
    <row r="465">
      <c r="A465" s="12"/>
      <c r="D465" s="95"/>
      <c r="E465" s="14"/>
      <c r="F465" s="96"/>
      <c r="H465" s="12"/>
      <c r="I465" s="12"/>
      <c r="J465" s="12"/>
      <c r="K465" s="12"/>
      <c r="L465" s="12"/>
      <c r="M465" s="12"/>
      <c r="N465" s="12"/>
      <c r="O465" s="12"/>
      <c r="P465" s="12"/>
    </row>
    <row r="466">
      <c r="A466" s="12"/>
      <c r="D466" s="95"/>
      <c r="E466" s="14"/>
      <c r="F466" s="96"/>
      <c r="H466" s="12"/>
      <c r="I466" s="12"/>
      <c r="J466" s="12"/>
      <c r="K466" s="12"/>
      <c r="L466" s="12"/>
      <c r="M466" s="12"/>
      <c r="N466" s="12"/>
      <c r="O466" s="12"/>
      <c r="P466" s="12"/>
    </row>
    <row r="467">
      <c r="A467" s="12"/>
      <c r="D467" s="95"/>
      <c r="E467" s="14"/>
      <c r="F467" s="96"/>
      <c r="H467" s="12"/>
      <c r="I467" s="12"/>
      <c r="J467" s="12"/>
      <c r="K467" s="12"/>
      <c r="L467" s="12"/>
      <c r="M467" s="12"/>
      <c r="N467" s="12"/>
      <c r="O467" s="12"/>
      <c r="P467" s="12"/>
    </row>
    <row r="468">
      <c r="A468" s="12"/>
      <c r="D468" s="95"/>
      <c r="E468" s="14"/>
      <c r="F468" s="96"/>
      <c r="H468" s="12"/>
      <c r="I468" s="12"/>
      <c r="J468" s="12"/>
      <c r="K468" s="12"/>
      <c r="L468" s="12"/>
      <c r="M468" s="12"/>
      <c r="N468" s="12"/>
      <c r="O468" s="12"/>
      <c r="P468" s="12"/>
    </row>
    <row r="469">
      <c r="A469" s="12"/>
      <c r="D469" s="95"/>
      <c r="E469" s="14"/>
      <c r="F469" s="96"/>
      <c r="H469" s="12"/>
      <c r="I469" s="12"/>
      <c r="J469" s="12"/>
      <c r="K469" s="12"/>
      <c r="L469" s="12"/>
      <c r="M469" s="12"/>
      <c r="N469" s="12"/>
      <c r="O469" s="12"/>
      <c r="P469" s="12"/>
    </row>
    <row r="470">
      <c r="A470" s="12"/>
      <c r="D470" s="95"/>
      <c r="E470" s="14"/>
      <c r="F470" s="96"/>
      <c r="H470" s="12"/>
      <c r="I470" s="12"/>
      <c r="J470" s="12"/>
      <c r="K470" s="12"/>
      <c r="L470" s="12"/>
      <c r="M470" s="12"/>
      <c r="N470" s="12"/>
      <c r="O470" s="12"/>
      <c r="P470" s="12"/>
    </row>
    <row r="471">
      <c r="A471" s="12"/>
      <c r="D471" s="95"/>
      <c r="E471" s="14"/>
      <c r="F471" s="96"/>
      <c r="H471" s="12"/>
      <c r="I471" s="12"/>
      <c r="J471" s="12"/>
      <c r="K471" s="12"/>
      <c r="L471" s="12"/>
      <c r="M471" s="12"/>
      <c r="N471" s="12"/>
      <c r="O471" s="12"/>
      <c r="P471" s="12"/>
    </row>
    <row r="472">
      <c r="A472" s="12"/>
      <c r="D472" s="95"/>
      <c r="E472" s="14"/>
      <c r="F472" s="96"/>
      <c r="H472" s="12"/>
      <c r="I472" s="12"/>
      <c r="J472" s="12"/>
      <c r="K472" s="12"/>
      <c r="L472" s="12"/>
      <c r="M472" s="12"/>
      <c r="N472" s="12"/>
      <c r="O472" s="12"/>
      <c r="P472" s="12"/>
    </row>
    <row r="473">
      <c r="A473" s="12"/>
      <c r="D473" s="95"/>
      <c r="E473" s="14"/>
      <c r="F473" s="96"/>
      <c r="H473" s="12"/>
      <c r="I473" s="12"/>
      <c r="J473" s="12"/>
      <c r="K473" s="12"/>
      <c r="L473" s="12"/>
      <c r="M473" s="12"/>
      <c r="N473" s="12"/>
      <c r="O473" s="12"/>
      <c r="P473" s="12"/>
    </row>
    <row r="474">
      <c r="A474" s="12"/>
      <c r="D474" s="95"/>
      <c r="E474" s="14"/>
      <c r="F474" s="96"/>
      <c r="H474" s="12"/>
      <c r="I474" s="12"/>
      <c r="J474" s="12"/>
      <c r="K474" s="12"/>
      <c r="L474" s="12"/>
      <c r="M474" s="12"/>
      <c r="N474" s="12"/>
      <c r="O474" s="12"/>
      <c r="P474" s="12"/>
    </row>
    <row r="475">
      <c r="A475" s="12"/>
      <c r="D475" s="95"/>
      <c r="E475" s="14"/>
      <c r="F475" s="96"/>
      <c r="H475" s="12"/>
      <c r="I475" s="12"/>
      <c r="J475" s="12"/>
      <c r="K475" s="12"/>
      <c r="L475" s="12"/>
      <c r="M475" s="12"/>
      <c r="N475" s="12"/>
      <c r="O475" s="12"/>
      <c r="P475" s="12"/>
    </row>
    <row r="476">
      <c r="A476" s="12"/>
      <c r="D476" s="95"/>
      <c r="E476" s="14"/>
      <c r="F476" s="96"/>
      <c r="H476" s="12"/>
      <c r="I476" s="12"/>
      <c r="J476" s="12"/>
      <c r="K476" s="12"/>
      <c r="L476" s="12"/>
      <c r="M476" s="12"/>
      <c r="N476" s="12"/>
      <c r="O476" s="12"/>
      <c r="P476" s="12"/>
    </row>
    <row r="477">
      <c r="A477" s="12"/>
      <c r="D477" s="95"/>
      <c r="E477" s="14"/>
      <c r="F477" s="96"/>
      <c r="H477" s="12"/>
      <c r="I477" s="12"/>
      <c r="J477" s="12"/>
      <c r="K477" s="12"/>
      <c r="L477" s="12"/>
      <c r="M477" s="12"/>
      <c r="N477" s="12"/>
      <c r="O477" s="12"/>
      <c r="P477" s="12"/>
    </row>
    <row r="478">
      <c r="A478" s="12"/>
      <c r="D478" s="95"/>
      <c r="E478" s="14"/>
      <c r="F478" s="96"/>
      <c r="H478" s="12"/>
      <c r="I478" s="12"/>
      <c r="J478" s="12"/>
      <c r="K478" s="12"/>
      <c r="L478" s="12"/>
      <c r="M478" s="12"/>
      <c r="N478" s="12"/>
      <c r="O478" s="12"/>
      <c r="P478" s="12"/>
    </row>
    <row r="479">
      <c r="A479" s="12"/>
      <c r="D479" s="95"/>
      <c r="E479" s="14"/>
      <c r="F479" s="96"/>
      <c r="H479" s="12"/>
      <c r="I479" s="12"/>
      <c r="J479" s="12"/>
      <c r="K479" s="12"/>
      <c r="L479" s="12"/>
      <c r="M479" s="12"/>
      <c r="N479" s="12"/>
      <c r="O479" s="12"/>
      <c r="P479" s="12"/>
    </row>
    <row r="480">
      <c r="A480" s="12"/>
      <c r="D480" s="95"/>
      <c r="E480" s="14"/>
      <c r="F480" s="96"/>
      <c r="H480" s="12"/>
      <c r="I480" s="12"/>
      <c r="J480" s="12"/>
      <c r="K480" s="12"/>
      <c r="L480" s="12"/>
      <c r="M480" s="12"/>
      <c r="N480" s="12"/>
      <c r="O480" s="12"/>
      <c r="P480" s="12"/>
    </row>
    <row r="481">
      <c r="A481" s="12"/>
      <c r="D481" s="95"/>
      <c r="E481" s="14"/>
      <c r="F481" s="96"/>
      <c r="H481" s="12"/>
      <c r="I481" s="12"/>
      <c r="J481" s="12"/>
      <c r="K481" s="12"/>
      <c r="L481" s="12"/>
      <c r="M481" s="12"/>
      <c r="N481" s="12"/>
      <c r="O481" s="12"/>
      <c r="P481" s="12"/>
    </row>
    <row r="482">
      <c r="A482" s="12"/>
      <c r="D482" s="95"/>
      <c r="E482" s="14"/>
      <c r="F482" s="96"/>
      <c r="H482" s="12"/>
      <c r="I482" s="12"/>
      <c r="J482" s="12"/>
      <c r="K482" s="12"/>
      <c r="L482" s="12"/>
      <c r="M482" s="12"/>
      <c r="N482" s="12"/>
      <c r="O482" s="12"/>
      <c r="P482" s="12"/>
    </row>
    <row r="483">
      <c r="A483" s="12"/>
      <c r="D483" s="95"/>
      <c r="E483" s="14"/>
      <c r="F483" s="96"/>
      <c r="H483" s="12"/>
      <c r="I483" s="12"/>
      <c r="J483" s="12"/>
      <c r="K483" s="12"/>
      <c r="L483" s="12"/>
      <c r="M483" s="12"/>
      <c r="N483" s="12"/>
      <c r="O483" s="12"/>
      <c r="P483" s="12"/>
    </row>
    <row r="484">
      <c r="A484" s="12"/>
      <c r="D484" s="95"/>
      <c r="E484" s="14"/>
      <c r="F484" s="96"/>
      <c r="H484" s="12"/>
      <c r="I484" s="12"/>
      <c r="J484" s="12"/>
      <c r="K484" s="12"/>
      <c r="L484" s="12"/>
      <c r="M484" s="12"/>
      <c r="N484" s="12"/>
      <c r="O484" s="12"/>
      <c r="P484" s="12"/>
    </row>
    <row r="485">
      <c r="A485" s="12"/>
      <c r="D485" s="95"/>
      <c r="E485" s="14"/>
      <c r="F485" s="96"/>
      <c r="H485" s="12"/>
      <c r="I485" s="12"/>
      <c r="J485" s="12"/>
      <c r="K485" s="12"/>
      <c r="L485" s="12"/>
      <c r="M485" s="12"/>
      <c r="N485" s="12"/>
      <c r="O485" s="12"/>
      <c r="P485" s="12"/>
    </row>
    <row r="486">
      <c r="A486" s="12"/>
      <c r="D486" s="95"/>
      <c r="E486" s="14"/>
      <c r="F486" s="96"/>
      <c r="H486" s="12"/>
      <c r="I486" s="12"/>
      <c r="J486" s="12"/>
      <c r="K486" s="12"/>
      <c r="L486" s="12"/>
      <c r="M486" s="12"/>
      <c r="N486" s="12"/>
      <c r="O486" s="12"/>
      <c r="P486" s="12"/>
    </row>
    <row r="487">
      <c r="A487" s="12"/>
      <c r="D487" s="95"/>
      <c r="E487" s="14"/>
      <c r="F487" s="96"/>
      <c r="H487" s="12"/>
      <c r="I487" s="12"/>
      <c r="J487" s="12"/>
      <c r="K487" s="12"/>
      <c r="L487" s="12"/>
      <c r="M487" s="12"/>
      <c r="N487" s="12"/>
      <c r="O487" s="12"/>
      <c r="P487" s="12"/>
    </row>
    <row r="488">
      <c r="A488" s="12"/>
      <c r="D488" s="95"/>
      <c r="E488" s="14"/>
      <c r="F488" s="96"/>
      <c r="H488" s="12"/>
      <c r="I488" s="12"/>
      <c r="J488" s="12"/>
      <c r="K488" s="12"/>
      <c r="L488" s="12"/>
      <c r="M488" s="12"/>
      <c r="N488" s="12"/>
      <c r="O488" s="12"/>
      <c r="P488" s="12"/>
    </row>
    <row r="489">
      <c r="A489" s="12"/>
      <c r="D489" s="95"/>
      <c r="E489" s="14"/>
      <c r="F489" s="96"/>
      <c r="H489" s="12"/>
      <c r="I489" s="12"/>
      <c r="J489" s="12"/>
      <c r="K489" s="12"/>
      <c r="L489" s="12"/>
      <c r="M489" s="12"/>
      <c r="N489" s="12"/>
      <c r="O489" s="12"/>
      <c r="P489" s="12"/>
    </row>
    <row r="490">
      <c r="A490" s="12"/>
      <c r="D490" s="95"/>
      <c r="E490" s="14"/>
      <c r="F490" s="96"/>
      <c r="H490" s="12"/>
      <c r="I490" s="12"/>
      <c r="J490" s="12"/>
      <c r="K490" s="12"/>
      <c r="L490" s="12"/>
      <c r="M490" s="12"/>
      <c r="N490" s="12"/>
      <c r="O490" s="12"/>
      <c r="P490" s="12"/>
    </row>
    <row r="491">
      <c r="A491" s="12"/>
      <c r="D491" s="95"/>
      <c r="E491" s="14"/>
      <c r="F491" s="96"/>
      <c r="H491" s="12"/>
      <c r="I491" s="12"/>
      <c r="J491" s="12"/>
      <c r="K491" s="12"/>
      <c r="L491" s="12"/>
      <c r="M491" s="12"/>
      <c r="N491" s="12"/>
      <c r="O491" s="12"/>
      <c r="P491" s="12"/>
    </row>
    <row r="492">
      <c r="A492" s="12"/>
      <c r="D492" s="95"/>
      <c r="E492" s="14"/>
      <c r="F492" s="96"/>
      <c r="H492" s="12"/>
      <c r="I492" s="12"/>
      <c r="J492" s="12"/>
      <c r="K492" s="12"/>
      <c r="L492" s="12"/>
      <c r="M492" s="12"/>
      <c r="N492" s="12"/>
      <c r="O492" s="12"/>
      <c r="P492" s="12"/>
    </row>
    <row r="493">
      <c r="A493" s="12"/>
      <c r="D493" s="95"/>
      <c r="E493" s="14"/>
      <c r="F493" s="96"/>
      <c r="H493" s="12"/>
      <c r="I493" s="12"/>
      <c r="J493" s="12"/>
      <c r="K493" s="12"/>
      <c r="L493" s="12"/>
      <c r="M493" s="12"/>
      <c r="N493" s="12"/>
      <c r="O493" s="12"/>
      <c r="P493" s="12"/>
    </row>
    <row r="494">
      <c r="A494" s="12"/>
      <c r="D494" s="95"/>
      <c r="E494" s="14"/>
      <c r="F494" s="96"/>
      <c r="H494" s="12"/>
      <c r="I494" s="12"/>
      <c r="J494" s="12"/>
      <c r="K494" s="12"/>
      <c r="L494" s="12"/>
      <c r="M494" s="12"/>
      <c r="N494" s="12"/>
      <c r="O494" s="12"/>
      <c r="P494" s="12"/>
    </row>
    <row r="495">
      <c r="A495" s="12"/>
      <c r="D495" s="95"/>
      <c r="E495" s="14"/>
      <c r="F495" s="96"/>
      <c r="H495" s="12"/>
      <c r="I495" s="12"/>
      <c r="J495" s="12"/>
      <c r="K495" s="12"/>
      <c r="L495" s="12"/>
      <c r="M495" s="12"/>
      <c r="N495" s="12"/>
      <c r="O495" s="12"/>
      <c r="P495" s="12"/>
    </row>
    <row r="496">
      <c r="A496" s="12"/>
      <c r="D496" s="95"/>
      <c r="E496" s="14"/>
      <c r="F496" s="96"/>
      <c r="H496" s="12"/>
      <c r="I496" s="12"/>
      <c r="J496" s="12"/>
      <c r="K496" s="12"/>
      <c r="L496" s="12"/>
      <c r="M496" s="12"/>
      <c r="N496" s="12"/>
      <c r="O496" s="12"/>
      <c r="P496" s="12"/>
    </row>
    <row r="497">
      <c r="A497" s="12"/>
      <c r="D497" s="95"/>
      <c r="E497" s="14"/>
      <c r="F497" s="96"/>
      <c r="H497" s="12"/>
      <c r="I497" s="12"/>
      <c r="J497" s="12"/>
      <c r="K497" s="12"/>
      <c r="L497" s="12"/>
      <c r="M497" s="12"/>
      <c r="N497" s="12"/>
      <c r="O497" s="12"/>
      <c r="P497" s="12"/>
    </row>
    <row r="498">
      <c r="A498" s="12"/>
      <c r="D498" s="95"/>
      <c r="E498" s="14"/>
      <c r="F498" s="96"/>
      <c r="H498" s="12"/>
      <c r="I498" s="12"/>
      <c r="J498" s="12"/>
      <c r="K498" s="12"/>
      <c r="L498" s="12"/>
      <c r="M498" s="12"/>
      <c r="N498" s="12"/>
      <c r="O498" s="12"/>
      <c r="P498" s="12"/>
    </row>
    <row r="499">
      <c r="A499" s="12"/>
      <c r="D499" s="95"/>
      <c r="E499" s="14"/>
      <c r="F499" s="96"/>
      <c r="H499" s="12"/>
      <c r="I499" s="12"/>
      <c r="J499" s="12"/>
      <c r="K499" s="12"/>
      <c r="L499" s="12"/>
      <c r="M499" s="12"/>
      <c r="N499" s="12"/>
      <c r="O499" s="12"/>
      <c r="P499" s="12"/>
    </row>
    <row r="500">
      <c r="A500" s="12"/>
      <c r="D500" s="95"/>
      <c r="E500" s="14"/>
      <c r="F500" s="96"/>
      <c r="H500" s="12"/>
      <c r="I500" s="12"/>
      <c r="J500" s="12"/>
      <c r="K500" s="12"/>
      <c r="L500" s="12"/>
      <c r="M500" s="12"/>
      <c r="N500" s="12"/>
      <c r="O500" s="12"/>
      <c r="P500" s="12"/>
    </row>
    <row r="501">
      <c r="A501" s="12"/>
      <c r="D501" s="95"/>
      <c r="E501" s="14"/>
      <c r="F501" s="96"/>
      <c r="H501" s="12"/>
      <c r="I501" s="12"/>
      <c r="J501" s="12"/>
      <c r="K501" s="12"/>
      <c r="L501" s="12"/>
      <c r="M501" s="12"/>
      <c r="N501" s="12"/>
      <c r="O501" s="12"/>
      <c r="P501" s="12"/>
    </row>
    <row r="502">
      <c r="A502" s="12"/>
      <c r="D502" s="95"/>
      <c r="E502" s="14"/>
      <c r="F502" s="96"/>
      <c r="H502" s="12"/>
      <c r="I502" s="12"/>
      <c r="J502" s="12"/>
      <c r="K502" s="12"/>
      <c r="L502" s="12"/>
      <c r="M502" s="12"/>
      <c r="N502" s="12"/>
      <c r="O502" s="12"/>
      <c r="P502" s="12"/>
    </row>
    <row r="503">
      <c r="A503" s="12"/>
      <c r="D503" s="95"/>
      <c r="E503" s="14"/>
      <c r="F503" s="96"/>
      <c r="H503" s="12"/>
      <c r="I503" s="12"/>
      <c r="J503" s="12"/>
      <c r="K503" s="12"/>
      <c r="L503" s="12"/>
      <c r="M503" s="12"/>
      <c r="N503" s="12"/>
      <c r="O503" s="12"/>
      <c r="P503" s="12"/>
    </row>
    <row r="504">
      <c r="A504" s="12"/>
      <c r="D504" s="95"/>
      <c r="E504" s="14"/>
      <c r="F504" s="96"/>
      <c r="H504" s="12"/>
      <c r="I504" s="12"/>
      <c r="J504" s="12"/>
      <c r="K504" s="12"/>
      <c r="L504" s="12"/>
      <c r="M504" s="12"/>
      <c r="N504" s="12"/>
      <c r="O504" s="12"/>
      <c r="P504" s="12"/>
    </row>
    <row r="505">
      <c r="A505" s="12"/>
      <c r="D505" s="95"/>
      <c r="E505" s="14"/>
      <c r="F505" s="96"/>
      <c r="H505" s="12"/>
      <c r="I505" s="12"/>
      <c r="J505" s="12"/>
      <c r="K505" s="12"/>
      <c r="L505" s="12"/>
      <c r="M505" s="12"/>
      <c r="N505" s="12"/>
      <c r="O505" s="12"/>
      <c r="P505" s="12"/>
    </row>
    <row r="506">
      <c r="A506" s="12"/>
      <c r="D506" s="95"/>
      <c r="E506" s="14"/>
      <c r="F506" s="96"/>
      <c r="H506" s="12"/>
      <c r="I506" s="12"/>
      <c r="J506" s="12"/>
      <c r="K506" s="12"/>
      <c r="L506" s="12"/>
      <c r="M506" s="12"/>
      <c r="N506" s="12"/>
      <c r="O506" s="12"/>
      <c r="P506" s="12"/>
    </row>
    <row r="507">
      <c r="A507" s="12"/>
      <c r="D507" s="95"/>
      <c r="E507" s="14"/>
      <c r="F507" s="96"/>
      <c r="H507" s="12"/>
      <c r="I507" s="12"/>
      <c r="J507" s="12"/>
      <c r="K507" s="12"/>
      <c r="L507" s="12"/>
      <c r="M507" s="12"/>
      <c r="N507" s="12"/>
      <c r="O507" s="12"/>
      <c r="P507" s="12"/>
    </row>
    <row r="508">
      <c r="A508" s="12"/>
      <c r="D508" s="95"/>
      <c r="E508" s="14"/>
      <c r="F508" s="96"/>
      <c r="H508" s="12"/>
      <c r="I508" s="12"/>
      <c r="J508" s="12"/>
      <c r="K508" s="12"/>
      <c r="L508" s="12"/>
      <c r="M508" s="12"/>
      <c r="N508" s="12"/>
      <c r="O508" s="12"/>
      <c r="P508" s="12"/>
    </row>
    <row r="509">
      <c r="A509" s="12"/>
      <c r="D509" s="95"/>
      <c r="E509" s="14"/>
      <c r="F509" s="96"/>
      <c r="H509" s="12"/>
      <c r="I509" s="12"/>
      <c r="J509" s="12"/>
      <c r="K509" s="12"/>
      <c r="L509" s="12"/>
      <c r="M509" s="12"/>
      <c r="N509" s="12"/>
      <c r="O509" s="12"/>
      <c r="P509" s="12"/>
    </row>
    <row r="510">
      <c r="A510" s="12"/>
      <c r="D510" s="95"/>
      <c r="E510" s="14"/>
      <c r="F510" s="96"/>
      <c r="H510" s="12"/>
      <c r="I510" s="12"/>
      <c r="J510" s="12"/>
      <c r="K510" s="12"/>
      <c r="L510" s="12"/>
      <c r="M510" s="12"/>
      <c r="N510" s="12"/>
      <c r="O510" s="12"/>
      <c r="P510" s="12"/>
    </row>
    <row r="511">
      <c r="A511" s="12"/>
      <c r="D511" s="95"/>
      <c r="E511" s="14"/>
      <c r="F511" s="96"/>
      <c r="H511" s="12"/>
      <c r="I511" s="12"/>
      <c r="J511" s="12"/>
      <c r="K511" s="12"/>
      <c r="L511" s="12"/>
      <c r="M511" s="12"/>
      <c r="N511" s="12"/>
      <c r="O511" s="12"/>
      <c r="P511" s="12"/>
    </row>
    <row r="512">
      <c r="A512" s="12"/>
      <c r="D512" s="95"/>
      <c r="E512" s="14"/>
      <c r="F512" s="96"/>
      <c r="H512" s="12"/>
      <c r="I512" s="12"/>
      <c r="J512" s="12"/>
      <c r="K512" s="12"/>
      <c r="L512" s="12"/>
      <c r="M512" s="12"/>
      <c r="N512" s="12"/>
      <c r="O512" s="12"/>
      <c r="P512" s="12"/>
    </row>
    <row r="513">
      <c r="A513" s="12"/>
      <c r="D513" s="95"/>
      <c r="E513" s="14"/>
      <c r="F513" s="96"/>
      <c r="H513" s="12"/>
      <c r="I513" s="12"/>
      <c r="J513" s="12"/>
      <c r="K513" s="12"/>
      <c r="L513" s="12"/>
      <c r="M513" s="12"/>
      <c r="N513" s="12"/>
      <c r="O513" s="12"/>
      <c r="P513" s="12"/>
    </row>
    <row r="514">
      <c r="A514" s="12"/>
      <c r="D514" s="95"/>
      <c r="E514" s="14"/>
      <c r="F514" s="96"/>
      <c r="H514" s="12"/>
      <c r="I514" s="12"/>
      <c r="J514" s="12"/>
      <c r="K514" s="12"/>
      <c r="L514" s="12"/>
      <c r="M514" s="12"/>
      <c r="N514" s="12"/>
      <c r="O514" s="12"/>
      <c r="P514" s="12"/>
    </row>
    <row r="515">
      <c r="A515" s="12"/>
      <c r="D515" s="95"/>
      <c r="E515" s="14"/>
      <c r="F515" s="96"/>
      <c r="H515" s="12"/>
      <c r="I515" s="12"/>
      <c r="J515" s="12"/>
      <c r="K515" s="12"/>
      <c r="L515" s="12"/>
      <c r="M515" s="12"/>
      <c r="N515" s="12"/>
      <c r="O515" s="12"/>
      <c r="P515" s="12"/>
    </row>
    <row r="516">
      <c r="A516" s="12"/>
      <c r="D516" s="95"/>
      <c r="E516" s="14"/>
      <c r="F516" s="96"/>
      <c r="H516" s="12"/>
      <c r="I516" s="12"/>
      <c r="J516" s="12"/>
      <c r="K516" s="12"/>
      <c r="L516" s="12"/>
      <c r="M516" s="12"/>
      <c r="N516" s="12"/>
      <c r="O516" s="12"/>
      <c r="P516" s="12"/>
    </row>
    <row r="517">
      <c r="A517" s="12"/>
      <c r="D517" s="95"/>
      <c r="E517" s="14"/>
      <c r="F517" s="96"/>
      <c r="H517" s="12"/>
      <c r="I517" s="12"/>
      <c r="J517" s="12"/>
      <c r="K517" s="12"/>
      <c r="L517" s="12"/>
      <c r="M517" s="12"/>
      <c r="N517" s="12"/>
      <c r="O517" s="12"/>
      <c r="P517" s="12"/>
    </row>
    <row r="518">
      <c r="A518" s="12"/>
      <c r="D518" s="95"/>
      <c r="E518" s="14"/>
      <c r="F518" s="96"/>
      <c r="H518" s="12"/>
      <c r="I518" s="12"/>
      <c r="J518" s="12"/>
      <c r="K518" s="12"/>
      <c r="L518" s="12"/>
      <c r="M518" s="12"/>
      <c r="N518" s="12"/>
      <c r="O518" s="12"/>
      <c r="P518" s="12"/>
    </row>
    <row r="519">
      <c r="A519" s="12"/>
      <c r="D519" s="95"/>
      <c r="E519" s="14"/>
      <c r="F519" s="96"/>
      <c r="H519" s="12"/>
      <c r="I519" s="12"/>
      <c r="J519" s="12"/>
      <c r="K519" s="12"/>
      <c r="L519" s="12"/>
      <c r="M519" s="12"/>
      <c r="N519" s="12"/>
      <c r="O519" s="12"/>
      <c r="P519" s="12"/>
    </row>
    <row r="520">
      <c r="A520" s="12"/>
      <c r="D520" s="95"/>
      <c r="E520" s="14"/>
      <c r="F520" s="96"/>
      <c r="H520" s="12"/>
      <c r="I520" s="12"/>
      <c r="J520" s="12"/>
      <c r="K520" s="12"/>
      <c r="L520" s="12"/>
      <c r="M520" s="12"/>
      <c r="N520" s="12"/>
      <c r="O520" s="12"/>
      <c r="P520" s="12"/>
    </row>
    <row r="521">
      <c r="A521" s="12"/>
      <c r="D521" s="95"/>
      <c r="E521" s="14"/>
      <c r="F521" s="96"/>
      <c r="H521" s="12"/>
      <c r="I521" s="12"/>
      <c r="J521" s="12"/>
      <c r="K521" s="12"/>
      <c r="L521" s="12"/>
      <c r="M521" s="12"/>
      <c r="N521" s="12"/>
      <c r="O521" s="12"/>
      <c r="P521" s="12"/>
    </row>
    <row r="522">
      <c r="A522" s="12"/>
      <c r="D522" s="95"/>
      <c r="E522" s="14"/>
      <c r="F522" s="96"/>
      <c r="H522" s="12"/>
      <c r="I522" s="12"/>
      <c r="J522" s="12"/>
      <c r="K522" s="12"/>
      <c r="L522" s="12"/>
      <c r="M522" s="12"/>
      <c r="N522" s="12"/>
      <c r="O522" s="12"/>
      <c r="P522" s="12"/>
    </row>
    <row r="523">
      <c r="A523" s="12"/>
      <c r="D523" s="95"/>
      <c r="E523" s="14"/>
      <c r="F523" s="96"/>
      <c r="H523" s="12"/>
      <c r="I523" s="12"/>
      <c r="J523" s="12"/>
      <c r="K523" s="12"/>
      <c r="L523" s="12"/>
      <c r="M523" s="12"/>
      <c r="N523" s="12"/>
      <c r="O523" s="12"/>
      <c r="P523" s="12"/>
    </row>
    <row r="524">
      <c r="A524" s="12"/>
      <c r="D524" s="95"/>
      <c r="E524" s="14"/>
      <c r="F524" s="96"/>
      <c r="H524" s="12"/>
      <c r="I524" s="12"/>
      <c r="J524" s="12"/>
      <c r="K524" s="12"/>
      <c r="L524" s="12"/>
      <c r="M524" s="12"/>
      <c r="N524" s="12"/>
      <c r="O524" s="12"/>
      <c r="P524" s="12"/>
    </row>
    <row r="525">
      <c r="A525" s="12"/>
      <c r="D525" s="95"/>
      <c r="E525" s="14"/>
      <c r="F525" s="96"/>
      <c r="H525" s="12"/>
      <c r="I525" s="12"/>
      <c r="J525" s="12"/>
      <c r="K525" s="12"/>
      <c r="L525" s="12"/>
      <c r="M525" s="12"/>
      <c r="N525" s="12"/>
      <c r="O525" s="12"/>
      <c r="P525" s="12"/>
    </row>
    <row r="526">
      <c r="A526" s="12"/>
      <c r="D526" s="95"/>
      <c r="E526" s="14"/>
      <c r="F526" s="96"/>
      <c r="H526" s="12"/>
      <c r="I526" s="12"/>
      <c r="J526" s="12"/>
      <c r="K526" s="12"/>
      <c r="L526" s="12"/>
      <c r="M526" s="12"/>
      <c r="N526" s="12"/>
      <c r="O526" s="12"/>
      <c r="P526" s="12"/>
    </row>
    <row r="527">
      <c r="A527" s="12"/>
      <c r="D527" s="95"/>
      <c r="E527" s="14"/>
      <c r="F527" s="96"/>
      <c r="H527" s="12"/>
      <c r="I527" s="12"/>
      <c r="J527" s="12"/>
      <c r="K527" s="12"/>
      <c r="L527" s="12"/>
      <c r="M527" s="12"/>
      <c r="N527" s="12"/>
      <c r="O527" s="12"/>
      <c r="P527" s="12"/>
    </row>
    <row r="528">
      <c r="A528" s="12"/>
      <c r="D528" s="95"/>
      <c r="E528" s="14"/>
      <c r="F528" s="96"/>
      <c r="H528" s="12"/>
      <c r="I528" s="12"/>
      <c r="J528" s="12"/>
      <c r="K528" s="12"/>
      <c r="L528" s="12"/>
      <c r="M528" s="12"/>
      <c r="N528" s="12"/>
      <c r="O528" s="12"/>
      <c r="P528" s="12"/>
    </row>
    <row r="529">
      <c r="A529" s="12"/>
      <c r="D529" s="95"/>
      <c r="E529" s="14"/>
      <c r="F529" s="96"/>
      <c r="H529" s="12"/>
      <c r="I529" s="12"/>
      <c r="J529" s="12"/>
      <c r="K529" s="12"/>
      <c r="L529" s="12"/>
      <c r="M529" s="12"/>
      <c r="N529" s="12"/>
      <c r="O529" s="12"/>
      <c r="P529" s="12"/>
    </row>
    <row r="530">
      <c r="A530" s="12"/>
      <c r="D530" s="95"/>
      <c r="E530" s="14"/>
      <c r="F530" s="96"/>
      <c r="H530" s="12"/>
      <c r="I530" s="12"/>
      <c r="J530" s="12"/>
      <c r="K530" s="12"/>
      <c r="L530" s="12"/>
      <c r="M530" s="12"/>
      <c r="N530" s="12"/>
      <c r="O530" s="12"/>
      <c r="P530" s="12"/>
    </row>
    <row r="531">
      <c r="A531" s="12"/>
      <c r="D531" s="95"/>
      <c r="E531" s="14"/>
      <c r="F531" s="96"/>
      <c r="H531" s="12"/>
      <c r="I531" s="12"/>
      <c r="J531" s="12"/>
      <c r="K531" s="12"/>
      <c r="L531" s="12"/>
      <c r="M531" s="12"/>
      <c r="N531" s="12"/>
      <c r="O531" s="12"/>
      <c r="P531" s="12"/>
    </row>
    <row r="532">
      <c r="A532" s="12"/>
      <c r="D532" s="95"/>
      <c r="E532" s="14"/>
      <c r="F532" s="96"/>
      <c r="H532" s="12"/>
      <c r="I532" s="12"/>
      <c r="J532" s="12"/>
      <c r="K532" s="12"/>
      <c r="L532" s="12"/>
      <c r="M532" s="12"/>
      <c r="N532" s="12"/>
      <c r="O532" s="12"/>
      <c r="P532" s="12"/>
    </row>
    <row r="533">
      <c r="A533" s="12"/>
      <c r="D533" s="95"/>
      <c r="E533" s="14"/>
      <c r="F533" s="96"/>
      <c r="H533" s="12"/>
      <c r="I533" s="12"/>
      <c r="J533" s="12"/>
      <c r="K533" s="12"/>
      <c r="L533" s="12"/>
      <c r="M533" s="12"/>
      <c r="N533" s="12"/>
      <c r="O533" s="12"/>
      <c r="P533" s="12"/>
    </row>
    <row r="534">
      <c r="A534" s="12"/>
      <c r="D534" s="95"/>
      <c r="E534" s="14"/>
      <c r="F534" s="96"/>
      <c r="H534" s="12"/>
      <c r="I534" s="12"/>
      <c r="J534" s="12"/>
      <c r="K534" s="12"/>
      <c r="L534" s="12"/>
      <c r="M534" s="12"/>
      <c r="N534" s="12"/>
      <c r="O534" s="12"/>
      <c r="P534" s="12"/>
    </row>
    <row r="535">
      <c r="A535" s="12"/>
      <c r="D535" s="95"/>
      <c r="E535" s="14"/>
      <c r="F535" s="96"/>
      <c r="H535" s="12"/>
      <c r="I535" s="12"/>
      <c r="J535" s="12"/>
      <c r="K535" s="12"/>
      <c r="L535" s="12"/>
      <c r="M535" s="12"/>
      <c r="N535" s="12"/>
      <c r="O535" s="12"/>
      <c r="P535" s="12"/>
    </row>
    <row r="536">
      <c r="A536" s="12"/>
      <c r="D536" s="95"/>
      <c r="E536" s="14"/>
      <c r="F536" s="96"/>
      <c r="H536" s="12"/>
      <c r="I536" s="12"/>
      <c r="J536" s="12"/>
      <c r="K536" s="12"/>
      <c r="L536" s="12"/>
      <c r="M536" s="12"/>
      <c r="N536" s="12"/>
      <c r="O536" s="12"/>
      <c r="P536" s="12"/>
    </row>
    <row r="537">
      <c r="A537" s="12"/>
      <c r="D537" s="95"/>
      <c r="E537" s="14"/>
      <c r="F537" s="96"/>
      <c r="H537" s="12"/>
      <c r="I537" s="12"/>
      <c r="J537" s="12"/>
      <c r="K537" s="12"/>
      <c r="L537" s="12"/>
      <c r="M537" s="12"/>
      <c r="N537" s="12"/>
      <c r="O537" s="12"/>
      <c r="P537" s="12"/>
    </row>
    <row r="538">
      <c r="A538" s="12"/>
      <c r="D538" s="95"/>
      <c r="E538" s="14"/>
      <c r="F538" s="96"/>
      <c r="H538" s="12"/>
      <c r="I538" s="12"/>
      <c r="J538" s="12"/>
      <c r="K538" s="12"/>
      <c r="L538" s="12"/>
      <c r="M538" s="12"/>
      <c r="N538" s="12"/>
      <c r="O538" s="12"/>
      <c r="P538" s="12"/>
    </row>
    <row r="539">
      <c r="A539" s="12"/>
      <c r="D539" s="95"/>
      <c r="E539" s="14"/>
      <c r="F539" s="96"/>
      <c r="H539" s="12"/>
      <c r="I539" s="12"/>
      <c r="J539" s="12"/>
      <c r="K539" s="12"/>
      <c r="L539" s="12"/>
      <c r="M539" s="12"/>
      <c r="N539" s="12"/>
      <c r="O539" s="12"/>
      <c r="P539" s="12"/>
    </row>
    <row r="540">
      <c r="A540" s="12"/>
      <c r="D540" s="95"/>
      <c r="E540" s="14"/>
      <c r="F540" s="96"/>
      <c r="H540" s="12"/>
      <c r="I540" s="12"/>
      <c r="J540" s="12"/>
      <c r="K540" s="12"/>
      <c r="L540" s="12"/>
      <c r="M540" s="12"/>
      <c r="N540" s="12"/>
      <c r="O540" s="12"/>
      <c r="P540" s="12"/>
    </row>
    <row r="541">
      <c r="A541" s="12"/>
      <c r="D541" s="95"/>
      <c r="E541" s="14"/>
      <c r="F541" s="96"/>
      <c r="H541" s="12"/>
      <c r="I541" s="12"/>
      <c r="J541" s="12"/>
      <c r="K541" s="12"/>
      <c r="L541" s="12"/>
      <c r="M541" s="12"/>
      <c r="N541" s="12"/>
      <c r="O541" s="12"/>
      <c r="P541" s="12"/>
    </row>
    <row r="542">
      <c r="A542" s="12"/>
      <c r="D542" s="95"/>
      <c r="E542" s="14"/>
      <c r="F542" s="96"/>
      <c r="H542" s="12"/>
      <c r="I542" s="12"/>
      <c r="J542" s="12"/>
      <c r="K542" s="12"/>
      <c r="L542" s="12"/>
      <c r="M542" s="12"/>
      <c r="N542" s="12"/>
      <c r="O542" s="12"/>
      <c r="P542" s="12"/>
    </row>
    <row r="543">
      <c r="A543" s="12"/>
      <c r="D543" s="95"/>
      <c r="E543" s="14"/>
      <c r="F543" s="96"/>
      <c r="H543" s="12"/>
      <c r="I543" s="12"/>
      <c r="J543" s="12"/>
      <c r="K543" s="12"/>
      <c r="L543" s="12"/>
      <c r="M543" s="12"/>
      <c r="N543" s="12"/>
      <c r="O543" s="12"/>
      <c r="P543" s="12"/>
    </row>
    <row r="544">
      <c r="A544" s="12"/>
      <c r="D544" s="95"/>
      <c r="E544" s="14"/>
      <c r="F544" s="96"/>
      <c r="H544" s="12"/>
      <c r="I544" s="12"/>
      <c r="J544" s="12"/>
      <c r="K544" s="12"/>
      <c r="L544" s="12"/>
      <c r="M544" s="12"/>
      <c r="N544" s="12"/>
      <c r="O544" s="12"/>
      <c r="P544" s="12"/>
    </row>
    <row r="545">
      <c r="A545" s="12"/>
      <c r="D545" s="95"/>
      <c r="E545" s="14"/>
      <c r="F545" s="96"/>
      <c r="H545" s="12"/>
      <c r="I545" s="12"/>
      <c r="J545" s="12"/>
      <c r="K545" s="12"/>
      <c r="L545" s="12"/>
      <c r="M545" s="12"/>
      <c r="N545" s="12"/>
      <c r="O545" s="12"/>
      <c r="P545" s="12"/>
    </row>
    <row r="546">
      <c r="A546" s="12"/>
      <c r="D546" s="95"/>
      <c r="E546" s="14"/>
      <c r="F546" s="96"/>
      <c r="H546" s="12"/>
      <c r="I546" s="12"/>
      <c r="J546" s="12"/>
      <c r="K546" s="12"/>
      <c r="L546" s="12"/>
      <c r="M546" s="12"/>
      <c r="N546" s="12"/>
      <c r="O546" s="12"/>
      <c r="P546" s="12"/>
    </row>
    <row r="547">
      <c r="A547" s="12"/>
      <c r="D547" s="95"/>
      <c r="E547" s="14"/>
      <c r="F547" s="96"/>
      <c r="H547" s="12"/>
      <c r="I547" s="12"/>
      <c r="J547" s="12"/>
      <c r="K547" s="12"/>
      <c r="L547" s="12"/>
      <c r="M547" s="12"/>
      <c r="N547" s="12"/>
      <c r="O547" s="12"/>
      <c r="P547" s="12"/>
    </row>
    <row r="548">
      <c r="A548" s="12"/>
      <c r="D548" s="95"/>
      <c r="E548" s="14"/>
      <c r="F548" s="96"/>
      <c r="H548" s="12"/>
      <c r="I548" s="12"/>
      <c r="J548" s="12"/>
      <c r="K548" s="12"/>
      <c r="L548" s="12"/>
      <c r="M548" s="12"/>
      <c r="N548" s="12"/>
      <c r="O548" s="12"/>
      <c r="P548" s="12"/>
    </row>
    <row r="549">
      <c r="A549" s="12"/>
      <c r="D549" s="95"/>
      <c r="E549" s="14"/>
      <c r="F549" s="96"/>
      <c r="H549" s="12"/>
      <c r="I549" s="12"/>
      <c r="J549" s="12"/>
      <c r="K549" s="12"/>
      <c r="L549" s="12"/>
      <c r="M549" s="12"/>
      <c r="N549" s="12"/>
      <c r="O549" s="12"/>
      <c r="P549" s="12"/>
    </row>
    <row r="550">
      <c r="A550" s="12"/>
      <c r="D550" s="95"/>
      <c r="E550" s="14"/>
      <c r="F550" s="96"/>
      <c r="H550" s="12"/>
      <c r="I550" s="12"/>
      <c r="J550" s="12"/>
      <c r="K550" s="12"/>
      <c r="L550" s="12"/>
      <c r="M550" s="12"/>
      <c r="N550" s="12"/>
      <c r="O550" s="12"/>
      <c r="P550" s="12"/>
    </row>
    <row r="551">
      <c r="A551" s="12"/>
      <c r="D551" s="95"/>
      <c r="E551" s="14"/>
      <c r="F551" s="96"/>
      <c r="H551" s="12"/>
      <c r="I551" s="12"/>
      <c r="J551" s="12"/>
      <c r="K551" s="12"/>
      <c r="L551" s="12"/>
      <c r="M551" s="12"/>
      <c r="N551" s="12"/>
      <c r="O551" s="12"/>
      <c r="P551" s="12"/>
    </row>
    <row r="552">
      <c r="A552" s="12"/>
      <c r="D552" s="95"/>
      <c r="E552" s="14"/>
      <c r="F552" s="96"/>
      <c r="H552" s="12"/>
      <c r="I552" s="12"/>
      <c r="J552" s="12"/>
      <c r="K552" s="12"/>
      <c r="L552" s="12"/>
      <c r="M552" s="12"/>
      <c r="N552" s="12"/>
      <c r="O552" s="12"/>
      <c r="P552" s="12"/>
    </row>
    <row r="553">
      <c r="A553" s="12"/>
      <c r="D553" s="95"/>
      <c r="E553" s="14"/>
      <c r="F553" s="96"/>
      <c r="H553" s="12"/>
      <c r="I553" s="12"/>
      <c r="J553" s="12"/>
      <c r="K553" s="12"/>
      <c r="L553" s="12"/>
      <c r="M553" s="12"/>
      <c r="N553" s="12"/>
      <c r="O553" s="12"/>
      <c r="P553" s="12"/>
    </row>
    <row r="554">
      <c r="A554" s="12"/>
      <c r="D554" s="95"/>
      <c r="E554" s="14"/>
      <c r="F554" s="96"/>
      <c r="H554" s="12"/>
      <c r="I554" s="12"/>
      <c r="J554" s="12"/>
      <c r="K554" s="12"/>
      <c r="L554" s="12"/>
      <c r="M554" s="12"/>
      <c r="N554" s="12"/>
      <c r="O554" s="12"/>
      <c r="P554" s="12"/>
    </row>
    <row r="555">
      <c r="A555" s="12"/>
      <c r="D555" s="95"/>
      <c r="E555" s="14"/>
      <c r="F555" s="96"/>
      <c r="H555" s="12"/>
      <c r="I555" s="12"/>
      <c r="J555" s="12"/>
      <c r="K555" s="12"/>
      <c r="L555" s="12"/>
      <c r="M555" s="12"/>
      <c r="N555" s="12"/>
      <c r="O555" s="12"/>
      <c r="P555" s="12"/>
    </row>
    <row r="556">
      <c r="A556" s="12"/>
      <c r="D556" s="95"/>
      <c r="E556" s="14"/>
      <c r="F556" s="96"/>
      <c r="H556" s="12"/>
      <c r="I556" s="12"/>
      <c r="J556" s="12"/>
      <c r="K556" s="12"/>
      <c r="L556" s="12"/>
      <c r="M556" s="12"/>
      <c r="N556" s="12"/>
      <c r="O556" s="12"/>
      <c r="P556" s="12"/>
    </row>
    <row r="557">
      <c r="A557" s="12"/>
      <c r="D557" s="95"/>
      <c r="E557" s="14"/>
      <c r="F557" s="96"/>
      <c r="H557" s="12"/>
      <c r="I557" s="12"/>
      <c r="J557" s="12"/>
      <c r="K557" s="12"/>
      <c r="L557" s="12"/>
      <c r="M557" s="12"/>
      <c r="N557" s="12"/>
      <c r="O557" s="12"/>
      <c r="P557" s="12"/>
    </row>
    <row r="558">
      <c r="A558" s="12"/>
      <c r="D558" s="95"/>
      <c r="E558" s="14"/>
      <c r="F558" s="96"/>
      <c r="H558" s="12"/>
      <c r="I558" s="12"/>
      <c r="J558" s="12"/>
      <c r="K558" s="12"/>
      <c r="L558" s="12"/>
      <c r="M558" s="12"/>
      <c r="N558" s="12"/>
      <c r="O558" s="12"/>
      <c r="P558" s="12"/>
    </row>
    <row r="559">
      <c r="A559" s="12"/>
      <c r="D559" s="95"/>
      <c r="E559" s="14"/>
      <c r="F559" s="96"/>
      <c r="H559" s="12"/>
      <c r="I559" s="12"/>
      <c r="J559" s="12"/>
      <c r="K559" s="12"/>
      <c r="L559" s="12"/>
      <c r="M559" s="12"/>
      <c r="N559" s="12"/>
      <c r="O559" s="12"/>
      <c r="P559" s="12"/>
    </row>
    <row r="560">
      <c r="A560" s="12"/>
      <c r="D560" s="95"/>
      <c r="E560" s="14"/>
      <c r="F560" s="96"/>
      <c r="H560" s="12"/>
      <c r="I560" s="12"/>
      <c r="J560" s="12"/>
      <c r="K560" s="12"/>
      <c r="L560" s="12"/>
      <c r="M560" s="12"/>
      <c r="N560" s="12"/>
      <c r="O560" s="12"/>
      <c r="P560" s="12"/>
    </row>
    <row r="561">
      <c r="A561" s="12"/>
      <c r="D561" s="95"/>
      <c r="E561" s="14"/>
      <c r="F561" s="96"/>
      <c r="H561" s="12"/>
      <c r="I561" s="12"/>
      <c r="J561" s="12"/>
      <c r="K561" s="12"/>
      <c r="L561" s="12"/>
      <c r="M561" s="12"/>
      <c r="N561" s="12"/>
      <c r="O561" s="12"/>
      <c r="P561" s="12"/>
    </row>
    <row r="562">
      <c r="A562" s="12"/>
      <c r="D562" s="95"/>
      <c r="E562" s="14"/>
      <c r="F562" s="96"/>
      <c r="H562" s="12"/>
      <c r="I562" s="12"/>
      <c r="J562" s="12"/>
      <c r="K562" s="12"/>
      <c r="L562" s="12"/>
      <c r="M562" s="12"/>
      <c r="N562" s="12"/>
      <c r="O562" s="12"/>
      <c r="P562" s="12"/>
    </row>
    <row r="563">
      <c r="A563" s="12"/>
      <c r="D563" s="95"/>
      <c r="E563" s="14"/>
      <c r="F563" s="96"/>
      <c r="H563" s="12"/>
      <c r="I563" s="12"/>
      <c r="J563" s="12"/>
      <c r="K563" s="12"/>
      <c r="L563" s="12"/>
      <c r="M563" s="12"/>
      <c r="N563" s="12"/>
      <c r="O563" s="12"/>
      <c r="P563" s="12"/>
    </row>
    <row r="564">
      <c r="A564" s="12"/>
      <c r="D564" s="95"/>
      <c r="E564" s="14"/>
      <c r="F564" s="96"/>
      <c r="H564" s="12"/>
      <c r="I564" s="12"/>
      <c r="J564" s="12"/>
      <c r="K564" s="12"/>
      <c r="L564" s="12"/>
      <c r="M564" s="12"/>
      <c r="N564" s="12"/>
      <c r="O564" s="12"/>
      <c r="P564" s="12"/>
    </row>
    <row r="565">
      <c r="A565" s="12"/>
      <c r="D565" s="95"/>
      <c r="E565" s="14"/>
      <c r="F565" s="96"/>
      <c r="H565" s="12"/>
      <c r="I565" s="12"/>
      <c r="J565" s="12"/>
      <c r="K565" s="12"/>
      <c r="L565" s="12"/>
      <c r="M565" s="12"/>
      <c r="N565" s="12"/>
      <c r="O565" s="12"/>
      <c r="P565" s="12"/>
    </row>
    <row r="566">
      <c r="A566" s="12"/>
      <c r="D566" s="95"/>
      <c r="E566" s="14"/>
      <c r="F566" s="96"/>
      <c r="H566" s="12"/>
      <c r="I566" s="12"/>
      <c r="J566" s="12"/>
      <c r="K566" s="12"/>
      <c r="L566" s="12"/>
      <c r="M566" s="12"/>
      <c r="N566" s="12"/>
      <c r="O566" s="12"/>
      <c r="P566" s="12"/>
    </row>
    <row r="567">
      <c r="A567" s="12"/>
      <c r="D567" s="95"/>
      <c r="E567" s="14"/>
      <c r="F567" s="96"/>
      <c r="H567" s="12"/>
      <c r="I567" s="12"/>
      <c r="J567" s="12"/>
      <c r="K567" s="12"/>
      <c r="L567" s="12"/>
      <c r="M567" s="12"/>
      <c r="N567" s="12"/>
      <c r="O567" s="12"/>
      <c r="P567" s="12"/>
    </row>
    <row r="568">
      <c r="A568" s="12"/>
      <c r="D568" s="95"/>
      <c r="E568" s="14"/>
      <c r="F568" s="96"/>
      <c r="H568" s="12"/>
      <c r="I568" s="12"/>
      <c r="J568" s="12"/>
      <c r="K568" s="12"/>
      <c r="L568" s="12"/>
      <c r="M568" s="12"/>
      <c r="N568" s="12"/>
      <c r="O568" s="12"/>
      <c r="P568" s="12"/>
    </row>
    <row r="569">
      <c r="A569" s="12"/>
      <c r="D569" s="95"/>
      <c r="E569" s="14"/>
      <c r="F569" s="96"/>
      <c r="H569" s="12"/>
      <c r="I569" s="12"/>
      <c r="J569" s="12"/>
      <c r="K569" s="12"/>
      <c r="L569" s="12"/>
      <c r="M569" s="12"/>
      <c r="N569" s="12"/>
      <c r="O569" s="12"/>
      <c r="P569" s="12"/>
    </row>
    <row r="570">
      <c r="A570" s="12"/>
      <c r="D570" s="95"/>
      <c r="E570" s="14"/>
      <c r="F570" s="96"/>
      <c r="H570" s="12"/>
      <c r="I570" s="12"/>
      <c r="J570" s="12"/>
      <c r="K570" s="12"/>
      <c r="L570" s="12"/>
      <c r="M570" s="12"/>
      <c r="N570" s="12"/>
      <c r="O570" s="12"/>
      <c r="P570" s="12"/>
    </row>
    <row r="571">
      <c r="A571" s="12"/>
      <c r="D571" s="95"/>
      <c r="E571" s="14"/>
      <c r="F571" s="96"/>
      <c r="H571" s="12"/>
      <c r="I571" s="12"/>
      <c r="J571" s="12"/>
      <c r="K571" s="12"/>
      <c r="L571" s="12"/>
      <c r="M571" s="12"/>
      <c r="N571" s="12"/>
      <c r="O571" s="12"/>
      <c r="P571" s="12"/>
    </row>
    <row r="572">
      <c r="A572" s="12"/>
      <c r="D572" s="95"/>
      <c r="E572" s="14"/>
      <c r="F572" s="96"/>
      <c r="H572" s="12"/>
      <c r="I572" s="12"/>
      <c r="J572" s="12"/>
      <c r="K572" s="12"/>
      <c r="L572" s="12"/>
      <c r="M572" s="12"/>
      <c r="N572" s="12"/>
      <c r="O572" s="12"/>
      <c r="P572" s="12"/>
    </row>
    <row r="573">
      <c r="A573" s="12"/>
      <c r="D573" s="95"/>
      <c r="E573" s="14"/>
      <c r="F573" s="96"/>
      <c r="H573" s="12"/>
      <c r="I573" s="12"/>
      <c r="J573" s="12"/>
      <c r="K573" s="12"/>
      <c r="L573" s="12"/>
      <c r="M573" s="12"/>
      <c r="N573" s="12"/>
      <c r="O573" s="12"/>
      <c r="P573" s="12"/>
    </row>
    <row r="574">
      <c r="A574" s="12"/>
      <c r="D574" s="95"/>
      <c r="E574" s="14"/>
      <c r="F574" s="96"/>
      <c r="H574" s="12"/>
      <c r="I574" s="12"/>
      <c r="J574" s="12"/>
      <c r="K574" s="12"/>
      <c r="L574" s="12"/>
      <c r="M574" s="12"/>
      <c r="N574" s="12"/>
      <c r="O574" s="12"/>
      <c r="P574" s="12"/>
    </row>
    <row r="575">
      <c r="A575" s="12"/>
      <c r="D575" s="95"/>
      <c r="E575" s="14"/>
      <c r="F575" s="96"/>
      <c r="H575" s="12"/>
      <c r="I575" s="12"/>
      <c r="J575" s="12"/>
      <c r="K575" s="12"/>
      <c r="L575" s="12"/>
      <c r="M575" s="12"/>
      <c r="N575" s="12"/>
      <c r="O575" s="12"/>
      <c r="P575" s="12"/>
    </row>
    <row r="576">
      <c r="A576" s="12"/>
      <c r="D576" s="95"/>
      <c r="E576" s="14"/>
      <c r="F576" s="96"/>
      <c r="H576" s="12"/>
      <c r="I576" s="12"/>
      <c r="J576" s="12"/>
      <c r="K576" s="12"/>
      <c r="L576" s="12"/>
      <c r="M576" s="12"/>
      <c r="N576" s="12"/>
      <c r="O576" s="12"/>
      <c r="P576" s="12"/>
    </row>
    <row r="577">
      <c r="A577" s="12"/>
      <c r="D577" s="95"/>
      <c r="E577" s="14"/>
      <c r="F577" s="96"/>
      <c r="H577" s="12"/>
      <c r="I577" s="12"/>
      <c r="J577" s="12"/>
      <c r="K577" s="12"/>
      <c r="L577" s="12"/>
      <c r="M577" s="12"/>
      <c r="N577" s="12"/>
      <c r="O577" s="12"/>
      <c r="P577" s="12"/>
    </row>
    <row r="578">
      <c r="A578" s="12"/>
      <c r="D578" s="95"/>
      <c r="E578" s="14"/>
      <c r="F578" s="96"/>
      <c r="H578" s="12"/>
      <c r="I578" s="12"/>
      <c r="J578" s="12"/>
      <c r="K578" s="12"/>
      <c r="L578" s="12"/>
      <c r="M578" s="12"/>
      <c r="N578" s="12"/>
      <c r="O578" s="12"/>
      <c r="P578" s="12"/>
    </row>
    <row r="579">
      <c r="A579" s="12"/>
      <c r="D579" s="95"/>
      <c r="E579" s="14"/>
      <c r="F579" s="96"/>
      <c r="H579" s="12"/>
      <c r="I579" s="12"/>
      <c r="J579" s="12"/>
      <c r="K579" s="12"/>
      <c r="L579" s="12"/>
      <c r="M579" s="12"/>
      <c r="N579" s="12"/>
      <c r="O579" s="12"/>
      <c r="P579" s="12"/>
    </row>
    <row r="580">
      <c r="A580" s="12"/>
      <c r="D580" s="95"/>
      <c r="E580" s="14"/>
      <c r="F580" s="96"/>
      <c r="H580" s="12"/>
      <c r="I580" s="12"/>
      <c r="J580" s="12"/>
      <c r="K580" s="12"/>
      <c r="L580" s="12"/>
      <c r="M580" s="12"/>
      <c r="N580" s="12"/>
      <c r="O580" s="12"/>
      <c r="P580" s="12"/>
    </row>
    <row r="581">
      <c r="A581" s="12"/>
      <c r="D581" s="95"/>
      <c r="E581" s="14"/>
      <c r="F581" s="96"/>
      <c r="H581" s="12"/>
      <c r="I581" s="12"/>
      <c r="J581" s="12"/>
      <c r="K581" s="12"/>
      <c r="L581" s="12"/>
      <c r="M581" s="12"/>
      <c r="N581" s="12"/>
      <c r="O581" s="12"/>
      <c r="P581" s="12"/>
    </row>
    <row r="582">
      <c r="A582" s="12"/>
      <c r="D582" s="95"/>
      <c r="E582" s="14"/>
      <c r="F582" s="96"/>
      <c r="H582" s="12"/>
      <c r="I582" s="12"/>
      <c r="J582" s="12"/>
      <c r="K582" s="12"/>
      <c r="L582" s="12"/>
      <c r="M582" s="12"/>
      <c r="N582" s="12"/>
      <c r="O582" s="12"/>
      <c r="P582" s="12"/>
    </row>
    <row r="583">
      <c r="A583" s="12"/>
      <c r="D583" s="95"/>
      <c r="E583" s="14"/>
      <c r="F583" s="96"/>
      <c r="H583" s="12"/>
      <c r="I583" s="12"/>
      <c r="J583" s="12"/>
      <c r="K583" s="12"/>
      <c r="L583" s="12"/>
      <c r="M583" s="12"/>
      <c r="N583" s="12"/>
      <c r="O583" s="12"/>
      <c r="P583" s="12"/>
    </row>
    <row r="584">
      <c r="A584" s="12"/>
      <c r="D584" s="95"/>
      <c r="E584" s="14"/>
      <c r="F584" s="96"/>
      <c r="H584" s="12"/>
      <c r="I584" s="12"/>
      <c r="J584" s="12"/>
      <c r="K584" s="12"/>
      <c r="L584" s="12"/>
      <c r="M584" s="12"/>
      <c r="N584" s="12"/>
      <c r="O584" s="12"/>
      <c r="P584" s="12"/>
    </row>
    <row r="585">
      <c r="A585" s="12"/>
      <c r="D585" s="95"/>
      <c r="E585" s="14"/>
      <c r="F585" s="96"/>
      <c r="H585" s="12"/>
      <c r="I585" s="12"/>
      <c r="J585" s="12"/>
      <c r="K585" s="12"/>
      <c r="L585" s="12"/>
      <c r="M585" s="12"/>
      <c r="N585" s="12"/>
      <c r="O585" s="12"/>
      <c r="P585" s="12"/>
    </row>
    <row r="586">
      <c r="A586" s="12"/>
      <c r="D586" s="95"/>
      <c r="E586" s="14"/>
      <c r="F586" s="96"/>
      <c r="H586" s="12"/>
      <c r="I586" s="12"/>
      <c r="J586" s="12"/>
      <c r="K586" s="12"/>
      <c r="L586" s="12"/>
      <c r="M586" s="12"/>
      <c r="N586" s="12"/>
      <c r="O586" s="12"/>
      <c r="P586" s="12"/>
    </row>
    <row r="587">
      <c r="A587" s="12"/>
      <c r="D587" s="95"/>
      <c r="E587" s="14"/>
      <c r="F587" s="96"/>
      <c r="H587" s="12"/>
      <c r="I587" s="12"/>
      <c r="J587" s="12"/>
      <c r="K587" s="12"/>
      <c r="L587" s="12"/>
      <c r="M587" s="12"/>
      <c r="N587" s="12"/>
      <c r="O587" s="12"/>
      <c r="P587" s="12"/>
    </row>
    <row r="588">
      <c r="A588" s="12"/>
      <c r="D588" s="95"/>
      <c r="E588" s="14"/>
      <c r="F588" s="96"/>
      <c r="H588" s="12"/>
      <c r="I588" s="12"/>
      <c r="J588" s="12"/>
      <c r="K588" s="12"/>
      <c r="L588" s="12"/>
      <c r="M588" s="12"/>
      <c r="N588" s="12"/>
      <c r="O588" s="12"/>
      <c r="P588" s="12"/>
    </row>
    <row r="589">
      <c r="A589" s="12"/>
      <c r="D589" s="95"/>
      <c r="E589" s="14"/>
      <c r="F589" s="96"/>
      <c r="H589" s="12"/>
      <c r="I589" s="12"/>
      <c r="J589" s="12"/>
      <c r="K589" s="12"/>
      <c r="L589" s="12"/>
      <c r="M589" s="12"/>
      <c r="N589" s="12"/>
      <c r="O589" s="12"/>
      <c r="P589" s="12"/>
    </row>
    <row r="590">
      <c r="A590" s="12"/>
      <c r="D590" s="95"/>
      <c r="E590" s="14"/>
      <c r="F590" s="96"/>
      <c r="H590" s="12"/>
      <c r="I590" s="12"/>
      <c r="J590" s="12"/>
      <c r="K590" s="12"/>
      <c r="L590" s="12"/>
      <c r="M590" s="12"/>
      <c r="N590" s="12"/>
      <c r="O590" s="12"/>
      <c r="P590" s="12"/>
    </row>
    <row r="591">
      <c r="A591" s="12"/>
      <c r="D591" s="95"/>
      <c r="E591" s="14"/>
      <c r="F591" s="96"/>
      <c r="H591" s="12"/>
      <c r="I591" s="12"/>
      <c r="J591" s="12"/>
      <c r="K591" s="12"/>
      <c r="L591" s="12"/>
      <c r="M591" s="12"/>
      <c r="N591" s="12"/>
      <c r="O591" s="12"/>
      <c r="P591" s="12"/>
    </row>
    <row r="592">
      <c r="A592" s="12"/>
      <c r="D592" s="95"/>
      <c r="E592" s="14"/>
      <c r="F592" s="96"/>
      <c r="H592" s="12"/>
      <c r="I592" s="12"/>
      <c r="J592" s="12"/>
      <c r="K592" s="12"/>
      <c r="L592" s="12"/>
      <c r="M592" s="12"/>
      <c r="N592" s="12"/>
      <c r="O592" s="12"/>
      <c r="P592" s="12"/>
    </row>
    <row r="593">
      <c r="A593" s="12"/>
      <c r="D593" s="95"/>
      <c r="E593" s="14"/>
      <c r="F593" s="96"/>
      <c r="H593" s="12"/>
      <c r="I593" s="12"/>
      <c r="J593" s="12"/>
      <c r="K593" s="12"/>
      <c r="L593" s="12"/>
      <c r="M593" s="12"/>
      <c r="N593" s="12"/>
      <c r="O593" s="12"/>
      <c r="P593" s="12"/>
    </row>
    <row r="594">
      <c r="A594" s="12"/>
      <c r="D594" s="95"/>
      <c r="E594" s="14"/>
      <c r="F594" s="96"/>
      <c r="H594" s="12"/>
      <c r="I594" s="12"/>
      <c r="J594" s="12"/>
      <c r="K594" s="12"/>
      <c r="L594" s="12"/>
      <c r="M594" s="12"/>
      <c r="N594" s="12"/>
      <c r="O594" s="12"/>
      <c r="P594" s="12"/>
    </row>
    <row r="595">
      <c r="A595" s="12"/>
      <c r="D595" s="95"/>
      <c r="E595" s="14"/>
      <c r="F595" s="96"/>
      <c r="H595" s="12"/>
      <c r="I595" s="12"/>
      <c r="J595" s="12"/>
      <c r="K595" s="12"/>
      <c r="L595" s="12"/>
      <c r="M595" s="12"/>
      <c r="N595" s="12"/>
      <c r="O595" s="12"/>
      <c r="P595" s="12"/>
    </row>
    <row r="596">
      <c r="A596" s="12"/>
      <c r="D596" s="95"/>
      <c r="E596" s="14"/>
      <c r="F596" s="96"/>
      <c r="H596" s="12"/>
      <c r="I596" s="12"/>
      <c r="J596" s="12"/>
      <c r="K596" s="12"/>
      <c r="L596" s="12"/>
      <c r="M596" s="12"/>
      <c r="N596" s="12"/>
      <c r="O596" s="12"/>
      <c r="P596" s="12"/>
    </row>
    <row r="597">
      <c r="A597" s="12"/>
      <c r="D597" s="95"/>
      <c r="E597" s="14"/>
      <c r="F597" s="96"/>
      <c r="H597" s="12"/>
      <c r="I597" s="12"/>
      <c r="J597" s="12"/>
      <c r="K597" s="12"/>
      <c r="L597" s="12"/>
      <c r="M597" s="12"/>
      <c r="N597" s="12"/>
      <c r="O597" s="12"/>
      <c r="P597" s="12"/>
    </row>
    <row r="598">
      <c r="A598" s="12"/>
      <c r="D598" s="95"/>
      <c r="E598" s="14"/>
      <c r="F598" s="96"/>
      <c r="H598" s="12"/>
      <c r="I598" s="12"/>
      <c r="J598" s="12"/>
      <c r="K598" s="12"/>
      <c r="L598" s="12"/>
      <c r="M598" s="12"/>
      <c r="N598" s="12"/>
      <c r="O598" s="12"/>
      <c r="P598" s="12"/>
    </row>
    <row r="599">
      <c r="A599" s="12"/>
      <c r="D599" s="95"/>
      <c r="E599" s="14"/>
      <c r="F599" s="96"/>
      <c r="H599" s="12"/>
      <c r="I599" s="12"/>
      <c r="J599" s="12"/>
      <c r="K599" s="12"/>
      <c r="L599" s="12"/>
      <c r="M599" s="12"/>
      <c r="N599" s="12"/>
      <c r="O599" s="12"/>
      <c r="P599" s="12"/>
    </row>
    <row r="600">
      <c r="A600" s="12"/>
      <c r="D600" s="95"/>
      <c r="E600" s="14"/>
      <c r="F600" s="96"/>
      <c r="H600" s="12"/>
      <c r="I600" s="12"/>
      <c r="J600" s="12"/>
      <c r="K600" s="12"/>
      <c r="L600" s="12"/>
      <c r="M600" s="12"/>
      <c r="N600" s="12"/>
      <c r="O600" s="12"/>
      <c r="P600" s="12"/>
    </row>
    <row r="601">
      <c r="A601" s="12"/>
      <c r="D601" s="95"/>
      <c r="E601" s="14"/>
      <c r="F601" s="96"/>
      <c r="H601" s="12"/>
      <c r="I601" s="12"/>
      <c r="J601" s="12"/>
      <c r="K601" s="12"/>
      <c r="L601" s="12"/>
      <c r="M601" s="12"/>
      <c r="N601" s="12"/>
      <c r="O601" s="12"/>
      <c r="P601" s="12"/>
    </row>
    <row r="602">
      <c r="A602" s="12"/>
      <c r="D602" s="95"/>
      <c r="E602" s="14"/>
      <c r="F602" s="96"/>
      <c r="H602" s="12"/>
      <c r="I602" s="12"/>
      <c r="J602" s="12"/>
      <c r="K602" s="12"/>
      <c r="L602" s="12"/>
      <c r="M602" s="12"/>
      <c r="N602" s="12"/>
      <c r="O602" s="12"/>
      <c r="P602" s="12"/>
    </row>
    <row r="603">
      <c r="A603" s="12"/>
      <c r="D603" s="95"/>
      <c r="E603" s="14"/>
      <c r="F603" s="96"/>
      <c r="H603" s="12"/>
      <c r="I603" s="12"/>
      <c r="J603" s="12"/>
      <c r="K603" s="12"/>
      <c r="L603" s="12"/>
      <c r="M603" s="12"/>
      <c r="N603" s="12"/>
      <c r="O603" s="12"/>
      <c r="P603" s="12"/>
    </row>
    <row r="604">
      <c r="A604" s="12"/>
      <c r="D604" s="95"/>
      <c r="E604" s="14"/>
      <c r="F604" s="96"/>
      <c r="H604" s="12"/>
      <c r="I604" s="12"/>
      <c r="J604" s="12"/>
      <c r="K604" s="12"/>
      <c r="L604" s="12"/>
      <c r="M604" s="12"/>
      <c r="N604" s="12"/>
      <c r="O604" s="12"/>
      <c r="P604" s="12"/>
    </row>
    <row r="605">
      <c r="A605" s="12"/>
      <c r="D605" s="95"/>
      <c r="E605" s="14"/>
      <c r="F605" s="96"/>
      <c r="H605" s="12"/>
      <c r="I605" s="12"/>
      <c r="J605" s="12"/>
      <c r="K605" s="12"/>
      <c r="L605" s="12"/>
      <c r="M605" s="12"/>
      <c r="N605" s="12"/>
      <c r="O605" s="12"/>
      <c r="P605" s="12"/>
    </row>
    <row r="606">
      <c r="A606" s="12"/>
      <c r="D606" s="95"/>
      <c r="E606" s="14"/>
      <c r="F606" s="96"/>
      <c r="H606" s="12"/>
      <c r="I606" s="12"/>
      <c r="J606" s="12"/>
      <c r="K606" s="12"/>
      <c r="L606" s="12"/>
      <c r="M606" s="12"/>
      <c r="N606" s="12"/>
      <c r="O606" s="12"/>
      <c r="P606" s="12"/>
    </row>
    <row r="607">
      <c r="A607" s="12"/>
      <c r="D607" s="95"/>
      <c r="E607" s="14"/>
      <c r="F607" s="96"/>
      <c r="H607" s="12"/>
      <c r="I607" s="12"/>
      <c r="J607" s="12"/>
      <c r="K607" s="12"/>
      <c r="L607" s="12"/>
      <c r="M607" s="12"/>
      <c r="N607" s="12"/>
      <c r="O607" s="12"/>
      <c r="P607" s="12"/>
    </row>
    <row r="608">
      <c r="A608" s="12"/>
      <c r="D608" s="95"/>
      <c r="E608" s="14"/>
      <c r="F608" s="96"/>
      <c r="H608" s="12"/>
      <c r="I608" s="12"/>
      <c r="J608" s="12"/>
      <c r="K608" s="12"/>
      <c r="L608" s="12"/>
      <c r="M608" s="12"/>
      <c r="N608" s="12"/>
      <c r="O608" s="12"/>
      <c r="P608" s="12"/>
    </row>
    <row r="609">
      <c r="A609" s="12"/>
      <c r="D609" s="95"/>
      <c r="E609" s="14"/>
      <c r="F609" s="96"/>
      <c r="H609" s="12"/>
      <c r="I609" s="12"/>
      <c r="J609" s="12"/>
      <c r="K609" s="12"/>
      <c r="L609" s="12"/>
      <c r="M609" s="12"/>
      <c r="N609" s="12"/>
      <c r="O609" s="12"/>
      <c r="P609" s="12"/>
    </row>
    <row r="610">
      <c r="A610" s="12"/>
      <c r="D610" s="95"/>
      <c r="E610" s="14"/>
      <c r="F610" s="96"/>
      <c r="H610" s="12"/>
      <c r="I610" s="12"/>
      <c r="J610" s="12"/>
      <c r="K610" s="12"/>
      <c r="L610" s="12"/>
      <c r="M610" s="12"/>
      <c r="N610" s="12"/>
      <c r="O610" s="12"/>
      <c r="P610" s="12"/>
    </row>
    <row r="611">
      <c r="A611" s="12"/>
      <c r="D611" s="95"/>
      <c r="E611" s="14"/>
      <c r="F611" s="96"/>
      <c r="H611" s="12"/>
      <c r="I611" s="12"/>
      <c r="J611" s="12"/>
      <c r="K611" s="12"/>
      <c r="L611" s="12"/>
      <c r="M611" s="12"/>
      <c r="N611" s="12"/>
      <c r="O611" s="12"/>
      <c r="P611" s="12"/>
    </row>
    <row r="612">
      <c r="A612" s="12"/>
      <c r="D612" s="95"/>
      <c r="E612" s="14"/>
      <c r="F612" s="96"/>
      <c r="H612" s="12"/>
      <c r="I612" s="12"/>
      <c r="J612" s="12"/>
      <c r="K612" s="12"/>
      <c r="L612" s="12"/>
      <c r="M612" s="12"/>
      <c r="N612" s="12"/>
      <c r="O612" s="12"/>
      <c r="P612" s="12"/>
    </row>
    <row r="613">
      <c r="A613" s="12"/>
      <c r="D613" s="95"/>
      <c r="E613" s="14"/>
      <c r="F613" s="96"/>
      <c r="H613" s="12"/>
      <c r="I613" s="12"/>
      <c r="J613" s="12"/>
      <c r="K613" s="12"/>
      <c r="L613" s="12"/>
      <c r="M613" s="12"/>
      <c r="N613" s="12"/>
      <c r="O613" s="12"/>
      <c r="P613" s="12"/>
    </row>
    <row r="614">
      <c r="A614" s="12"/>
      <c r="D614" s="95"/>
      <c r="E614" s="14"/>
      <c r="F614" s="96"/>
      <c r="H614" s="12"/>
      <c r="I614" s="12"/>
      <c r="J614" s="12"/>
      <c r="K614" s="12"/>
      <c r="L614" s="12"/>
      <c r="M614" s="12"/>
      <c r="N614" s="12"/>
      <c r="O614" s="12"/>
      <c r="P614" s="12"/>
    </row>
    <row r="615">
      <c r="A615" s="12"/>
      <c r="D615" s="95"/>
      <c r="E615" s="14"/>
      <c r="F615" s="96"/>
      <c r="H615" s="12"/>
      <c r="I615" s="12"/>
      <c r="J615" s="12"/>
      <c r="K615" s="12"/>
      <c r="L615" s="12"/>
      <c r="M615" s="12"/>
      <c r="N615" s="12"/>
      <c r="O615" s="12"/>
      <c r="P615" s="12"/>
    </row>
    <row r="616">
      <c r="A616" s="12"/>
      <c r="D616" s="95"/>
      <c r="E616" s="14"/>
      <c r="F616" s="96"/>
      <c r="H616" s="12"/>
      <c r="I616" s="12"/>
      <c r="J616" s="12"/>
      <c r="K616" s="12"/>
      <c r="L616" s="12"/>
      <c r="M616" s="12"/>
      <c r="N616" s="12"/>
      <c r="O616" s="12"/>
      <c r="P616" s="12"/>
    </row>
    <row r="617">
      <c r="A617" s="12"/>
      <c r="D617" s="95"/>
      <c r="E617" s="14"/>
      <c r="F617" s="96"/>
      <c r="H617" s="12"/>
      <c r="I617" s="12"/>
      <c r="J617" s="12"/>
      <c r="K617" s="12"/>
      <c r="L617" s="12"/>
      <c r="M617" s="12"/>
      <c r="N617" s="12"/>
      <c r="O617" s="12"/>
      <c r="P617" s="12"/>
    </row>
    <row r="618">
      <c r="A618" s="12"/>
      <c r="D618" s="95"/>
      <c r="E618" s="14"/>
      <c r="F618" s="96"/>
      <c r="H618" s="12"/>
      <c r="I618" s="12"/>
      <c r="J618" s="12"/>
      <c r="K618" s="12"/>
      <c r="L618" s="12"/>
      <c r="M618" s="12"/>
      <c r="N618" s="12"/>
      <c r="O618" s="12"/>
      <c r="P618" s="12"/>
    </row>
    <row r="619">
      <c r="A619" s="12"/>
      <c r="D619" s="95"/>
      <c r="E619" s="14"/>
      <c r="F619" s="96"/>
      <c r="H619" s="12"/>
      <c r="I619" s="12"/>
      <c r="J619" s="12"/>
      <c r="K619" s="12"/>
      <c r="L619" s="12"/>
      <c r="M619" s="12"/>
      <c r="N619" s="12"/>
      <c r="O619" s="12"/>
      <c r="P619" s="12"/>
    </row>
    <row r="620">
      <c r="A620" s="12"/>
      <c r="D620" s="95"/>
      <c r="E620" s="14"/>
      <c r="F620" s="96"/>
      <c r="H620" s="12"/>
      <c r="I620" s="12"/>
      <c r="J620" s="12"/>
      <c r="K620" s="12"/>
      <c r="L620" s="12"/>
      <c r="M620" s="12"/>
      <c r="N620" s="12"/>
      <c r="O620" s="12"/>
      <c r="P620" s="12"/>
    </row>
    <row r="621">
      <c r="A621" s="12"/>
      <c r="D621" s="95"/>
      <c r="E621" s="14"/>
      <c r="F621" s="96"/>
      <c r="H621" s="12"/>
      <c r="I621" s="12"/>
      <c r="J621" s="12"/>
      <c r="K621" s="12"/>
      <c r="L621" s="12"/>
      <c r="M621" s="12"/>
      <c r="N621" s="12"/>
      <c r="O621" s="12"/>
      <c r="P621" s="12"/>
    </row>
    <row r="622">
      <c r="A622" s="12"/>
      <c r="D622" s="95"/>
      <c r="E622" s="14"/>
      <c r="F622" s="96"/>
      <c r="H622" s="12"/>
      <c r="I622" s="12"/>
      <c r="J622" s="12"/>
      <c r="K622" s="12"/>
      <c r="L622" s="12"/>
      <c r="M622" s="12"/>
      <c r="N622" s="12"/>
      <c r="O622" s="12"/>
      <c r="P622" s="12"/>
    </row>
    <row r="623">
      <c r="A623" s="12"/>
      <c r="D623" s="95"/>
      <c r="E623" s="14"/>
      <c r="F623" s="96"/>
      <c r="H623" s="12"/>
      <c r="I623" s="12"/>
      <c r="J623" s="12"/>
      <c r="K623" s="12"/>
      <c r="L623" s="12"/>
      <c r="M623" s="12"/>
      <c r="N623" s="12"/>
      <c r="O623" s="12"/>
      <c r="P623" s="12"/>
    </row>
    <row r="624">
      <c r="A624" s="12"/>
      <c r="D624" s="95"/>
      <c r="E624" s="14"/>
      <c r="F624" s="96"/>
      <c r="H624" s="12"/>
      <c r="I624" s="12"/>
      <c r="J624" s="12"/>
      <c r="K624" s="12"/>
      <c r="L624" s="12"/>
      <c r="M624" s="12"/>
      <c r="N624" s="12"/>
      <c r="O624" s="12"/>
      <c r="P624" s="12"/>
    </row>
    <row r="625">
      <c r="A625" s="12"/>
      <c r="D625" s="95"/>
      <c r="E625" s="14"/>
      <c r="F625" s="96"/>
      <c r="H625" s="12"/>
      <c r="I625" s="12"/>
      <c r="J625" s="12"/>
      <c r="K625" s="12"/>
      <c r="L625" s="12"/>
      <c r="M625" s="12"/>
      <c r="N625" s="12"/>
      <c r="O625" s="12"/>
      <c r="P625" s="12"/>
    </row>
    <row r="626">
      <c r="A626" s="12"/>
      <c r="D626" s="95"/>
      <c r="E626" s="14"/>
      <c r="F626" s="96"/>
      <c r="H626" s="12"/>
      <c r="I626" s="12"/>
      <c r="J626" s="12"/>
      <c r="K626" s="12"/>
      <c r="L626" s="12"/>
      <c r="M626" s="12"/>
      <c r="N626" s="12"/>
      <c r="O626" s="12"/>
      <c r="P626" s="12"/>
    </row>
    <row r="627">
      <c r="A627" s="12"/>
      <c r="D627" s="95"/>
      <c r="E627" s="14"/>
      <c r="F627" s="96"/>
      <c r="H627" s="12"/>
      <c r="I627" s="12"/>
      <c r="J627" s="12"/>
      <c r="K627" s="12"/>
      <c r="L627" s="12"/>
      <c r="M627" s="12"/>
      <c r="N627" s="12"/>
      <c r="O627" s="12"/>
      <c r="P627" s="12"/>
    </row>
    <row r="628">
      <c r="A628" s="12"/>
      <c r="D628" s="95"/>
      <c r="E628" s="14"/>
      <c r="F628" s="96"/>
      <c r="H628" s="12"/>
      <c r="I628" s="12"/>
      <c r="J628" s="12"/>
      <c r="K628" s="12"/>
      <c r="L628" s="12"/>
      <c r="M628" s="12"/>
      <c r="N628" s="12"/>
      <c r="O628" s="12"/>
      <c r="P628" s="12"/>
    </row>
    <row r="629">
      <c r="A629" s="12"/>
      <c r="D629" s="95"/>
      <c r="E629" s="14"/>
      <c r="F629" s="96"/>
      <c r="H629" s="12"/>
      <c r="I629" s="12"/>
      <c r="J629" s="12"/>
      <c r="K629" s="12"/>
      <c r="L629" s="12"/>
      <c r="M629" s="12"/>
      <c r="N629" s="12"/>
      <c r="O629" s="12"/>
      <c r="P629" s="12"/>
    </row>
    <row r="630">
      <c r="A630" s="12"/>
      <c r="D630" s="95"/>
      <c r="E630" s="14"/>
      <c r="F630" s="96"/>
      <c r="H630" s="12"/>
      <c r="I630" s="12"/>
      <c r="J630" s="12"/>
      <c r="K630" s="12"/>
      <c r="L630" s="12"/>
      <c r="M630" s="12"/>
      <c r="N630" s="12"/>
      <c r="O630" s="12"/>
      <c r="P630" s="12"/>
    </row>
    <row r="631">
      <c r="A631" s="12"/>
      <c r="D631" s="95"/>
      <c r="E631" s="14"/>
      <c r="F631" s="96"/>
      <c r="H631" s="12"/>
      <c r="I631" s="12"/>
      <c r="J631" s="12"/>
      <c r="K631" s="12"/>
      <c r="L631" s="12"/>
      <c r="M631" s="12"/>
      <c r="N631" s="12"/>
      <c r="O631" s="12"/>
      <c r="P631" s="12"/>
    </row>
    <row r="632">
      <c r="A632" s="12"/>
      <c r="D632" s="95"/>
      <c r="E632" s="14"/>
      <c r="F632" s="96"/>
      <c r="H632" s="12"/>
      <c r="I632" s="12"/>
      <c r="J632" s="12"/>
      <c r="K632" s="12"/>
      <c r="L632" s="12"/>
      <c r="M632" s="12"/>
      <c r="N632" s="12"/>
      <c r="O632" s="12"/>
      <c r="P632" s="12"/>
    </row>
    <row r="633">
      <c r="A633" s="12"/>
      <c r="D633" s="95"/>
      <c r="E633" s="14"/>
      <c r="F633" s="96"/>
      <c r="H633" s="12"/>
      <c r="I633" s="12"/>
      <c r="J633" s="12"/>
      <c r="K633" s="12"/>
      <c r="L633" s="12"/>
      <c r="M633" s="12"/>
      <c r="N633" s="12"/>
      <c r="O633" s="12"/>
      <c r="P633" s="12"/>
    </row>
    <row r="634">
      <c r="A634" s="12"/>
      <c r="D634" s="95"/>
      <c r="E634" s="14"/>
      <c r="F634" s="96"/>
      <c r="H634" s="12"/>
      <c r="I634" s="12"/>
      <c r="J634" s="12"/>
      <c r="K634" s="12"/>
      <c r="L634" s="12"/>
      <c r="M634" s="12"/>
      <c r="N634" s="12"/>
      <c r="O634" s="12"/>
      <c r="P634" s="12"/>
    </row>
    <row r="635">
      <c r="A635" s="12"/>
      <c r="D635" s="95"/>
      <c r="E635" s="14"/>
      <c r="F635" s="96"/>
      <c r="H635" s="12"/>
      <c r="I635" s="12"/>
      <c r="J635" s="12"/>
      <c r="K635" s="12"/>
      <c r="L635" s="12"/>
      <c r="M635" s="12"/>
      <c r="N635" s="12"/>
      <c r="O635" s="12"/>
      <c r="P635" s="12"/>
    </row>
    <row r="636">
      <c r="A636" s="12"/>
      <c r="D636" s="95"/>
      <c r="E636" s="14"/>
      <c r="F636" s="96"/>
      <c r="H636" s="12"/>
      <c r="I636" s="12"/>
      <c r="J636" s="12"/>
      <c r="K636" s="12"/>
      <c r="L636" s="12"/>
      <c r="M636" s="12"/>
      <c r="N636" s="12"/>
      <c r="O636" s="12"/>
      <c r="P636" s="12"/>
    </row>
    <row r="637">
      <c r="A637" s="12"/>
      <c r="D637" s="95"/>
      <c r="E637" s="14"/>
      <c r="F637" s="96"/>
      <c r="H637" s="12"/>
      <c r="I637" s="12"/>
      <c r="J637" s="12"/>
      <c r="K637" s="12"/>
      <c r="L637" s="12"/>
      <c r="M637" s="12"/>
      <c r="N637" s="12"/>
      <c r="O637" s="12"/>
      <c r="P637" s="12"/>
    </row>
    <row r="638">
      <c r="A638" s="12"/>
      <c r="D638" s="95"/>
      <c r="E638" s="14"/>
      <c r="F638" s="96"/>
      <c r="H638" s="12"/>
      <c r="I638" s="12"/>
      <c r="J638" s="12"/>
      <c r="K638" s="12"/>
      <c r="L638" s="12"/>
      <c r="M638" s="12"/>
      <c r="N638" s="12"/>
      <c r="O638" s="12"/>
      <c r="P638" s="12"/>
    </row>
    <row r="639">
      <c r="A639" s="12"/>
      <c r="D639" s="95"/>
      <c r="E639" s="14"/>
      <c r="F639" s="96"/>
      <c r="H639" s="12"/>
      <c r="I639" s="12"/>
      <c r="J639" s="12"/>
      <c r="K639" s="12"/>
      <c r="L639" s="12"/>
      <c r="M639" s="12"/>
      <c r="N639" s="12"/>
      <c r="O639" s="12"/>
      <c r="P639" s="12"/>
    </row>
    <row r="640">
      <c r="A640" s="12"/>
      <c r="D640" s="95"/>
      <c r="E640" s="14"/>
      <c r="F640" s="96"/>
      <c r="H640" s="12"/>
      <c r="I640" s="12"/>
      <c r="J640" s="12"/>
      <c r="K640" s="12"/>
      <c r="L640" s="12"/>
      <c r="M640" s="12"/>
      <c r="N640" s="12"/>
      <c r="O640" s="12"/>
      <c r="P640" s="12"/>
    </row>
    <row r="641">
      <c r="A641" s="12"/>
      <c r="D641" s="95"/>
      <c r="E641" s="14"/>
      <c r="F641" s="96"/>
      <c r="H641" s="12"/>
      <c r="I641" s="12"/>
      <c r="J641" s="12"/>
      <c r="K641" s="12"/>
      <c r="L641" s="12"/>
      <c r="M641" s="12"/>
      <c r="N641" s="12"/>
      <c r="O641" s="12"/>
      <c r="P641" s="12"/>
    </row>
    <row r="642">
      <c r="A642" s="12"/>
      <c r="D642" s="95"/>
      <c r="E642" s="14"/>
      <c r="F642" s="96"/>
      <c r="H642" s="12"/>
      <c r="I642" s="12"/>
      <c r="J642" s="12"/>
      <c r="K642" s="12"/>
      <c r="L642" s="12"/>
      <c r="M642" s="12"/>
      <c r="N642" s="12"/>
      <c r="O642" s="12"/>
      <c r="P642" s="12"/>
    </row>
    <row r="643">
      <c r="A643" s="12"/>
      <c r="D643" s="95"/>
      <c r="E643" s="14"/>
      <c r="F643" s="96"/>
      <c r="H643" s="12"/>
      <c r="I643" s="12"/>
      <c r="J643" s="12"/>
      <c r="K643" s="12"/>
      <c r="L643" s="12"/>
      <c r="M643" s="12"/>
      <c r="N643" s="12"/>
      <c r="O643" s="12"/>
      <c r="P643" s="12"/>
    </row>
    <row r="644">
      <c r="A644" s="12"/>
      <c r="D644" s="95"/>
      <c r="E644" s="14"/>
      <c r="F644" s="96"/>
      <c r="H644" s="12"/>
      <c r="I644" s="12"/>
      <c r="J644" s="12"/>
      <c r="K644" s="12"/>
      <c r="L644" s="12"/>
      <c r="M644" s="12"/>
      <c r="N644" s="12"/>
      <c r="O644" s="12"/>
      <c r="P644" s="12"/>
    </row>
    <row r="645">
      <c r="A645" s="12"/>
      <c r="D645" s="95"/>
      <c r="E645" s="14"/>
      <c r="F645" s="96"/>
      <c r="H645" s="12"/>
      <c r="I645" s="12"/>
      <c r="J645" s="12"/>
      <c r="K645" s="12"/>
      <c r="L645" s="12"/>
      <c r="M645" s="12"/>
      <c r="N645" s="12"/>
      <c r="O645" s="12"/>
      <c r="P645" s="12"/>
    </row>
    <row r="646">
      <c r="A646" s="12"/>
      <c r="D646" s="95"/>
      <c r="E646" s="14"/>
      <c r="F646" s="96"/>
      <c r="H646" s="12"/>
      <c r="I646" s="12"/>
      <c r="J646" s="12"/>
      <c r="K646" s="12"/>
      <c r="L646" s="12"/>
      <c r="M646" s="12"/>
      <c r="N646" s="12"/>
      <c r="O646" s="12"/>
      <c r="P646" s="12"/>
    </row>
    <row r="647">
      <c r="A647" s="12"/>
      <c r="D647" s="95"/>
      <c r="E647" s="14"/>
      <c r="F647" s="96"/>
      <c r="H647" s="12"/>
      <c r="I647" s="12"/>
      <c r="J647" s="12"/>
      <c r="K647" s="12"/>
      <c r="L647" s="12"/>
      <c r="M647" s="12"/>
      <c r="N647" s="12"/>
      <c r="O647" s="12"/>
      <c r="P647" s="12"/>
    </row>
    <row r="648">
      <c r="A648" s="12"/>
      <c r="D648" s="95"/>
      <c r="E648" s="14"/>
      <c r="F648" s="96"/>
      <c r="H648" s="12"/>
      <c r="I648" s="12"/>
      <c r="J648" s="12"/>
      <c r="K648" s="12"/>
      <c r="L648" s="12"/>
      <c r="M648" s="12"/>
      <c r="N648" s="12"/>
      <c r="O648" s="12"/>
      <c r="P648" s="12"/>
    </row>
    <row r="649">
      <c r="A649" s="12"/>
      <c r="D649" s="95"/>
      <c r="E649" s="14"/>
      <c r="F649" s="96"/>
      <c r="H649" s="12"/>
      <c r="I649" s="12"/>
      <c r="J649" s="12"/>
      <c r="K649" s="12"/>
      <c r="L649" s="12"/>
      <c r="M649" s="12"/>
      <c r="N649" s="12"/>
      <c r="O649" s="12"/>
      <c r="P649" s="12"/>
    </row>
    <row r="650">
      <c r="A650" s="12"/>
      <c r="D650" s="95"/>
      <c r="E650" s="14"/>
      <c r="F650" s="96"/>
      <c r="H650" s="12"/>
      <c r="I650" s="12"/>
      <c r="J650" s="12"/>
      <c r="K650" s="12"/>
      <c r="L650" s="12"/>
      <c r="M650" s="12"/>
      <c r="N650" s="12"/>
      <c r="O650" s="12"/>
      <c r="P650" s="12"/>
    </row>
    <row r="651">
      <c r="A651" s="12"/>
      <c r="D651" s="95"/>
      <c r="E651" s="14"/>
      <c r="F651" s="96"/>
      <c r="H651" s="12"/>
      <c r="I651" s="12"/>
      <c r="J651" s="12"/>
      <c r="K651" s="12"/>
      <c r="L651" s="12"/>
      <c r="M651" s="12"/>
      <c r="N651" s="12"/>
      <c r="O651" s="12"/>
      <c r="P651" s="12"/>
    </row>
    <row r="652">
      <c r="A652" s="12"/>
      <c r="D652" s="95"/>
      <c r="E652" s="14"/>
      <c r="F652" s="96"/>
      <c r="H652" s="12"/>
      <c r="I652" s="12"/>
      <c r="J652" s="12"/>
      <c r="K652" s="12"/>
      <c r="L652" s="12"/>
      <c r="M652" s="12"/>
      <c r="N652" s="12"/>
      <c r="O652" s="12"/>
      <c r="P652" s="12"/>
    </row>
    <row r="653">
      <c r="A653" s="12"/>
      <c r="D653" s="95"/>
      <c r="E653" s="14"/>
      <c r="F653" s="96"/>
      <c r="H653" s="12"/>
      <c r="I653" s="12"/>
      <c r="J653" s="12"/>
      <c r="K653" s="12"/>
      <c r="L653" s="12"/>
      <c r="M653" s="12"/>
      <c r="N653" s="12"/>
      <c r="O653" s="12"/>
      <c r="P653" s="12"/>
    </row>
    <row r="654">
      <c r="A654" s="12"/>
      <c r="D654" s="95"/>
      <c r="E654" s="14"/>
      <c r="F654" s="96"/>
      <c r="H654" s="12"/>
      <c r="I654" s="12"/>
      <c r="J654" s="12"/>
      <c r="K654" s="12"/>
      <c r="L654" s="12"/>
      <c r="M654" s="12"/>
      <c r="N654" s="12"/>
      <c r="O654" s="12"/>
      <c r="P654" s="12"/>
    </row>
    <row r="655">
      <c r="A655" s="12"/>
      <c r="D655" s="95"/>
      <c r="E655" s="14"/>
      <c r="F655" s="96"/>
      <c r="H655" s="12"/>
      <c r="I655" s="12"/>
      <c r="J655" s="12"/>
      <c r="K655" s="12"/>
      <c r="L655" s="12"/>
      <c r="M655" s="12"/>
      <c r="N655" s="12"/>
      <c r="O655" s="12"/>
      <c r="P655" s="12"/>
    </row>
    <row r="656">
      <c r="A656" s="12"/>
      <c r="D656" s="95"/>
      <c r="E656" s="14"/>
      <c r="F656" s="96"/>
      <c r="H656" s="12"/>
      <c r="I656" s="12"/>
      <c r="J656" s="12"/>
      <c r="K656" s="12"/>
      <c r="L656" s="12"/>
      <c r="M656" s="12"/>
      <c r="N656" s="12"/>
      <c r="O656" s="12"/>
      <c r="P656" s="12"/>
    </row>
    <row r="657">
      <c r="A657" s="12"/>
      <c r="D657" s="95"/>
      <c r="E657" s="14"/>
      <c r="F657" s="96"/>
      <c r="H657" s="12"/>
      <c r="I657" s="12"/>
      <c r="J657" s="12"/>
      <c r="K657" s="12"/>
      <c r="L657" s="12"/>
      <c r="M657" s="12"/>
      <c r="N657" s="12"/>
      <c r="O657" s="12"/>
      <c r="P657" s="12"/>
    </row>
    <row r="658">
      <c r="A658" s="12"/>
      <c r="D658" s="95"/>
      <c r="E658" s="14"/>
      <c r="F658" s="96"/>
      <c r="H658" s="12"/>
      <c r="I658" s="12"/>
      <c r="J658" s="12"/>
      <c r="K658" s="12"/>
      <c r="L658" s="12"/>
      <c r="M658" s="12"/>
      <c r="N658" s="12"/>
      <c r="O658" s="12"/>
      <c r="P658" s="12"/>
    </row>
    <row r="659">
      <c r="A659" s="12"/>
      <c r="D659" s="95"/>
      <c r="E659" s="14"/>
      <c r="F659" s="96"/>
      <c r="H659" s="12"/>
      <c r="I659" s="12"/>
      <c r="J659" s="12"/>
      <c r="K659" s="12"/>
      <c r="L659" s="12"/>
      <c r="M659" s="12"/>
      <c r="N659" s="12"/>
      <c r="O659" s="12"/>
      <c r="P659" s="12"/>
    </row>
    <row r="660">
      <c r="A660" s="12"/>
      <c r="D660" s="95"/>
      <c r="E660" s="14"/>
      <c r="F660" s="96"/>
      <c r="H660" s="12"/>
      <c r="I660" s="12"/>
      <c r="J660" s="12"/>
      <c r="K660" s="12"/>
      <c r="L660" s="12"/>
      <c r="M660" s="12"/>
      <c r="N660" s="12"/>
      <c r="O660" s="12"/>
      <c r="P660" s="12"/>
    </row>
    <row r="661">
      <c r="A661" s="12"/>
      <c r="D661" s="95"/>
      <c r="E661" s="14"/>
      <c r="F661" s="96"/>
      <c r="H661" s="12"/>
      <c r="I661" s="12"/>
      <c r="J661" s="12"/>
      <c r="K661" s="12"/>
      <c r="L661" s="12"/>
      <c r="M661" s="12"/>
      <c r="N661" s="12"/>
      <c r="O661" s="12"/>
      <c r="P661" s="12"/>
    </row>
    <row r="662">
      <c r="A662" s="12"/>
      <c r="D662" s="95"/>
      <c r="E662" s="14"/>
      <c r="F662" s="96"/>
      <c r="H662" s="12"/>
      <c r="I662" s="12"/>
      <c r="J662" s="12"/>
      <c r="K662" s="12"/>
      <c r="L662" s="12"/>
      <c r="M662" s="12"/>
      <c r="N662" s="12"/>
      <c r="O662" s="12"/>
      <c r="P662" s="12"/>
    </row>
    <row r="663">
      <c r="A663" s="12"/>
      <c r="D663" s="95"/>
      <c r="E663" s="14"/>
      <c r="F663" s="96"/>
      <c r="H663" s="12"/>
      <c r="I663" s="12"/>
      <c r="J663" s="12"/>
      <c r="K663" s="12"/>
      <c r="L663" s="12"/>
      <c r="M663" s="12"/>
      <c r="N663" s="12"/>
      <c r="O663" s="12"/>
      <c r="P663" s="12"/>
    </row>
    <row r="664">
      <c r="A664" s="12"/>
      <c r="D664" s="95"/>
      <c r="E664" s="14"/>
      <c r="F664" s="96"/>
      <c r="H664" s="12"/>
      <c r="I664" s="12"/>
      <c r="J664" s="12"/>
      <c r="K664" s="12"/>
      <c r="L664" s="12"/>
      <c r="M664" s="12"/>
      <c r="N664" s="12"/>
      <c r="O664" s="12"/>
      <c r="P664" s="12"/>
    </row>
    <row r="665">
      <c r="A665" s="12"/>
      <c r="D665" s="95"/>
      <c r="E665" s="14"/>
      <c r="F665" s="96"/>
      <c r="H665" s="12"/>
      <c r="I665" s="12"/>
      <c r="J665" s="12"/>
      <c r="K665" s="12"/>
      <c r="L665" s="12"/>
      <c r="M665" s="12"/>
      <c r="N665" s="12"/>
      <c r="O665" s="12"/>
      <c r="P665" s="12"/>
    </row>
    <row r="666">
      <c r="A666" s="12"/>
      <c r="D666" s="95"/>
      <c r="E666" s="14"/>
      <c r="F666" s="96"/>
      <c r="H666" s="12"/>
      <c r="I666" s="12"/>
      <c r="J666" s="12"/>
      <c r="K666" s="12"/>
      <c r="L666" s="12"/>
      <c r="M666" s="12"/>
      <c r="N666" s="12"/>
      <c r="O666" s="12"/>
      <c r="P666" s="12"/>
    </row>
    <row r="667">
      <c r="A667" s="12"/>
      <c r="D667" s="95"/>
      <c r="E667" s="14"/>
      <c r="F667" s="96"/>
      <c r="H667" s="12"/>
      <c r="I667" s="12"/>
      <c r="J667" s="12"/>
      <c r="K667" s="12"/>
      <c r="L667" s="12"/>
      <c r="M667" s="12"/>
      <c r="N667" s="12"/>
      <c r="O667" s="12"/>
      <c r="P667" s="12"/>
    </row>
    <row r="668">
      <c r="A668" s="12"/>
      <c r="D668" s="95"/>
      <c r="E668" s="14"/>
      <c r="F668" s="96"/>
      <c r="H668" s="12"/>
      <c r="I668" s="12"/>
      <c r="J668" s="12"/>
      <c r="K668" s="12"/>
      <c r="L668" s="12"/>
      <c r="M668" s="12"/>
      <c r="N668" s="12"/>
      <c r="O668" s="12"/>
      <c r="P668" s="12"/>
    </row>
    <row r="669">
      <c r="A669" s="12"/>
      <c r="D669" s="95"/>
      <c r="E669" s="14"/>
      <c r="F669" s="96"/>
      <c r="H669" s="12"/>
      <c r="I669" s="12"/>
      <c r="J669" s="12"/>
      <c r="K669" s="12"/>
      <c r="L669" s="12"/>
      <c r="M669" s="12"/>
      <c r="N669" s="12"/>
      <c r="O669" s="12"/>
      <c r="P669" s="12"/>
    </row>
    <row r="670">
      <c r="A670" s="12"/>
      <c r="D670" s="95"/>
      <c r="E670" s="14"/>
      <c r="F670" s="96"/>
      <c r="H670" s="12"/>
      <c r="I670" s="12"/>
      <c r="J670" s="12"/>
      <c r="K670" s="12"/>
      <c r="L670" s="12"/>
      <c r="M670" s="12"/>
      <c r="N670" s="12"/>
      <c r="O670" s="12"/>
      <c r="P670" s="12"/>
    </row>
    <row r="671">
      <c r="A671" s="12"/>
      <c r="D671" s="95"/>
      <c r="E671" s="14"/>
      <c r="F671" s="96"/>
      <c r="H671" s="12"/>
      <c r="I671" s="12"/>
      <c r="J671" s="12"/>
      <c r="K671" s="12"/>
      <c r="L671" s="12"/>
      <c r="M671" s="12"/>
      <c r="N671" s="12"/>
      <c r="O671" s="12"/>
      <c r="P671" s="12"/>
    </row>
    <row r="672">
      <c r="A672" s="12"/>
      <c r="D672" s="95"/>
      <c r="E672" s="14"/>
      <c r="F672" s="96"/>
      <c r="H672" s="12"/>
      <c r="I672" s="12"/>
      <c r="J672" s="12"/>
      <c r="K672" s="12"/>
      <c r="L672" s="12"/>
      <c r="M672" s="12"/>
      <c r="N672" s="12"/>
      <c r="O672" s="12"/>
      <c r="P672" s="12"/>
    </row>
    <row r="673">
      <c r="A673" s="12"/>
      <c r="D673" s="95"/>
      <c r="E673" s="14"/>
      <c r="F673" s="96"/>
      <c r="H673" s="12"/>
      <c r="I673" s="12"/>
      <c r="J673" s="12"/>
      <c r="K673" s="12"/>
      <c r="L673" s="12"/>
      <c r="M673" s="12"/>
      <c r="N673" s="12"/>
      <c r="O673" s="12"/>
      <c r="P673" s="12"/>
    </row>
    <row r="674">
      <c r="A674" s="12"/>
      <c r="D674" s="95"/>
      <c r="E674" s="14"/>
      <c r="F674" s="96"/>
      <c r="H674" s="12"/>
      <c r="I674" s="12"/>
      <c r="J674" s="12"/>
      <c r="K674" s="12"/>
      <c r="L674" s="12"/>
      <c r="M674" s="12"/>
      <c r="N674" s="12"/>
      <c r="O674" s="12"/>
      <c r="P674" s="12"/>
    </row>
    <row r="675">
      <c r="A675" s="12"/>
      <c r="D675" s="95"/>
      <c r="E675" s="14"/>
      <c r="F675" s="96"/>
      <c r="H675" s="12"/>
      <c r="I675" s="12"/>
      <c r="J675" s="12"/>
      <c r="K675" s="12"/>
      <c r="L675" s="12"/>
      <c r="M675" s="12"/>
      <c r="N675" s="12"/>
      <c r="O675" s="12"/>
      <c r="P675" s="12"/>
    </row>
    <row r="676">
      <c r="A676" s="12"/>
      <c r="D676" s="95"/>
      <c r="E676" s="14"/>
      <c r="F676" s="96"/>
      <c r="H676" s="12"/>
      <c r="I676" s="12"/>
      <c r="J676" s="12"/>
      <c r="K676" s="12"/>
      <c r="L676" s="12"/>
      <c r="M676" s="12"/>
      <c r="N676" s="12"/>
      <c r="O676" s="12"/>
      <c r="P676" s="12"/>
    </row>
    <row r="677">
      <c r="A677" s="12"/>
      <c r="D677" s="95"/>
      <c r="E677" s="14"/>
      <c r="F677" s="96"/>
      <c r="H677" s="12"/>
      <c r="I677" s="12"/>
      <c r="J677" s="12"/>
      <c r="K677" s="12"/>
      <c r="L677" s="12"/>
      <c r="M677" s="12"/>
      <c r="N677" s="12"/>
      <c r="O677" s="12"/>
      <c r="P677" s="12"/>
    </row>
    <row r="678">
      <c r="A678" s="12"/>
      <c r="D678" s="95"/>
      <c r="E678" s="14"/>
      <c r="F678" s="96"/>
      <c r="H678" s="12"/>
      <c r="I678" s="12"/>
      <c r="J678" s="12"/>
      <c r="K678" s="12"/>
      <c r="L678" s="12"/>
      <c r="M678" s="12"/>
      <c r="N678" s="12"/>
      <c r="O678" s="12"/>
      <c r="P678" s="12"/>
    </row>
    <row r="679">
      <c r="A679" s="12"/>
      <c r="D679" s="95"/>
      <c r="E679" s="14"/>
      <c r="F679" s="96"/>
      <c r="H679" s="12"/>
      <c r="I679" s="12"/>
      <c r="J679" s="12"/>
      <c r="K679" s="12"/>
      <c r="L679" s="12"/>
      <c r="M679" s="12"/>
      <c r="N679" s="12"/>
      <c r="O679" s="12"/>
      <c r="P679" s="12"/>
    </row>
    <row r="680">
      <c r="A680" s="12"/>
      <c r="D680" s="95"/>
      <c r="E680" s="14"/>
      <c r="F680" s="96"/>
      <c r="H680" s="12"/>
      <c r="I680" s="12"/>
      <c r="J680" s="12"/>
      <c r="K680" s="12"/>
      <c r="L680" s="12"/>
      <c r="M680" s="12"/>
      <c r="N680" s="12"/>
      <c r="O680" s="12"/>
      <c r="P680" s="12"/>
    </row>
    <row r="681">
      <c r="A681" s="12"/>
      <c r="D681" s="95"/>
      <c r="E681" s="14"/>
      <c r="F681" s="96"/>
      <c r="H681" s="12"/>
      <c r="I681" s="12"/>
      <c r="J681" s="12"/>
      <c r="K681" s="12"/>
      <c r="L681" s="12"/>
      <c r="M681" s="12"/>
      <c r="N681" s="12"/>
      <c r="O681" s="12"/>
      <c r="P681" s="12"/>
    </row>
    <row r="682">
      <c r="A682" s="12"/>
      <c r="D682" s="95"/>
      <c r="E682" s="14"/>
      <c r="F682" s="96"/>
      <c r="H682" s="12"/>
      <c r="I682" s="12"/>
      <c r="J682" s="12"/>
      <c r="K682" s="12"/>
      <c r="L682" s="12"/>
      <c r="M682" s="12"/>
      <c r="N682" s="12"/>
      <c r="O682" s="12"/>
      <c r="P682" s="12"/>
    </row>
    <row r="683">
      <c r="A683" s="12"/>
      <c r="D683" s="95"/>
      <c r="E683" s="14"/>
      <c r="F683" s="96"/>
      <c r="H683" s="12"/>
      <c r="I683" s="12"/>
      <c r="J683" s="12"/>
      <c r="K683" s="12"/>
      <c r="L683" s="12"/>
      <c r="M683" s="12"/>
      <c r="N683" s="12"/>
      <c r="O683" s="12"/>
      <c r="P683" s="12"/>
    </row>
    <row r="684">
      <c r="A684" s="12"/>
      <c r="D684" s="95"/>
      <c r="E684" s="14"/>
      <c r="F684" s="96"/>
      <c r="H684" s="12"/>
      <c r="I684" s="12"/>
      <c r="J684" s="12"/>
      <c r="K684" s="12"/>
      <c r="L684" s="12"/>
      <c r="M684" s="12"/>
      <c r="N684" s="12"/>
      <c r="O684" s="12"/>
      <c r="P684" s="12"/>
    </row>
    <row r="685">
      <c r="A685" s="12"/>
      <c r="D685" s="95"/>
      <c r="E685" s="14"/>
      <c r="F685" s="96"/>
      <c r="H685" s="12"/>
      <c r="I685" s="12"/>
      <c r="J685" s="12"/>
      <c r="K685" s="12"/>
      <c r="L685" s="12"/>
      <c r="M685" s="12"/>
      <c r="N685" s="12"/>
      <c r="O685" s="12"/>
      <c r="P685" s="12"/>
    </row>
    <row r="686">
      <c r="A686" s="12"/>
      <c r="D686" s="95"/>
      <c r="E686" s="14"/>
      <c r="F686" s="96"/>
      <c r="H686" s="12"/>
      <c r="I686" s="12"/>
      <c r="J686" s="12"/>
      <c r="K686" s="12"/>
      <c r="L686" s="12"/>
      <c r="M686" s="12"/>
      <c r="N686" s="12"/>
      <c r="O686" s="12"/>
      <c r="P686" s="12"/>
    </row>
    <row r="687">
      <c r="A687" s="12"/>
      <c r="D687" s="95"/>
      <c r="E687" s="14"/>
      <c r="F687" s="96"/>
      <c r="H687" s="12"/>
      <c r="I687" s="12"/>
      <c r="J687" s="12"/>
      <c r="K687" s="12"/>
      <c r="L687" s="12"/>
      <c r="M687" s="12"/>
      <c r="N687" s="12"/>
      <c r="O687" s="12"/>
      <c r="P687" s="12"/>
    </row>
    <row r="688">
      <c r="A688" s="12"/>
      <c r="D688" s="95"/>
      <c r="E688" s="14"/>
      <c r="F688" s="96"/>
      <c r="H688" s="12"/>
      <c r="I688" s="12"/>
      <c r="J688" s="12"/>
      <c r="K688" s="12"/>
      <c r="L688" s="12"/>
      <c r="M688" s="12"/>
      <c r="N688" s="12"/>
      <c r="O688" s="12"/>
      <c r="P688" s="12"/>
    </row>
    <row r="689">
      <c r="A689" s="12"/>
      <c r="D689" s="95"/>
      <c r="E689" s="14"/>
      <c r="F689" s="96"/>
      <c r="H689" s="12"/>
      <c r="I689" s="12"/>
      <c r="J689" s="12"/>
      <c r="K689" s="12"/>
      <c r="L689" s="12"/>
      <c r="M689" s="12"/>
      <c r="N689" s="12"/>
      <c r="O689" s="12"/>
      <c r="P689" s="12"/>
    </row>
    <row r="690">
      <c r="A690" s="12"/>
      <c r="D690" s="95"/>
      <c r="E690" s="14"/>
      <c r="F690" s="96"/>
      <c r="H690" s="12"/>
      <c r="I690" s="12"/>
      <c r="J690" s="12"/>
      <c r="K690" s="12"/>
      <c r="L690" s="12"/>
      <c r="M690" s="12"/>
      <c r="N690" s="12"/>
      <c r="O690" s="12"/>
      <c r="P690" s="12"/>
    </row>
    <row r="691">
      <c r="A691" s="12"/>
      <c r="D691" s="95"/>
      <c r="E691" s="14"/>
      <c r="F691" s="96"/>
      <c r="H691" s="12"/>
      <c r="I691" s="12"/>
      <c r="J691" s="12"/>
      <c r="K691" s="12"/>
      <c r="L691" s="12"/>
      <c r="M691" s="12"/>
      <c r="N691" s="12"/>
      <c r="O691" s="12"/>
      <c r="P691" s="12"/>
    </row>
    <row r="692">
      <c r="A692" s="12"/>
      <c r="D692" s="95"/>
      <c r="E692" s="14"/>
      <c r="F692" s="96"/>
      <c r="H692" s="12"/>
      <c r="I692" s="12"/>
      <c r="J692" s="12"/>
      <c r="K692" s="12"/>
      <c r="L692" s="12"/>
      <c r="M692" s="12"/>
      <c r="N692" s="12"/>
      <c r="O692" s="12"/>
      <c r="P692" s="12"/>
    </row>
    <row r="693">
      <c r="A693" s="12"/>
      <c r="D693" s="95"/>
      <c r="E693" s="14"/>
      <c r="F693" s="96"/>
      <c r="H693" s="12"/>
      <c r="I693" s="12"/>
      <c r="J693" s="12"/>
      <c r="K693" s="12"/>
      <c r="L693" s="12"/>
      <c r="M693" s="12"/>
      <c r="N693" s="12"/>
      <c r="O693" s="12"/>
      <c r="P693" s="12"/>
    </row>
    <row r="694">
      <c r="A694" s="12"/>
      <c r="D694" s="95"/>
      <c r="E694" s="14"/>
      <c r="F694" s="96"/>
      <c r="H694" s="12"/>
      <c r="I694" s="12"/>
      <c r="J694" s="12"/>
      <c r="K694" s="12"/>
      <c r="L694" s="12"/>
      <c r="M694" s="12"/>
      <c r="N694" s="12"/>
      <c r="O694" s="12"/>
      <c r="P694" s="12"/>
    </row>
    <row r="695">
      <c r="A695" s="12"/>
      <c r="D695" s="95"/>
      <c r="E695" s="14"/>
      <c r="F695" s="96"/>
      <c r="H695" s="12"/>
      <c r="I695" s="12"/>
      <c r="J695" s="12"/>
      <c r="K695" s="12"/>
      <c r="L695" s="12"/>
      <c r="M695" s="12"/>
      <c r="N695" s="12"/>
      <c r="O695" s="12"/>
      <c r="P695" s="12"/>
    </row>
    <row r="696">
      <c r="A696" s="12"/>
      <c r="D696" s="95"/>
      <c r="E696" s="14"/>
      <c r="F696" s="96"/>
      <c r="H696" s="12"/>
      <c r="I696" s="12"/>
      <c r="J696" s="12"/>
      <c r="K696" s="12"/>
      <c r="L696" s="12"/>
      <c r="M696" s="12"/>
      <c r="N696" s="12"/>
      <c r="O696" s="12"/>
      <c r="P696" s="12"/>
    </row>
    <row r="697">
      <c r="A697" s="12"/>
      <c r="D697" s="95"/>
      <c r="E697" s="14"/>
      <c r="F697" s="96"/>
      <c r="H697" s="12"/>
      <c r="I697" s="12"/>
      <c r="J697" s="12"/>
      <c r="K697" s="12"/>
      <c r="L697" s="12"/>
      <c r="M697" s="12"/>
      <c r="N697" s="12"/>
      <c r="O697" s="12"/>
      <c r="P697" s="12"/>
    </row>
    <row r="698">
      <c r="A698" s="12"/>
      <c r="D698" s="95"/>
      <c r="E698" s="14"/>
      <c r="F698" s="96"/>
      <c r="H698" s="12"/>
      <c r="I698" s="12"/>
      <c r="J698" s="12"/>
      <c r="K698" s="12"/>
      <c r="L698" s="12"/>
      <c r="M698" s="12"/>
      <c r="N698" s="12"/>
      <c r="O698" s="12"/>
      <c r="P698" s="12"/>
    </row>
    <row r="699">
      <c r="A699" s="12"/>
      <c r="D699" s="95"/>
      <c r="E699" s="14"/>
      <c r="F699" s="96"/>
      <c r="H699" s="12"/>
      <c r="I699" s="12"/>
      <c r="J699" s="12"/>
      <c r="K699" s="12"/>
      <c r="L699" s="12"/>
      <c r="M699" s="12"/>
      <c r="N699" s="12"/>
      <c r="O699" s="12"/>
      <c r="P699" s="12"/>
    </row>
    <row r="700">
      <c r="A700" s="12"/>
      <c r="D700" s="95"/>
      <c r="E700" s="14"/>
      <c r="F700" s="96"/>
      <c r="H700" s="12"/>
      <c r="I700" s="12"/>
      <c r="J700" s="12"/>
      <c r="K700" s="12"/>
      <c r="L700" s="12"/>
      <c r="M700" s="12"/>
      <c r="N700" s="12"/>
      <c r="O700" s="12"/>
      <c r="P700" s="12"/>
    </row>
    <row r="701">
      <c r="A701" s="12"/>
      <c r="D701" s="95"/>
      <c r="E701" s="14"/>
      <c r="F701" s="96"/>
      <c r="H701" s="12"/>
      <c r="I701" s="12"/>
      <c r="J701" s="12"/>
      <c r="K701" s="12"/>
      <c r="L701" s="12"/>
      <c r="M701" s="12"/>
      <c r="N701" s="12"/>
      <c r="O701" s="12"/>
      <c r="P701" s="12"/>
    </row>
    <row r="702">
      <c r="A702" s="12"/>
      <c r="D702" s="95"/>
      <c r="E702" s="14"/>
      <c r="F702" s="96"/>
      <c r="H702" s="12"/>
      <c r="I702" s="12"/>
      <c r="J702" s="12"/>
      <c r="K702" s="12"/>
      <c r="L702" s="12"/>
      <c r="M702" s="12"/>
      <c r="N702" s="12"/>
      <c r="O702" s="12"/>
      <c r="P702" s="12"/>
    </row>
    <row r="703">
      <c r="A703" s="12"/>
      <c r="D703" s="95"/>
      <c r="E703" s="14"/>
      <c r="F703" s="96"/>
      <c r="H703" s="12"/>
      <c r="I703" s="12"/>
      <c r="J703" s="12"/>
      <c r="K703" s="12"/>
      <c r="L703" s="12"/>
      <c r="M703" s="12"/>
      <c r="N703" s="12"/>
      <c r="O703" s="12"/>
      <c r="P703" s="12"/>
    </row>
    <row r="704">
      <c r="A704" s="12"/>
      <c r="D704" s="95"/>
      <c r="E704" s="14"/>
      <c r="F704" s="96"/>
      <c r="H704" s="12"/>
      <c r="I704" s="12"/>
      <c r="J704" s="12"/>
      <c r="K704" s="12"/>
      <c r="L704" s="12"/>
      <c r="M704" s="12"/>
      <c r="N704" s="12"/>
      <c r="O704" s="12"/>
      <c r="P704" s="12"/>
    </row>
    <row r="705">
      <c r="A705" s="12"/>
      <c r="D705" s="95"/>
      <c r="E705" s="14"/>
      <c r="F705" s="96"/>
      <c r="H705" s="12"/>
      <c r="I705" s="12"/>
      <c r="J705" s="12"/>
      <c r="K705" s="12"/>
      <c r="L705" s="12"/>
      <c r="M705" s="12"/>
      <c r="N705" s="12"/>
      <c r="O705" s="12"/>
      <c r="P705" s="12"/>
    </row>
    <row r="706">
      <c r="A706" s="12"/>
      <c r="D706" s="95"/>
      <c r="E706" s="14"/>
      <c r="F706" s="96"/>
      <c r="H706" s="12"/>
      <c r="I706" s="12"/>
      <c r="J706" s="12"/>
      <c r="K706" s="12"/>
      <c r="L706" s="12"/>
      <c r="M706" s="12"/>
      <c r="N706" s="12"/>
      <c r="O706" s="12"/>
      <c r="P706" s="12"/>
    </row>
    <row r="707">
      <c r="A707" s="12"/>
      <c r="D707" s="95"/>
      <c r="E707" s="14"/>
      <c r="F707" s="96"/>
      <c r="H707" s="12"/>
      <c r="I707" s="12"/>
      <c r="J707" s="12"/>
      <c r="K707" s="12"/>
      <c r="L707" s="12"/>
      <c r="M707" s="12"/>
      <c r="N707" s="12"/>
      <c r="O707" s="12"/>
      <c r="P707" s="12"/>
    </row>
    <row r="708">
      <c r="A708" s="12"/>
      <c r="D708" s="95"/>
      <c r="E708" s="14"/>
      <c r="F708" s="96"/>
      <c r="H708" s="12"/>
      <c r="I708" s="12"/>
      <c r="J708" s="12"/>
      <c r="K708" s="12"/>
      <c r="L708" s="12"/>
      <c r="M708" s="12"/>
      <c r="N708" s="12"/>
      <c r="O708" s="12"/>
      <c r="P708" s="12"/>
    </row>
    <row r="709">
      <c r="A709" s="12"/>
      <c r="D709" s="95"/>
      <c r="E709" s="14"/>
      <c r="F709" s="96"/>
      <c r="H709" s="12"/>
      <c r="I709" s="12"/>
      <c r="J709" s="12"/>
      <c r="K709" s="12"/>
      <c r="L709" s="12"/>
      <c r="M709" s="12"/>
      <c r="N709" s="12"/>
      <c r="O709" s="12"/>
      <c r="P709" s="12"/>
    </row>
    <row r="710">
      <c r="A710" s="12"/>
      <c r="D710" s="95"/>
      <c r="E710" s="14"/>
      <c r="F710" s="96"/>
      <c r="H710" s="12"/>
      <c r="I710" s="12"/>
      <c r="J710" s="12"/>
      <c r="K710" s="12"/>
      <c r="L710" s="12"/>
      <c r="M710" s="12"/>
      <c r="N710" s="12"/>
      <c r="O710" s="12"/>
      <c r="P710" s="12"/>
    </row>
    <row r="711">
      <c r="A711" s="12"/>
      <c r="D711" s="95"/>
      <c r="E711" s="14"/>
      <c r="F711" s="96"/>
      <c r="H711" s="12"/>
      <c r="I711" s="12"/>
      <c r="J711" s="12"/>
      <c r="K711" s="12"/>
      <c r="L711" s="12"/>
      <c r="M711" s="12"/>
      <c r="N711" s="12"/>
      <c r="O711" s="12"/>
      <c r="P711" s="12"/>
    </row>
    <row r="712">
      <c r="A712" s="12"/>
      <c r="D712" s="95"/>
      <c r="E712" s="14"/>
      <c r="F712" s="96"/>
      <c r="H712" s="12"/>
      <c r="I712" s="12"/>
      <c r="J712" s="12"/>
      <c r="K712" s="12"/>
      <c r="L712" s="12"/>
      <c r="M712" s="12"/>
      <c r="N712" s="12"/>
      <c r="O712" s="12"/>
      <c r="P712" s="12"/>
    </row>
    <row r="713">
      <c r="A713" s="12"/>
      <c r="D713" s="95"/>
      <c r="E713" s="14"/>
      <c r="F713" s="96"/>
      <c r="H713" s="12"/>
      <c r="I713" s="12"/>
      <c r="J713" s="12"/>
      <c r="K713" s="12"/>
      <c r="L713" s="12"/>
      <c r="M713" s="12"/>
      <c r="N713" s="12"/>
      <c r="O713" s="12"/>
      <c r="P713" s="12"/>
    </row>
    <row r="714">
      <c r="A714" s="12"/>
      <c r="D714" s="95"/>
      <c r="E714" s="14"/>
      <c r="F714" s="96"/>
      <c r="H714" s="12"/>
      <c r="I714" s="12"/>
      <c r="J714" s="12"/>
      <c r="K714" s="12"/>
      <c r="L714" s="12"/>
      <c r="M714" s="12"/>
      <c r="N714" s="12"/>
      <c r="O714" s="12"/>
      <c r="P714" s="12"/>
    </row>
    <row r="715">
      <c r="A715" s="12"/>
      <c r="D715" s="95"/>
      <c r="E715" s="14"/>
      <c r="F715" s="96"/>
      <c r="H715" s="12"/>
      <c r="I715" s="12"/>
      <c r="J715" s="12"/>
      <c r="K715" s="12"/>
      <c r="L715" s="12"/>
      <c r="M715" s="12"/>
      <c r="N715" s="12"/>
      <c r="O715" s="12"/>
      <c r="P715" s="12"/>
    </row>
    <row r="716">
      <c r="A716" s="12"/>
      <c r="D716" s="95"/>
      <c r="E716" s="14"/>
      <c r="F716" s="96"/>
      <c r="H716" s="12"/>
      <c r="I716" s="12"/>
      <c r="J716" s="12"/>
      <c r="K716" s="12"/>
      <c r="L716" s="12"/>
      <c r="M716" s="12"/>
      <c r="N716" s="12"/>
      <c r="O716" s="12"/>
      <c r="P716" s="12"/>
    </row>
    <row r="717">
      <c r="A717" s="12"/>
      <c r="D717" s="95"/>
      <c r="E717" s="14"/>
      <c r="F717" s="96"/>
      <c r="H717" s="12"/>
      <c r="I717" s="12"/>
      <c r="J717" s="12"/>
      <c r="K717" s="12"/>
      <c r="L717" s="12"/>
      <c r="M717" s="12"/>
      <c r="N717" s="12"/>
      <c r="O717" s="12"/>
      <c r="P717" s="12"/>
    </row>
    <row r="718">
      <c r="A718" s="12"/>
      <c r="D718" s="95"/>
      <c r="E718" s="14"/>
      <c r="F718" s="96"/>
      <c r="H718" s="12"/>
      <c r="I718" s="12"/>
      <c r="J718" s="12"/>
      <c r="K718" s="12"/>
      <c r="L718" s="12"/>
      <c r="M718" s="12"/>
      <c r="N718" s="12"/>
      <c r="O718" s="12"/>
      <c r="P718" s="12"/>
    </row>
    <row r="719">
      <c r="A719" s="12"/>
      <c r="D719" s="95"/>
      <c r="E719" s="14"/>
      <c r="F719" s="96"/>
      <c r="H719" s="12"/>
      <c r="I719" s="12"/>
      <c r="J719" s="12"/>
      <c r="K719" s="12"/>
      <c r="L719" s="12"/>
      <c r="M719" s="12"/>
      <c r="N719" s="12"/>
      <c r="O719" s="12"/>
      <c r="P719" s="12"/>
    </row>
    <row r="720">
      <c r="A720" s="12"/>
      <c r="D720" s="95"/>
      <c r="E720" s="14"/>
      <c r="F720" s="96"/>
      <c r="H720" s="12"/>
      <c r="I720" s="12"/>
      <c r="J720" s="12"/>
      <c r="K720" s="12"/>
      <c r="L720" s="12"/>
      <c r="M720" s="12"/>
      <c r="N720" s="12"/>
      <c r="O720" s="12"/>
      <c r="P720" s="12"/>
    </row>
    <row r="721">
      <c r="A721" s="12"/>
      <c r="D721" s="95"/>
      <c r="E721" s="14"/>
      <c r="F721" s="96"/>
      <c r="H721" s="12"/>
      <c r="I721" s="12"/>
      <c r="J721" s="12"/>
      <c r="K721" s="12"/>
      <c r="L721" s="12"/>
      <c r="M721" s="12"/>
      <c r="N721" s="12"/>
      <c r="O721" s="12"/>
      <c r="P721" s="12"/>
    </row>
    <row r="722">
      <c r="A722" s="12"/>
      <c r="D722" s="95"/>
      <c r="E722" s="14"/>
      <c r="F722" s="96"/>
      <c r="H722" s="12"/>
      <c r="I722" s="12"/>
      <c r="J722" s="12"/>
      <c r="K722" s="12"/>
      <c r="L722" s="12"/>
      <c r="M722" s="12"/>
      <c r="N722" s="12"/>
      <c r="O722" s="12"/>
      <c r="P722" s="12"/>
    </row>
    <row r="723">
      <c r="A723" s="12"/>
      <c r="D723" s="95"/>
      <c r="E723" s="14"/>
      <c r="F723" s="96"/>
      <c r="H723" s="12"/>
      <c r="I723" s="12"/>
      <c r="J723" s="12"/>
      <c r="K723" s="12"/>
      <c r="L723" s="12"/>
      <c r="M723" s="12"/>
      <c r="N723" s="12"/>
      <c r="O723" s="12"/>
      <c r="P723" s="12"/>
    </row>
    <row r="724">
      <c r="A724" s="12"/>
      <c r="D724" s="95"/>
      <c r="E724" s="14"/>
      <c r="F724" s="96"/>
      <c r="H724" s="12"/>
      <c r="I724" s="12"/>
      <c r="J724" s="12"/>
      <c r="K724" s="12"/>
      <c r="L724" s="12"/>
      <c r="M724" s="12"/>
      <c r="N724" s="12"/>
      <c r="O724" s="12"/>
      <c r="P724" s="12"/>
    </row>
    <row r="725">
      <c r="A725" s="12"/>
      <c r="D725" s="95"/>
      <c r="E725" s="14"/>
      <c r="F725" s="96"/>
      <c r="H725" s="12"/>
      <c r="I725" s="12"/>
      <c r="J725" s="12"/>
      <c r="K725" s="12"/>
      <c r="L725" s="12"/>
      <c r="M725" s="12"/>
      <c r="N725" s="12"/>
      <c r="O725" s="12"/>
      <c r="P725" s="12"/>
    </row>
    <row r="726">
      <c r="A726" s="12"/>
      <c r="D726" s="95"/>
      <c r="E726" s="14"/>
      <c r="F726" s="96"/>
      <c r="H726" s="12"/>
      <c r="I726" s="12"/>
      <c r="J726" s="12"/>
      <c r="K726" s="12"/>
      <c r="L726" s="12"/>
      <c r="M726" s="12"/>
      <c r="N726" s="12"/>
      <c r="O726" s="12"/>
      <c r="P726" s="12"/>
    </row>
    <row r="727">
      <c r="A727" s="12"/>
      <c r="D727" s="95"/>
      <c r="E727" s="14"/>
      <c r="F727" s="96"/>
      <c r="H727" s="12"/>
      <c r="I727" s="12"/>
      <c r="J727" s="12"/>
      <c r="K727" s="12"/>
      <c r="L727" s="12"/>
      <c r="M727" s="12"/>
      <c r="N727" s="12"/>
      <c r="O727" s="12"/>
      <c r="P727" s="12"/>
    </row>
    <row r="728">
      <c r="A728" s="12"/>
      <c r="D728" s="95"/>
      <c r="E728" s="14"/>
      <c r="F728" s="96"/>
      <c r="H728" s="12"/>
      <c r="I728" s="12"/>
      <c r="J728" s="12"/>
      <c r="K728" s="12"/>
      <c r="L728" s="12"/>
      <c r="M728" s="12"/>
      <c r="N728" s="12"/>
      <c r="O728" s="12"/>
      <c r="P728" s="12"/>
    </row>
    <row r="729">
      <c r="A729" s="12"/>
      <c r="D729" s="95"/>
      <c r="E729" s="14"/>
      <c r="F729" s="96"/>
      <c r="H729" s="12"/>
      <c r="I729" s="12"/>
      <c r="J729" s="12"/>
      <c r="K729" s="12"/>
      <c r="L729" s="12"/>
      <c r="M729" s="12"/>
      <c r="N729" s="12"/>
      <c r="O729" s="12"/>
      <c r="P729" s="12"/>
    </row>
    <row r="730">
      <c r="A730" s="12"/>
      <c r="D730" s="95"/>
      <c r="E730" s="14"/>
      <c r="F730" s="96"/>
      <c r="H730" s="12"/>
      <c r="I730" s="12"/>
      <c r="J730" s="12"/>
      <c r="K730" s="12"/>
      <c r="L730" s="12"/>
      <c r="M730" s="12"/>
      <c r="N730" s="12"/>
      <c r="O730" s="12"/>
      <c r="P730" s="12"/>
    </row>
    <row r="731">
      <c r="A731" s="12"/>
      <c r="D731" s="95"/>
      <c r="E731" s="14"/>
      <c r="F731" s="96"/>
      <c r="H731" s="12"/>
      <c r="I731" s="12"/>
      <c r="J731" s="12"/>
      <c r="K731" s="12"/>
      <c r="L731" s="12"/>
      <c r="M731" s="12"/>
      <c r="N731" s="12"/>
      <c r="O731" s="12"/>
      <c r="P731" s="12"/>
    </row>
    <row r="732">
      <c r="A732" s="12"/>
      <c r="D732" s="95"/>
      <c r="E732" s="14"/>
      <c r="F732" s="96"/>
      <c r="H732" s="12"/>
      <c r="I732" s="12"/>
      <c r="J732" s="12"/>
      <c r="K732" s="12"/>
      <c r="L732" s="12"/>
      <c r="M732" s="12"/>
      <c r="N732" s="12"/>
      <c r="O732" s="12"/>
      <c r="P732" s="12"/>
    </row>
    <row r="733">
      <c r="A733" s="12"/>
      <c r="D733" s="95"/>
      <c r="E733" s="14"/>
      <c r="F733" s="96"/>
      <c r="H733" s="12"/>
      <c r="I733" s="12"/>
      <c r="J733" s="12"/>
      <c r="K733" s="12"/>
      <c r="L733" s="12"/>
      <c r="M733" s="12"/>
      <c r="N733" s="12"/>
      <c r="O733" s="12"/>
      <c r="P733" s="12"/>
    </row>
    <row r="734">
      <c r="A734" s="12"/>
      <c r="D734" s="95"/>
      <c r="E734" s="14"/>
      <c r="F734" s="96"/>
      <c r="H734" s="12"/>
      <c r="I734" s="12"/>
      <c r="J734" s="12"/>
      <c r="K734" s="12"/>
      <c r="L734" s="12"/>
      <c r="M734" s="12"/>
      <c r="N734" s="12"/>
      <c r="O734" s="12"/>
      <c r="P734" s="12"/>
    </row>
    <row r="735">
      <c r="A735" s="12"/>
      <c r="D735" s="95"/>
      <c r="E735" s="14"/>
      <c r="F735" s="96"/>
      <c r="H735" s="12"/>
      <c r="I735" s="12"/>
      <c r="J735" s="12"/>
      <c r="K735" s="12"/>
      <c r="L735" s="12"/>
      <c r="M735" s="12"/>
      <c r="N735" s="12"/>
      <c r="O735" s="12"/>
      <c r="P735" s="12"/>
    </row>
    <row r="736">
      <c r="A736" s="12"/>
      <c r="D736" s="95"/>
      <c r="E736" s="14"/>
      <c r="F736" s="96"/>
      <c r="H736" s="12"/>
      <c r="I736" s="12"/>
      <c r="J736" s="12"/>
      <c r="K736" s="12"/>
      <c r="L736" s="12"/>
      <c r="M736" s="12"/>
      <c r="N736" s="12"/>
      <c r="O736" s="12"/>
      <c r="P736" s="12"/>
    </row>
    <row r="737">
      <c r="A737" s="12"/>
      <c r="D737" s="95"/>
      <c r="E737" s="14"/>
      <c r="F737" s="96"/>
      <c r="H737" s="12"/>
      <c r="I737" s="12"/>
      <c r="J737" s="12"/>
      <c r="K737" s="12"/>
      <c r="L737" s="12"/>
      <c r="M737" s="12"/>
      <c r="N737" s="12"/>
      <c r="O737" s="12"/>
      <c r="P737" s="12"/>
    </row>
    <row r="738">
      <c r="A738" s="12"/>
      <c r="D738" s="95"/>
      <c r="E738" s="14"/>
      <c r="F738" s="96"/>
      <c r="H738" s="12"/>
      <c r="I738" s="12"/>
      <c r="J738" s="12"/>
      <c r="K738" s="12"/>
      <c r="L738" s="12"/>
      <c r="M738" s="12"/>
      <c r="N738" s="12"/>
      <c r="O738" s="12"/>
      <c r="P738" s="12"/>
    </row>
    <row r="739">
      <c r="A739" s="12"/>
      <c r="D739" s="95"/>
      <c r="E739" s="14"/>
      <c r="F739" s="96"/>
      <c r="H739" s="12"/>
      <c r="I739" s="12"/>
      <c r="J739" s="12"/>
      <c r="K739" s="12"/>
      <c r="L739" s="12"/>
      <c r="M739" s="12"/>
      <c r="N739" s="12"/>
      <c r="O739" s="12"/>
      <c r="P739" s="12"/>
    </row>
    <row r="740">
      <c r="A740" s="12"/>
      <c r="D740" s="95"/>
      <c r="E740" s="14"/>
      <c r="F740" s="96"/>
      <c r="H740" s="12"/>
      <c r="I740" s="12"/>
      <c r="J740" s="12"/>
      <c r="K740" s="12"/>
      <c r="L740" s="12"/>
      <c r="M740" s="12"/>
      <c r="N740" s="12"/>
      <c r="O740" s="12"/>
      <c r="P740" s="12"/>
    </row>
    <row r="741">
      <c r="A741" s="12"/>
      <c r="D741" s="95"/>
      <c r="E741" s="14"/>
      <c r="F741" s="96"/>
      <c r="H741" s="12"/>
      <c r="I741" s="12"/>
      <c r="J741" s="12"/>
      <c r="K741" s="12"/>
      <c r="L741" s="12"/>
      <c r="M741" s="12"/>
      <c r="N741" s="12"/>
      <c r="O741" s="12"/>
      <c r="P741" s="12"/>
    </row>
    <row r="742">
      <c r="A742" s="12"/>
      <c r="D742" s="95"/>
      <c r="E742" s="14"/>
      <c r="F742" s="96"/>
      <c r="H742" s="12"/>
      <c r="I742" s="12"/>
      <c r="J742" s="12"/>
      <c r="K742" s="12"/>
      <c r="L742" s="12"/>
      <c r="M742" s="12"/>
      <c r="N742" s="12"/>
      <c r="O742" s="12"/>
      <c r="P742" s="12"/>
    </row>
    <row r="743">
      <c r="A743" s="12"/>
      <c r="D743" s="95"/>
      <c r="E743" s="14"/>
      <c r="F743" s="96"/>
      <c r="H743" s="12"/>
      <c r="I743" s="12"/>
      <c r="J743" s="12"/>
      <c r="K743" s="12"/>
      <c r="L743" s="12"/>
      <c r="M743" s="12"/>
      <c r="N743" s="12"/>
      <c r="O743" s="12"/>
      <c r="P743" s="12"/>
    </row>
    <row r="744">
      <c r="A744" s="12"/>
      <c r="D744" s="95"/>
      <c r="E744" s="14"/>
      <c r="F744" s="96"/>
      <c r="H744" s="12"/>
      <c r="I744" s="12"/>
      <c r="J744" s="12"/>
      <c r="K744" s="12"/>
      <c r="L744" s="12"/>
      <c r="M744" s="12"/>
      <c r="N744" s="12"/>
      <c r="O744" s="12"/>
      <c r="P744" s="12"/>
    </row>
    <row r="745">
      <c r="A745" s="12"/>
      <c r="D745" s="95"/>
      <c r="E745" s="14"/>
      <c r="F745" s="96"/>
      <c r="H745" s="12"/>
      <c r="I745" s="12"/>
      <c r="J745" s="12"/>
      <c r="K745" s="12"/>
      <c r="L745" s="12"/>
      <c r="M745" s="12"/>
      <c r="N745" s="12"/>
      <c r="O745" s="12"/>
      <c r="P745" s="12"/>
    </row>
    <row r="746">
      <c r="A746" s="12"/>
      <c r="D746" s="95"/>
      <c r="E746" s="14"/>
      <c r="F746" s="96"/>
      <c r="H746" s="12"/>
      <c r="I746" s="12"/>
      <c r="J746" s="12"/>
      <c r="K746" s="12"/>
      <c r="L746" s="12"/>
      <c r="M746" s="12"/>
      <c r="N746" s="12"/>
      <c r="O746" s="12"/>
      <c r="P746" s="12"/>
    </row>
    <row r="747">
      <c r="A747" s="12"/>
      <c r="D747" s="95"/>
      <c r="E747" s="14"/>
      <c r="F747" s="96"/>
      <c r="H747" s="12"/>
      <c r="I747" s="12"/>
      <c r="J747" s="12"/>
      <c r="K747" s="12"/>
      <c r="L747" s="12"/>
      <c r="M747" s="12"/>
      <c r="N747" s="12"/>
      <c r="O747" s="12"/>
      <c r="P747" s="12"/>
    </row>
    <row r="748">
      <c r="A748" s="12"/>
      <c r="D748" s="95"/>
      <c r="E748" s="14"/>
      <c r="F748" s="96"/>
      <c r="H748" s="12"/>
      <c r="I748" s="12"/>
      <c r="J748" s="12"/>
      <c r="K748" s="12"/>
      <c r="L748" s="12"/>
      <c r="M748" s="12"/>
      <c r="N748" s="12"/>
      <c r="O748" s="12"/>
      <c r="P748" s="12"/>
    </row>
    <row r="749">
      <c r="A749" s="12"/>
      <c r="D749" s="95"/>
      <c r="E749" s="14"/>
      <c r="F749" s="96"/>
      <c r="H749" s="12"/>
      <c r="I749" s="12"/>
      <c r="J749" s="12"/>
      <c r="K749" s="12"/>
      <c r="L749" s="12"/>
      <c r="M749" s="12"/>
      <c r="N749" s="12"/>
      <c r="O749" s="12"/>
      <c r="P749" s="12"/>
    </row>
    <row r="750">
      <c r="A750" s="12"/>
      <c r="D750" s="95"/>
      <c r="E750" s="14"/>
      <c r="F750" s="96"/>
      <c r="H750" s="12"/>
      <c r="I750" s="12"/>
      <c r="J750" s="12"/>
      <c r="K750" s="12"/>
      <c r="L750" s="12"/>
      <c r="M750" s="12"/>
      <c r="N750" s="12"/>
      <c r="O750" s="12"/>
      <c r="P750" s="12"/>
    </row>
    <row r="751">
      <c r="A751" s="12"/>
      <c r="D751" s="95"/>
      <c r="E751" s="14"/>
      <c r="F751" s="96"/>
      <c r="H751" s="12"/>
      <c r="I751" s="12"/>
      <c r="J751" s="12"/>
      <c r="K751" s="12"/>
      <c r="L751" s="12"/>
      <c r="M751" s="12"/>
      <c r="N751" s="12"/>
      <c r="O751" s="12"/>
      <c r="P751" s="12"/>
    </row>
    <row r="752">
      <c r="A752" s="12"/>
      <c r="D752" s="95"/>
      <c r="E752" s="14"/>
      <c r="F752" s="96"/>
      <c r="H752" s="12"/>
      <c r="I752" s="12"/>
      <c r="J752" s="12"/>
      <c r="K752" s="12"/>
      <c r="L752" s="12"/>
      <c r="M752" s="12"/>
      <c r="N752" s="12"/>
      <c r="O752" s="12"/>
      <c r="P752" s="12"/>
    </row>
    <row r="753">
      <c r="A753" s="12"/>
      <c r="D753" s="95"/>
      <c r="E753" s="14"/>
      <c r="F753" s="96"/>
      <c r="H753" s="12"/>
      <c r="I753" s="12"/>
      <c r="J753" s="12"/>
      <c r="K753" s="12"/>
      <c r="L753" s="12"/>
      <c r="M753" s="12"/>
      <c r="N753" s="12"/>
      <c r="O753" s="12"/>
      <c r="P753" s="12"/>
    </row>
    <row r="754">
      <c r="A754" s="12"/>
      <c r="D754" s="95"/>
      <c r="E754" s="14"/>
      <c r="F754" s="96"/>
      <c r="H754" s="12"/>
      <c r="I754" s="12"/>
      <c r="J754" s="12"/>
      <c r="K754" s="12"/>
      <c r="L754" s="12"/>
      <c r="M754" s="12"/>
      <c r="N754" s="12"/>
      <c r="O754" s="12"/>
      <c r="P754" s="12"/>
    </row>
    <row r="755">
      <c r="A755" s="12"/>
      <c r="D755" s="95"/>
      <c r="E755" s="14"/>
      <c r="F755" s="96"/>
      <c r="H755" s="12"/>
      <c r="I755" s="12"/>
      <c r="J755" s="12"/>
      <c r="K755" s="12"/>
      <c r="L755" s="12"/>
      <c r="M755" s="12"/>
      <c r="N755" s="12"/>
      <c r="O755" s="12"/>
      <c r="P755" s="12"/>
    </row>
    <row r="756">
      <c r="A756" s="12"/>
      <c r="D756" s="95"/>
      <c r="E756" s="14"/>
      <c r="F756" s="96"/>
      <c r="H756" s="12"/>
      <c r="I756" s="12"/>
      <c r="J756" s="12"/>
      <c r="K756" s="12"/>
      <c r="L756" s="12"/>
      <c r="M756" s="12"/>
      <c r="N756" s="12"/>
      <c r="O756" s="12"/>
      <c r="P756" s="12"/>
    </row>
    <row r="757">
      <c r="A757" s="12"/>
      <c r="D757" s="95"/>
      <c r="E757" s="14"/>
      <c r="F757" s="96"/>
      <c r="H757" s="12"/>
      <c r="I757" s="12"/>
      <c r="J757" s="12"/>
      <c r="K757" s="12"/>
      <c r="L757" s="12"/>
      <c r="M757" s="12"/>
      <c r="N757" s="12"/>
      <c r="O757" s="12"/>
      <c r="P757" s="12"/>
    </row>
    <row r="758">
      <c r="A758" s="12"/>
      <c r="D758" s="95"/>
      <c r="E758" s="14"/>
      <c r="F758" s="96"/>
      <c r="H758" s="12"/>
      <c r="I758" s="12"/>
      <c r="J758" s="12"/>
      <c r="K758" s="12"/>
      <c r="L758" s="12"/>
      <c r="M758" s="12"/>
      <c r="N758" s="12"/>
      <c r="O758" s="12"/>
      <c r="P758" s="12"/>
    </row>
    <row r="759">
      <c r="A759" s="12"/>
      <c r="D759" s="95"/>
      <c r="E759" s="14"/>
      <c r="F759" s="96"/>
      <c r="H759" s="12"/>
      <c r="I759" s="12"/>
      <c r="J759" s="12"/>
      <c r="K759" s="12"/>
      <c r="L759" s="12"/>
      <c r="M759" s="12"/>
      <c r="N759" s="12"/>
      <c r="O759" s="12"/>
      <c r="P759" s="12"/>
    </row>
    <row r="760">
      <c r="A760" s="12"/>
      <c r="D760" s="95"/>
      <c r="E760" s="14"/>
      <c r="F760" s="96"/>
      <c r="H760" s="12"/>
      <c r="I760" s="12"/>
      <c r="J760" s="12"/>
      <c r="K760" s="12"/>
      <c r="L760" s="12"/>
      <c r="M760" s="12"/>
      <c r="N760" s="12"/>
      <c r="O760" s="12"/>
      <c r="P760" s="12"/>
    </row>
    <row r="761">
      <c r="A761" s="12"/>
      <c r="D761" s="95"/>
      <c r="E761" s="14"/>
      <c r="F761" s="96"/>
      <c r="H761" s="12"/>
      <c r="I761" s="12"/>
      <c r="J761" s="12"/>
      <c r="K761" s="12"/>
      <c r="L761" s="12"/>
      <c r="M761" s="12"/>
      <c r="N761" s="12"/>
      <c r="O761" s="12"/>
      <c r="P761" s="12"/>
    </row>
    <row r="762">
      <c r="A762" s="12"/>
      <c r="D762" s="95"/>
      <c r="E762" s="14"/>
      <c r="F762" s="96"/>
      <c r="H762" s="12"/>
      <c r="I762" s="12"/>
      <c r="J762" s="12"/>
      <c r="K762" s="12"/>
      <c r="L762" s="12"/>
      <c r="M762" s="12"/>
      <c r="N762" s="12"/>
      <c r="O762" s="12"/>
      <c r="P762" s="12"/>
    </row>
    <row r="763">
      <c r="A763" s="12"/>
      <c r="D763" s="95"/>
      <c r="E763" s="14"/>
      <c r="F763" s="96"/>
      <c r="H763" s="12"/>
      <c r="I763" s="12"/>
      <c r="J763" s="12"/>
      <c r="K763" s="12"/>
      <c r="L763" s="12"/>
      <c r="M763" s="12"/>
      <c r="N763" s="12"/>
      <c r="O763" s="12"/>
      <c r="P763" s="12"/>
    </row>
    <row r="764">
      <c r="A764" s="12"/>
      <c r="D764" s="95"/>
      <c r="E764" s="14"/>
      <c r="F764" s="96"/>
      <c r="H764" s="12"/>
      <c r="I764" s="12"/>
      <c r="J764" s="12"/>
      <c r="K764" s="12"/>
      <c r="L764" s="12"/>
      <c r="M764" s="12"/>
      <c r="N764" s="12"/>
      <c r="O764" s="12"/>
      <c r="P764" s="12"/>
    </row>
    <row r="765">
      <c r="A765" s="12"/>
      <c r="D765" s="95"/>
      <c r="E765" s="14"/>
      <c r="F765" s="96"/>
      <c r="H765" s="12"/>
      <c r="I765" s="12"/>
      <c r="J765" s="12"/>
      <c r="K765" s="12"/>
      <c r="L765" s="12"/>
      <c r="M765" s="12"/>
      <c r="N765" s="12"/>
      <c r="O765" s="12"/>
      <c r="P765" s="12"/>
    </row>
    <row r="766">
      <c r="A766" s="12"/>
      <c r="D766" s="95"/>
      <c r="E766" s="14"/>
      <c r="F766" s="96"/>
      <c r="H766" s="12"/>
      <c r="I766" s="12"/>
      <c r="J766" s="12"/>
      <c r="K766" s="12"/>
      <c r="L766" s="12"/>
      <c r="M766" s="12"/>
      <c r="N766" s="12"/>
      <c r="O766" s="12"/>
      <c r="P766" s="12"/>
    </row>
    <row r="767">
      <c r="A767" s="12"/>
      <c r="D767" s="95"/>
      <c r="E767" s="14"/>
      <c r="F767" s="96"/>
      <c r="H767" s="12"/>
      <c r="I767" s="12"/>
      <c r="J767" s="12"/>
      <c r="K767" s="12"/>
      <c r="L767" s="12"/>
      <c r="M767" s="12"/>
      <c r="N767" s="12"/>
      <c r="O767" s="12"/>
      <c r="P767" s="12"/>
    </row>
    <row r="768">
      <c r="A768" s="12"/>
      <c r="D768" s="95"/>
      <c r="E768" s="14"/>
      <c r="F768" s="96"/>
      <c r="H768" s="12"/>
      <c r="I768" s="12"/>
      <c r="J768" s="12"/>
      <c r="K768" s="12"/>
      <c r="L768" s="12"/>
      <c r="M768" s="12"/>
      <c r="N768" s="12"/>
      <c r="O768" s="12"/>
      <c r="P768" s="12"/>
    </row>
    <row r="769">
      <c r="A769" s="12"/>
      <c r="D769" s="95"/>
      <c r="E769" s="14"/>
      <c r="F769" s="96"/>
      <c r="H769" s="12"/>
      <c r="I769" s="12"/>
      <c r="J769" s="12"/>
      <c r="K769" s="12"/>
      <c r="L769" s="12"/>
      <c r="M769" s="12"/>
      <c r="N769" s="12"/>
      <c r="O769" s="12"/>
      <c r="P769" s="12"/>
    </row>
    <row r="770">
      <c r="A770" s="12"/>
      <c r="D770" s="95"/>
      <c r="E770" s="14"/>
      <c r="F770" s="96"/>
      <c r="H770" s="12"/>
      <c r="I770" s="12"/>
      <c r="J770" s="12"/>
      <c r="K770" s="12"/>
      <c r="L770" s="12"/>
      <c r="M770" s="12"/>
      <c r="N770" s="12"/>
      <c r="O770" s="12"/>
      <c r="P770" s="12"/>
    </row>
    <row r="771">
      <c r="A771" s="12"/>
      <c r="D771" s="95"/>
      <c r="E771" s="14"/>
      <c r="F771" s="96"/>
      <c r="H771" s="12"/>
      <c r="I771" s="12"/>
      <c r="J771" s="12"/>
      <c r="K771" s="12"/>
      <c r="L771" s="12"/>
      <c r="M771" s="12"/>
      <c r="N771" s="12"/>
      <c r="O771" s="12"/>
      <c r="P771" s="12"/>
    </row>
    <row r="772">
      <c r="A772" s="12"/>
      <c r="D772" s="95"/>
      <c r="E772" s="14"/>
      <c r="F772" s="96"/>
      <c r="H772" s="12"/>
      <c r="I772" s="12"/>
      <c r="J772" s="12"/>
      <c r="K772" s="12"/>
      <c r="L772" s="12"/>
      <c r="M772" s="12"/>
      <c r="N772" s="12"/>
      <c r="O772" s="12"/>
      <c r="P772" s="12"/>
    </row>
    <row r="773">
      <c r="A773" s="12"/>
      <c r="D773" s="95"/>
      <c r="E773" s="14"/>
      <c r="F773" s="96"/>
      <c r="H773" s="12"/>
      <c r="I773" s="12"/>
      <c r="J773" s="12"/>
      <c r="K773" s="12"/>
      <c r="L773" s="12"/>
      <c r="M773" s="12"/>
      <c r="N773" s="12"/>
      <c r="O773" s="12"/>
      <c r="P773" s="12"/>
    </row>
    <row r="774">
      <c r="A774" s="12"/>
      <c r="D774" s="95"/>
      <c r="E774" s="14"/>
      <c r="F774" s="96"/>
      <c r="H774" s="12"/>
      <c r="I774" s="12"/>
      <c r="J774" s="12"/>
      <c r="K774" s="12"/>
      <c r="L774" s="12"/>
      <c r="M774" s="12"/>
      <c r="N774" s="12"/>
      <c r="O774" s="12"/>
      <c r="P774" s="12"/>
    </row>
    <row r="775">
      <c r="A775" s="12"/>
      <c r="D775" s="95"/>
      <c r="E775" s="14"/>
      <c r="F775" s="96"/>
      <c r="H775" s="12"/>
      <c r="I775" s="12"/>
      <c r="J775" s="12"/>
      <c r="K775" s="12"/>
      <c r="L775" s="12"/>
      <c r="M775" s="12"/>
      <c r="N775" s="12"/>
      <c r="O775" s="12"/>
      <c r="P775" s="12"/>
    </row>
    <row r="776">
      <c r="A776" s="12"/>
      <c r="D776" s="95"/>
      <c r="E776" s="14"/>
      <c r="F776" s="96"/>
      <c r="H776" s="12"/>
      <c r="I776" s="12"/>
      <c r="J776" s="12"/>
      <c r="K776" s="12"/>
      <c r="L776" s="12"/>
      <c r="M776" s="12"/>
      <c r="N776" s="12"/>
      <c r="O776" s="12"/>
      <c r="P776" s="12"/>
    </row>
    <row r="777">
      <c r="A777" s="12"/>
      <c r="D777" s="95"/>
      <c r="E777" s="14"/>
      <c r="F777" s="96"/>
      <c r="H777" s="12"/>
      <c r="I777" s="12"/>
      <c r="J777" s="12"/>
      <c r="K777" s="12"/>
      <c r="L777" s="12"/>
      <c r="M777" s="12"/>
      <c r="N777" s="12"/>
      <c r="O777" s="12"/>
      <c r="P777" s="12"/>
    </row>
    <row r="778">
      <c r="A778" s="12"/>
      <c r="D778" s="95"/>
      <c r="E778" s="14"/>
      <c r="F778" s="96"/>
      <c r="H778" s="12"/>
      <c r="I778" s="12"/>
      <c r="J778" s="12"/>
      <c r="K778" s="12"/>
      <c r="L778" s="12"/>
      <c r="M778" s="12"/>
      <c r="N778" s="12"/>
      <c r="O778" s="12"/>
      <c r="P778" s="12"/>
    </row>
    <row r="779">
      <c r="A779" s="12"/>
      <c r="D779" s="95"/>
      <c r="E779" s="14"/>
      <c r="F779" s="96"/>
      <c r="H779" s="12"/>
      <c r="I779" s="12"/>
      <c r="J779" s="12"/>
      <c r="K779" s="12"/>
      <c r="L779" s="12"/>
      <c r="M779" s="12"/>
      <c r="N779" s="12"/>
      <c r="O779" s="12"/>
      <c r="P779" s="12"/>
    </row>
    <row r="780">
      <c r="A780" s="12"/>
      <c r="D780" s="95"/>
      <c r="E780" s="14"/>
      <c r="F780" s="96"/>
      <c r="H780" s="12"/>
      <c r="I780" s="12"/>
      <c r="J780" s="12"/>
      <c r="K780" s="12"/>
      <c r="L780" s="12"/>
      <c r="M780" s="12"/>
      <c r="N780" s="12"/>
      <c r="O780" s="12"/>
      <c r="P780" s="12"/>
    </row>
    <row r="781">
      <c r="A781" s="12"/>
      <c r="D781" s="95"/>
      <c r="E781" s="14"/>
      <c r="F781" s="96"/>
      <c r="H781" s="12"/>
      <c r="I781" s="12"/>
      <c r="J781" s="12"/>
      <c r="K781" s="12"/>
      <c r="L781" s="12"/>
      <c r="M781" s="12"/>
      <c r="N781" s="12"/>
      <c r="O781" s="12"/>
      <c r="P781" s="12"/>
    </row>
    <row r="782">
      <c r="A782" s="12"/>
      <c r="D782" s="95"/>
      <c r="E782" s="14"/>
      <c r="F782" s="96"/>
      <c r="H782" s="12"/>
      <c r="I782" s="12"/>
      <c r="J782" s="12"/>
      <c r="K782" s="12"/>
      <c r="L782" s="12"/>
      <c r="M782" s="12"/>
      <c r="N782" s="12"/>
      <c r="O782" s="12"/>
      <c r="P782" s="12"/>
    </row>
    <row r="783">
      <c r="A783" s="12"/>
      <c r="D783" s="95"/>
      <c r="E783" s="14"/>
      <c r="F783" s="96"/>
      <c r="H783" s="12"/>
      <c r="I783" s="12"/>
      <c r="J783" s="12"/>
      <c r="K783" s="12"/>
      <c r="L783" s="12"/>
      <c r="M783" s="12"/>
      <c r="N783" s="12"/>
      <c r="O783" s="12"/>
      <c r="P783" s="12"/>
    </row>
    <row r="784">
      <c r="A784" s="12"/>
      <c r="D784" s="95"/>
      <c r="E784" s="14"/>
      <c r="F784" s="96"/>
      <c r="H784" s="12"/>
      <c r="I784" s="12"/>
      <c r="J784" s="12"/>
      <c r="K784" s="12"/>
      <c r="L784" s="12"/>
      <c r="M784" s="12"/>
      <c r="N784" s="12"/>
      <c r="O784" s="12"/>
      <c r="P784" s="12"/>
    </row>
    <row r="785">
      <c r="A785" s="12"/>
      <c r="D785" s="95"/>
      <c r="E785" s="14"/>
      <c r="F785" s="96"/>
      <c r="H785" s="12"/>
      <c r="I785" s="12"/>
      <c r="J785" s="12"/>
      <c r="K785" s="12"/>
      <c r="L785" s="12"/>
      <c r="M785" s="12"/>
      <c r="N785" s="12"/>
      <c r="O785" s="12"/>
      <c r="P785" s="12"/>
    </row>
    <row r="786">
      <c r="A786" s="12"/>
      <c r="D786" s="95"/>
      <c r="E786" s="14"/>
      <c r="F786" s="96"/>
      <c r="H786" s="12"/>
      <c r="I786" s="12"/>
      <c r="J786" s="12"/>
      <c r="K786" s="12"/>
      <c r="L786" s="12"/>
      <c r="M786" s="12"/>
      <c r="N786" s="12"/>
      <c r="O786" s="12"/>
      <c r="P786" s="12"/>
    </row>
    <row r="787">
      <c r="A787" s="12"/>
      <c r="D787" s="95"/>
      <c r="E787" s="14"/>
      <c r="F787" s="96"/>
      <c r="H787" s="12"/>
      <c r="I787" s="12"/>
      <c r="J787" s="12"/>
      <c r="K787" s="12"/>
      <c r="L787" s="12"/>
      <c r="M787" s="12"/>
      <c r="N787" s="12"/>
      <c r="O787" s="12"/>
      <c r="P787" s="12"/>
    </row>
    <row r="788">
      <c r="A788" s="12"/>
      <c r="D788" s="95"/>
      <c r="E788" s="14"/>
      <c r="F788" s="96"/>
      <c r="H788" s="12"/>
      <c r="I788" s="12"/>
      <c r="J788" s="12"/>
      <c r="K788" s="12"/>
      <c r="L788" s="12"/>
      <c r="M788" s="12"/>
      <c r="N788" s="12"/>
      <c r="O788" s="12"/>
      <c r="P788" s="12"/>
    </row>
    <row r="789">
      <c r="A789" s="12"/>
      <c r="D789" s="95"/>
      <c r="E789" s="14"/>
      <c r="F789" s="96"/>
      <c r="H789" s="12"/>
      <c r="I789" s="12"/>
      <c r="J789" s="12"/>
      <c r="K789" s="12"/>
      <c r="L789" s="12"/>
      <c r="M789" s="12"/>
      <c r="N789" s="12"/>
      <c r="O789" s="12"/>
      <c r="P789" s="12"/>
    </row>
    <row r="790">
      <c r="A790" s="12"/>
      <c r="D790" s="95"/>
      <c r="E790" s="14"/>
      <c r="F790" s="96"/>
      <c r="H790" s="12"/>
      <c r="I790" s="12"/>
      <c r="J790" s="12"/>
      <c r="K790" s="12"/>
      <c r="L790" s="12"/>
      <c r="M790" s="12"/>
      <c r="N790" s="12"/>
      <c r="O790" s="12"/>
      <c r="P790" s="12"/>
    </row>
    <row r="791">
      <c r="A791" s="12"/>
      <c r="D791" s="95"/>
      <c r="E791" s="14"/>
      <c r="F791" s="96"/>
      <c r="H791" s="12"/>
      <c r="I791" s="12"/>
      <c r="J791" s="12"/>
      <c r="K791" s="12"/>
      <c r="L791" s="12"/>
      <c r="M791" s="12"/>
      <c r="N791" s="12"/>
      <c r="O791" s="12"/>
      <c r="P791" s="12"/>
    </row>
    <row r="792">
      <c r="A792" s="12"/>
      <c r="D792" s="95"/>
      <c r="E792" s="14"/>
      <c r="F792" s="96"/>
      <c r="H792" s="12"/>
      <c r="I792" s="12"/>
      <c r="J792" s="12"/>
      <c r="K792" s="12"/>
      <c r="L792" s="12"/>
      <c r="M792" s="12"/>
      <c r="N792" s="12"/>
      <c r="O792" s="12"/>
      <c r="P792" s="12"/>
    </row>
    <row r="793">
      <c r="A793" s="12"/>
      <c r="D793" s="95"/>
      <c r="E793" s="14"/>
      <c r="F793" s="96"/>
      <c r="H793" s="12"/>
      <c r="I793" s="12"/>
      <c r="J793" s="12"/>
      <c r="K793" s="12"/>
      <c r="L793" s="12"/>
      <c r="M793" s="12"/>
      <c r="N793" s="12"/>
      <c r="O793" s="12"/>
      <c r="P793" s="12"/>
    </row>
    <row r="794">
      <c r="A794" s="12"/>
      <c r="D794" s="95"/>
      <c r="E794" s="14"/>
      <c r="F794" s="96"/>
      <c r="H794" s="12"/>
      <c r="I794" s="12"/>
      <c r="J794" s="12"/>
      <c r="K794" s="12"/>
      <c r="L794" s="12"/>
      <c r="M794" s="12"/>
      <c r="N794" s="12"/>
      <c r="O794" s="12"/>
      <c r="P794" s="12"/>
    </row>
    <row r="795">
      <c r="A795" s="12"/>
      <c r="D795" s="95"/>
      <c r="E795" s="14"/>
      <c r="F795" s="96"/>
      <c r="H795" s="12"/>
      <c r="I795" s="12"/>
      <c r="J795" s="12"/>
      <c r="K795" s="12"/>
      <c r="L795" s="12"/>
      <c r="M795" s="12"/>
      <c r="N795" s="12"/>
      <c r="O795" s="12"/>
      <c r="P795" s="12"/>
    </row>
    <row r="796">
      <c r="A796" s="12"/>
      <c r="D796" s="95"/>
      <c r="E796" s="14"/>
      <c r="F796" s="96"/>
      <c r="H796" s="12"/>
      <c r="I796" s="12"/>
      <c r="J796" s="12"/>
      <c r="K796" s="12"/>
      <c r="L796" s="12"/>
      <c r="M796" s="12"/>
      <c r="N796" s="12"/>
      <c r="O796" s="12"/>
      <c r="P796" s="12"/>
    </row>
    <row r="797">
      <c r="A797" s="12"/>
      <c r="D797" s="95"/>
      <c r="E797" s="14"/>
      <c r="F797" s="96"/>
      <c r="H797" s="12"/>
      <c r="I797" s="12"/>
      <c r="J797" s="12"/>
      <c r="K797" s="12"/>
      <c r="L797" s="12"/>
      <c r="M797" s="12"/>
      <c r="N797" s="12"/>
      <c r="O797" s="12"/>
      <c r="P797" s="12"/>
    </row>
    <row r="798">
      <c r="A798" s="12"/>
      <c r="D798" s="95"/>
      <c r="E798" s="14"/>
      <c r="F798" s="96"/>
      <c r="H798" s="12"/>
      <c r="I798" s="12"/>
      <c r="J798" s="12"/>
      <c r="K798" s="12"/>
      <c r="L798" s="12"/>
      <c r="M798" s="12"/>
      <c r="N798" s="12"/>
      <c r="O798" s="12"/>
      <c r="P798" s="12"/>
    </row>
    <row r="799">
      <c r="A799" s="12"/>
      <c r="D799" s="95"/>
      <c r="E799" s="14"/>
      <c r="F799" s="96"/>
      <c r="H799" s="12"/>
      <c r="I799" s="12"/>
      <c r="J799" s="12"/>
      <c r="K799" s="12"/>
      <c r="L799" s="12"/>
      <c r="M799" s="12"/>
      <c r="N799" s="12"/>
      <c r="O799" s="12"/>
      <c r="P799" s="12"/>
    </row>
    <row r="800">
      <c r="A800" s="12"/>
      <c r="D800" s="95"/>
      <c r="E800" s="14"/>
      <c r="F800" s="96"/>
      <c r="H800" s="12"/>
      <c r="I800" s="12"/>
      <c r="J800" s="12"/>
      <c r="K800" s="12"/>
      <c r="L800" s="12"/>
      <c r="M800" s="12"/>
      <c r="N800" s="12"/>
      <c r="O800" s="12"/>
      <c r="P800" s="12"/>
    </row>
    <row r="801">
      <c r="A801" s="12"/>
      <c r="D801" s="95"/>
      <c r="E801" s="14"/>
      <c r="F801" s="96"/>
      <c r="H801" s="12"/>
      <c r="I801" s="12"/>
      <c r="J801" s="12"/>
      <c r="K801" s="12"/>
      <c r="L801" s="12"/>
      <c r="M801" s="12"/>
      <c r="N801" s="12"/>
      <c r="O801" s="12"/>
      <c r="P801" s="12"/>
    </row>
    <row r="802">
      <c r="A802" s="12"/>
      <c r="D802" s="95"/>
      <c r="E802" s="14"/>
      <c r="F802" s="96"/>
      <c r="H802" s="12"/>
      <c r="I802" s="12"/>
      <c r="J802" s="12"/>
      <c r="K802" s="12"/>
      <c r="L802" s="12"/>
      <c r="M802" s="12"/>
      <c r="N802" s="12"/>
      <c r="O802" s="12"/>
      <c r="P802" s="12"/>
    </row>
    <row r="803">
      <c r="A803" s="12"/>
      <c r="D803" s="95"/>
      <c r="E803" s="14"/>
      <c r="F803" s="96"/>
      <c r="H803" s="12"/>
      <c r="I803" s="12"/>
      <c r="J803" s="12"/>
      <c r="K803" s="12"/>
      <c r="L803" s="12"/>
      <c r="M803" s="12"/>
      <c r="N803" s="12"/>
      <c r="O803" s="12"/>
      <c r="P803" s="12"/>
    </row>
    <row r="804">
      <c r="A804" s="12"/>
      <c r="D804" s="95"/>
      <c r="E804" s="14"/>
      <c r="F804" s="96"/>
      <c r="H804" s="12"/>
      <c r="I804" s="12"/>
      <c r="J804" s="12"/>
      <c r="K804" s="12"/>
      <c r="L804" s="12"/>
      <c r="M804" s="12"/>
      <c r="N804" s="12"/>
      <c r="O804" s="12"/>
      <c r="P804" s="12"/>
    </row>
    <row r="805">
      <c r="A805" s="12"/>
      <c r="D805" s="95"/>
      <c r="E805" s="14"/>
      <c r="F805" s="96"/>
      <c r="H805" s="12"/>
      <c r="I805" s="12"/>
      <c r="J805" s="12"/>
      <c r="K805" s="12"/>
      <c r="L805" s="12"/>
      <c r="M805" s="12"/>
      <c r="N805" s="12"/>
      <c r="O805" s="12"/>
      <c r="P805" s="12"/>
    </row>
    <row r="806">
      <c r="A806" s="12"/>
      <c r="D806" s="95"/>
      <c r="E806" s="14"/>
      <c r="F806" s="96"/>
      <c r="H806" s="12"/>
      <c r="I806" s="12"/>
      <c r="J806" s="12"/>
      <c r="K806" s="12"/>
      <c r="L806" s="12"/>
      <c r="M806" s="12"/>
      <c r="N806" s="12"/>
      <c r="O806" s="12"/>
      <c r="P806" s="12"/>
    </row>
    <row r="807">
      <c r="A807" s="12"/>
      <c r="D807" s="95"/>
      <c r="E807" s="14"/>
      <c r="F807" s="96"/>
      <c r="H807" s="12"/>
      <c r="I807" s="12"/>
      <c r="J807" s="12"/>
      <c r="K807" s="12"/>
      <c r="L807" s="12"/>
      <c r="M807" s="12"/>
      <c r="N807" s="12"/>
      <c r="O807" s="12"/>
      <c r="P807" s="12"/>
    </row>
    <row r="808">
      <c r="A808" s="12"/>
      <c r="D808" s="95"/>
      <c r="E808" s="14"/>
      <c r="F808" s="96"/>
      <c r="H808" s="12"/>
      <c r="I808" s="12"/>
      <c r="J808" s="12"/>
      <c r="K808" s="12"/>
      <c r="L808" s="12"/>
      <c r="M808" s="12"/>
      <c r="N808" s="12"/>
      <c r="O808" s="12"/>
      <c r="P808" s="12"/>
    </row>
    <row r="809">
      <c r="A809" s="12"/>
      <c r="D809" s="95"/>
      <c r="E809" s="14"/>
      <c r="F809" s="96"/>
      <c r="H809" s="12"/>
      <c r="I809" s="12"/>
      <c r="J809" s="12"/>
      <c r="K809" s="12"/>
      <c r="L809" s="12"/>
      <c r="M809" s="12"/>
      <c r="N809" s="12"/>
      <c r="O809" s="12"/>
      <c r="P809" s="12"/>
    </row>
    <row r="810">
      <c r="A810" s="12"/>
      <c r="D810" s="95"/>
      <c r="E810" s="14"/>
      <c r="F810" s="96"/>
      <c r="H810" s="12"/>
      <c r="I810" s="12"/>
      <c r="J810" s="12"/>
      <c r="K810" s="12"/>
      <c r="L810" s="12"/>
      <c r="M810" s="12"/>
      <c r="N810" s="12"/>
      <c r="O810" s="12"/>
      <c r="P810" s="12"/>
    </row>
    <row r="811">
      <c r="A811" s="12"/>
      <c r="D811" s="95"/>
      <c r="E811" s="14"/>
      <c r="F811" s="96"/>
      <c r="H811" s="12"/>
      <c r="I811" s="12"/>
      <c r="J811" s="12"/>
      <c r="K811" s="12"/>
      <c r="L811" s="12"/>
      <c r="M811" s="12"/>
      <c r="N811" s="12"/>
      <c r="O811" s="12"/>
      <c r="P811" s="12"/>
    </row>
    <row r="812">
      <c r="A812" s="12"/>
      <c r="D812" s="95"/>
      <c r="E812" s="14"/>
      <c r="F812" s="96"/>
      <c r="H812" s="12"/>
      <c r="I812" s="12"/>
      <c r="J812" s="12"/>
      <c r="K812" s="12"/>
      <c r="L812" s="12"/>
      <c r="M812" s="12"/>
      <c r="N812" s="12"/>
      <c r="O812" s="12"/>
      <c r="P812" s="12"/>
    </row>
    <row r="813">
      <c r="A813" s="12"/>
      <c r="D813" s="95"/>
      <c r="E813" s="14"/>
      <c r="F813" s="96"/>
      <c r="H813" s="12"/>
      <c r="I813" s="12"/>
      <c r="J813" s="12"/>
      <c r="K813" s="12"/>
      <c r="L813" s="12"/>
      <c r="M813" s="12"/>
      <c r="N813" s="12"/>
      <c r="O813" s="12"/>
      <c r="P813" s="12"/>
    </row>
    <row r="814">
      <c r="A814" s="12"/>
      <c r="D814" s="95"/>
      <c r="E814" s="14"/>
      <c r="F814" s="96"/>
      <c r="H814" s="12"/>
      <c r="I814" s="12"/>
      <c r="J814" s="12"/>
      <c r="K814" s="12"/>
      <c r="L814" s="12"/>
      <c r="M814" s="12"/>
      <c r="N814" s="12"/>
      <c r="O814" s="12"/>
      <c r="P814" s="12"/>
    </row>
    <row r="815">
      <c r="A815" s="12"/>
      <c r="D815" s="95"/>
      <c r="E815" s="14"/>
      <c r="F815" s="96"/>
      <c r="H815" s="12"/>
      <c r="I815" s="12"/>
      <c r="J815" s="12"/>
      <c r="K815" s="12"/>
      <c r="L815" s="12"/>
      <c r="M815" s="12"/>
      <c r="N815" s="12"/>
      <c r="O815" s="12"/>
      <c r="P815" s="12"/>
    </row>
    <row r="816">
      <c r="A816" s="12"/>
      <c r="D816" s="95"/>
      <c r="E816" s="14"/>
      <c r="F816" s="96"/>
      <c r="H816" s="12"/>
      <c r="I816" s="12"/>
      <c r="J816" s="12"/>
      <c r="K816" s="12"/>
      <c r="L816" s="12"/>
      <c r="M816" s="12"/>
      <c r="N816" s="12"/>
      <c r="O816" s="12"/>
      <c r="P816" s="12"/>
    </row>
    <row r="817">
      <c r="A817" s="12"/>
      <c r="D817" s="95"/>
      <c r="E817" s="14"/>
      <c r="F817" s="96"/>
      <c r="H817" s="12"/>
      <c r="I817" s="12"/>
      <c r="J817" s="12"/>
      <c r="K817" s="12"/>
      <c r="L817" s="12"/>
      <c r="M817" s="12"/>
      <c r="N817" s="12"/>
      <c r="O817" s="12"/>
      <c r="P817" s="12"/>
    </row>
    <row r="818">
      <c r="A818" s="12"/>
      <c r="D818" s="95"/>
      <c r="E818" s="14"/>
      <c r="F818" s="96"/>
      <c r="H818" s="12"/>
      <c r="I818" s="12"/>
      <c r="J818" s="12"/>
      <c r="K818" s="12"/>
      <c r="L818" s="12"/>
      <c r="M818" s="12"/>
      <c r="N818" s="12"/>
      <c r="O818" s="12"/>
      <c r="P818" s="12"/>
    </row>
    <row r="819">
      <c r="A819" s="12"/>
      <c r="D819" s="95"/>
      <c r="E819" s="14"/>
      <c r="F819" s="96"/>
      <c r="H819" s="12"/>
      <c r="I819" s="12"/>
      <c r="J819" s="12"/>
      <c r="K819" s="12"/>
      <c r="L819" s="12"/>
      <c r="M819" s="12"/>
      <c r="N819" s="12"/>
      <c r="O819" s="12"/>
      <c r="P819" s="12"/>
    </row>
    <row r="820">
      <c r="A820" s="12"/>
      <c r="D820" s="95"/>
      <c r="E820" s="14"/>
      <c r="F820" s="96"/>
      <c r="H820" s="12"/>
      <c r="I820" s="12"/>
      <c r="J820" s="12"/>
      <c r="K820" s="12"/>
      <c r="L820" s="12"/>
      <c r="M820" s="12"/>
      <c r="N820" s="12"/>
      <c r="O820" s="12"/>
      <c r="P820" s="12"/>
    </row>
    <row r="821">
      <c r="A821" s="12"/>
      <c r="D821" s="95"/>
      <c r="E821" s="14"/>
      <c r="F821" s="96"/>
      <c r="H821" s="12"/>
      <c r="I821" s="12"/>
      <c r="J821" s="12"/>
      <c r="K821" s="12"/>
      <c r="L821" s="12"/>
      <c r="M821" s="12"/>
      <c r="N821" s="12"/>
      <c r="O821" s="12"/>
      <c r="P821" s="12"/>
    </row>
    <row r="822">
      <c r="A822" s="12"/>
      <c r="D822" s="95"/>
      <c r="E822" s="14"/>
      <c r="F822" s="96"/>
      <c r="H822" s="12"/>
      <c r="I822" s="12"/>
      <c r="J822" s="12"/>
      <c r="K822" s="12"/>
      <c r="L822" s="12"/>
      <c r="M822" s="12"/>
      <c r="N822" s="12"/>
      <c r="O822" s="12"/>
      <c r="P822" s="12"/>
    </row>
    <row r="823">
      <c r="A823" s="12"/>
      <c r="D823" s="95"/>
      <c r="E823" s="14"/>
      <c r="F823" s="96"/>
      <c r="H823" s="12"/>
      <c r="I823" s="12"/>
      <c r="J823" s="12"/>
      <c r="K823" s="12"/>
      <c r="L823" s="12"/>
      <c r="M823" s="12"/>
      <c r="N823" s="12"/>
      <c r="O823" s="12"/>
      <c r="P823" s="12"/>
    </row>
    <row r="824">
      <c r="A824" s="12"/>
      <c r="D824" s="95"/>
      <c r="E824" s="14"/>
      <c r="F824" s="96"/>
      <c r="H824" s="12"/>
      <c r="I824" s="12"/>
      <c r="J824" s="12"/>
      <c r="K824" s="12"/>
      <c r="L824" s="12"/>
      <c r="M824" s="12"/>
      <c r="N824" s="12"/>
      <c r="O824" s="12"/>
      <c r="P824" s="12"/>
    </row>
    <row r="825">
      <c r="A825" s="12"/>
      <c r="D825" s="95"/>
      <c r="E825" s="14"/>
      <c r="F825" s="96"/>
      <c r="H825" s="12"/>
      <c r="I825" s="12"/>
      <c r="J825" s="12"/>
      <c r="K825" s="12"/>
      <c r="L825" s="12"/>
      <c r="M825" s="12"/>
      <c r="N825" s="12"/>
      <c r="O825" s="12"/>
      <c r="P825" s="12"/>
    </row>
    <row r="826">
      <c r="A826" s="12"/>
      <c r="D826" s="95"/>
      <c r="E826" s="14"/>
      <c r="F826" s="96"/>
      <c r="H826" s="12"/>
      <c r="I826" s="12"/>
      <c r="J826" s="12"/>
      <c r="K826" s="12"/>
      <c r="L826" s="12"/>
      <c r="M826" s="12"/>
      <c r="N826" s="12"/>
      <c r="O826" s="12"/>
      <c r="P826" s="12"/>
    </row>
    <row r="827">
      <c r="A827" s="12"/>
      <c r="D827" s="95"/>
      <c r="E827" s="14"/>
      <c r="F827" s="96"/>
      <c r="H827" s="12"/>
      <c r="I827" s="12"/>
      <c r="J827" s="12"/>
      <c r="K827" s="12"/>
      <c r="L827" s="12"/>
      <c r="M827" s="12"/>
      <c r="N827" s="12"/>
      <c r="O827" s="12"/>
      <c r="P827" s="12"/>
    </row>
    <row r="828">
      <c r="A828" s="12"/>
      <c r="D828" s="95"/>
      <c r="E828" s="14"/>
      <c r="F828" s="96"/>
      <c r="H828" s="12"/>
      <c r="I828" s="12"/>
      <c r="J828" s="12"/>
      <c r="K828" s="12"/>
      <c r="L828" s="12"/>
      <c r="M828" s="12"/>
      <c r="N828" s="12"/>
      <c r="O828" s="12"/>
      <c r="P828" s="12"/>
    </row>
    <row r="829">
      <c r="A829" s="12"/>
      <c r="D829" s="95"/>
      <c r="E829" s="14"/>
      <c r="F829" s="96"/>
      <c r="H829" s="12"/>
      <c r="I829" s="12"/>
      <c r="J829" s="12"/>
      <c r="K829" s="12"/>
      <c r="L829" s="12"/>
      <c r="M829" s="12"/>
      <c r="N829" s="12"/>
      <c r="O829" s="12"/>
      <c r="P829" s="12"/>
    </row>
    <row r="830">
      <c r="A830" s="12"/>
      <c r="D830" s="95"/>
      <c r="E830" s="14"/>
      <c r="F830" s="96"/>
      <c r="H830" s="12"/>
      <c r="I830" s="12"/>
      <c r="J830" s="12"/>
      <c r="K830" s="12"/>
      <c r="L830" s="12"/>
      <c r="M830" s="12"/>
      <c r="N830" s="12"/>
      <c r="O830" s="12"/>
      <c r="P830" s="12"/>
    </row>
    <row r="831">
      <c r="A831" s="12"/>
      <c r="D831" s="95"/>
      <c r="E831" s="14"/>
      <c r="F831" s="96"/>
      <c r="H831" s="12"/>
      <c r="I831" s="12"/>
      <c r="J831" s="12"/>
      <c r="K831" s="12"/>
      <c r="L831" s="12"/>
      <c r="M831" s="12"/>
      <c r="N831" s="12"/>
      <c r="O831" s="12"/>
      <c r="P831" s="12"/>
    </row>
    <row r="832">
      <c r="A832" s="12"/>
      <c r="D832" s="95"/>
      <c r="E832" s="14"/>
      <c r="F832" s="96"/>
      <c r="H832" s="12"/>
      <c r="I832" s="12"/>
      <c r="J832" s="12"/>
      <c r="K832" s="12"/>
      <c r="L832" s="12"/>
      <c r="M832" s="12"/>
      <c r="N832" s="12"/>
      <c r="O832" s="12"/>
      <c r="P832" s="12"/>
    </row>
    <row r="833">
      <c r="A833" s="12"/>
      <c r="D833" s="95"/>
      <c r="E833" s="14"/>
      <c r="F833" s="96"/>
      <c r="H833" s="12"/>
      <c r="I833" s="12"/>
      <c r="J833" s="12"/>
      <c r="K833" s="12"/>
      <c r="L833" s="12"/>
      <c r="M833" s="12"/>
      <c r="N833" s="12"/>
      <c r="O833" s="12"/>
      <c r="P833" s="12"/>
    </row>
    <row r="834">
      <c r="A834" s="12"/>
      <c r="D834" s="95"/>
      <c r="E834" s="14"/>
      <c r="F834" s="96"/>
      <c r="H834" s="12"/>
      <c r="I834" s="12"/>
      <c r="J834" s="12"/>
      <c r="K834" s="12"/>
      <c r="L834" s="12"/>
      <c r="M834" s="12"/>
      <c r="N834" s="12"/>
      <c r="O834" s="12"/>
      <c r="P834" s="12"/>
    </row>
    <row r="835">
      <c r="A835" s="12"/>
      <c r="D835" s="95"/>
      <c r="E835" s="14"/>
      <c r="F835" s="96"/>
      <c r="H835" s="12"/>
      <c r="I835" s="12"/>
      <c r="J835" s="12"/>
      <c r="K835" s="12"/>
      <c r="L835" s="12"/>
      <c r="M835" s="12"/>
      <c r="N835" s="12"/>
      <c r="O835" s="12"/>
      <c r="P835" s="12"/>
    </row>
    <row r="836">
      <c r="A836" s="12"/>
      <c r="D836" s="95"/>
      <c r="E836" s="14"/>
      <c r="F836" s="96"/>
      <c r="H836" s="12"/>
      <c r="I836" s="12"/>
      <c r="J836" s="12"/>
      <c r="K836" s="12"/>
      <c r="L836" s="12"/>
      <c r="M836" s="12"/>
      <c r="N836" s="12"/>
      <c r="O836" s="12"/>
      <c r="P836" s="12"/>
    </row>
    <row r="837">
      <c r="A837" s="12"/>
      <c r="D837" s="95"/>
      <c r="E837" s="14"/>
      <c r="F837" s="96"/>
      <c r="H837" s="12"/>
      <c r="I837" s="12"/>
      <c r="J837" s="12"/>
      <c r="K837" s="12"/>
      <c r="L837" s="12"/>
      <c r="M837" s="12"/>
      <c r="N837" s="12"/>
      <c r="O837" s="12"/>
      <c r="P837" s="12"/>
    </row>
    <row r="838">
      <c r="A838" s="12"/>
      <c r="D838" s="95"/>
      <c r="E838" s="14"/>
      <c r="F838" s="96"/>
      <c r="H838" s="12"/>
      <c r="I838" s="12"/>
      <c r="J838" s="12"/>
      <c r="K838" s="12"/>
      <c r="L838" s="12"/>
      <c r="M838" s="12"/>
      <c r="N838" s="12"/>
      <c r="O838" s="12"/>
      <c r="P838" s="12"/>
    </row>
    <row r="839">
      <c r="A839" s="12"/>
      <c r="D839" s="95"/>
      <c r="E839" s="14"/>
      <c r="F839" s="96"/>
      <c r="H839" s="12"/>
      <c r="I839" s="12"/>
      <c r="J839" s="12"/>
      <c r="K839" s="12"/>
      <c r="L839" s="12"/>
      <c r="M839" s="12"/>
      <c r="N839" s="12"/>
      <c r="O839" s="12"/>
      <c r="P839" s="12"/>
    </row>
    <row r="840">
      <c r="A840" s="12"/>
      <c r="D840" s="95"/>
      <c r="E840" s="14"/>
      <c r="F840" s="96"/>
      <c r="H840" s="12"/>
      <c r="I840" s="12"/>
      <c r="J840" s="12"/>
      <c r="K840" s="12"/>
      <c r="L840" s="12"/>
      <c r="M840" s="12"/>
      <c r="N840" s="12"/>
      <c r="O840" s="12"/>
      <c r="P840" s="12"/>
    </row>
    <row r="841">
      <c r="A841" s="12"/>
      <c r="D841" s="95"/>
      <c r="E841" s="14"/>
      <c r="F841" s="96"/>
      <c r="H841" s="12"/>
      <c r="I841" s="12"/>
      <c r="J841" s="12"/>
      <c r="K841" s="12"/>
      <c r="L841" s="12"/>
      <c r="M841" s="12"/>
      <c r="N841" s="12"/>
      <c r="O841" s="12"/>
      <c r="P841" s="12"/>
    </row>
    <row r="842">
      <c r="A842" s="12"/>
      <c r="D842" s="95"/>
      <c r="E842" s="14"/>
      <c r="F842" s="96"/>
      <c r="H842" s="12"/>
      <c r="I842" s="12"/>
      <c r="J842" s="12"/>
      <c r="K842" s="12"/>
      <c r="L842" s="12"/>
      <c r="M842" s="12"/>
      <c r="N842" s="12"/>
      <c r="O842" s="12"/>
      <c r="P842" s="12"/>
    </row>
    <row r="843">
      <c r="A843" s="12"/>
      <c r="D843" s="95"/>
      <c r="E843" s="14"/>
      <c r="F843" s="96"/>
      <c r="H843" s="12"/>
      <c r="I843" s="12"/>
      <c r="J843" s="12"/>
      <c r="K843" s="12"/>
      <c r="L843" s="12"/>
      <c r="M843" s="12"/>
      <c r="N843" s="12"/>
      <c r="O843" s="12"/>
      <c r="P843" s="12"/>
    </row>
    <row r="844">
      <c r="A844" s="12"/>
      <c r="D844" s="95"/>
      <c r="E844" s="14"/>
      <c r="F844" s="96"/>
      <c r="H844" s="12"/>
      <c r="I844" s="12"/>
      <c r="J844" s="12"/>
      <c r="K844" s="12"/>
      <c r="L844" s="12"/>
      <c r="M844" s="12"/>
      <c r="N844" s="12"/>
      <c r="O844" s="12"/>
      <c r="P844" s="12"/>
    </row>
    <row r="845">
      <c r="A845" s="12"/>
      <c r="D845" s="95"/>
      <c r="E845" s="14"/>
      <c r="F845" s="96"/>
      <c r="H845" s="12"/>
      <c r="I845" s="12"/>
      <c r="J845" s="12"/>
      <c r="K845" s="12"/>
      <c r="L845" s="12"/>
      <c r="M845" s="12"/>
      <c r="N845" s="12"/>
      <c r="O845" s="12"/>
      <c r="P845" s="12"/>
    </row>
    <row r="846">
      <c r="A846" s="12"/>
      <c r="D846" s="95"/>
      <c r="E846" s="14"/>
      <c r="F846" s="96"/>
      <c r="H846" s="12"/>
      <c r="I846" s="12"/>
      <c r="J846" s="12"/>
      <c r="K846" s="12"/>
      <c r="L846" s="12"/>
      <c r="M846" s="12"/>
      <c r="N846" s="12"/>
      <c r="O846" s="12"/>
      <c r="P846" s="12"/>
    </row>
    <row r="847">
      <c r="A847" s="12"/>
      <c r="D847" s="95"/>
      <c r="E847" s="14"/>
      <c r="F847" s="96"/>
      <c r="H847" s="12"/>
      <c r="I847" s="12"/>
      <c r="J847" s="12"/>
      <c r="K847" s="12"/>
      <c r="L847" s="12"/>
      <c r="M847" s="12"/>
      <c r="N847" s="12"/>
      <c r="O847" s="12"/>
      <c r="P847" s="12"/>
    </row>
    <row r="848">
      <c r="A848" s="12"/>
      <c r="D848" s="95"/>
      <c r="E848" s="14"/>
      <c r="F848" s="96"/>
      <c r="H848" s="12"/>
      <c r="I848" s="12"/>
      <c r="J848" s="12"/>
      <c r="K848" s="12"/>
      <c r="L848" s="12"/>
      <c r="M848" s="12"/>
      <c r="N848" s="12"/>
      <c r="O848" s="12"/>
      <c r="P848" s="12"/>
    </row>
    <row r="849">
      <c r="A849" s="12"/>
      <c r="D849" s="95"/>
      <c r="E849" s="14"/>
      <c r="F849" s="96"/>
      <c r="H849" s="12"/>
      <c r="I849" s="12"/>
      <c r="J849" s="12"/>
      <c r="K849" s="12"/>
      <c r="L849" s="12"/>
      <c r="M849" s="12"/>
      <c r="N849" s="12"/>
      <c r="O849" s="12"/>
      <c r="P849" s="12"/>
    </row>
    <row r="850">
      <c r="A850" s="12"/>
      <c r="D850" s="95"/>
      <c r="E850" s="14"/>
      <c r="F850" s="96"/>
      <c r="H850" s="12"/>
      <c r="I850" s="12"/>
      <c r="J850" s="12"/>
      <c r="K850" s="12"/>
      <c r="L850" s="12"/>
      <c r="M850" s="12"/>
      <c r="N850" s="12"/>
      <c r="O850" s="12"/>
      <c r="P850" s="12"/>
    </row>
    <row r="851">
      <c r="A851" s="12"/>
      <c r="D851" s="95"/>
      <c r="E851" s="14"/>
      <c r="F851" s="96"/>
      <c r="H851" s="12"/>
      <c r="I851" s="12"/>
      <c r="J851" s="12"/>
      <c r="K851" s="12"/>
      <c r="L851" s="12"/>
      <c r="M851" s="12"/>
      <c r="N851" s="12"/>
      <c r="O851" s="12"/>
      <c r="P851" s="12"/>
    </row>
    <row r="852">
      <c r="A852" s="12"/>
      <c r="D852" s="95"/>
      <c r="E852" s="14"/>
      <c r="F852" s="96"/>
      <c r="H852" s="12"/>
      <c r="I852" s="12"/>
      <c r="J852" s="12"/>
      <c r="K852" s="12"/>
      <c r="L852" s="12"/>
      <c r="M852" s="12"/>
      <c r="N852" s="12"/>
      <c r="O852" s="12"/>
      <c r="P852" s="12"/>
    </row>
    <row r="853">
      <c r="A853" s="12"/>
      <c r="D853" s="95"/>
      <c r="E853" s="14"/>
      <c r="F853" s="96"/>
      <c r="H853" s="12"/>
      <c r="I853" s="12"/>
      <c r="J853" s="12"/>
      <c r="K853" s="12"/>
      <c r="L853" s="12"/>
      <c r="M853" s="12"/>
      <c r="N853" s="12"/>
      <c r="O853" s="12"/>
      <c r="P853" s="12"/>
    </row>
    <row r="854">
      <c r="A854" s="12"/>
      <c r="D854" s="95"/>
      <c r="E854" s="14"/>
      <c r="F854" s="96"/>
      <c r="H854" s="12"/>
      <c r="I854" s="12"/>
      <c r="J854" s="12"/>
      <c r="K854" s="12"/>
      <c r="L854" s="12"/>
      <c r="M854" s="12"/>
      <c r="N854" s="12"/>
      <c r="O854" s="12"/>
      <c r="P854" s="12"/>
    </row>
    <row r="855">
      <c r="A855" s="12"/>
      <c r="D855" s="95"/>
      <c r="E855" s="14"/>
      <c r="F855" s="96"/>
      <c r="H855" s="12"/>
      <c r="I855" s="12"/>
      <c r="J855" s="12"/>
      <c r="K855" s="12"/>
      <c r="L855" s="12"/>
      <c r="M855" s="12"/>
      <c r="N855" s="12"/>
      <c r="O855" s="12"/>
      <c r="P855" s="12"/>
    </row>
    <row r="856">
      <c r="A856" s="12"/>
      <c r="D856" s="95"/>
      <c r="E856" s="14"/>
      <c r="F856" s="96"/>
      <c r="H856" s="12"/>
      <c r="I856" s="12"/>
      <c r="J856" s="12"/>
      <c r="K856" s="12"/>
      <c r="L856" s="12"/>
      <c r="M856" s="12"/>
      <c r="N856" s="12"/>
      <c r="O856" s="12"/>
      <c r="P856" s="12"/>
    </row>
    <row r="857">
      <c r="A857" s="12"/>
      <c r="D857" s="95"/>
      <c r="E857" s="14"/>
      <c r="F857" s="96"/>
      <c r="H857" s="12"/>
      <c r="I857" s="12"/>
      <c r="J857" s="12"/>
      <c r="K857" s="12"/>
      <c r="L857" s="12"/>
      <c r="M857" s="12"/>
      <c r="N857" s="12"/>
      <c r="O857" s="12"/>
      <c r="P857" s="12"/>
    </row>
    <row r="858">
      <c r="A858" s="12"/>
      <c r="D858" s="95"/>
      <c r="E858" s="14"/>
      <c r="F858" s="96"/>
      <c r="H858" s="12"/>
      <c r="I858" s="12"/>
      <c r="J858" s="12"/>
      <c r="K858" s="12"/>
      <c r="L858" s="12"/>
      <c r="M858" s="12"/>
      <c r="N858" s="12"/>
      <c r="O858" s="12"/>
      <c r="P858" s="12"/>
    </row>
    <row r="859">
      <c r="A859" s="12"/>
      <c r="D859" s="95"/>
      <c r="E859" s="14"/>
      <c r="F859" s="96"/>
      <c r="H859" s="12"/>
      <c r="I859" s="12"/>
      <c r="J859" s="12"/>
      <c r="K859" s="12"/>
      <c r="L859" s="12"/>
      <c r="M859" s="12"/>
      <c r="N859" s="12"/>
      <c r="O859" s="12"/>
      <c r="P859" s="12"/>
    </row>
    <row r="860">
      <c r="A860" s="12"/>
      <c r="D860" s="95"/>
      <c r="E860" s="14"/>
      <c r="F860" s="96"/>
      <c r="H860" s="12"/>
      <c r="I860" s="12"/>
      <c r="J860" s="12"/>
      <c r="K860" s="12"/>
      <c r="L860" s="12"/>
      <c r="M860" s="12"/>
      <c r="N860" s="12"/>
      <c r="O860" s="12"/>
      <c r="P860" s="12"/>
    </row>
    <row r="861">
      <c r="A861" s="12"/>
      <c r="D861" s="95"/>
      <c r="E861" s="14"/>
      <c r="F861" s="96"/>
      <c r="H861" s="12"/>
      <c r="I861" s="12"/>
      <c r="J861" s="12"/>
      <c r="K861" s="12"/>
      <c r="L861" s="12"/>
      <c r="M861" s="12"/>
      <c r="N861" s="12"/>
      <c r="O861" s="12"/>
      <c r="P861" s="12"/>
    </row>
    <row r="862">
      <c r="A862" s="12"/>
      <c r="D862" s="95"/>
      <c r="E862" s="14"/>
      <c r="F862" s="96"/>
      <c r="H862" s="12"/>
      <c r="I862" s="12"/>
      <c r="J862" s="12"/>
      <c r="K862" s="12"/>
      <c r="L862" s="12"/>
      <c r="M862" s="12"/>
      <c r="N862" s="12"/>
      <c r="O862" s="12"/>
      <c r="P862" s="12"/>
    </row>
    <row r="863">
      <c r="A863" s="12"/>
      <c r="D863" s="95"/>
      <c r="E863" s="14"/>
      <c r="F863" s="96"/>
      <c r="H863" s="12"/>
      <c r="I863" s="12"/>
      <c r="J863" s="12"/>
      <c r="K863" s="12"/>
      <c r="L863" s="12"/>
      <c r="M863" s="12"/>
      <c r="N863" s="12"/>
      <c r="O863" s="12"/>
      <c r="P863" s="12"/>
    </row>
    <row r="864">
      <c r="A864" s="12"/>
      <c r="D864" s="95"/>
      <c r="E864" s="14"/>
      <c r="F864" s="96"/>
      <c r="H864" s="12"/>
      <c r="I864" s="12"/>
      <c r="J864" s="12"/>
      <c r="K864" s="12"/>
      <c r="L864" s="12"/>
      <c r="M864" s="12"/>
      <c r="N864" s="12"/>
      <c r="O864" s="12"/>
      <c r="P864" s="12"/>
    </row>
    <row r="865">
      <c r="A865" s="12"/>
      <c r="D865" s="95"/>
      <c r="E865" s="14"/>
      <c r="F865" s="96"/>
      <c r="H865" s="12"/>
      <c r="I865" s="12"/>
      <c r="J865" s="12"/>
      <c r="K865" s="12"/>
      <c r="L865" s="12"/>
      <c r="M865" s="12"/>
      <c r="N865" s="12"/>
      <c r="O865" s="12"/>
      <c r="P865" s="12"/>
    </row>
    <row r="866">
      <c r="A866" s="12"/>
      <c r="D866" s="95"/>
      <c r="E866" s="14"/>
      <c r="F866" s="96"/>
      <c r="H866" s="12"/>
      <c r="I866" s="12"/>
      <c r="J866" s="12"/>
      <c r="K866" s="12"/>
      <c r="L866" s="12"/>
      <c r="M866" s="12"/>
      <c r="N866" s="12"/>
      <c r="O866" s="12"/>
      <c r="P866" s="12"/>
    </row>
    <row r="867">
      <c r="A867" s="12"/>
      <c r="D867" s="95"/>
      <c r="E867" s="14"/>
      <c r="F867" s="96"/>
      <c r="H867" s="12"/>
      <c r="I867" s="12"/>
      <c r="J867" s="12"/>
      <c r="K867" s="12"/>
      <c r="L867" s="12"/>
      <c r="M867" s="12"/>
      <c r="N867" s="12"/>
      <c r="O867" s="12"/>
      <c r="P867" s="12"/>
    </row>
    <row r="868">
      <c r="A868" s="12"/>
      <c r="D868" s="95"/>
      <c r="E868" s="14"/>
      <c r="F868" s="96"/>
      <c r="H868" s="12"/>
      <c r="I868" s="12"/>
      <c r="J868" s="12"/>
      <c r="K868" s="12"/>
      <c r="L868" s="12"/>
      <c r="M868" s="12"/>
      <c r="N868" s="12"/>
      <c r="O868" s="12"/>
      <c r="P868" s="12"/>
    </row>
    <row r="869">
      <c r="A869" s="12"/>
      <c r="D869" s="95"/>
      <c r="E869" s="14"/>
      <c r="F869" s="96"/>
      <c r="H869" s="12"/>
      <c r="I869" s="12"/>
      <c r="J869" s="12"/>
      <c r="K869" s="12"/>
      <c r="L869" s="12"/>
      <c r="M869" s="12"/>
      <c r="N869" s="12"/>
      <c r="O869" s="12"/>
      <c r="P869" s="12"/>
    </row>
    <row r="870">
      <c r="A870" s="12"/>
      <c r="D870" s="95"/>
      <c r="E870" s="14"/>
      <c r="F870" s="96"/>
      <c r="H870" s="12"/>
      <c r="I870" s="12"/>
      <c r="J870" s="12"/>
      <c r="K870" s="12"/>
      <c r="L870" s="12"/>
      <c r="M870" s="12"/>
      <c r="N870" s="12"/>
      <c r="O870" s="12"/>
      <c r="P870" s="12"/>
    </row>
    <row r="871">
      <c r="A871" s="12"/>
      <c r="D871" s="95"/>
      <c r="E871" s="14"/>
      <c r="F871" s="96"/>
      <c r="H871" s="12"/>
      <c r="I871" s="12"/>
      <c r="J871" s="12"/>
      <c r="K871" s="12"/>
      <c r="L871" s="12"/>
      <c r="M871" s="12"/>
      <c r="N871" s="12"/>
      <c r="O871" s="12"/>
      <c r="P871" s="12"/>
    </row>
    <row r="872">
      <c r="A872" s="12"/>
      <c r="D872" s="95"/>
      <c r="E872" s="14"/>
      <c r="F872" s="96"/>
      <c r="H872" s="12"/>
      <c r="I872" s="12"/>
      <c r="J872" s="12"/>
      <c r="K872" s="12"/>
      <c r="L872" s="12"/>
      <c r="M872" s="12"/>
      <c r="N872" s="12"/>
      <c r="O872" s="12"/>
      <c r="P872" s="12"/>
    </row>
    <row r="873">
      <c r="A873" s="12"/>
      <c r="D873" s="95"/>
      <c r="E873" s="14"/>
      <c r="F873" s="96"/>
      <c r="H873" s="12"/>
      <c r="I873" s="12"/>
      <c r="J873" s="12"/>
      <c r="K873" s="12"/>
      <c r="L873" s="12"/>
      <c r="M873" s="12"/>
      <c r="N873" s="12"/>
      <c r="O873" s="12"/>
      <c r="P873" s="12"/>
    </row>
    <row r="874">
      <c r="A874" s="12"/>
      <c r="D874" s="95"/>
      <c r="E874" s="14"/>
      <c r="F874" s="96"/>
      <c r="H874" s="12"/>
      <c r="I874" s="12"/>
      <c r="J874" s="12"/>
      <c r="K874" s="12"/>
      <c r="L874" s="12"/>
      <c r="M874" s="12"/>
      <c r="N874" s="12"/>
      <c r="O874" s="12"/>
      <c r="P874" s="12"/>
    </row>
    <row r="875">
      <c r="A875" s="12"/>
      <c r="D875" s="95"/>
      <c r="E875" s="14"/>
      <c r="F875" s="96"/>
      <c r="H875" s="12"/>
      <c r="I875" s="12"/>
      <c r="J875" s="12"/>
      <c r="K875" s="12"/>
      <c r="L875" s="12"/>
      <c r="M875" s="12"/>
      <c r="N875" s="12"/>
      <c r="O875" s="12"/>
      <c r="P875" s="12"/>
    </row>
    <row r="876">
      <c r="A876" s="12"/>
      <c r="D876" s="95"/>
      <c r="E876" s="14"/>
      <c r="F876" s="96"/>
      <c r="H876" s="12"/>
      <c r="I876" s="12"/>
      <c r="J876" s="12"/>
      <c r="K876" s="12"/>
      <c r="L876" s="12"/>
      <c r="M876" s="12"/>
      <c r="N876" s="12"/>
      <c r="O876" s="12"/>
      <c r="P876" s="12"/>
    </row>
    <row r="877">
      <c r="A877" s="12"/>
      <c r="D877" s="95"/>
      <c r="E877" s="14"/>
      <c r="F877" s="96"/>
      <c r="H877" s="12"/>
      <c r="I877" s="12"/>
      <c r="J877" s="12"/>
      <c r="K877" s="12"/>
      <c r="L877" s="12"/>
      <c r="M877" s="12"/>
      <c r="N877" s="12"/>
      <c r="O877" s="12"/>
      <c r="P877" s="12"/>
    </row>
    <row r="878">
      <c r="A878" s="12"/>
      <c r="D878" s="95"/>
      <c r="E878" s="14"/>
      <c r="F878" s="96"/>
      <c r="H878" s="12"/>
      <c r="I878" s="12"/>
      <c r="J878" s="12"/>
      <c r="K878" s="12"/>
      <c r="L878" s="12"/>
      <c r="M878" s="12"/>
      <c r="N878" s="12"/>
      <c r="O878" s="12"/>
      <c r="P878" s="12"/>
    </row>
    <row r="879">
      <c r="A879" s="12"/>
      <c r="D879" s="95"/>
      <c r="E879" s="14"/>
      <c r="F879" s="96"/>
      <c r="H879" s="12"/>
      <c r="I879" s="12"/>
      <c r="J879" s="12"/>
      <c r="K879" s="12"/>
      <c r="L879" s="12"/>
      <c r="M879" s="12"/>
      <c r="N879" s="12"/>
      <c r="O879" s="12"/>
      <c r="P879" s="12"/>
    </row>
    <row r="880">
      <c r="A880" s="12"/>
      <c r="D880" s="95"/>
      <c r="E880" s="14"/>
      <c r="F880" s="96"/>
      <c r="H880" s="12"/>
      <c r="I880" s="12"/>
      <c r="J880" s="12"/>
      <c r="K880" s="12"/>
      <c r="L880" s="12"/>
      <c r="M880" s="12"/>
      <c r="N880" s="12"/>
      <c r="O880" s="12"/>
      <c r="P880" s="12"/>
    </row>
    <row r="881">
      <c r="A881" s="12"/>
      <c r="D881" s="95"/>
      <c r="E881" s="14"/>
      <c r="F881" s="96"/>
      <c r="H881" s="12"/>
      <c r="I881" s="12"/>
      <c r="J881" s="12"/>
      <c r="K881" s="12"/>
      <c r="L881" s="12"/>
      <c r="M881" s="12"/>
      <c r="N881" s="12"/>
      <c r="O881" s="12"/>
      <c r="P881" s="12"/>
    </row>
    <row r="882">
      <c r="A882" s="12"/>
      <c r="D882" s="95"/>
      <c r="E882" s="14"/>
      <c r="F882" s="96"/>
      <c r="H882" s="12"/>
      <c r="I882" s="12"/>
      <c r="J882" s="12"/>
      <c r="K882" s="12"/>
      <c r="L882" s="12"/>
      <c r="M882" s="12"/>
      <c r="N882" s="12"/>
      <c r="O882" s="12"/>
      <c r="P882" s="12"/>
    </row>
    <row r="883">
      <c r="A883" s="12"/>
      <c r="D883" s="95"/>
      <c r="E883" s="14"/>
      <c r="F883" s="96"/>
      <c r="H883" s="12"/>
      <c r="I883" s="12"/>
      <c r="J883" s="12"/>
      <c r="K883" s="12"/>
      <c r="L883" s="12"/>
      <c r="M883" s="12"/>
      <c r="N883" s="12"/>
      <c r="O883" s="12"/>
      <c r="P883" s="12"/>
    </row>
    <row r="884">
      <c r="A884" s="12"/>
      <c r="D884" s="95"/>
      <c r="E884" s="14"/>
      <c r="F884" s="96"/>
      <c r="H884" s="12"/>
      <c r="I884" s="12"/>
      <c r="J884" s="12"/>
      <c r="K884" s="12"/>
      <c r="L884" s="12"/>
      <c r="M884" s="12"/>
      <c r="N884" s="12"/>
      <c r="O884" s="12"/>
      <c r="P884" s="12"/>
    </row>
    <row r="885">
      <c r="A885" s="12"/>
      <c r="D885" s="95"/>
      <c r="E885" s="14"/>
      <c r="F885" s="96"/>
      <c r="H885" s="12"/>
      <c r="I885" s="12"/>
      <c r="J885" s="12"/>
      <c r="K885" s="12"/>
      <c r="L885" s="12"/>
      <c r="M885" s="12"/>
      <c r="N885" s="12"/>
      <c r="O885" s="12"/>
      <c r="P885" s="12"/>
    </row>
    <row r="886">
      <c r="A886" s="12"/>
      <c r="D886" s="95"/>
      <c r="E886" s="14"/>
      <c r="F886" s="96"/>
      <c r="H886" s="12"/>
      <c r="I886" s="12"/>
      <c r="J886" s="12"/>
      <c r="K886" s="12"/>
      <c r="L886" s="12"/>
      <c r="M886" s="12"/>
      <c r="N886" s="12"/>
      <c r="O886" s="12"/>
      <c r="P886" s="12"/>
    </row>
    <row r="887">
      <c r="A887" s="12"/>
      <c r="D887" s="95"/>
      <c r="E887" s="14"/>
      <c r="F887" s="96"/>
      <c r="H887" s="12"/>
      <c r="I887" s="12"/>
      <c r="J887" s="12"/>
      <c r="K887" s="12"/>
      <c r="L887" s="12"/>
      <c r="M887" s="12"/>
      <c r="N887" s="12"/>
      <c r="O887" s="12"/>
      <c r="P887" s="12"/>
    </row>
    <row r="888">
      <c r="A888" s="12"/>
      <c r="D888" s="95"/>
      <c r="E888" s="14"/>
      <c r="F888" s="96"/>
      <c r="H888" s="12"/>
      <c r="I888" s="12"/>
      <c r="J888" s="12"/>
      <c r="K888" s="12"/>
      <c r="L888" s="12"/>
      <c r="M888" s="12"/>
      <c r="N888" s="12"/>
      <c r="O888" s="12"/>
      <c r="P888" s="12"/>
    </row>
    <row r="889">
      <c r="A889" s="12"/>
      <c r="D889" s="95"/>
      <c r="E889" s="14"/>
      <c r="F889" s="96"/>
      <c r="H889" s="12"/>
      <c r="I889" s="12"/>
      <c r="J889" s="12"/>
      <c r="K889" s="12"/>
      <c r="L889" s="12"/>
      <c r="M889" s="12"/>
      <c r="N889" s="12"/>
      <c r="O889" s="12"/>
      <c r="P889" s="12"/>
    </row>
    <row r="890">
      <c r="A890" s="12"/>
      <c r="D890" s="95"/>
      <c r="E890" s="14"/>
      <c r="F890" s="96"/>
      <c r="H890" s="12"/>
      <c r="I890" s="12"/>
      <c r="J890" s="12"/>
      <c r="K890" s="12"/>
      <c r="L890" s="12"/>
      <c r="M890" s="12"/>
      <c r="N890" s="12"/>
      <c r="O890" s="12"/>
      <c r="P890" s="12"/>
    </row>
    <row r="891">
      <c r="A891" s="12"/>
      <c r="D891" s="95"/>
      <c r="E891" s="14"/>
      <c r="F891" s="96"/>
      <c r="H891" s="12"/>
      <c r="I891" s="12"/>
      <c r="J891" s="12"/>
      <c r="K891" s="12"/>
      <c r="L891" s="12"/>
      <c r="M891" s="12"/>
      <c r="N891" s="12"/>
      <c r="O891" s="12"/>
      <c r="P891" s="12"/>
    </row>
    <row r="892">
      <c r="A892" s="12"/>
      <c r="D892" s="95"/>
      <c r="E892" s="14"/>
      <c r="F892" s="96"/>
      <c r="H892" s="12"/>
      <c r="I892" s="12"/>
      <c r="J892" s="12"/>
      <c r="K892" s="12"/>
      <c r="L892" s="12"/>
      <c r="M892" s="12"/>
      <c r="N892" s="12"/>
      <c r="O892" s="12"/>
      <c r="P892" s="12"/>
    </row>
    <row r="893">
      <c r="A893" s="12"/>
      <c r="D893" s="95"/>
      <c r="E893" s="14"/>
      <c r="F893" s="96"/>
      <c r="H893" s="12"/>
      <c r="I893" s="12"/>
      <c r="J893" s="12"/>
      <c r="K893" s="12"/>
      <c r="L893" s="12"/>
      <c r="M893" s="12"/>
      <c r="N893" s="12"/>
      <c r="O893" s="12"/>
      <c r="P893" s="12"/>
    </row>
    <row r="894">
      <c r="A894" s="12"/>
      <c r="D894" s="95"/>
      <c r="E894" s="14"/>
      <c r="F894" s="96"/>
      <c r="H894" s="12"/>
      <c r="I894" s="12"/>
      <c r="J894" s="12"/>
      <c r="K894" s="12"/>
      <c r="L894" s="12"/>
      <c r="M894" s="12"/>
      <c r="N894" s="12"/>
      <c r="O894" s="12"/>
      <c r="P894" s="12"/>
    </row>
    <row r="895">
      <c r="A895" s="12"/>
      <c r="D895" s="95"/>
      <c r="E895" s="14"/>
      <c r="F895" s="96"/>
      <c r="H895" s="12"/>
      <c r="I895" s="12"/>
      <c r="J895" s="12"/>
      <c r="K895" s="12"/>
      <c r="L895" s="12"/>
      <c r="M895" s="12"/>
      <c r="N895" s="12"/>
      <c r="O895" s="12"/>
      <c r="P895" s="12"/>
    </row>
    <row r="896">
      <c r="A896" s="12"/>
      <c r="D896" s="95"/>
      <c r="E896" s="14"/>
      <c r="F896" s="96"/>
      <c r="H896" s="12"/>
      <c r="I896" s="12"/>
      <c r="J896" s="12"/>
      <c r="K896" s="12"/>
      <c r="L896" s="12"/>
      <c r="M896" s="12"/>
      <c r="N896" s="12"/>
      <c r="O896" s="12"/>
      <c r="P896" s="12"/>
    </row>
    <row r="897">
      <c r="A897" s="12"/>
      <c r="D897" s="95"/>
      <c r="E897" s="14"/>
      <c r="F897" s="96"/>
      <c r="H897" s="12"/>
      <c r="I897" s="12"/>
      <c r="J897" s="12"/>
      <c r="K897" s="12"/>
      <c r="L897" s="12"/>
      <c r="M897" s="12"/>
      <c r="N897" s="12"/>
      <c r="O897" s="12"/>
      <c r="P897" s="12"/>
    </row>
    <row r="898">
      <c r="A898" s="12"/>
      <c r="D898" s="95"/>
      <c r="E898" s="14"/>
      <c r="F898" s="96"/>
      <c r="H898" s="12"/>
      <c r="I898" s="12"/>
      <c r="J898" s="12"/>
      <c r="K898" s="12"/>
      <c r="L898" s="12"/>
      <c r="M898" s="12"/>
      <c r="N898" s="12"/>
      <c r="O898" s="12"/>
      <c r="P898" s="12"/>
    </row>
    <row r="899">
      <c r="A899" s="12"/>
      <c r="D899" s="95"/>
      <c r="E899" s="14"/>
      <c r="F899" s="96"/>
      <c r="H899" s="12"/>
      <c r="I899" s="12"/>
      <c r="J899" s="12"/>
      <c r="K899" s="12"/>
      <c r="L899" s="12"/>
      <c r="M899" s="12"/>
      <c r="N899" s="12"/>
      <c r="O899" s="12"/>
      <c r="P899" s="12"/>
    </row>
    <row r="900">
      <c r="A900" s="12"/>
      <c r="D900" s="95"/>
      <c r="E900" s="14"/>
      <c r="F900" s="96"/>
      <c r="H900" s="12"/>
      <c r="I900" s="12"/>
      <c r="J900" s="12"/>
      <c r="K900" s="12"/>
      <c r="L900" s="12"/>
      <c r="M900" s="12"/>
      <c r="N900" s="12"/>
      <c r="O900" s="12"/>
      <c r="P900" s="12"/>
    </row>
    <row r="901">
      <c r="A901" s="12"/>
      <c r="D901" s="95"/>
      <c r="E901" s="14"/>
      <c r="F901" s="96"/>
      <c r="H901" s="12"/>
      <c r="I901" s="12"/>
      <c r="J901" s="12"/>
      <c r="K901" s="12"/>
      <c r="L901" s="12"/>
      <c r="M901" s="12"/>
      <c r="N901" s="12"/>
      <c r="O901" s="12"/>
      <c r="P901" s="12"/>
    </row>
    <row r="902">
      <c r="A902" s="12"/>
      <c r="D902" s="95"/>
      <c r="E902" s="14"/>
      <c r="F902" s="96"/>
      <c r="H902" s="12"/>
      <c r="I902" s="12"/>
      <c r="J902" s="12"/>
      <c r="K902" s="12"/>
      <c r="L902" s="12"/>
      <c r="M902" s="12"/>
      <c r="N902" s="12"/>
      <c r="O902" s="12"/>
      <c r="P902" s="12"/>
    </row>
    <row r="903">
      <c r="A903" s="12"/>
      <c r="D903" s="95"/>
      <c r="E903" s="14"/>
      <c r="F903" s="96"/>
      <c r="H903" s="12"/>
      <c r="I903" s="12"/>
      <c r="J903" s="12"/>
      <c r="K903" s="12"/>
      <c r="L903" s="12"/>
      <c r="M903" s="12"/>
      <c r="N903" s="12"/>
      <c r="O903" s="12"/>
      <c r="P903" s="12"/>
    </row>
    <row r="904">
      <c r="A904" s="12"/>
      <c r="D904" s="95"/>
      <c r="E904" s="14"/>
      <c r="F904" s="96"/>
      <c r="H904" s="12"/>
      <c r="I904" s="12"/>
      <c r="J904" s="12"/>
      <c r="K904" s="12"/>
      <c r="L904" s="12"/>
      <c r="M904" s="12"/>
      <c r="N904" s="12"/>
      <c r="O904" s="12"/>
      <c r="P904" s="12"/>
    </row>
    <row r="905">
      <c r="A905" s="12"/>
      <c r="D905" s="95"/>
      <c r="E905" s="14"/>
      <c r="F905" s="96"/>
      <c r="H905" s="12"/>
      <c r="I905" s="12"/>
      <c r="J905" s="12"/>
      <c r="K905" s="12"/>
      <c r="L905" s="12"/>
      <c r="M905" s="12"/>
      <c r="N905" s="12"/>
      <c r="O905" s="12"/>
      <c r="P905" s="12"/>
    </row>
    <row r="906">
      <c r="A906" s="12"/>
      <c r="D906" s="95"/>
      <c r="E906" s="14"/>
      <c r="F906" s="96"/>
      <c r="H906" s="12"/>
      <c r="I906" s="12"/>
      <c r="J906" s="12"/>
      <c r="K906" s="12"/>
      <c r="L906" s="12"/>
      <c r="M906" s="12"/>
      <c r="N906" s="12"/>
      <c r="O906" s="12"/>
      <c r="P906" s="12"/>
    </row>
    <row r="907">
      <c r="A907" s="12"/>
      <c r="D907" s="95"/>
      <c r="E907" s="14"/>
      <c r="F907" s="96"/>
      <c r="H907" s="12"/>
      <c r="I907" s="12"/>
      <c r="J907" s="12"/>
      <c r="K907" s="12"/>
      <c r="L907" s="12"/>
      <c r="M907" s="12"/>
      <c r="N907" s="12"/>
      <c r="O907" s="12"/>
      <c r="P907" s="12"/>
    </row>
    <row r="908">
      <c r="A908" s="12"/>
      <c r="D908" s="95"/>
      <c r="E908" s="14"/>
      <c r="F908" s="96"/>
      <c r="H908" s="12"/>
      <c r="I908" s="12"/>
      <c r="J908" s="12"/>
      <c r="K908" s="12"/>
      <c r="L908" s="12"/>
      <c r="M908" s="12"/>
      <c r="N908" s="12"/>
      <c r="O908" s="12"/>
      <c r="P908" s="12"/>
    </row>
    <row r="909">
      <c r="A909" s="12"/>
      <c r="D909" s="95"/>
      <c r="E909" s="14"/>
      <c r="F909" s="96"/>
      <c r="H909" s="12"/>
      <c r="I909" s="12"/>
      <c r="J909" s="12"/>
      <c r="K909" s="12"/>
      <c r="L909" s="12"/>
      <c r="M909" s="12"/>
      <c r="N909" s="12"/>
      <c r="O909" s="12"/>
      <c r="P909" s="12"/>
    </row>
    <row r="910">
      <c r="A910" s="12"/>
      <c r="D910" s="95"/>
      <c r="E910" s="14"/>
      <c r="F910" s="96"/>
      <c r="H910" s="12"/>
      <c r="I910" s="12"/>
      <c r="J910" s="12"/>
      <c r="K910" s="12"/>
      <c r="L910" s="12"/>
      <c r="M910" s="12"/>
      <c r="N910" s="12"/>
      <c r="O910" s="12"/>
      <c r="P910" s="12"/>
    </row>
    <row r="911">
      <c r="A911" s="12"/>
      <c r="D911" s="95"/>
      <c r="E911" s="14"/>
      <c r="F911" s="96"/>
      <c r="H911" s="12"/>
      <c r="I911" s="12"/>
      <c r="J911" s="12"/>
      <c r="K911" s="12"/>
      <c r="L911" s="12"/>
      <c r="M911" s="12"/>
      <c r="N911" s="12"/>
      <c r="O911" s="12"/>
      <c r="P911" s="12"/>
    </row>
    <row r="912">
      <c r="A912" s="12"/>
      <c r="D912" s="95"/>
      <c r="E912" s="14"/>
      <c r="F912" s="96"/>
      <c r="H912" s="12"/>
      <c r="I912" s="12"/>
      <c r="J912" s="12"/>
      <c r="K912" s="12"/>
      <c r="L912" s="12"/>
      <c r="M912" s="12"/>
      <c r="N912" s="12"/>
      <c r="O912" s="12"/>
      <c r="P912" s="12"/>
    </row>
    <row r="913">
      <c r="A913" s="12"/>
      <c r="D913" s="95"/>
      <c r="E913" s="14"/>
      <c r="F913" s="96"/>
      <c r="H913" s="12"/>
      <c r="I913" s="12"/>
      <c r="J913" s="12"/>
      <c r="K913" s="12"/>
      <c r="L913" s="12"/>
      <c r="M913" s="12"/>
      <c r="N913" s="12"/>
      <c r="O913" s="12"/>
      <c r="P913" s="12"/>
    </row>
    <row r="914">
      <c r="A914" s="12"/>
      <c r="D914" s="95"/>
      <c r="E914" s="14"/>
      <c r="F914" s="96"/>
      <c r="H914" s="12"/>
      <c r="I914" s="12"/>
      <c r="J914" s="12"/>
      <c r="K914" s="12"/>
      <c r="L914" s="12"/>
      <c r="M914" s="12"/>
      <c r="N914" s="12"/>
      <c r="O914" s="12"/>
      <c r="P914" s="12"/>
    </row>
    <row r="915">
      <c r="A915" s="12"/>
      <c r="D915" s="95"/>
      <c r="E915" s="14"/>
      <c r="F915" s="96"/>
      <c r="H915" s="12"/>
      <c r="I915" s="12"/>
      <c r="J915" s="12"/>
      <c r="K915" s="12"/>
      <c r="L915" s="12"/>
      <c r="M915" s="12"/>
      <c r="N915" s="12"/>
      <c r="O915" s="12"/>
      <c r="P915" s="12"/>
    </row>
    <row r="916">
      <c r="A916" s="12"/>
      <c r="D916" s="95"/>
      <c r="E916" s="14"/>
      <c r="F916" s="96"/>
      <c r="H916" s="12"/>
      <c r="I916" s="12"/>
      <c r="J916" s="12"/>
      <c r="K916" s="12"/>
      <c r="L916" s="12"/>
      <c r="M916" s="12"/>
      <c r="N916" s="12"/>
      <c r="O916" s="12"/>
      <c r="P916" s="12"/>
    </row>
    <row r="917">
      <c r="A917" s="12"/>
      <c r="D917" s="95"/>
      <c r="E917" s="14"/>
      <c r="F917" s="96"/>
      <c r="H917" s="12"/>
      <c r="I917" s="12"/>
      <c r="J917" s="12"/>
      <c r="K917" s="12"/>
      <c r="L917" s="12"/>
      <c r="M917" s="12"/>
      <c r="N917" s="12"/>
      <c r="O917" s="12"/>
      <c r="P917" s="12"/>
    </row>
    <row r="918">
      <c r="A918" s="12"/>
      <c r="D918" s="95"/>
      <c r="E918" s="14"/>
      <c r="F918" s="96"/>
      <c r="H918" s="12"/>
      <c r="I918" s="12"/>
      <c r="J918" s="12"/>
      <c r="K918" s="12"/>
      <c r="L918" s="12"/>
      <c r="M918" s="12"/>
      <c r="N918" s="12"/>
      <c r="O918" s="12"/>
      <c r="P918" s="12"/>
    </row>
    <row r="919">
      <c r="A919" s="12"/>
      <c r="D919" s="95"/>
      <c r="E919" s="14"/>
      <c r="F919" s="96"/>
      <c r="H919" s="12"/>
      <c r="I919" s="12"/>
      <c r="J919" s="12"/>
      <c r="K919" s="12"/>
      <c r="L919" s="12"/>
      <c r="M919" s="12"/>
      <c r="N919" s="12"/>
      <c r="O919" s="12"/>
      <c r="P919" s="12"/>
    </row>
    <row r="920">
      <c r="A920" s="12"/>
      <c r="D920" s="95"/>
      <c r="E920" s="14"/>
      <c r="F920" s="96"/>
      <c r="H920" s="12"/>
      <c r="I920" s="12"/>
      <c r="J920" s="12"/>
      <c r="K920" s="12"/>
      <c r="L920" s="12"/>
      <c r="M920" s="12"/>
      <c r="N920" s="12"/>
      <c r="O920" s="12"/>
      <c r="P920" s="12"/>
    </row>
    <row r="921">
      <c r="A921" s="12"/>
      <c r="D921" s="95"/>
      <c r="E921" s="14"/>
      <c r="F921" s="96"/>
      <c r="H921" s="12"/>
      <c r="I921" s="12"/>
      <c r="J921" s="12"/>
      <c r="K921" s="12"/>
      <c r="L921" s="12"/>
      <c r="M921" s="12"/>
      <c r="N921" s="12"/>
      <c r="O921" s="12"/>
      <c r="P921" s="12"/>
    </row>
    <row r="922">
      <c r="A922" s="12"/>
      <c r="D922" s="95"/>
      <c r="E922" s="14"/>
      <c r="F922" s="96"/>
      <c r="H922" s="12"/>
      <c r="I922" s="12"/>
      <c r="J922" s="12"/>
      <c r="K922" s="12"/>
      <c r="L922" s="12"/>
      <c r="M922" s="12"/>
      <c r="N922" s="12"/>
      <c r="O922" s="12"/>
      <c r="P922" s="12"/>
    </row>
    <row r="923">
      <c r="A923" s="12"/>
      <c r="D923" s="95"/>
      <c r="E923" s="14"/>
      <c r="F923" s="96"/>
      <c r="H923" s="12"/>
      <c r="I923" s="12"/>
      <c r="J923" s="12"/>
      <c r="K923" s="12"/>
      <c r="L923" s="12"/>
      <c r="M923" s="12"/>
      <c r="N923" s="12"/>
      <c r="O923" s="12"/>
      <c r="P923" s="12"/>
    </row>
    <row r="924">
      <c r="A924" s="12"/>
      <c r="D924" s="95"/>
      <c r="E924" s="14"/>
      <c r="F924" s="96"/>
      <c r="H924" s="12"/>
      <c r="I924" s="12"/>
      <c r="J924" s="12"/>
      <c r="K924" s="12"/>
      <c r="L924" s="12"/>
      <c r="M924" s="12"/>
      <c r="N924" s="12"/>
      <c r="O924" s="12"/>
      <c r="P924" s="12"/>
    </row>
    <row r="925">
      <c r="A925" s="12"/>
      <c r="D925" s="95"/>
      <c r="E925" s="14"/>
      <c r="F925" s="96"/>
      <c r="H925" s="12"/>
      <c r="I925" s="12"/>
      <c r="J925" s="12"/>
      <c r="K925" s="12"/>
      <c r="L925" s="12"/>
      <c r="M925" s="12"/>
      <c r="N925" s="12"/>
      <c r="O925" s="12"/>
      <c r="P925" s="12"/>
    </row>
    <row r="926">
      <c r="A926" s="12"/>
      <c r="D926" s="95"/>
      <c r="E926" s="14"/>
      <c r="F926" s="96"/>
      <c r="H926" s="12"/>
      <c r="I926" s="12"/>
      <c r="J926" s="12"/>
      <c r="K926" s="12"/>
      <c r="L926" s="12"/>
      <c r="M926" s="12"/>
      <c r="N926" s="12"/>
      <c r="O926" s="12"/>
      <c r="P926" s="12"/>
    </row>
    <row r="927">
      <c r="A927" s="12"/>
      <c r="D927" s="95"/>
      <c r="E927" s="14"/>
      <c r="F927" s="96"/>
      <c r="H927" s="12"/>
      <c r="I927" s="12"/>
      <c r="J927" s="12"/>
      <c r="K927" s="12"/>
      <c r="L927" s="12"/>
      <c r="M927" s="12"/>
      <c r="N927" s="12"/>
      <c r="O927" s="12"/>
      <c r="P927" s="12"/>
    </row>
    <row r="928">
      <c r="A928" s="12"/>
      <c r="D928" s="95"/>
      <c r="E928" s="14"/>
      <c r="F928" s="96"/>
      <c r="H928" s="12"/>
      <c r="I928" s="12"/>
      <c r="J928" s="12"/>
      <c r="K928" s="12"/>
      <c r="L928" s="12"/>
      <c r="M928" s="12"/>
      <c r="N928" s="12"/>
      <c r="O928" s="12"/>
      <c r="P928" s="12"/>
    </row>
    <row r="929">
      <c r="A929" s="12"/>
      <c r="D929" s="95"/>
      <c r="E929" s="14"/>
      <c r="F929" s="96"/>
      <c r="H929" s="12"/>
      <c r="I929" s="12"/>
      <c r="J929" s="12"/>
      <c r="K929" s="12"/>
      <c r="L929" s="12"/>
      <c r="M929" s="12"/>
      <c r="N929" s="12"/>
      <c r="O929" s="12"/>
      <c r="P929" s="12"/>
    </row>
    <row r="930">
      <c r="A930" s="12"/>
      <c r="D930" s="95"/>
      <c r="E930" s="14"/>
      <c r="F930" s="96"/>
      <c r="H930" s="12"/>
      <c r="I930" s="12"/>
      <c r="J930" s="12"/>
      <c r="K930" s="12"/>
      <c r="L930" s="12"/>
      <c r="M930" s="12"/>
      <c r="N930" s="12"/>
      <c r="O930" s="12"/>
      <c r="P930" s="12"/>
    </row>
    <row r="931">
      <c r="A931" s="12"/>
      <c r="D931" s="95"/>
      <c r="E931" s="14"/>
      <c r="F931" s="96"/>
      <c r="H931" s="12"/>
      <c r="I931" s="12"/>
      <c r="J931" s="12"/>
      <c r="K931" s="12"/>
      <c r="L931" s="12"/>
      <c r="M931" s="12"/>
      <c r="N931" s="12"/>
      <c r="O931" s="12"/>
      <c r="P931" s="12"/>
    </row>
    <row r="932">
      <c r="A932" s="12"/>
      <c r="D932" s="95"/>
      <c r="E932" s="14"/>
      <c r="F932" s="96"/>
      <c r="H932" s="12"/>
      <c r="I932" s="12"/>
      <c r="J932" s="12"/>
      <c r="K932" s="12"/>
      <c r="L932" s="12"/>
      <c r="M932" s="12"/>
      <c r="N932" s="12"/>
      <c r="O932" s="12"/>
      <c r="P932" s="12"/>
    </row>
    <row r="933">
      <c r="A933" s="12"/>
      <c r="D933" s="95"/>
      <c r="E933" s="14"/>
      <c r="F933" s="96"/>
      <c r="H933" s="12"/>
      <c r="I933" s="12"/>
      <c r="J933" s="12"/>
      <c r="K933" s="12"/>
      <c r="L933" s="12"/>
      <c r="M933" s="12"/>
      <c r="N933" s="12"/>
      <c r="O933" s="12"/>
      <c r="P933" s="12"/>
    </row>
    <row r="934">
      <c r="A934" s="12"/>
      <c r="D934" s="95"/>
      <c r="E934" s="14"/>
      <c r="F934" s="96"/>
      <c r="H934" s="12"/>
      <c r="I934" s="12"/>
      <c r="J934" s="12"/>
      <c r="K934" s="12"/>
      <c r="L934" s="12"/>
      <c r="M934" s="12"/>
      <c r="N934" s="12"/>
      <c r="O934" s="12"/>
      <c r="P934" s="12"/>
    </row>
    <row r="935">
      <c r="A935" s="12"/>
      <c r="D935" s="95"/>
      <c r="E935" s="14"/>
      <c r="F935" s="96"/>
      <c r="H935" s="12"/>
      <c r="I935" s="12"/>
      <c r="J935" s="12"/>
      <c r="K935" s="12"/>
      <c r="L935" s="12"/>
      <c r="M935" s="12"/>
      <c r="N935" s="12"/>
      <c r="O935" s="12"/>
      <c r="P935" s="12"/>
    </row>
    <row r="936">
      <c r="A936" s="12"/>
      <c r="D936" s="95"/>
      <c r="E936" s="14"/>
      <c r="F936" s="96"/>
      <c r="H936" s="12"/>
      <c r="I936" s="12"/>
      <c r="J936" s="12"/>
      <c r="K936" s="12"/>
      <c r="L936" s="12"/>
      <c r="M936" s="12"/>
      <c r="N936" s="12"/>
      <c r="O936" s="12"/>
      <c r="P936" s="12"/>
    </row>
    <row r="937">
      <c r="A937" s="12"/>
      <c r="D937" s="95"/>
      <c r="E937" s="14"/>
      <c r="F937" s="96"/>
      <c r="H937" s="12"/>
      <c r="I937" s="12"/>
      <c r="J937" s="12"/>
      <c r="K937" s="12"/>
      <c r="L937" s="12"/>
      <c r="M937" s="12"/>
      <c r="N937" s="12"/>
      <c r="O937" s="12"/>
      <c r="P937" s="12"/>
    </row>
    <row r="938">
      <c r="A938" s="12"/>
      <c r="D938" s="95"/>
      <c r="E938" s="14"/>
      <c r="F938" s="96"/>
      <c r="H938" s="12"/>
      <c r="I938" s="12"/>
      <c r="J938" s="12"/>
      <c r="K938" s="12"/>
      <c r="L938" s="12"/>
      <c r="M938" s="12"/>
      <c r="N938" s="12"/>
      <c r="O938" s="12"/>
      <c r="P938" s="12"/>
    </row>
    <row r="939">
      <c r="A939" s="12"/>
      <c r="D939" s="95"/>
      <c r="E939" s="14"/>
      <c r="F939" s="96"/>
      <c r="H939" s="12"/>
      <c r="I939" s="12"/>
      <c r="J939" s="12"/>
      <c r="K939" s="12"/>
      <c r="L939" s="12"/>
      <c r="M939" s="12"/>
      <c r="N939" s="12"/>
      <c r="O939" s="12"/>
      <c r="P939" s="12"/>
    </row>
    <row r="940">
      <c r="A940" s="12"/>
      <c r="D940" s="95"/>
      <c r="E940" s="14"/>
      <c r="F940" s="96"/>
      <c r="H940" s="12"/>
      <c r="I940" s="12"/>
      <c r="J940" s="12"/>
      <c r="K940" s="12"/>
      <c r="L940" s="12"/>
      <c r="M940" s="12"/>
      <c r="N940" s="12"/>
      <c r="O940" s="12"/>
      <c r="P940" s="12"/>
    </row>
    <row r="941">
      <c r="A941" s="12"/>
      <c r="D941" s="95"/>
      <c r="E941" s="14"/>
      <c r="F941" s="96"/>
      <c r="H941" s="12"/>
      <c r="I941" s="12"/>
      <c r="J941" s="12"/>
      <c r="K941" s="12"/>
      <c r="L941" s="12"/>
      <c r="M941" s="12"/>
      <c r="N941" s="12"/>
      <c r="O941" s="12"/>
      <c r="P941" s="12"/>
    </row>
    <row r="942">
      <c r="A942" s="12"/>
      <c r="D942" s="95"/>
      <c r="E942" s="14"/>
      <c r="F942" s="96"/>
      <c r="H942" s="12"/>
      <c r="I942" s="12"/>
      <c r="J942" s="12"/>
      <c r="K942" s="12"/>
      <c r="L942" s="12"/>
      <c r="M942" s="12"/>
      <c r="N942" s="12"/>
      <c r="O942" s="12"/>
      <c r="P942" s="12"/>
    </row>
    <row r="943">
      <c r="A943" s="12"/>
      <c r="D943" s="95"/>
      <c r="E943" s="14"/>
      <c r="F943" s="96"/>
      <c r="H943" s="12"/>
      <c r="I943" s="12"/>
      <c r="J943" s="12"/>
      <c r="K943" s="12"/>
      <c r="L943" s="12"/>
      <c r="M943" s="12"/>
      <c r="N943" s="12"/>
      <c r="O943" s="12"/>
      <c r="P943" s="12"/>
    </row>
    <row r="944">
      <c r="A944" s="12"/>
      <c r="D944" s="95"/>
      <c r="E944" s="14"/>
      <c r="F944" s="96"/>
      <c r="H944" s="12"/>
      <c r="I944" s="12"/>
      <c r="J944" s="12"/>
      <c r="K944" s="12"/>
      <c r="L944" s="12"/>
      <c r="M944" s="12"/>
      <c r="N944" s="12"/>
      <c r="O944" s="12"/>
      <c r="P944" s="12"/>
    </row>
    <row r="945">
      <c r="A945" s="12"/>
      <c r="D945" s="95"/>
      <c r="E945" s="14"/>
      <c r="F945" s="96"/>
      <c r="H945" s="12"/>
      <c r="I945" s="12"/>
      <c r="J945" s="12"/>
      <c r="K945" s="12"/>
      <c r="L945" s="12"/>
      <c r="M945" s="12"/>
      <c r="N945" s="12"/>
      <c r="O945" s="12"/>
      <c r="P945" s="12"/>
    </row>
    <row r="946">
      <c r="A946" s="12"/>
      <c r="D946" s="95"/>
      <c r="E946" s="14"/>
      <c r="F946" s="96"/>
      <c r="H946" s="12"/>
      <c r="I946" s="12"/>
      <c r="J946" s="12"/>
      <c r="K946" s="12"/>
      <c r="L946" s="12"/>
      <c r="M946" s="12"/>
      <c r="N946" s="12"/>
      <c r="O946" s="12"/>
      <c r="P946" s="12"/>
    </row>
    <row r="947">
      <c r="A947" s="12"/>
      <c r="D947" s="95"/>
      <c r="E947" s="14"/>
      <c r="F947" s="96"/>
      <c r="H947" s="12"/>
      <c r="I947" s="12"/>
      <c r="J947" s="12"/>
      <c r="K947" s="12"/>
      <c r="L947" s="12"/>
      <c r="M947" s="12"/>
      <c r="N947" s="12"/>
      <c r="O947" s="12"/>
      <c r="P947" s="12"/>
    </row>
    <row r="948">
      <c r="A948" s="12"/>
      <c r="D948" s="95"/>
      <c r="E948" s="14"/>
      <c r="F948" s="96"/>
      <c r="H948" s="12"/>
      <c r="I948" s="12"/>
      <c r="J948" s="12"/>
      <c r="K948" s="12"/>
      <c r="L948" s="12"/>
      <c r="M948" s="12"/>
      <c r="N948" s="12"/>
      <c r="O948" s="12"/>
      <c r="P948" s="12"/>
    </row>
    <row r="949">
      <c r="A949" s="12"/>
      <c r="D949" s="95"/>
      <c r="E949" s="14"/>
      <c r="F949" s="96"/>
      <c r="H949" s="12"/>
      <c r="I949" s="12"/>
      <c r="J949" s="12"/>
      <c r="K949" s="12"/>
      <c r="L949" s="12"/>
      <c r="M949" s="12"/>
      <c r="N949" s="12"/>
      <c r="O949" s="12"/>
      <c r="P949" s="12"/>
    </row>
    <row r="950">
      <c r="A950" s="12"/>
      <c r="D950" s="95"/>
      <c r="E950" s="14"/>
      <c r="F950" s="96"/>
      <c r="H950" s="12"/>
      <c r="I950" s="12"/>
      <c r="J950" s="12"/>
      <c r="K950" s="12"/>
      <c r="L950" s="12"/>
      <c r="M950" s="12"/>
      <c r="N950" s="12"/>
      <c r="O950" s="12"/>
      <c r="P950" s="12"/>
    </row>
    <row r="951">
      <c r="A951" s="12"/>
      <c r="D951" s="95"/>
      <c r="E951" s="14"/>
      <c r="F951" s="96"/>
      <c r="H951" s="12"/>
      <c r="I951" s="12"/>
      <c r="J951" s="12"/>
      <c r="K951" s="12"/>
      <c r="L951" s="12"/>
      <c r="M951" s="12"/>
      <c r="N951" s="12"/>
      <c r="O951" s="12"/>
      <c r="P951" s="12"/>
    </row>
    <row r="952">
      <c r="A952" s="12"/>
      <c r="D952" s="95"/>
      <c r="E952" s="14"/>
      <c r="F952" s="96"/>
      <c r="H952" s="12"/>
      <c r="I952" s="12"/>
      <c r="J952" s="12"/>
      <c r="K952" s="12"/>
      <c r="L952" s="12"/>
      <c r="M952" s="12"/>
      <c r="N952" s="12"/>
      <c r="O952" s="12"/>
      <c r="P952" s="12"/>
    </row>
    <row r="953">
      <c r="A953" s="12"/>
      <c r="D953" s="95"/>
      <c r="E953" s="14"/>
      <c r="F953" s="96"/>
      <c r="H953" s="12"/>
      <c r="I953" s="12"/>
      <c r="J953" s="12"/>
      <c r="K953" s="12"/>
      <c r="L953" s="12"/>
      <c r="M953" s="12"/>
      <c r="N953" s="12"/>
      <c r="O953" s="12"/>
      <c r="P953" s="12"/>
    </row>
    <row r="954">
      <c r="A954" s="12"/>
      <c r="D954" s="95"/>
      <c r="E954" s="14"/>
      <c r="F954" s="96"/>
      <c r="H954" s="12"/>
      <c r="I954" s="12"/>
      <c r="J954" s="12"/>
      <c r="K954" s="12"/>
      <c r="L954" s="12"/>
      <c r="M954" s="12"/>
      <c r="N954" s="12"/>
      <c r="O954" s="12"/>
      <c r="P954" s="12"/>
    </row>
    <row r="955">
      <c r="A955" s="12"/>
      <c r="D955" s="95"/>
      <c r="E955" s="14"/>
      <c r="F955" s="96"/>
      <c r="H955" s="12"/>
      <c r="I955" s="12"/>
      <c r="J955" s="12"/>
      <c r="K955" s="12"/>
      <c r="L955" s="12"/>
      <c r="M955" s="12"/>
      <c r="N955" s="12"/>
      <c r="O955" s="12"/>
      <c r="P955" s="12"/>
    </row>
    <row r="956">
      <c r="A956" s="12"/>
      <c r="D956" s="95"/>
      <c r="E956" s="14"/>
      <c r="F956" s="96"/>
      <c r="H956" s="12"/>
      <c r="I956" s="12"/>
      <c r="J956" s="12"/>
      <c r="K956" s="12"/>
      <c r="L956" s="12"/>
      <c r="M956" s="12"/>
      <c r="N956" s="12"/>
      <c r="O956" s="12"/>
      <c r="P956" s="12"/>
    </row>
    <row r="957">
      <c r="A957" s="12"/>
      <c r="D957" s="95"/>
      <c r="E957" s="14"/>
      <c r="F957" s="96"/>
      <c r="H957" s="12"/>
      <c r="I957" s="12"/>
      <c r="J957" s="12"/>
      <c r="K957" s="12"/>
      <c r="L957" s="12"/>
      <c r="M957" s="12"/>
      <c r="N957" s="12"/>
      <c r="O957" s="12"/>
      <c r="P957" s="12"/>
    </row>
    <row r="958">
      <c r="A958" s="12"/>
      <c r="D958" s="95"/>
      <c r="E958" s="14"/>
      <c r="F958" s="96"/>
      <c r="H958" s="12"/>
      <c r="I958" s="12"/>
      <c r="J958" s="12"/>
      <c r="K958" s="12"/>
      <c r="L958" s="12"/>
      <c r="M958" s="12"/>
      <c r="N958" s="12"/>
      <c r="O958" s="12"/>
      <c r="P958" s="12"/>
    </row>
    <row r="959">
      <c r="A959" s="12"/>
      <c r="D959" s="95"/>
      <c r="E959" s="14"/>
      <c r="F959" s="96"/>
      <c r="H959" s="12"/>
      <c r="I959" s="12"/>
      <c r="J959" s="12"/>
      <c r="K959" s="12"/>
      <c r="L959" s="12"/>
      <c r="M959" s="12"/>
      <c r="N959" s="12"/>
      <c r="O959" s="12"/>
      <c r="P959" s="12"/>
    </row>
    <row r="960">
      <c r="A960" s="12"/>
      <c r="D960" s="95"/>
      <c r="E960" s="14"/>
      <c r="F960" s="96"/>
      <c r="H960" s="12"/>
      <c r="I960" s="12"/>
      <c r="J960" s="12"/>
      <c r="K960" s="12"/>
      <c r="L960" s="12"/>
      <c r="M960" s="12"/>
      <c r="N960" s="12"/>
      <c r="O960" s="12"/>
      <c r="P960" s="12"/>
    </row>
    <row r="961">
      <c r="A961" s="12"/>
      <c r="D961" s="95"/>
      <c r="E961" s="14"/>
      <c r="F961" s="96"/>
      <c r="H961" s="12"/>
      <c r="I961" s="12"/>
      <c r="J961" s="12"/>
      <c r="K961" s="12"/>
      <c r="L961" s="12"/>
      <c r="M961" s="12"/>
      <c r="N961" s="12"/>
      <c r="O961" s="12"/>
      <c r="P961" s="12"/>
    </row>
    <row r="962">
      <c r="A962" s="12"/>
      <c r="D962" s="95"/>
      <c r="E962" s="14"/>
      <c r="F962" s="96"/>
      <c r="H962" s="12"/>
      <c r="I962" s="12"/>
      <c r="J962" s="12"/>
      <c r="K962" s="12"/>
      <c r="L962" s="12"/>
      <c r="M962" s="12"/>
      <c r="N962" s="12"/>
      <c r="O962" s="12"/>
      <c r="P962" s="12"/>
    </row>
    <row r="963">
      <c r="A963" s="12"/>
      <c r="D963" s="95"/>
      <c r="E963" s="14"/>
      <c r="F963" s="96"/>
      <c r="H963" s="12"/>
      <c r="I963" s="12"/>
      <c r="J963" s="12"/>
      <c r="K963" s="12"/>
      <c r="L963" s="12"/>
      <c r="M963" s="12"/>
      <c r="N963" s="12"/>
      <c r="O963" s="12"/>
      <c r="P963" s="12"/>
    </row>
    <row r="964">
      <c r="A964" s="12"/>
      <c r="D964" s="95"/>
      <c r="E964" s="14"/>
      <c r="F964" s="96"/>
      <c r="H964" s="12"/>
      <c r="I964" s="12"/>
      <c r="J964" s="12"/>
      <c r="K964" s="12"/>
      <c r="L964" s="12"/>
      <c r="M964" s="12"/>
      <c r="N964" s="12"/>
      <c r="O964" s="12"/>
      <c r="P964" s="12"/>
    </row>
    <row r="965">
      <c r="A965" s="12"/>
      <c r="D965" s="95"/>
      <c r="E965" s="14"/>
      <c r="F965" s="96"/>
      <c r="H965" s="12"/>
      <c r="I965" s="12"/>
      <c r="J965" s="12"/>
      <c r="K965" s="12"/>
      <c r="L965" s="12"/>
      <c r="M965" s="12"/>
      <c r="N965" s="12"/>
      <c r="O965" s="12"/>
      <c r="P965" s="12"/>
    </row>
    <row r="966">
      <c r="A966" s="12"/>
      <c r="D966" s="95"/>
      <c r="E966" s="14"/>
      <c r="F966" s="96"/>
      <c r="H966" s="12"/>
      <c r="I966" s="12"/>
      <c r="J966" s="12"/>
      <c r="K966" s="12"/>
      <c r="L966" s="12"/>
      <c r="M966" s="12"/>
      <c r="N966" s="12"/>
      <c r="O966" s="12"/>
      <c r="P966" s="12"/>
    </row>
    <row r="967">
      <c r="A967" s="12"/>
      <c r="D967" s="95"/>
      <c r="E967" s="14"/>
      <c r="F967" s="96"/>
      <c r="H967" s="12"/>
      <c r="I967" s="12"/>
      <c r="J967" s="12"/>
      <c r="K967" s="12"/>
      <c r="L967" s="12"/>
      <c r="M967" s="12"/>
      <c r="N967" s="12"/>
      <c r="O967" s="12"/>
      <c r="P967" s="12"/>
    </row>
    <row r="968">
      <c r="A968" s="12"/>
      <c r="D968" s="95"/>
      <c r="E968" s="14"/>
      <c r="F968" s="96"/>
      <c r="H968" s="12"/>
      <c r="I968" s="12"/>
      <c r="J968" s="12"/>
      <c r="K968" s="12"/>
      <c r="L968" s="12"/>
      <c r="M968" s="12"/>
      <c r="N968" s="12"/>
      <c r="O968" s="12"/>
      <c r="P968" s="12"/>
    </row>
    <row r="969">
      <c r="A969" s="12"/>
      <c r="D969" s="95"/>
      <c r="E969" s="14"/>
      <c r="F969" s="96"/>
      <c r="H969" s="12"/>
      <c r="I969" s="12"/>
      <c r="J969" s="12"/>
      <c r="K969" s="12"/>
      <c r="L969" s="12"/>
      <c r="M969" s="12"/>
      <c r="N969" s="12"/>
      <c r="O969" s="12"/>
      <c r="P969" s="12"/>
    </row>
    <row r="970">
      <c r="A970" s="12"/>
      <c r="D970" s="95"/>
      <c r="E970" s="14"/>
      <c r="F970" s="96"/>
      <c r="H970" s="12"/>
      <c r="I970" s="12"/>
      <c r="J970" s="12"/>
      <c r="K970" s="12"/>
      <c r="L970" s="12"/>
      <c r="M970" s="12"/>
      <c r="N970" s="12"/>
      <c r="O970" s="12"/>
      <c r="P970" s="12"/>
    </row>
    <row r="971">
      <c r="A971" s="12"/>
      <c r="D971" s="95"/>
      <c r="E971" s="14"/>
      <c r="F971" s="96"/>
      <c r="H971" s="12"/>
      <c r="I971" s="12"/>
      <c r="J971" s="12"/>
      <c r="K971" s="12"/>
      <c r="L971" s="12"/>
      <c r="M971" s="12"/>
      <c r="N971" s="12"/>
      <c r="O971" s="12"/>
      <c r="P971" s="12"/>
    </row>
    <row r="972">
      <c r="A972" s="12"/>
      <c r="D972" s="95"/>
      <c r="E972" s="14"/>
      <c r="F972" s="96"/>
      <c r="H972" s="12"/>
      <c r="I972" s="12"/>
      <c r="J972" s="12"/>
      <c r="K972" s="12"/>
      <c r="L972" s="12"/>
      <c r="M972" s="12"/>
      <c r="N972" s="12"/>
      <c r="O972" s="12"/>
      <c r="P972" s="12"/>
    </row>
    <row r="973">
      <c r="A973" s="12"/>
      <c r="D973" s="95"/>
      <c r="E973" s="14"/>
      <c r="F973" s="96"/>
      <c r="H973" s="12"/>
      <c r="I973" s="12"/>
      <c r="J973" s="12"/>
      <c r="K973" s="12"/>
      <c r="L973" s="12"/>
      <c r="M973" s="12"/>
      <c r="N973" s="12"/>
      <c r="O973" s="12"/>
      <c r="P973" s="12"/>
    </row>
    <row r="974">
      <c r="A974" s="12"/>
      <c r="D974" s="95"/>
      <c r="E974" s="14"/>
      <c r="F974" s="96"/>
      <c r="H974" s="12"/>
      <c r="I974" s="12"/>
      <c r="J974" s="12"/>
      <c r="K974" s="12"/>
      <c r="L974" s="12"/>
      <c r="M974" s="12"/>
      <c r="N974" s="12"/>
      <c r="O974" s="12"/>
      <c r="P974" s="12"/>
    </row>
    <row r="975">
      <c r="A975" s="12"/>
      <c r="D975" s="95"/>
      <c r="E975" s="14"/>
      <c r="F975" s="96"/>
      <c r="H975" s="12"/>
      <c r="I975" s="12"/>
      <c r="J975" s="12"/>
      <c r="K975" s="12"/>
      <c r="L975" s="12"/>
      <c r="M975" s="12"/>
      <c r="N975" s="12"/>
      <c r="O975" s="12"/>
      <c r="P975" s="12"/>
    </row>
    <row r="976">
      <c r="A976" s="12"/>
      <c r="D976" s="95"/>
      <c r="E976" s="14"/>
      <c r="F976" s="96"/>
      <c r="H976" s="12"/>
      <c r="I976" s="12"/>
      <c r="J976" s="12"/>
      <c r="K976" s="12"/>
      <c r="L976" s="12"/>
      <c r="M976" s="12"/>
      <c r="N976" s="12"/>
      <c r="O976" s="12"/>
      <c r="P976" s="12"/>
    </row>
    <row r="977">
      <c r="A977" s="12"/>
      <c r="D977" s="95"/>
      <c r="E977" s="14"/>
      <c r="F977" s="96"/>
      <c r="H977" s="12"/>
      <c r="I977" s="12"/>
      <c r="J977" s="12"/>
      <c r="K977" s="12"/>
      <c r="L977" s="12"/>
      <c r="M977" s="12"/>
      <c r="N977" s="12"/>
      <c r="O977" s="12"/>
      <c r="P977" s="12"/>
    </row>
    <row r="978">
      <c r="A978" s="12"/>
      <c r="D978" s="95"/>
      <c r="E978" s="14"/>
      <c r="F978" s="96"/>
      <c r="H978" s="12"/>
      <c r="I978" s="12"/>
      <c r="J978" s="12"/>
      <c r="K978" s="12"/>
      <c r="L978" s="12"/>
      <c r="M978" s="12"/>
      <c r="N978" s="12"/>
      <c r="O978" s="12"/>
      <c r="P978" s="12"/>
    </row>
    <row r="979">
      <c r="A979" s="12"/>
      <c r="D979" s="95"/>
      <c r="E979" s="14"/>
      <c r="F979" s="96"/>
      <c r="H979" s="12"/>
      <c r="I979" s="12"/>
      <c r="J979" s="12"/>
      <c r="K979" s="12"/>
      <c r="L979" s="12"/>
      <c r="M979" s="12"/>
      <c r="N979" s="12"/>
      <c r="O979" s="12"/>
      <c r="P979" s="12"/>
    </row>
    <row r="980">
      <c r="A980" s="12"/>
      <c r="D980" s="95"/>
      <c r="E980" s="14"/>
      <c r="F980" s="96"/>
      <c r="H980" s="12"/>
      <c r="I980" s="12"/>
      <c r="J980" s="12"/>
      <c r="K980" s="12"/>
      <c r="L980" s="12"/>
      <c r="M980" s="12"/>
      <c r="N980" s="12"/>
      <c r="O980" s="12"/>
      <c r="P980" s="12"/>
    </row>
    <row r="981">
      <c r="A981" s="12"/>
      <c r="D981" s="95"/>
      <c r="E981" s="14"/>
      <c r="F981" s="96"/>
      <c r="H981" s="12"/>
      <c r="I981" s="12"/>
      <c r="J981" s="12"/>
      <c r="K981" s="12"/>
      <c r="L981" s="12"/>
      <c r="M981" s="12"/>
      <c r="N981" s="12"/>
      <c r="O981" s="12"/>
      <c r="P981" s="12"/>
    </row>
    <row r="982">
      <c r="A982" s="12"/>
      <c r="D982" s="95"/>
      <c r="E982" s="14"/>
      <c r="F982" s="96"/>
      <c r="H982" s="12"/>
      <c r="I982" s="12"/>
      <c r="J982" s="12"/>
      <c r="K982" s="12"/>
      <c r="L982" s="12"/>
      <c r="M982" s="12"/>
      <c r="N982" s="12"/>
      <c r="O982" s="12"/>
      <c r="P982" s="12"/>
    </row>
    <row r="983">
      <c r="A983" s="12"/>
      <c r="D983" s="95"/>
      <c r="E983" s="14"/>
      <c r="F983" s="96"/>
      <c r="H983" s="12"/>
      <c r="I983" s="12"/>
      <c r="J983" s="12"/>
      <c r="K983" s="12"/>
      <c r="L983" s="12"/>
      <c r="M983" s="12"/>
      <c r="N983" s="12"/>
      <c r="O983" s="12"/>
      <c r="P983" s="12"/>
    </row>
    <row r="984">
      <c r="A984" s="12"/>
      <c r="D984" s="95"/>
      <c r="E984" s="14"/>
      <c r="F984" s="96"/>
      <c r="H984" s="12"/>
      <c r="I984" s="12"/>
      <c r="J984" s="12"/>
      <c r="K984" s="12"/>
      <c r="L984" s="12"/>
      <c r="M984" s="12"/>
      <c r="N984" s="12"/>
      <c r="O984" s="12"/>
      <c r="P984" s="12"/>
    </row>
    <row r="985">
      <c r="A985" s="12"/>
      <c r="D985" s="95"/>
      <c r="E985" s="14"/>
      <c r="F985" s="96"/>
      <c r="H985" s="12"/>
      <c r="I985" s="12"/>
      <c r="J985" s="12"/>
      <c r="K985" s="12"/>
      <c r="L985" s="12"/>
      <c r="M985" s="12"/>
      <c r="N985" s="12"/>
      <c r="O985" s="12"/>
      <c r="P985" s="12"/>
    </row>
    <row r="986">
      <c r="A986" s="12"/>
      <c r="D986" s="95"/>
      <c r="E986" s="14"/>
      <c r="F986" s="96"/>
      <c r="H986" s="12"/>
      <c r="I986" s="12"/>
      <c r="J986" s="12"/>
      <c r="K986" s="12"/>
      <c r="L986" s="12"/>
      <c r="M986" s="12"/>
      <c r="N986" s="12"/>
      <c r="O986" s="12"/>
      <c r="P986" s="12"/>
    </row>
    <row r="987">
      <c r="A987" s="12"/>
      <c r="D987" s="95"/>
      <c r="E987" s="14"/>
      <c r="F987" s="96"/>
      <c r="H987" s="12"/>
      <c r="I987" s="12"/>
      <c r="J987" s="12"/>
      <c r="K987" s="12"/>
      <c r="L987" s="12"/>
      <c r="M987" s="12"/>
      <c r="N987" s="12"/>
      <c r="O987" s="12"/>
      <c r="P987" s="12"/>
    </row>
    <row r="988">
      <c r="A988" s="12"/>
      <c r="D988" s="95"/>
      <c r="E988" s="14"/>
      <c r="F988" s="96"/>
      <c r="H988" s="12"/>
      <c r="I988" s="12"/>
      <c r="J988" s="12"/>
      <c r="K988" s="12"/>
      <c r="L988" s="12"/>
      <c r="M988" s="12"/>
      <c r="N988" s="12"/>
      <c r="O988" s="12"/>
      <c r="P988" s="12"/>
    </row>
    <row r="989">
      <c r="A989" s="12"/>
      <c r="D989" s="95"/>
      <c r="E989" s="14"/>
      <c r="F989" s="96"/>
      <c r="H989" s="12"/>
      <c r="I989" s="12"/>
      <c r="J989" s="12"/>
      <c r="K989" s="12"/>
      <c r="L989" s="12"/>
      <c r="M989" s="12"/>
      <c r="N989" s="12"/>
      <c r="O989" s="12"/>
      <c r="P989" s="12"/>
    </row>
    <row r="990">
      <c r="A990" s="12"/>
      <c r="D990" s="95"/>
      <c r="E990" s="14"/>
      <c r="F990" s="96"/>
      <c r="H990" s="12"/>
      <c r="I990" s="12"/>
      <c r="J990" s="12"/>
      <c r="K990" s="12"/>
      <c r="L990" s="12"/>
      <c r="M990" s="12"/>
      <c r="N990" s="12"/>
      <c r="O990" s="12"/>
      <c r="P990" s="12"/>
    </row>
    <row r="991">
      <c r="A991" s="12"/>
      <c r="D991" s="95"/>
      <c r="E991" s="14"/>
      <c r="F991" s="96"/>
      <c r="H991" s="12"/>
      <c r="I991" s="12"/>
      <c r="J991" s="12"/>
      <c r="K991" s="12"/>
      <c r="L991" s="12"/>
      <c r="M991" s="12"/>
      <c r="N991" s="12"/>
      <c r="O991" s="12"/>
      <c r="P991" s="12"/>
    </row>
    <row r="992">
      <c r="A992" s="12"/>
      <c r="D992" s="95"/>
      <c r="E992" s="14"/>
      <c r="F992" s="96"/>
      <c r="H992" s="12"/>
      <c r="I992" s="12"/>
      <c r="J992" s="12"/>
      <c r="K992" s="12"/>
      <c r="L992" s="12"/>
      <c r="M992" s="12"/>
      <c r="N992" s="12"/>
      <c r="O992" s="12"/>
      <c r="P992" s="12"/>
    </row>
    <row r="993">
      <c r="A993" s="12"/>
      <c r="D993" s="95"/>
      <c r="E993" s="14"/>
      <c r="F993" s="96"/>
      <c r="H993" s="12"/>
      <c r="I993" s="12"/>
      <c r="J993" s="12"/>
      <c r="K993" s="12"/>
      <c r="L993" s="12"/>
      <c r="M993" s="12"/>
      <c r="N993" s="12"/>
      <c r="O993" s="12"/>
      <c r="P993" s="12"/>
    </row>
    <row r="994">
      <c r="A994" s="12"/>
      <c r="D994" s="95"/>
      <c r="E994" s="14"/>
      <c r="F994" s="96"/>
      <c r="H994" s="12"/>
      <c r="I994" s="12"/>
      <c r="J994" s="12"/>
      <c r="K994" s="12"/>
      <c r="L994" s="12"/>
      <c r="M994" s="12"/>
      <c r="N994" s="12"/>
      <c r="O994" s="12"/>
      <c r="P994" s="12"/>
    </row>
    <row r="995">
      <c r="A995" s="12"/>
      <c r="D995" s="95"/>
      <c r="E995" s="14"/>
      <c r="F995" s="96"/>
      <c r="H995" s="12"/>
      <c r="I995" s="12"/>
      <c r="J995" s="12"/>
      <c r="K995" s="12"/>
      <c r="L995" s="12"/>
      <c r="M995" s="12"/>
      <c r="N995" s="12"/>
      <c r="O995" s="12"/>
      <c r="P995" s="12"/>
    </row>
    <row r="996">
      <c r="A996" s="12"/>
      <c r="D996" s="95"/>
      <c r="E996" s="14"/>
      <c r="F996" s="96"/>
      <c r="H996" s="12"/>
      <c r="I996" s="12"/>
      <c r="J996" s="12"/>
      <c r="K996" s="12"/>
      <c r="L996" s="12"/>
      <c r="M996" s="12"/>
      <c r="N996" s="12"/>
      <c r="O996" s="12"/>
      <c r="P996" s="12"/>
    </row>
    <row r="997">
      <c r="A997" s="12"/>
      <c r="D997" s="95"/>
      <c r="E997" s="14"/>
      <c r="F997" s="96"/>
      <c r="H997" s="12"/>
      <c r="I997" s="12"/>
      <c r="J997" s="12"/>
      <c r="K997" s="12"/>
      <c r="L997" s="12"/>
      <c r="M997" s="12"/>
      <c r="N997" s="12"/>
      <c r="O997" s="12"/>
      <c r="P997" s="12"/>
    </row>
    <row r="998">
      <c r="A998" s="12"/>
      <c r="D998" s="95"/>
      <c r="E998" s="14"/>
      <c r="F998" s="96"/>
      <c r="H998" s="12"/>
      <c r="I998" s="12"/>
      <c r="J998" s="12"/>
      <c r="K998" s="12"/>
      <c r="L998" s="12"/>
      <c r="M998" s="12"/>
      <c r="N998" s="12"/>
      <c r="O998" s="12"/>
      <c r="P998" s="12"/>
    </row>
    <row r="999">
      <c r="A999" s="12"/>
      <c r="D999" s="95"/>
      <c r="E999" s="14"/>
      <c r="F999" s="96"/>
      <c r="H999" s="12"/>
      <c r="I999" s="12"/>
      <c r="J999" s="12"/>
      <c r="K999" s="12"/>
      <c r="L999" s="12"/>
      <c r="M999" s="12"/>
      <c r="N999" s="12"/>
      <c r="O999" s="12"/>
      <c r="P999" s="12"/>
    </row>
    <row r="1000">
      <c r="A1000" s="12"/>
      <c r="D1000" s="95"/>
      <c r="E1000" s="14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>
      <c r="A1001" s="12"/>
      <c r="D1001" s="95"/>
      <c r="E1001" s="14"/>
      <c r="F1001" s="96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>
      <c r="A1002" s="12"/>
      <c r="D1002" s="95"/>
      <c r="E1002" s="14"/>
      <c r="F1002" s="96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>
      <c r="A1003" s="12"/>
      <c r="D1003" s="95"/>
      <c r="E1003" s="14"/>
      <c r="F1003" s="96"/>
      <c r="H1003" s="12"/>
      <c r="I1003" s="12"/>
      <c r="J1003" s="12"/>
      <c r="K1003" s="12"/>
      <c r="L1003" s="12"/>
      <c r="M1003" s="12"/>
      <c r="N1003" s="12"/>
      <c r="O1003" s="12"/>
      <c r="P1003" s="12"/>
    </row>
  </sheetData>
  <conditionalFormatting sqref="H2:P29">
    <cfRule type="cellIs" dxfId="24" priority="1" operator="equal">
      <formula>0</formula>
    </cfRule>
  </conditionalFormatting>
  <conditionalFormatting sqref="H2:H29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29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29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29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29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29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29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29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custom" allowBlank="1" showDropDown="1" sqref="F32">
      <formula1>OR(NOT(ISERROR(DATEVALUE(F32))), AND(ISNUMBER(F32), LEFT(CELL("format", F32))="D"))</formula1>
    </dataValidation>
    <dataValidation type="list" allowBlank="1" showDropDown="1" sqref="C35:C42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5:F42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list" allowBlank="1" showDropDown="1" sqref="B35:B42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C2:C29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19.75"/>
    <col customWidth="1" min="3" max="3" width="14.5"/>
    <col customWidth="1" min="4" max="4" width="18.25"/>
    <col customWidth="1" min="5" max="5" width="9.25"/>
    <col customWidth="1" min="6" max="6" width="28.0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6" width="17.75"/>
  </cols>
  <sheetData>
    <row r="1" ht="22.5" customHeight="1">
      <c r="A1" s="663" t="s">
        <v>48</v>
      </c>
      <c r="B1" s="664" t="s">
        <v>49</v>
      </c>
      <c r="C1" s="664" t="s">
        <v>50</v>
      </c>
      <c r="D1" s="665" t="s">
        <v>56</v>
      </c>
      <c r="E1" s="663" t="s">
        <v>57</v>
      </c>
      <c r="F1" s="666" t="s">
        <v>52</v>
      </c>
      <c r="G1" s="667" t="s">
        <v>53</v>
      </c>
      <c r="H1" s="663" t="s">
        <v>4</v>
      </c>
      <c r="I1" s="663" t="s">
        <v>58</v>
      </c>
      <c r="J1" s="663" t="s">
        <v>59</v>
      </c>
      <c r="K1" s="663" t="s">
        <v>60</v>
      </c>
      <c r="L1" s="663" t="s">
        <v>61</v>
      </c>
      <c r="M1" s="663" t="s">
        <v>62</v>
      </c>
      <c r="N1" s="663" t="s">
        <v>63</v>
      </c>
      <c r="O1" s="668" t="s">
        <v>64</v>
      </c>
      <c r="P1" s="663" t="s">
        <v>65</v>
      </c>
    </row>
    <row r="2" ht="22.5" customHeight="1">
      <c r="A2" s="669">
        <v>1.0</v>
      </c>
      <c r="B2" s="670" t="s">
        <v>1049</v>
      </c>
      <c r="C2" s="671" t="s">
        <v>67</v>
      </c>
      <c r="D2" s="672" t="s">
        <v>1050</v>
      </c>
      <c r="E2" s="673" t="str">
        <f>IMAGE("https://flagcdn.com/w320/kz.png")</f>
        <v/>
      </c>
      <c r="F2" s="674">
        <v>34207.0</v>
      </c>
      <c r="G2" s="675">
        <f t="shared" ref="G2:G38" si="1">DATEDIF(F2,TODAY(),"Y")</f>
        <v>32</v>
      </c>
      <c r="H2" s="676">
        <v>0.0</v>
      </c>
      <c r="I2" s="676">
        <v>0.0</v>
      </c>
      <c r="J2" s="677"/>
      <c r="K2" s="677"/>
      <c r="L2" s="677"/>
      <c r="M2" s="677"/>
      <c r="N2" s="677"/>
      <c r="O2" s="677">
        <f t="shared" ref="O2:O38" si="2">J2+K2</f>
        <v>0</v>
      </c>
      <c r="P2" s="677"/>
    </row>
    <row r="3" ht="22.5" customHeight="1">
      <c r="A3" s="669">
        <v>3.0</v>
      </c>
      <c r="B3" s="678" t="s">
        <v>1051</v>
      </c>
      <c r="C3" s="671" t="s">
        <v>70</v>
      </c>
      <c r="D3" s="672" t="s">
        <v>477</v>
      </c>
      <c r="E3" s="673" t="str">
        <f>IMAGE("https://flagcdn.com/w320/pt.png")</f>
        <v/>
      </c>
      <c r="F3" s="674">
        <v>35617.0</v>
      </c>
      <c r="G3" s="675">
        <f t="shared" si="1"/>
        <v>28</v>
      </c>
      <c r="H3" s="677">
        <f>1+1+1+1+1+1</f>
        <v>6</v>
      </c>
      <c r="I3" s="677">
        <f>80+90+90+90+90+90</f>
        <v>530</v>
      </c>
      <c r="J3" s="677"/>
      <c r="K3" s="677"/>
      <c r="L3" s="677"/>
      <c r="M3" s="677"/>
      <c r="N3" s="677"/>
      <c r="O3" s="677">
        <f t="shared" si="2"/>
        <v>0</v>
      </c>
      <c r="P3" s="677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ht="22.5" customHeight="1">
      <c r="A4" s="669">
        <v>4.0</v>
      </c>
      <c r="B4" s="670" t="s">
        <v>1052</v>
      </c>
      <c r="C4" s="671" t="s">
        <v>70</v>
      </c>
      <c r="D4" s="672" t="s">
        <v>1053</v>
      </c>
      <c r="E4" s="673" t="str">
        <f t="shared" ref="E4:E6" si="3">IMAGE("https://flagcdn.com/w320/kz.png")</f>
        <v/>
      </c>
      <c r="F4" s="674">
        <v>37497.0</v>
      </c>
      <c r="G4" s="675">
        <f t="shared" si="1"/>
        <v>23</v>
      </c>
      <c r="H4" s="677">
        <f>1+1+1+1+1+1+1</f>
        <v>7</v>
      </c>
      <c r="I4" s="677">
        <f>74+90+2+75+77+9+79</f>
        <v>406</v>
      </c>
      <c r="J4" s="677"/>
      <c r="K4" s="677"/>
      <c r="L4" s="677"/>
      <c r="M4" s="677"/>
      <c r="N4" s="677"/>
      <c r="O4" s="677">
        <f t="shared" si="2"/>
        <v>0</v>
      </c>
      <c r="P4" s="677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ht="22.5" customHeight="1">
      <c r="A5" s="669">
        <v>5.0</v>
      </c>
      <c r="B5" s="670" t="s">
        <v>1054</v>
      </c>
      <c r="C5" s="671" t="s">
        <v>70</v>
      </c>
      <c r="D5" s="672" t="s">
        <v>1053</v>
      </c>
      <c r="E5" s="673" t="str">
        <f t="shared" si="3"/>
        <v/>
      </c>
      <c r="F5" s="679">
        <v>37413.0</v>
      </c>
      <c r="G5" s="675">
        <f t="shared" si="1"/>
        <v>23</v>
      </c>
      <c r="H5" s="677">
        <f>1</f>
        <v>1</v>
      </c>
      <c r="I5" s="677">
        <f>10</f>
        <v>10</v>
      </c>
      <c r="J5" s="677"/>
      <c r="K5" s="677"/>
      <c r="L5" s="677"/>
      <c r="M5" s="677"/>
      <c r="N5" s="677"/>
      <c r="O5" s="677">
        <f t="shared" si="2"/>
        <v>0</v>
      </c>
      <c r="P5" s="677"/>
    </row>
    <row r="6" ht="22.5" customHeight="1">
      <c r="A6" s="669">
        <v>6.0</v>
      </c>
      <c r="B6" s="670" t="s">
        <v>1055</v>
      </c>
      <c r="C6" s="671" t="s">
        <v>79</v>
      </c>
      <c r="D6" s="672" t="s">
        <v>1053</v>
      </c>
      <c r="E6" s="673" t="str">
        <f t="shared" si="3"/>
        <v/>
      </c>
      <c r="F6" s="674">
        <v>37402.0</v>
      </c>
      <c r="G6" s="675">
        <f t="shared" si="1"/>
        <v>23</v>
      </c>
      <c r="H6" s="677">
        <f>1+1+1+1</f>
        <v>4</v>
      </c>
      <c r="I6" s="677">
        <f>16+15+13+15</f>
        <v>59</v>
      </c>
      <c r="J6" s="677">
        <f>1</f>
        <v>1</v>
      </c>
      <c r="K6" s="677"/>
      <c r="L6" s="677">
        <f>1</f>
        <v>1</v>
      </c>
      <c r="M6" s="677"/>
      <c r="N6" s="677"/>
      <c r="O6" s="677">
        <f t="shared" si="2"/>
        <v>1</v>
      </c>
      <c r="P6" s="677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ht="22.5" customHeight="1">
      <c r="A7" s="669">
        <v>7.0</v>
      </c>
      <c r="B7" s="678" t="s">
        <v>1056</v>
      </c>
      <c r="C7" s="671" t="s">
        <v>82</v>
      </c>
      <c r="D7" s="672" t="s">
        <v>477</v>
      </c>
      <c r="E7" s="673" t="str">
        <f>IMAGE("https://flagcdn.com/w320/pt.png")</f>
        <v/>
      </c>
      <c r="F7" s="674">
        <v>35743.0</v>
      </c>
      <c r="G7" s="675">
        <f t="shared" si="1"/>
        <v>28</v>
      </c>
      <c r="H7" s="677">
        <f>1+1+1+1+1+1+1</f>
        <v>7</v>
      </c>
      <c r="I7" s="677">
        <f>90+63+90+75+68+45+75</f>
        <v>506</v>
      </c>
      <c r="J7" s="677"/>
      <c r="K7" s="677"/>
      <c r="L7" s="677">
        <f>1+1</f>
        <v>2</v>
      </c>
      <c r="M7" s="677"/>
      <c r="N7" s="677"/>
      <c r="O7" s="677">
        <f t="shared" si="2"/>
        <v>0</v>
      </c>
      <c r="P7" s="677"/>
    </row>
    <row r="8" ht="22.5" customHeight="1">
      <c r="A8" s="669">
        <v>9.0</v>
      </c>
      <c r="B8" s="670" t="s">
        <v>1057</v>
      </c>
      <c r="C8" s="671" t="s">
        <v>82</v>
      </c>
      <c r="D8" s="672" t="s">
        <v>1053</v>
      </c>
      <c r="E8" s="673" t="str">
        <f>IMAGE("https://flagcdn.com/w320/kz.png")</f>
        <v/>
      </c>
      <c r="F8" s="674">
        <v>39672.0</v>
      </c>
      <c r="G8" s="675">
        <f t="shared" si="1"/>
        <v>17</v>
      </c>
      <c r="H8" s="677">
        <f t="shared" ref="H8:H9" si="4">1+1+1+1+1</f>
        <v>5</v>
      </c>
      <c r="I8" s="677">
        <f>90+79+90+90+90</f>
        <v>439</v>
      </c>
      <c r="J8" s="677">
        <f>1</f>
        <v>1</v>
      </c>
      <c r="K8" s="677"/>
      <c r="L8" s="677">
        <f>1+1+1</f>
        <v>3</v>
      </c>
      <c r="M8" s="677"/>
      <c r="N8" s="677"/>
      <c r="O8" s="677">
        <f t="shared" si="2"/>
        <v>1</v>
      </c>
      <c r="P8" s="677"/>
    </row>
    <row r="9" ht="22.5" customHeight="1">
      <c r="A9" s="669">
        <v>10.0</v>
      </c>
      <c r="B9" s="670" t="s">
        <v>1058</v>
      </c>
      <c r="C9" s="671" t="s">
        <v>79</v>
      </c>
      <c r="D9" s="672" t="s">
        <v>1059</v>
      </c>
      <c r="E9" s="673" t="str">
        <f>IMAGE("https://flagcdn.com/w320/ge.png")</f>
        <v/>
      </c>
      <c r="F9" s="674">
        <v>35625.0</v>
      </c>
      <c r="G9" s="675">
        <f t="shared" si="1"/>
        <v>28</v>
      </c>
      <c r="H9" s="677">
        <f t="shared" si="4"/>
        <v>5</v>
      </c>
      <c r="I9" s="677">
        <f>11+30+15+22+45</f>
        <v>123</v>
      </c>
      <c r="J9" s="677"/>
      <c r="K9" s="677">
        <f>1</f>
        <v>1</v>
      </c>
      <c r="L9" s="677"/>
      <c r="M9" s="677"/>
      <c r="N9" s="677"/>
      <c r="O9" s="677">
        <f t="shared" si="2"/>
        <v>1</v>
      </c>
      <c r="P9" s="677"/>
    </row>
    <row r="10" ht="22.5" customHeight="1">
      <c r="A10" s="669">
        <v>14.0</v>
      </c>
      <c r="B10" s="670" t="s">
        <v>1060</v>
      </c>
      <c r="C10" s="671" t="s">
        <v>70</v>
      </c>
      <c r="D10" s="672" t="s">
        <v>1061</v>
      </c>
      <c r="E10" s="673" t="str">
        <f>IMAGE("https://flagcdn.com/w320/by.png")</f>
        <v/>
      </c>
      <c r="F10" s="674">
        <v>32015.0</v>
      </c>
      <c r="G10" s="675">
        <f t="shared" si="1"/>
        <v>38</v>
      </c>
      <c r="H10" s="677">
        <f t="shared" ref="H10:H13" si="5">1+1+1+1</f>
        <v>4</v>
      </c>
      <c r="I10" s="677">
        <f>90+90+90+90</f>
        <v>360</v>
      </c>
      <c r="J10" s="677"/>
      <c r="K10" s="677"/>
      <c r="L10" s="677"/>
      <c r="M10" s="677"/>
      <c r="N10" s="677"/>
      <c r="O10" s="677">
        <f t="shared" si="2"/>
        <v>0</v>
      </c>
      <c r="P10" s="677"/>
    </row>
    <row r="11" ht="22.5" customHeight="1">
      <c r="A11" s="669">
        <v>15.0</v>
      </c>
      <c r="B11" s="670" t="s">
        <v>1062</v>
      </c>
      <c r="C11" s="671" t="s">
        <v>70</v>
      </c>
      <c r="D11" s="672" t="s">
        <v>1063</v>
      </c>
      <c r="E11" s="673" t="str">
        <f>IMAGE("https://flagcdn.com/w320/il.png")</f>
        <v/>
      </c>
      <c r="F11" s="674">
        <v>36049.0</v>
      </c>
      <c r="G11" s="675">
        <f t="shared" si="1"/>
        <v>27</v>
      </c>
      <c r="H11" s="677">
        <f t="shared" si="5"/>
        <v>4</v>
      </c>
      <c r="I11" s="677">
        <f>69+63+89+70</f>
        <v>291</v>
      </c>
      <c r="J11" s="677">
        <f t="shared" ref="J11:J12" si="6">1</f>
        <v>1</v>
      </c>
      <c r="K11" s="677"/>
      <c r="L11" s="677">
        <f>1+1</f>
        <v>2</v>
      </c>
      <c r="M11" s="677"/>
      <c r="N11" s="677"/>
      <c r="O11" s="677">
        <f t="shared" si="2"/>
        <v>1</v>
      </c>
      <c r="P11" s="677"/>
    </row>
    <row r="12" ht="22.5" customHeight="1">
      <c r="A12" s="669">
        <v>17.0</v>
      </c>
      <c r="B12" s="670" t="s">
        <v>1064</v>
      </c>
      <c r="C12" s="671" t="s">
        <v>79</v>
      </c>
      <c r="D12" s="672" t="s">
        <v>1053</v>
      </c>
      <c r="E12" s="673" t="str">
        <f>IMAGE("https://flagcdn.com/w320/kz.png")</f>
        <v/>
      </c>
      <c r="F12" s="674">
        <v>38394.0</v>
      </c>
      <c r="G12" s="675">
        <f t="shared" si="1"/>
        <v>20</v>
      </c>
      <c r="H12" s="676">
        <f t="shared" si="5"/>
        <v>4</v>
      </c>
      <c r="I12" s="676">
        <f>27+20+27+81</f>
        <v>155</v>
      </c>
      <c r="J12" s="677">
        <f t="shared" si="6"/>
        <v>1</v>
      </c>
      <c r="K12" s="677"/>
      <c r="L12" s="677"/>
      <c r="M12" s="677"/>
      <c r="N12" s="677"/>
      <c r="O12" s="677">
        <f t="shared" si="2"/>
        <v>1</v>
      </c>
      <c r="P12" s="677"/>
    </row>
    <row r="13" ht="22.5" customHeight="1">
      <c r="A13" s="669">
        <v>18.0</v>
      </c>
      <c r="B13" s="670" t="s">
        <v>1065</v>
      </c>
      <c r="C13" s="671" t="s">
        <v>79</v>
      </c>
      <c r="D13" s="672" t="s">
        <v>1066</v>
      </c>
      <c r="E13" s="673" t="str">
        <f>IMAGE("https://flagcdn.com/w320/il.png")</f>
        <v/>
      </c>
      <c r="F13" s="674">
        <v>35328.0</v>
      </c>
      <c r="G13" s="675">
        <f t="shared" si="1"/>
        <v>29</v>
      </c>
      <c r="H13" s="677">
        <f t="shared" si="5"/>
        <v>4</v>
      </c>
      <c r="I13" s="677">
        <f>60+63+90+75</f>
        <v>288</v>
      </c>
      <c r="J13" s="677"/>
      <c r="K13" s="677"/>
      <c r="L13" s="677"/>
      <c r="M13" s="677"/>
      <c r="N13" s="677"/>
      <c r="O13" s="677">
        <f t="shared" si="2"/>
        <v>0</v>
      </c>
      <c r="P13" s="677"/>
    </row>
    <row r="14" ht="22.5" customHeight="1">
      <c r="A14" s="669">
        <v>20.0</v>
      </c>
      <c r="B14" s="670" t="s">
        <v>1067</v>
      </c>
      <c r="C14" s="671" t="s">
        <v>79</v>
      </c>
      <c r="D14" s="672" t="s">
        <v>1053</v>
      </c>
      <c r="E14" s="673" t="str">
        <f t="shared" ref="E14:E16" si="7">IMAGE("https://flagcdn.com/w320/kz.png")</f>
        <v/>
      </c>
      <c r="F14" s="674">
        <v>34215.0</v>
      </c>
      <c r="G14" s="675">
        <f t="shared" si="1"/>
        <v>32</v>
      </c>
      <c r="H14" s="677">
        <f t="shared" ref="H14:H15" si="8">1+1+1+1+1+1+1</f>
        <v>7</v>
      </c>
      <c r="I14" s="677">
        <f>69+63+45+45+90+61+79</f>
        <v>452</v>
      </c>
      <c r="J14" s="677"/>
      <c r="K14" s="677"/>
      <c r="L14" s="677">
        <f>1</f>
        <v>1</v>
      </c>
      <c r="M14" s="677"/>
      <c r="N14" s="677"/>
      <c r="O14" s="677">
        <f t="shared" si="2"/>
        <v>0</v>
      </c>
      <c r="P14" s="677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22.5" customHeight="1">
      <c r="A15" s="669">
        <v>24.0</v>
      </c>
      <c r="B15" s="670" t="s">
        <v>1068</v>
      </c>
      <c r="C15" s="671" t="s">
        <v>70</v>
      </c>
      <c r="D15" s="672" t="s">
        <v>1053</v>
      </c>
      <c r="E15" s="673" t="str">
        <f t="shared" si="7"/>
        <v/>
      </c>
      <c r="F15" s="674">
        <v>38183.0</v>
      </c>
      <c r="G15" s="675">
        <f t="shared" si="1"/>
        <v>21</v>
      </c>
      <c r="H15" s="677">
        <f t="shared" si="8"/>
        <v>7</v>
      </c>
      <c r="I15" s="677">
        <f>80+90+90+90+90+90+90</f>
        <v>620</v>
      </c>
      <c r="J15" s="677"/>
      <c r="K15" s="677">
        <f t="shared" ref="K15:L15" si="9">1</f>
        <v>1</v>
      </c>
      <c r="L15" s="677">
        <f t="shared" si="9"/>
        <v>1</v>
      </c>
      <c r="M15" s="677"/>
      <c r="N15" s="677"/>
      <c r="O15" s="677">
        <f t="shared" si="2"/>
        <v>1</v>
      </c>
      <c r="P15" s="677"/>
    </row>
    <row r="16" ht="22.5" customHeight="1">
      <c r="A16" s="669">
        <v>25.0</v>
      </c>
      <c r="B16" s="670" t="s">
        <v>1069</v>
      </c>
      <c r="C16" s="671" t="s">
        <v>70</v>
      </c>
      <c r="D16" s="672" t="s">
        <v>1053</v>
      </c>
      <c r="E16" s="673" t="str">
        <f t="shared" si="7"/>
        <v/>
      </c>
      <c r="F16" s="674">
        <v>37623.0</v>
      </c>
      <c r="G16" s="675">
        <f t="shared" si="1"/>
        <v>23</v>
      </c>
      <c r="H16" s="676">
        <f>1+1+1</f>
        <v>3</v>
      </c>
      <c r="I16" s="676">
        <f>90+90+90</f>
        <v>270</v>
      </c>
      <c r="J16" s="677"/>
      <c r="K16" s="677"/>
      <c r="L16" s="677"/>
      <c r="M16" s="677"/>
      <c r="N16" s="677"/>
      <c r="O16" s="677">
        <f t="shared" si="2"/>
        <v>0</v>
      </c>
      <c r="P16" s="677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22.5" customHeight="1">
      <c r="A17" s="669">
        <v>26.0</v>
      </c>
      <c r="B17" s="678" t="s">
        <v>1070</v>
      </c>
      <c r="C17" s="671" t="s">
        <v>82</v>
      </c>
      <c r="D17" s="672" t="s">
        <v>182</v>
      </c>
      <c r="E17" s="673" t="str">
        <f>IMAGE("https://flagcdn.com/w320/br.png")</f>
        <v/>
      </c>
      <c r="F17" s="674">
        <v>35539.0</v>
      </c>
      <c r="G17" s="675">
        <f t="shared" si="1"/>
        <v>28</v>
      </c>
      <c r="H17" s="677">
        <f>1+1+1+1+1+1</f>
        <v>6</v>
      </c>
      <c r="I17" s="677">
        <f>21+27+70+77+81+75</f>
        <v>351</v>
      </c>
      <c r="J17" s="677">
        <f>1</f>
        <v>1</v>
      </c>
      <c r="K17" s="677"/>
      <c r="L17" s="677"/>
      <c r="M17" s="677"/>
      <c r="N17" s="677"/>
      <c r="O17" s="677">
        <f t="shared" si="2"/>
        <v>1</v>
      </c>
      <c r="P17" s="677"/>
    </row>
    <row r="18" ht="22.5" hidden="1" customHeight="1">
      <c r="A18" s="680">
        <v>30.0</v>
      </c>
      <c r="B18" s="681" t="s">
        <v>1071</v>
      </c>
      <c r="C18" s="682" t="s">
        <v>67</v>
      </c>
      <c r="D18" s="683" t="s">
        <v>1053</v>
      </c>
      <c r="E18" s="684" t="str">
        <f t="shared" ref="E18:E19" si="10">IMAGE("https://flagcdn.com/w320/kz.png")</f>
        <v/>
      </c>
      <c r="F18" s="685">
        <v>38796.0</v>
      </c>
      <c r="G18" s="686">
        <f t="shared" si="1"/>
        <v>19</v>
      </c>
      <c r="H18" s="687"/>
      <c r="I18" s="687"/>
      <c r="J18" s="687"/>
      <c r="K18" s="687"/>
      <c r="L18" s="687"/>
      <c r="M18" s="687"/>
      <c r="N18" s="687"/>
      <c r="O18" s="687">
        <f t="shared" si="2"/>
        <v>0</v>
      </c>
      <c r="P18" s="687"/>
    </row>
    <row r="19" ht="22.5" customHeight="1">
      <c r="A19" s="680">
        <v>31.0</v>
      </c>
      <c r="B19" s="681" t="s">
        <v>1072</v>
      </c>
      <c r="C19" s="682" t="s">
        <v>67</v>
      </c>
      <c r="D19" s="683" t="s">
        <v>1053</v>
      </c>
      <c r="E19" s="684" t="str">
        <f t="shared" si="10"/>
        <v/>
      </c>
      <c r="F19" s="685">
        <v>39150.0</v>
      </c>
      <c r="G19" s="686">
        <f t="shared" si="1"/>
        <v>18</v>
      </c>
      <c r="H19" s="688">
        <v>0.0</v>
      </c>
      <c r="I19" s="688">
        <v>0.0</v>
      </c>
      <c r="J19" s="687"/>
      <c r="K19" s="687"/>
      <c r="L19" s="687"/>
      <c r="M19" s="687"/>
      <c r="N19" s="687"/>
      <c r="O19" s="687">
        <f t="shared" si="2"/>
        <v>0</v>
      </c>
      <c r="P19" s="687"/>
    </row>
    <row r="20" ht="22.5" customHeight="1">
      <c r="A20" s="669">
        <v>33.0</v>
      </c>
      <c r="B20" s="670" t="s">
        <v>1073</v>
      </c>
      <c r="C20" s="671" t="s">
        <v>79</v>
      </c>
      <c r="D20" s="672" t="s">
        <v>1074</v>
      </c>
      <c r="E20" s="673" t="str">
        <f>IMAGE("https://flagcdn.com/w320/rs.png")</f>
        <v/>
      </c>
      <c r="F20" s="674">
        <v>36370.0</v>
      </c>
      <c r="G20" s="675">
        <f t="shared" si="1"/>
        <v>26</v>
      </c>
      <c r="H20" s="677">
        <f>1+1+1+1+1</f>
        <v>5</v>
      </c>
      <c r="I20" s="677">
        <f>21+27+22+9+11</f>
        <v>90</v>
      </c>
      <c r="J20" s="677"/>
      <c r="K20" s="677"/>
      <c r="L20" s="677"/>
      <c r="M20" s="677"/>
      <c r="N20" s="677"/>
      <c r="O20" s="677">
        <f t="shared" si="2"/>
        <v>0</v>
      </c>
      <c r="P20" s="677"/>
    </row>
    <row r="21" ht="22.5" hidden="1" customHeight="1">
      <c r="A21" s="680">
        <v>36.0</v>
      </c>
      <c r="B21" s="681" t="s">
        <v>1075</v>
      </c>
      <c r="C21" s="682" t="s">
        <v>70</v>
      </c>
      <c r="D21" s="683" t="s">
        <v>1053</v>
      </c>
      <c r="E21" s="684" t="str">
        <f t="shared" ref="E21:E24" si="11">IMAGE("https://flagcdn.com/w320/kz.png")</f>
        <v/>
      </c>
      <c r="F21" s="685">
        <v>39540.0</v>
      </c>
      <c r="G21" s="686">
        <f t="shared" si="1"/>
        <v>17</v>
      </c>
      <c r="H21" s="687"/>
      <c r="I21" s="687"/>
      <c r="J21" s="687"/>
      <c r="K21" s="687"/>
      <c r="L21" s="687"/>
      <c r="M21" s="687"/>
      <c r="N21" s="687"/>
      <c r="O21" s="687">
        <f t="shared" si="2"/>
        <v>0</v>
      </c>
      <c r="P21" s="687"/>
    </row>
    <row r="22" ht="22.5" customHeight="1">
      <c r="A22" s="680">
        <v>41.0</v>
      </c>
      <c r="B22" s="681" t="s">
        <v>1076</v>
      </c>
      <c r="C22" s="682" t="s">
        <v>67</v>
      </c>
      <c r="D22" s="683" t="s">
        <v>1053</v>
      </c>
      <c r="E22" s="684" t="str">
        <f t="shared" si="11"/>
        <v/>
      </c>
      <c r="F22" s="685">
        <v>39558.0</v>
      </c>
      <c r="G22" s="686">
        <f t="shared" si="1"/>
        <v>17</v>
      </c>
      <c r="H22" s="688">
        <v>0.0</v>
      </c>
      <c r="I22" s="688">
        <v>0.0</v>
      </c>
      <c r="J22" s="687"/>
      <c r="K22" s="687"/>
      <c r="L22" s="687"/>
      <c r="M22" s="687"/>
      <c r="N22" s="687"/>
      <c r="O22" s="687">
        <f t="shared" si="2"/>
        <v>0</v>
      </c>
      <c r="P22" s="687"/>
    </row>
    <row r="23" ht="22.5" customHeight="1">
      <c r="A23" s="680">
        <v>42.0</v>
      </c>
      <c r="B23" s="681" t="s">
        <v>1077</v>
      </c>
      <c r="C23" s="682" t="s">
        <v>79</v>
      </c>
      <c r="D23" s="683" t="s">
        <v>1053</v>
      </c>
      <c r="E23" s="684" t="str">
        <f t="shared" si="11"/>
        <v/>
      </c>
      <c r="F23" s="685">
        <v>39377.0</v>
      </c>
      <c r="G23" s="686">
        <f t="shared" si="1"/>
        <v>18</v>
      </c>
      <c r="H23" s="688">
        <f>1</f>
        <v>1</v>
      </c>
      <c r="I23" s="688">
        <f>11</f>
        <v>11</v>
      </c>
      <c r="J23" s="687"/>
      <c r="K23" s="687"/>
      <c r="L23" s="687"/>
      <c r="M23" s="687"/>
      <c r="N23" s="687"/>
      <c r="O23" s="687">
        <f t="shared" si="2"/>
        <v>0</v>
      </c>
      <c r="P23" s="687"/>
    </row>
    <row r="24" ht="22.5" hidden="1" customHeight="1">
      <c r="A24" s="680">
        <v>43.0</v>
      </c>
      <c r="B24" s="681" t="s">
        <v>1078</v>
      </c>
      <c r="C24" s="682" t="s">
        <v>79</v>
      </c>
      <c r="D24" s="683" t="s">
        <v>1053</v>
      </c>
      <c r="E24" s="684" t="str">
        <f t="shared" si="11"/>
        <v/>
      </c>
      <c r="F24" s="685">
        <v>39683.0</v>
      </c>
      <c r="G24" s="686">
        <f t="shared" si="1"/>
        <v>17</v>
      </c>
      <c r="H24" s="687"/>
      <c r="I24" s="687"/>
      <c r="J24" s="687"/>
      <c r="K24" s="687"/>
      <c r="L24" s="687"/>
      <c r="M24" s="687"/>
      <c r="N24" s="687"/>
      <c r="O24" s="687">
        <f t="shared" si="2"/>
        <v>0</v>
      </c>
      <c r="P24" s="687"/>
    </row>
    <row r="25" ht="22.5" hidden="1" customHeight="1">
      <c r="A25" s="669">
        <v>44.0</v>
      </c>
      <c r="B25" s="670" t="s">
        <v>1079</v>
      </c>
      <c r="C25" s="671" t="s">
        <v>70</v>
      </c>
      <c r="D25" s="672" t="s">
        <v>1059</v>
      </c>
      <c r="E25" s="673" t="str">
        <f>IMAGE("https://flagcdn.com/w320/ge.png")</f>
        <v/>
      </c>
      <c r="F25" s="674">
        <v>35532.0</v>
      </c>
      <c r="G25" s="675">
        <f t="shared" si="1"/>
        <v>28</v>
      </c>
      <c r="H25" s="677"/>
      <c r="I25" s="677"/>
      <c r="J25" s="677"/>
      <c r="K25" s="677"/>
      <c r="L25" s="677"/>
      <c r="M25" s="677"/>
      <c r="N25" s="677"/>
      <c r="O25" s="677">
        <f t="shared" si="2"/>
        <v>0</v>
      </c>
      <c r="P25" s="677"/>
    </row>
    <row r="26" ht="22.5" hidden="1" customHeight="1">
      <c r="A26" s="680">
        <v>45.0</v>
      </c>
      <c r="B26" s="681" t="s">
        <v>1080</v>
      </c>
      <c r="C26" s="682" t="s">
        <v>79</v>
      </c>
      <c r="D26" s="683" t="s">
        <v>1053</v>
      </c>
      <c r="E26" s="684" t="str">
        <f t="shared" ref="E26:E27" si="12">IMAGE("https://flagcdn.com/w320/kz.png")</f>
        <v/>
      </c>
      <c r="F26" s="685">
        <v>39882.0</v>
      </c>
      <c r="G26" s="686">
        <f t="shared" si="1"/>
        <v>16</v>
      </c>
      <c r="H26" s="687"/>
      <c r="I26" s="687"/>
      <c r="J26" s="687"/>
      <c r="K26" s="687"/>
      <c r="L26" s="687"/>
      <c r="M26" s="687"/>
      <c r="N26" s="687"/>
      <c r="O26" s="687">
        <f t="shared" si="2"/>
        <v>0</v>
      </c>
      <c r="P26" s="687"/>
    </row>
    <row r="27" ht="22.5" customHeight="1">
      <c r="A27" s="680">
        <v>47.0</v>
      </c>
      <c r="B27" s="681" t="s">
        <v>1081</v>
      </c>
      <c r="C27" s="682" t="s">
        <v>70</v>
      </c>
      <c r="D27" s="683" t="s">
        <v>1053</v>
      </c>
      <c r="E27" s="684" t="str">
        <f t="shared" si="12"/>
        <v/>
      </c>
      <c r="F27" s="685">
        <v>39084.0</v>
      </c>
      <c r="G27" s="686">
        <f t="shared" si="1"/>
        <v>19</v>
      </c>
      <c r="H27" s="688">
        <v>0.0</v>
      </c>
      <c r="I27" s="688">
        <v>0.0</v>
      </c>
      <c r="J27" s="687"/>
      <c r="K27" s="687"/>
      <c r="L27" s="687"/>
      <c r="M27" s="687"/>
      <c r="N27" s="687"/>
      <c r="O27" s="687">
        <f t="shared" si="2"/>
        <v>0</v>
      </c>
      <c r="P27" s="68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669">
        <v>55.0</v>
      </c>
      <c r="B28" s="670" t="s">
        <v>1082</v>
      </c>
      <c r="C28" s="671" t="s">
        <v>79</v>
      </c>
      <c r="D28" s="672" t="s">
        <v>1083</v>
      </c>
      <c r="E28" s="673" t="str">
        <f>IMAGE("https://flagcdn.com/w320/by.png")</f>
        <v/>
      </c>
      <c r="F28" s="674">
        <v>35453.0</v>
      </c>
      <c r="G28" s="675">
        <f t="shared" si="1"/>
        <v>29</v>
      </c>
      <c r="H28" s="677">
        <f>1+1+1+1+1+1+1</f>
        <v>7</v>
      </c>
      <c r="I28" s="677">
        <f>90+79+88+45+68+45+90</f>
        <v>505</v>
      </c>
      <c r="J28" s="677"/>
      <c r="K28" s="677"/>
      <c r="L28" s="677">
        <f>1</f>
        <v>1</v>
      </c>
      <c r="M28" s="677"/>
      <c r="N28" s="677"/>
      <c r="O28" s="677">
        <f t="shared" si="2"/>
        <v>0</v>
      </c>
      <c r="P28" s="67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22.5" hidden="1" customHeight="1">
      <c r="A29" s="669">
        <v>59.0</v>
      </c>
      <c r="B29" s="670" t="s">
        <v>1084</v>
      </c>
      <c r="C29" s="671" t="s">
        <v>70</v>
      </c>
      <c r="D29" s="672" t="s">
        <v>1053</v>
      </c>
      <c r="E29" s="673" t="str">
        <f t="shared" ref="E29:E31" si="13">IMAGE("https://flagcdn.com/w320/kz.png")</f>
        <v/>
      </c>
      <c r="F29" s="674">
        <v>39316.0</v>
      </c>
      <c r="G29" s="675">
        <f t="shared" si="1"/>
        <v>18</v>
      </c>
      <c r="H29" s="677"/>
      <c r="I29" s="677"/>
      <c r="J29" s="677"/>
      <c r="K29" s="677"/>
      <c r="L29" s="677"/>
      <c r="M29" s="677"/>
      <c r="N29" s="677"/>
      <c r="O29" s="677">
        <f t="shared" si="2"/>
        <v>0</v>
      </c>
      <c r="P29" s="677"/>
    </row>
    <row r="30" ht="22.5" customHeight="1">
      <c r="A30" s="669">
        <v>77.0</v>
      </c>
      <c r="B30" s="670" t="s">
        <v>1085</v>
      </c>
      <c r="C30" s="671" t="s">
        <v>67</v>
      </c>
      <c r="D30" s="672" t="s">
        <v>1053</v>
      </c>
      <c r="E30" s="673" t="str">
        <f t="shared" si="13"/>
        <v/>
      </c>
      <c r="F30" s="674">
        <v>37908.0</v>
      </c>
      <c r="G30" s="675">
        <f t="shared" si="1"/>
        <v>22</v>
      </c>
      <c r="H30" s="677">
        <f>1+1+1+1+1</f>
        <v>5</v>
      </c>
      <c r="I30" s="677">
        <f>90+90+90+90+90</f>
        <v>450</v>
      </c>
      <c r="J30" s="677"/>
      <c r="K30" s="677"/>
      <c r="L30" s="677"/>
      <c r="M30" s="677"/>
      <c r="N30" s="677">
        <f t="shared" ref="N30:N31" si="14">1</f>
        <v>1</v>
      </c>
      <c r="O30" s="677">
        <f t="shared" si="2"/>
        <v>0</v>
      </c>
      <c r="P30" s="677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ht="22.5" customHeight="1">
      <c r="A31" s="680">
        <v>79.0</v>
      </c>
      <c r="B31" s="681" t="s">
        <v>1086</v>
      </c>
      <c r="C31" s="682" t="s">
        <v>82</v>
      </c>
      <c r="D31" s="683" t="s">
        <v>1053</v>
      </c>
      <c r="E31" s="684" t="str">
        <f t="shared" si="13"/>
        <v/>
      </c>
      <c r="F31" s="685">
        <v>39176.0</v>
      </c>
      <c r="G31" s="686">
        <f t="shared" si="1"/>
        <v>18</v>
      </c>
      <c r="H31" s="687">
        <f>1</f>
        <v>1</v>
      </c>
      <c r="I31" s="687">
        <f>15</f>
        <v>15</v>
      </c>
      <c r="J31" s="687"/>
      <c r="K31" s="687"/>
      <c r="L31" s="687"/>
      <c r="M31" s="687"/>
      <c r="N31" s="687">
        <f t="shared" si="14"/>
        <v>1</v>
      </c>
      <c r="O31" s="687">
        <f t="shared" si="2"/>
        <v>0</v>
      </c>
      <c r="P31" s="687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ht="22.5" customHeight="1">
      <c r="A32" s="669">
        <v>80.0</v>
      </c>
      <c r="B32" s="670" t="s">
        <v>1087</v>
      </c>
      <c r="C32" s="671" t="s">
        <v>70</v>
      </c>
      <c r="D32" s="672" t="s">
        <v>1088</v>
      </c>
      <c r="E32" s="673" t="str">
        <f>IMAGE("https://flagcdn.com/w320/ru.png")</f>
        <v/>
      </c>
      <c r="F32" s="674">
        <v>35007.0</v>
      </c>
      <c r="G32" s="675">
        <f t="shared" si="1"/>
        <v>30</v>
      </c>
      <c r="H32" s="677">
        <f>1+1+1+1+1+1+1</f>
        <v>7</v>
      </c>
      <c r="I32" s="677">
        <f>90+90+90+90+90+90+90</f>
        <v>630</v>
      </c>
      <c r="J32" s="677"/>
      <c r="K32" s="677"/>
      <c r="L32" s="677">
        <f>1</f>
        <v>1</v>
      </c>
      <c r="M32" s="677"/>
      <c r="N32" s="677"/>
      <c r="O32" s="677">
        <f t="shared" si="2"/>
        <v>0</v>
      </c>
      <c r="P32" s="677"/>
    </row>
    <row r="33" ht="22.5" hidden="1" customHeight="1">
      <c r="A33" s="669">
        <v>81.0</v>
      </c>
      <c r="B33" s="670" t="s">
        <v>1089</v>
      </c>
      <c r="C33" s="671" t="s">
        <v>82</v>
      </c>
      <c r="D33" s="672" t="s">
        <v>1053</v>
      </c>
      <c r="E33" s="673" t="str">
        <f t="shared" ref="E33:E37" si="15">IMAGE("https://flagcdn.com/w320/kz.png")</f>
        <v/>
      </c>
      <c r="F33" s="674">
        <v>39457.0</v>
      </c>
      <c r="G33" s="675">
        <f t="shared" si="1"/>
        <v>18</v>
      </c>
      <c r="H33" s="677"/>
      <c r="I33" s="677"/>
      <c r="J33" s="677"/>
      <c r="K33" s="677"/>
      <c r="L33" s="677"/>
      <c r="M33" s="677"/>
      <c r="N33" s="677"/>
      <c r="O33" s="677">
        <f t="shared" si="2"/>
        <v>0</v>
      </c>
      <c r="P33" s="677"/>
    </row>
    <row r="34" ht="22.5" customHeight="1">
      <c r="A34" s="680">
        <v>82.0</v>
      </c>
      <c r="B34" s="681" t="s">
        <v>1090</v>
      </c>
      <c r="C34" s="682" t="s">
        <v>67</v>
      </c>
      <c r="D34" s="683" t="s">
        <v>1053</v>
      </c>
      <c r="E34" s="684" t="str">
        <f t="shared" si="15"/>
        <v/>
      </c>
      <c r="F34" s="685">
        <v>39248.0</v>
      </c>
      <c r="G34" s="686">
        <f t="shared" si="1"/>
        <v>18</v>
      </c>
      <c r="H34" s="687">
        <f t="shared" ref="H34:H35" si="16">1+1</f>
        <v>2</v>
      </c>
      <c r="I34" s="687">
        <f>90+90</f>
        <v>180</v>
      </c>
      <c r="J34" s="687"/>
      <c r="K34" s="687"/>
      <c r="L34" s="687"/>
      <c r="M34" s="687"/>
      <c r="N34" s="687"/>
      <c r="O34" s="687">
        <f t="shared" si="2"/>
        <v>0</v>
      </c>
      <c r="P34" s="687">
        <f>1</f>
        <v>1</v>
      </c>
    </row>
    <row r="35" ht="22.5" customHeight="1">
      <c r="A35" s="680">
        <v>87.0</v>
      </c>
      <c r="B35" s="681" t="s">
        <v>1091</v>
      </c>
      <c r="C35" s="682" t="s">
        <v>79</v>
      </c>
      <c r="D35" s="683" t="s">
        <v>1053</v>
      </c>
      <c r="E35" s="684" t="str">
        <f t="shared" si="15"/>
        <v/>
      </c>
      <c r="F35" s="685">
        <v>39276.0</v>
      </c>
      <c r="G35" s="686">
        <f t="shared" si="1"/>
        <v>18</v>
      </c>
      <c r="H35" s="687">
        <f t="shared" si="16"/>
        <v>2</v>
      </c>
      <c r="I35" s="687">
        <f>45+29</f>
        <v>74</v>
      </c>
      <c r="J35" s="687"/>
      <c r="K35" s="687"/>
      <c r="L35" s="687">
        <f>1+1</f>
        <v>2</v>
      </c>
      <c r="M35" s="687"/>
      <c r="N35" s="687"/>
      <c r="O35" s="687">
        <f t="shared" si="2"/>
        <v>0</v>
      </c>
      <c r="P35" s="687"/>
    </row>
    <row r="36" ht="22.5" customHeight="1">
      <c r="A36" s="669">
        <v>89.0</v>
      </c>
      <c r="B36" s="670" t="s">
        <v>1092</v>
      </c>
      <c r="C36" s="671" t="s">
        <v>82</v>
      </c>
      <c r="D36" s="672" t="s">
        <v>1053</v>
      </c>
      <c r="E36" s="673" t="str">
        <f t="shared" si="15"/>
        <v/>
      </c>
      <c r="F36" s="674">
        <v>38999.0</v>
      </c>
      <c r="G36" s="675">
        <f t="shared" si="1"/>
        <v>19</v>
      </c>
      <c r="H36" s="676">
        <v>0.0</v>
      </c>
      <c r="I36" s="676">
        <v>0.0</v>
      </c>
      <c r="J36" s="677"/>
      <c r="K36" s="677"/>
      <c r="L36" s="677"/>
      <c r="M36" s="677"/>
      <c r="N36" s="677"/>
      <c r="O36" s="677">
        <f t="shared" si="2"/>
        <v>0</v>
      </c>
      <c r="P36" s="677"/>
    </row>
    <row r="37" ht="22.5" customHeight="1">
      <c r="A37" s="680">
        <v>98.0</v>
      </c>
      <c r="B37" s="681" t="s">
        <v>1093</v>
      </c>
      <c r="C37" s="682" t="s">
        <v>67</v>
      </c>
      <c r="D37" s="683" t="s">
        <v>1053</v>
      </c>
      <c r="E37" s="684" t="str">
        <f t="shared" si="15"/>
        <v/>
      </c>
      <c r="F37" s="685">
        <v>39490.0</v>
      </c>
      <c r="G37" s="686">
        <f t="shared" si="1"/>
        <v>17</v>
      </c>
      <c r="H37" s="688">
        <v>0.0</v>
      </c>
      <c r="I37" s="688">
        <v>0.0</v>
      </c>
      <c r="J37" s="687"/>
      <c r="K37" s="687"/>
      <c r="L37" s="687"/>
      <c r="M37" s="687"/>
      <c r="N37" s="687"/>
      <c r="O37" s="687">
        <f t="shared" si="2"/>
        <v>0</v>
      </c>
      <c r="P37" s="687"/>
    </row>
    <row r="38" ht="22.5" customHeight="1">
      <c r="A38" s="669">
        <v>99.0</v>
      </c>
      <c r="B38" s="678" t="s">
        <v>1094</v>
      </c>
      <c r="C38" s="671" t="s">
        <v>82</v>
      </c>
      <c r="D38" s="672" t="s">
        <v>182</v>
      </c>
      <c r="E38" s="673" t="str">
        <f>IMAGE("https://flagcdn.com/w320/br.png")</f>
        <v/>
      </c>
      <c r="F38" s="674">
        <v>37004.0</v>
      </c>
      <c r="G38" s="675">
        <f t="shared" si="1"/>
        <v>24</v>
      </c>
      <c r="H38" s="677">
        <f>1+1+1+1+1+1+1</f>
        <v>7</v>
      </c>
      <c r="I38" s="677">
        <f>10+11+1+20+13+45+15</f>
        <v>115</v>
      </c>
      <c r="J38" s="677"/>
      <c r="K38" s="677">
        <f t="shared" ref="K38:L38" si="17">1</f>
        <v>1</v>
      </c>
      <c r="L38" s="677">
        <f t="shared" si="17"/>
        <v>1</v>
      </c>
      <c r="M38" s="677"/>
      <c r="N38" s="677"/>
      <c r="O38" s="677">
        <f t="shared" si="2"/>
        <v>1</v>
      </c>
      <c r="P38" s="677"/>
    </row>
    <row r="39">
      <c r="A39" s="11"/>
      <c r="B39" s="18"/>
      <c r="C39" s="18"/>
      <c r="D39" s="64"/>
      <c r="E39" s="65"/>
      <c r="F39" s="18"/>
      <c r="G39" s="18"/>
      <c r="H39" s="11">
        <f t="shared" ref="H39:P39" si="18">SUM(H2:H38)</f>
        <v>111</v>
      </c>
      <c r="I39" s="11">
        <f t="shared" si="18"/>
        <v>6930</v>
      </c>
      <c r="J39" s="11">
        <f t="shared" si="18"/>
        <v>5</v>
      </c>
      <c r="K39" s="11">
        <f t="shared" si="18"/>
        <v>3</v>
      </c>
      <c r="L39" s="11">
        <f t="shared" si="18"/>
        <v>15</v>
      </c>
      <c r="M39" s="11">
        <f t="shared" si="18"/>
        <v>0</v>
      </c>
      <c r="N39" s="11">
        <f t="shared" si="18"/>
        <v>2</v>
      </c>
      <c r="O39" s="11">
        <f t="shared" si="18"/>
        <v>8</v>
      </c>
      <c r="P39" s="11">
        <f t="shared" si="18"/>
        <v>1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22.5" customHeight="1">
      <c r="A40" s="663" t="s">
        <v>150</v>
      </c>
      <c r="B40" s="664" t="s">
        <v>49</v>
      </c>
      <c r="C40" s="664" t="s">
        <v>265</v>
      </c>
      <c r="D40" s="689" t="s">
        <v>56</v>
      </c>
      <c r="E40" s="690" t="s">
        <v>57</v>
      </c>
      <c r="F40" s="664" t="s">
        <v>52</v>
      </c>
      <c r="G40" s="664" t="s">
        <v>53</v>
      </c>
      <c r="H40" s="690" t="s">
        <v>4</v>
      </c>
      <c r="I40" s="690" t="s">
        <v>5</v>
      </c>
      <c r="J40" s="690" t="s">
        <v>6</v>
      </c>
      <c r="K40" s="690" t="s">
        <v>7</v>
      </c>
      <c r="L40" s="690" t="s">
        <v>8</v>
      </c>
      <c r="M40" s="690" t="s">
        <v>9</v>
      </c>
      <c r="N40" s="690" t="s">
        <v>10</v>
      </c>
      <c r="O40" s="12"/>
      <c r="P40" s="12"/>
    </row>
    <row r="41" ht="22.5" customHeight="1">
      <c r="A41" s="673"/>
      <c r="B41" s="670" t="s">
        <v>1095</v>
      </c>
      <c r="C41" s="670" t="s">
        <v>153</v>
      </c>
      <c r="D41" s="672" t="s">
        <v>1053</v>
      </c>
      <c r="E41" s="691" t="str">
        <f>IMAGE("https://flagcdn.com/w320/kz.png")</f>
        <v/>
      </c>
      <c r="F41" s="692">
        <v>28814.0</v>
      </c>
      <c r="G41" s="675">
        <f>DATEDIF(F41,TODAY(),"Y")</f>
        <v>47</v>
      </c>
      <c r="H41" s="693">
        <f>L41+M41+N41</f>
        <v>7</v>
      </c>
      <c r="I41" s="693">
        <f>(3*L41)+M41</f>
        <v>1</v>
      </c>
      <c r="J41" s="693">
        <f>1+1+2+1</f>
        <v>5</v>
      </c>
      <c r="K41" s="693">
        <f>4+5+2+3+1+4</f>
        <v>19</v>
      </c>
      <c r="L41" s="694">
        <f>0</f>
        <v>0</v>
      </c>
      <c r="M41" s="695">
        <f>1</f>
        <v>1</v>
      </c>
      <c r="N41" s="696">
        <f>1+1+1+1+1+1</f>
        <v>6</v>
      </c>
      <c r="O41" s="12"/>
      <c r="P41" s="12"/>
    </row>
    <row r="42">
      <c r="A42" s="11"/>
      <c r="B42" s="18"/>
      <c r="C42" s="18"/>
      <c r="D42" s="64"/>
      <c r="E42" s="65"/>
      <c r="F42" s="18"/>
      <c r="G42" s="18"/>
      <c r="H42" s="11">
        <f t="shared" ref="H42:N42" si="19">SUM(H41)</f>
        <v>7</v>
      </c>
      <c r="I42" s="11">
        <f t="shared" si="19"/>
        <v>1</v>
      </c>
      <c r="J42" s="11">
        <f t="shared" si="19"/>
        <v>5</v>
      </c>
      <c r="K42" s="11">
        <f t="shared" si="19"/>
        <v>19</v>
      </c>
      <c r="L42" s="11">
        <f t="shared" si="19"/>
        <v>0</v>
      </c>
      <c r="M42" s="11">
        <f t="shared" si="19"/>
        <v>1</v>
      </c>
      <c r="N42" s="11">
        <f t="shared" si="19"/>
        <v>6</v>
      </c>
      <c r="O42" s="11"/>
      <c r="P42" s="11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22.5" customHeight="1">
      <c r="A43" s="663" t="s">
        <v>156</v>
      </c>
      <c r="B43" s="663" t="s">
        <v>157</v>
      </c>
      <c r="C43" s="663" t="s">
        <v>158</v>
      </c>
      <c r="D43" s="665" t="s">
        <v>1096</v>
      </c>
      <c r="E43" s="663" t="s">
        <v>160</v>
      </c>
      <c r="F43" s="663" t="s">
        <v>161</v>
      </c>
      <c r="H43" s="12"/>
      <c r="I43" s="12"/>
      <c r="J43" s="12"/>
      <c r="K43" s="12"/>
      <c r="L43" s="12"/>
      <c r="M43" s="12"/>
      <c r="N43" s="12"/>
      <c r="O43" s="12"/>
      <c r="P43" s="12"/>
    </row>
    <row r="44" ht="22.5" customHeight="1">
      <c r="A44" s="77">
        <v>1.0</v>
      </c>
      <c r="B44" s="78" t="s">
        <v>24</v>
      </c>
      <c r="C44" s="78" t="s">
        <v>47</v>
      </c>
      <c r="D44" s="83" t="s">
        <v>1097</v>
      </c>
      <c r="E44" s="84">
        <v>45748.0</v>
      </c>
      <c r="F44" s="78" t="s">
        <v>837</v>
      </c>
      <c r="H44" s="12"/>
      <c r="I44" s="12"/>
      <c r="J44" s="12"/>
      <c r="K44" s="12"/>
      <c r="L44" s="12"/>
      <c r="M44" s="12"/>
      <c r="N44" s="12"/>
      <c r="O44" s="12"/>
      <c r="P44" s="12"/>
    </row>
    <row r="45" ht="22.5" customHeight="1">
      <c r="A45" s="77">
        <v>2.0</v>
      </c>
      <c r="B45" s="697" t="s">
        <v>47</v>
      </c>
      <c r="C45" s="78" t="s">
        <v>17</v>
      </c>
      <c r="D45" s="79"/>
      <c r="E45" s="80" t="s">
        <v>1098</v>
      </c>
      <c r="F45" s="78" t="s">
        <v>839</v>
      </c>
      <c r="H45" s="12"/>
      <c r="I45" s="12"/>
      <c r="J45" s="12"/>
      <c r="K45" s="12"/>
      <c r="L45" s="12"/>
      <c r="M45" s="12"/>
      <c r="N45" s="12"/>
      <c r="O45" s="12"/>
      <c r="P45" s="12"/>
    </row>
    <row r="46" ht="22.5" customHeight="1">
      <c r="A46" s="197">
        <v>3.0</v>
      </c>
      <c r="B46" s="198" t="s">
        <v>47</v>
      </c>
      <c r="C46" s="198" t="s">
        <v>36</v>
      </c>
      <c r="D46" s="199"/>
      <c r="E46" s="200" t="s">
        <v>331</v>
      </c>
      <c r="F46" s="198" t="s">
        <v>839</v>
      </c>
      <c r="H46" s="12"/>
      <c r="I46" s="12"/>
      <c r="J46" s="12"/>
      <c r="K46" s="12"/>
      <c r="L46" s="12"/>
      <c r="M46" s="12"/>
      <c r="N46" s="12"/>
      <c r="O46" s="12"/>
      <c r="P46" s="12"/>
    </row>
    <row r="47" ht="22.5" customHeight="1">
      <c r="A47" s="77">
        <v>4.0</v>
      </c>
      <c r="B47" s="78" t="s">
        <v>16</v>
      </c>
      <c r="C47" s="78" t="s">
        <v>47</v>
      </c>
      <c r="D47" s="83" t="s">
        <v>1099</v>
      </c>
      <c r="E47" s="84">
        <v>45689.0</v>
      </c>
      <c r="F47" s="78" t="s">
        <v>281</v>
      </c>
      <c r="H47" s="12"/>
      <c r="I47" s="12"/>
      <c r="J47" s="12"/>
      <c r="K47" s="12"/>
      <c r="L47" s="12"/>
      <c r="M47" s="12"/>
      <c r="N47" s="12"/>
      <c r="O47" s="12"/>
      <c r="P47" s="12"/>
    </row>
    <row r="48" ht="22.5" customHeight="1">
      <c r="A48" s="77">
        <v>5.0</v>
      </c>
      <c r="B48" s="78" t="s">
        <v>34</v>
      </c>
      <c r="C48" s="78" t="s">
        <v>47</v>
      </c>
      <c r="D48" s="83" t="s">
        <v>1100</v>
      </c>
      <c r="E48" s="84">
        <v>45718.0</v>
      </c>
      <c r="F48" s="78" t="s">
        <v>505</v>
      </c>
      <c r="H48" s="12"/>
      <c r="I48" s="12"/>
      <c r="J48" s="12"/>
      <c r="K48" s="12"/>
      <c r="L48" s="12"/>
      <c r="M48" s="12"/>
      <c r="N48" s="12"/>
      <c r="O48" s="12"/>
      <c r="P48" s="12"/>
    </row>
    <row r="49" ht="22.5" customHeight="1">
      <c r="A49" s="77">
        <v>6.0</v>
      </c>
      <c r="B49" s="78" t="s">
        <v>47</v>
      </c>
      <c r="C49" s="78" t="s">
        <v>38</v>
      </c>
      <c r="D49" s="79"/>
      <c r="E49" s="80" t="s">
        <v>333</v>
      </c>
      <c r="F49" s="78" t="s">
        <v>1101</v>
      </c>
      <c r="H49" s="12"/>
      <c r="I49" s="12"/>
      <c r="J49" s="12"/>
      <c r="K49" s="12"/>
      <c r="L49" s="12"/>
      <c r="M49" s="12"/>
      <c r="N49" s="12"/>
      <c r="O49" s="12"/>
      <c r="P49" s="12"/>
    </row>
    <row r="50" ht="22.5" customHeight="1">
      <c r="A50" s="77">
        <v>7.0</v>
      </c>
      <c r="B50" s="78" t="s">
        <v>47</v>
      </c>
      <c r="C50" s="78" t="s">
        <v>39</v>
      </c>
      <c r="D50" s="83" t="s">
        <v>1102</v>
      </c>
      <c r="E50" s="84">
        <v>46026.0</v>
      </c>
      <c r="F50" s="78" t="s">
        <v>839</v>
      </c>
      <c r="H50" s="12"/>
      <c r="I50" s="12"/>
      <c r="J50" s="12"/>
      <c r="K50" s="12"/>
      <c r="L50" s="12"/>
      <c r="M50" s="12"/>
      <c r="N50" s="12"/>
      <c r="O50" s="12"/>
      <c r="P50" s="12"/>
    </row>
    <row r="51" ht="22.5" customHeight="1">
      <c r="A51" s="90">
        <v>8.0</v>
      </c>
      <c r="B51" s="91" t="s">
        <v>12</v>
      </c>
      <c r="C51" s="91" t="s">
        <v>47</v>
      </c>
      <c r="D51" s="92"/>
      <c r="E51" s="93"/>
      <c r="F51" s="94" t="s">
        <v>272</v>
      </c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2"/>
      <c r="D52" s="95"/>
      <c r="E52" s="14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2"/>
      <c r="D53" s="95"/>
      <c r="E53" s="14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2"/>
      <c r="D54" s="95"/>
      <c r="E54" s="14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2"/>
      <c r="D55" s="95"/>
      <c r="E55" s="14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2"/>
      <c r="D56" s="95"/>
      <c r="E56" s="14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12"/>
      <c r="D57" s="95"/>
      <c r="E57" s="14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12"/>
      <c r="D58" s="95"/>
      <c r="E58" s="14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2"/>
      <c r="D59" s="95"/>
      <c r="E59" s="14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12"/>
      <c r="D60" s="95"/>
      <c r="E60" s="14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12"/>
      <c r="D61" s="95"/>
      <c r="E61" s="14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12"/>
      <c r="D62" s="95"/>
      <c r="E62" s="14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2"/>
      <c r="D63" s="95"/>
      <c r="E63" s="14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12"/>
      <c r="D64" s="95"/>
      <c r="E64" s="14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12"/>
      <c r="D65" s="95"/>
      <c r="E65" s="14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12"/>
      <c r="D66" s="95"/>
      <c r="E66" s="14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12"/>
      <c r="D67" s="95"/>
      <c r="E67" s="14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2"/>
      <c r="D68" s="95"/>
      <c r="E68" s="14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2"/>
      <c r="D69" s="95"/>
      <c r="E69" s="14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12"/>
      <c r="D70" s="95"/>
      <c r="E70" s="14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12"/>
      <c r="D71" s="95"/>
      <c r="E71" s="14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12"/>
      <c r="D72" s="95"/>
      <c r="E72" s="14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12"/>
      <c r="D73" s="95"/>
      <c r="E73" s="14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12"/>
      <c r="D74" s="95"/>
      <c r="E74" s="14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12"/>
      <c r="D75" s="95"/>
      <c r="E75" s="14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12"/>
      <c r="D76" s="95"/>
      <c r="E76" s="14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2"/>
      <c r="D77" s="95"/>
      <c r="E77" s="14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2"/>
      <c r="D78" s="95"/>
      <c r="E78" s="14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2"/>
      <c r="D79" s="95"/>
      <c r="E79" s="14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2"/>
      <c r="D80" s="95"/>
      <c r="E80" s="14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2"/>
      <c r="D81" s="95"/>
      <c r="E81" s="14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2"/>
      <c r="D82" s="95"/>
      <c r="E82" s="14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12"/>
      <c r="D83" s="95"/>
      <c r="E83" s="14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12"/>
      <c r="D84" s="95"/>
      <c r="E84" s="14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2"/>
      <c r="D85" s="95"/>
      <c r="E85" s="14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12"/>
      <c r="D86" s="95"/>
      <c r="E86" s="14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2"/>
      <c r="D87" s="95"/>
      <c r="E87" s="14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12"/>
      <c r="D88" s="95"/>
      <c r="E88" s="14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12"/>
      <c r="D89" s="95"/>
      <c r="E89" s="14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2"/>
      <c r="D90" s="95"/>
      <c r="E90" s="14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12"/>
      <c r="D91" s="95"/>
      <c r="E91" s="14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12"/>
      <c r="D92" s="95"/>
      <c r="E92" s="14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12"/>
      <c r="D93" s="95"/>
      <c r="E93" s="14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12"/>
      <c r="D94" s="95"/>
      <c r="E94" s="14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12"/>
      <c r="D95" s="95"/>
      <c r="E95" s="14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2"/>
      <c r="D96" s="95"/>
      <c r="E96" s="14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12"/>
      <c r="D97" s="95"/>
      <c r="E97" s="14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12"/>
      <c r="D98" s="95"/>
      <c r="E98" s="14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12"/>
      <c r="D99" s="95"/>
      <c r="E99" s="14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2"/>
      <c r="D100" s="95"/>
      <c r="E100" s="14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A101" s="12"/>
      <c r="D101" s="95"/>
      <c r="E101" s="14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A102" s="12"/>
      <c r="D102" s="95"/>
      <c r="E102" s="14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2"/>
      <c r="D103" s="95"/>
      <c r="E103" s="14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A104" s="12"/>
      <c r="D104" s="95"/>
      <c r="E104" s="14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A105" s="12"/>
      <c r="D105" s="95"/>
      <c r="E105" s="14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A106" s="12"/>
      <c r="D106" s="95"/>
      <c r="E106" s="14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A107" s="12"/>
      <c r="D107" s="95"/>
      <c r="E107" s="14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A108" s="12"/>
      <c r="D108" s="95"/>
      <c r="E108" s="14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A109" s="12"/>
      <c r="D109" s="95"/>
      <c r="E109" s="14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A110" s="12"/>
      <c r="D110" s="95"/>
      <c r="E110" s="14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A111" s="12"/>
      <c r="D111" s="95"/>
      <c r="E111" s="14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A112" s="12"/>
      <c r="D112" s="95"/>
      <c r="E112" s="14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A113" s="12"/>
      <c r="D113" s="95"/>
      <c r="E113" s="14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A114" s="12"/>
      <c r="D114" s="95"/>
      <c r="E114" s="14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A115" s="12"/>
      <c r="D115" s="95"/>
      <c r="E115" s="14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A116" s="12"/>
      <c r="D116" s="95"/>
      <c r="E116" s="14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A117" s="12"/>
      <c r="D117" s="95"/>
      <c r="E117" s="14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A118" s="12"/>
      <c r="D118" s="95"/>
      <c r="E118" s="14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A119" s="12"/>
      <c r="D119" s="95"/>
      <c r="E119" s="14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A120" s="12"/>
      <c r="D120" s="95"/>
      <c r="E120" s="14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A121" s="12"/>
      <c r="D121" s="95"/>
      <c r="E121" s="14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A122" s="12"/>
      <c r="D122" s="95"/>
      <c r="E122" s="14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A123" s="12"/>
      <c r="D123" s="95"/>
      <c r="E123" s="14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A124" s="12"/>
      <c r="D124" s="95"/>
      <c r="E124" s="14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A125" s="12"/>
      <c r="D125" s="95"/>
      <c r="E125" s="14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A126" s="12"/>
      <c r="D126" s="95"/>
      <c r="E126" s="14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A127" s="12"/>
      <c r="D127" s="95"/>
      <c r="E127" s="14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A128" s="12"/>
      <c r="D128" s="95"/>
      <c r="E128" s="14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A129" s="12"/>
      <c r="D129" s="95"/>
      <c r="E129" s="14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A130" s="12"/>
      <c r="D130" s="95"/>
      <c r="E130" s="14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A131" s="12"/>
      <c r="D131" s="95"/>
      <c r="E131" s="14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A132" s="12"/>
      <c r="D132" s="95"/>
      <c r="E132" s="14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A133" s="12"/>
      <c r="D133" s="95"/>
      <c r="E133" s="14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A134" s="12"/>
      <c r="D134" s="95"/>
      <c r="E134" s="14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A135" s="12"/>
      <c r="D135" s="95"/>
      <c r="E135" s="14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A136" s="12"/>
      <c r="D136" s="95"/>
      <c r="E136" s="14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A137" s="12"/>
      <c r="D137" s="95"/>
      <c r="E137" s="14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A138" s="12"/>
      <c r="D138" s="95"/>
      <c r="E138" s="14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A139" s="12"/>
      <c r="D139" s="95"/>
      <c r="E139" s="14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A140" s="12"/>
      <c r="D140" s="95"/>
      <c r="E140" s="14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A141" s="12"/>
      <c r="D141" s="95"/>
      <c r="E141" s="14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A142" s="12"/>
      <c r="D142" s="95"/>
      <c r="E142" s="14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A143" s="12"/>
      <c r="D143" s="95"/>
      <c r="E143" s="14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A144" s="12"/>
      <c r="D144" s="95"/>
      <c r="E144" s="14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A145" s="12"/>
      <c r="D145" s="95"/>
      <c r="E145" s="14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A146" s="12"/>
      <c r="D146" s="95"/>
      <c r="E146" s="14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A147" s="12"/>
      <c r="D147" s="95"/>
      <c r="E147" s="14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A148" s="12"/>
      <c r="D148" s="95"/>
      <c r="E148" s="14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A149" s="12"/>
      <c r="D149" s="95"/>
      <c r="E149" s="14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A150" s="12"/>
      <c r="D150" s="95"/>
      <c r="E150" s="14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A151" s="12"/>
      <c r="D151" s="95"/>
      <c r="E151" s="14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A152" s="12"/>
      <c r="D152" s="95"/>
      <c r="E152" s="14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A153" s="12"/>
      <c r="D153" s="95"/>
      <c r="E153" s="14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A154" s="12"/>
      <c r="D154" s="95"/>
      <c r="E154" s="14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A155" s="12"/>
      <c r="D155" s="95"/>
      <c r="E155" s="14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A156" s="12"/>
      <c r="D156" s="95"/>
      <c r="E156" s="14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A157" s="12"/>
      <c r="D157" s="95"/>
      <c r="E157" s="14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A158" s="12"/>
      <c r="D158" s="95"/>
      <c r="E158" s="14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A159" s="12"/>
      <c r="D159" s="95"/>
      <c r="E159" s="14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A160" s="12"/>
      <c r="D160" s="95"/>
      <c r="E160" s="14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A161" s="12"/>
      <c r="D161" s="95"/>
      <c r="E161" s="14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A162" s="12"/>
      <c r="D162" s="95"/>
      <c r="E162" s="14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A163" s="12"/>
      <c r="D163" s="95"/>
      <c r="E163" s="14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A164" s="12"/>
      <c r="D164" s="95"/>
      <c r="E164" s="14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A165" s="12"/>
      <c r="D165" s="95"/>
      <c r="E165" s="14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A166" s="12"/>
      <c r="D166" s="95"/>
      <c r="E166" s="14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A167" s="12"/>
      <c r="D167" s="95"/>
      <c r="E167" s="14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A168" s="12"/>
      <c r="D168" s="95"/>
      <c r="E168" s="14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A169" s="12"/>
      <c r="D169" s="95"/>
      <c r="E169" s="14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A170" s="12"/>
      <c r="D170" s="95"/>
      <c r="E170" s="14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A171" s="12"/>
      <c r="D171" s="95"/>
      <c r="E171" s="14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A172" s="12"/>
      <c r="D172" s="95"/>
      <c r="E172" s="14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A173" s="12"/>
      <c r="D173" s="95"/>
      <c r="E173" s="14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A174" s="12"/>
      <c r="D174" s="95"/>
      <c r="E174" s="14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A175" s="12"/>
      <c r="D175" s="95"/>
      <c r="E175" s="14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A176" s="12"/>
      <c r="D176" s="95"/>
      <c r="E176" s="14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A177" s="12"/>
      <c r="D177" s="95"/>
      <c r="E177" s="14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A178" s="12"/>
      <c r="D178" s="95"/>
      <c r="E178" s="14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A179" s="12"/>
      <c r="D179" s="95"/>
      <c r="E179" s="14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A180" s="12"/>
      <c r="D180" s="95"/>
      <c r="E180" s="14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A181" s="12"/>
      <c r="D181" s="95"/>
      <c r="E181" s="14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A182" s="12"/>
      <c r="D182" s="95"/>
      <c r="E182" s="14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A183" s="12"/>
      <c r="D183" s="95"/>
      <c r="E183" s="14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A184" s="12"/>
      <c r="D184" s="95"/>
      <c r="E184" s="14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A185" s="12"/>
      <c r="D185" s="95"/>
      <c r="E185" s="14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A186" s="12"/>
      <c r="D186" s="95"/>
      <c r="E186" s="14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A187" s="12"/>
      <c r="D187" s="95"/>
      <c r="E187" s="14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A188" s="12"/>
      <c r="D188" s="95"/>
      <c r="E188" s="14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A189" s="12"/>
      <c r="D189" s="95"/>
      <c r="E189" s="14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A190" s="12"/>
      <c r="D190" s="95"/>
      <c r="E190" s="14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A191" s="12"/>
      <c r="D191" s="95"/>
      <c r="E191" s="14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A192" s="12"/>
      <c r="D192" s="95"/>
      <c r="E192" s="14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A193" s="12"/>
      <c r="D193" s="95"/>
      <c r="E193" s="14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A194" s="12"/>
      <c r="D194" s="95"/>
      <c r="E194" s="14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A195" s="12"/>
      <c r="D195" s="95"/>
      <c r="E195" s="14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A196" s="12"/>
      <c r="D196" s="95"/>
      <c r="E196" s="14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A197" s="12"/>
      <c r="D197" s="95"/>
      <c r="E197" s="14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A198" s="12"/>
      <c r="D198" s="95"/>
      <c r="E198" s="14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A199" s="12"/>
      <c r="D199" s="95"/>
      <c r="E199" s="14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A200" s="12"/>
      <c r="D200" s="95"/>
      <c r="E200" s="14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A201" s="12"/>
      <c r="D201" s="95"/>
      <c r="E201" s="14"/>
      <c r="H201" s="12"/>
      <c r="I201" s="12"/>
      <c r="J201" s="12"/>
      <c r="K201" s="12"/>
      <c r="L201" s="12"/>
      <c r="M201" s="12"/>
      <c r="N201" s="12"/>
      <c r="O201" s="12"/>
      <c r="P201" s="12"/>
    </row>
    <row r="202">
      <c r="A202" s="12"/>
      <c r="D202" s="95"/>
      <c r="E202" s="14"/>
      <c r="H202" s="12"/>
      <c r="I202" s="12"/>
      <c r="J202" s="12"/>
      <c r="K202" s="12"/>
      <c r="L202" s="12"/>
      <c r="M202" s="12"/>
      <c r="N202" s="12"/>
      <c r="O202" s="12"/>
      <c r="P202" s="12"/>
    </row>
    <row r="203">
      <c r="A203" s="12"/>
      <c r="D203" s="95"/>
      <c r="E203" s="14"/>
      <c r="H203" s="12"/>
      <c r="I203" s="12"/>
      <c r="J203" s="12"/>
      <c r="K203" s="12"/>
      <c r="L203" s="12"/>
      <c r="M203" s="12"/>
      <c r="N203" s="12"/>
      <c r="O203" s="12"/>
      <c r="P203" s="12"/>
    </row>
    <row r="204">
      <c r="A204" s="12"/>
      <c r="D204" s="95"/>
      <c r="E204" s="14"/>
      <c r="H204" s="12"/>
      <c r="I204" s="12"/>
      <c r="J204" s="12"/>
      <c r="K204" s="12"/>
      <c r="L204" s="12"/>
      <c r="M204" s="12"/>
      <c r="N204" s="12"/>
      <c r="O204" s="12"/>
      <c r="P204" s="12"/>
    </row>
    <row r="205">
      <c r="A205" s="12"/>
      <c r="D205" s="95"/>
      <c r="E205" s="14"/>
      <c r="H205" s="12"/>
      <c r="I205" s="12"/>
      <c r="J205" s="12"/>
      <c r="K205" s="12"/>
      <c r="L205" s="12"/>
      <c r="M205" s="12"/>
      <c r="N205" s="12"/>
      <c r="O205" s="12"/>
      <c r="P205" s="12"/>
    </row>
    <row r="206">
      <c r="A206" s="12"/>
      <c r="D206" s="95"/>
      <c r="E206" s="14"/>
      <c r="H206" s="12"/>
      <c r="I206" s="12"/>
      <c r="J206" s="12"/>
      <c r="K206" s="12"/>
      <c r="L206" s="12"/>
      <c r="M206" s="12"/>
      <c r="N206" s="12"/>
      <c r="O206" s="12"/>
      <c r="P206" s="12"/>
    </row>
    <row r="207">
      <c r="A207" s="12"/>
      <c r="D207" s="95"/>
      <c r="E207" s="14"/>
      <c r="H207" s="12"/>
      <c r="I207" s="12"/>
      <c r="J207" s="12"/>
      <c r="K207" s="12"/>
      <c r="L207" s="12"/>
      <c r="M207" s="12"/>
      <c r="N207" s="12"/>
      <c r="O207" s="12"/>
      <c r="P207" s="12"/>
    </row>
    <row r="208">
      <c r="A208" s="12"/>
      <c r="D208" s="95"/>
      <c r="E208" s="14"/>
      <c r="H208" s="12"/>
      <c r="I208" s="12"/>
      <c r="J208" s="12"/>
      <c r="K208" s="12"/>
      <c r="L208" s="12"/>
      <c r="M208" s="12"/>
      <c r="N208" s="12"/>
      <c r="O208" s="12"/>
      <c r="P208" s="12"/>
    </row>
    <row r="209">
      <c r="A209" s="12"/>
      <c r="D209" s="95"/>
      <c r="E209" s="14"/>
      <c r="H209" s="12"/>
      <c r="I209" s="12"/>
      <c r="J209" s="12"/>
      <c r="K209" s="12"/>
      <c r="L209" s="12"/>
      <c r="M209" s="12"/>
      <c r="N209" s="12"/>
      <c r="O209" s="12"/>
      <c r="P209" s="12"/>
    </row>
    <row r="210">
      <c r="A210" s="12"/>
      <c r="D210" s="95"/>
      <c r="E210" s="14"/>
      <c r="H210" s="12"/>
      <c r="I210" s="12"/>
      <c r="J210" s="12"/>
      <c r="K210" s="12"/>
      <c r="L210" s="12"/>
      <c r="M210" s="12"/>
      <c r="N210" s="12"/>
      <c r="O210" s="12"/>
      <c r="P210" s="12"/>
    </row>
    <row r="211">
      <c r="A211" s="12"/>
      <c r="D211" s="95"/>
      <c r="E211" s="14"/>
      <c r="H211" s="12"/>
      <c r="I211" s="12"/>
      <c r="J211" s="12"/>
      <c r="K211" s="12"/>
      <c r="L211" s="12"/>
      <c r="M211" s="12"/>
      <c r="N211" s="12"/>
      <c r="O211" s="12"/>
      <c r="P211" s="12"/>
    </row>
    <row r="212">
      <c r="A212" s="12"/>
      <c r="D212" s="95"/>
      <c r="E212" s="14"/>
      <c r="H212" s="12"/>
      <c r="I212" s="12"/>
      <c r="J212" s="12"/>
      <c r="K212" s="12"/>
      <c r="L212" s="12"/>
      <c r="M212" s="12"/>
      <c r="N212" s="12"/>
      <c r="O212" s="12"/>
      <c r="P212" s="12"/>
    </row>
    <row r="213">
      <c r="A213" s="12"/>
      <c r="D213" s="95"/>
      <c r="E213" s="14"/>
      <c r="H213" s="12"/>
      <c r="I213" s="12"/>
      <c r="J213" s="12"/>
      <c r="K213" s="12"/>
      <c r="L213" s="12"/>
      <c r="M213" s="12"/>
      <c r="N213" s="12"/>
      <c r="O213" s="12"/>
      <c r="P213" s="12"/>
    </row>
    <row r="214">
      <c r="A214" s="12"/>
      <c r="D214" s="95"/>
      <c r="E214" s="14"/>
      <c r="H214" s="12"/>
      <c r="I214" s="12"/>
      <c r="J214" s="12"/>
      <c r="K214" s="12"/>
      <c r="L214" s="12"/>
      <c r="M214" s="12"/>
      <c r="N214" s="12"/>
      <c r="O214" s="12"/>
      <c r="P214" s="12"/>
    </row>
    <row r="215">
      <c r="A215" s="12"/>
      <c r="D215" s="95"/>
      <c r="E215" s="14"/>
      <c r="H215" s="12"/>
      <c r="I215" s="12"/>
      <c r="J215" s="12"/>
      <c r="K215" s="12"/>
      <c r="L215" s="12"/>
      <c r="M215" s="12"/>
      <c r="N215" s="12"/>
      <c r="O215" s="12"/>
      <c r="P215" s="12"/>
    </row>
    <row r="216">
      <c r="A216" s="12"/>
      <c r="D216" s="95"/>
      <c r="E216" s="14"/>
      <c r="H216" s="12"/>
      <c r="I216" s="12"/>
      <c r="J216" s="12"/>
      <c r="K216" s="12"/>
      <c r="L216" s="12"/>
      <c r="M216" s="12"/>
      <c r="N216" s="12"/>
      <c r="O216" s="12"/>
      <c r="P216" s="12"/>
    </row>
    <row r="217">
      <c r="A217" s="12"/>
      <c r="D217" s="95"/>
      <c r="E217" s="14"/>
      <c r="H217" s="12"/>
      <c r="I217" s="12"/>
      <c r="J217" s="12"/>
      <c r="K217" s="12"/>
      <c r="L217" s="12"/>
      <c r="M217" s="12"/>
      <c r="N217" s="12"/>
      <c r="O217" s="12"/>
      <c r="P217" s="12"/>
    </row>
    <row r="218">
      <c r="A218" s="12"/>
      <c r="D218" s="95"/>
      <c r="E218" s="14"/>
      <c r="H218" s="12"/>
      <c r="I218" s="12"/>
      <c r="J218" s="12"/>
      <c r="K218" s="12"/>
      <c r="L218" s="12"/>
      <c r="M218" s="12"/>
      <c r="N218" s="12"/>
      <c r="O218" s="12"/>
      <c r="P218" s="12"/>
    </row>
    <row r="219">
      <c r="A219" s="12"/>
      <c r="D219" s="95"/>
      <c r="E219" s="14"/>
      <c r="H219" s="12"/>
      <c r="I219" s="12"/>
      <c r="J219" s="12"/>
      <c r="K219" s="12"/>
      <c r="L219" s="12"/>
      <c r="M219" s="12"/>
      <c r="N219" s="12"/>
      <c r="O219" s="12"/>
      <c r="P219" s="12"/>
    </row>
    <row r="220">
      <c r="A220" s="12"/>
      <c r="D220" s="95"/>
      <c r="E220" s="14"/>
      <c r="H220" s="12"/>
      <c r="I220" s="12"/>
      <c r="J220" s="12"/>
      <c r="K220" s="12"/>
      <c r="L220" s="12"/>
      <c r="M220" s="12"/>
      <c r="N220" s="12"/>
      <c r="O220" s="12"/>
      <c r="P220" s="12"/>
    </row>
    <row r="221">
      <c r="A221" s="12"/>
      <c r="D221" s="95"/>
      <c r="E221" s="14"/>
      <c r="H221" s="12"/>
      <c r="I221" s="12"/>
      <c r="J221" s="12"/>
      <c r="K221" s="12"/>
      <c r="L221" s="12"/>
      <c r="M221" s="12"/>
      <c r="N221" s="12"/>
      <c r="O221" s="12"/>
      <c r="P221" s="12"/>
    </row>
    <row r="222">
      <c r="A222" s="12"/>
      <c r="D222" s="95"/>
      <c r="E222" s="14"/>
      <c r="H222" s="12"/>
      <c r="I222" s="12"/>
      <c r="J222" s="12"/>
      <c r="K222" s="12"/>
      <c r="L222" s="12"/>
      <c r="M222" s="12"/>
      <c r="N222" s="12"/>
      <c r="O222" s="12"/>
      <c r="P222" s="12"/>
    </row>
    <row r="223">
      <c r="A223" s="12"/>
      <c r="D223" s="95"/>
      <c r="E223" s="14"/>
      <c r="H223" s="12"/>
      <c r="I223" s="12"/>
      <c r="J223" s="12"/>
      <c r="K223" s="12"/>
      <c r="L223" s="12"/>
      <c r="M223" s="12"/>
      <c r="N223" s="12"/>
      <c r="O223" s="12"/>
      <c r="P223" s="12"/>
    </row>
    <row r="224">
      <c r="A224" s="12"/>
      <c r="D224" s="95"/>
      <c r="E224" s="14"/>
      <c r="H224" s="12"/>
      <c r="I224" s="12"/>
      <c r="J224" s="12"/>
      <c r="K224" s="12"/>
      <c r="L224" s="12"/>
      <c r="M224" s="12"/>
      <c r="N224" s="12"/>
      <c r="O224" s="12"/>
      <c r="P224" s="12"/>
    </row>
    <row r="225">
      <c r="A225" s="12"/>
      <c r="D225" s="95"/>
      <c r="E225" s="14"/>
      <c r="H225" s="12"/>
      <c r="I225" s="12"/>
      <c r="J225" s="12"/>
      <c r="K225" s="12"/>
      <c r="L225" s="12"/>
      <c r="M225" s="12"/>
      <c r="N225" s="12"/>
      <c r="O225" s="12"/>
      <c r="P225" s="12"/>
    </row>
    <row r="226">
      <c r="A226" s="12"/>
      <c r="D226" s="95"/>
      <c r="E226" s="14"/>
      <c r="H226" s="12"/>
      <c r="I226" s="12"/>
      <c r="J226" s="12"/>
      <c r="K226" s="12"/>
      <c r="L226" s="12"/>
      <c r="M226" s="12"/>
      <c r="N226" s="12"/>
      <c r="O226" s="12"/>
      <c r="P226" s="12"/>
    </row>
    <row r="227">
      <c r="A227" s="12"/>
      <c r="D227" s="95"/>
      <c r="E227" s="14"/>
      <c r="H227" s="12"/>
      <c r="I227" s="12"/>
      <c r="J227" s="12"/>
      <c r="K227" s="12"/>
      <c r="L227" s="12"/>
      <c r="M227" s="12"/>
      <c r="N227" s="12"/>
      <c r="O227" s="12"/>
      <c r="P227" s="12"/>
    </row>
    <row r="228">
      <c r="A228" s="12"/>
      <c r="D228" s="95"/>
      <c r="E228" s="14"/>
      <c r="H228" s="12"/>
      <c r="I228" s="12"/>
      <c r="J228" s="12"/>
      <c r="K228" s="12"/>
      <c r="L228" s="12"/>
      <c r="M228" s="12"/>
      <c r="N228" s="12"/>
      <c r="O228" s="12"/>
      <c r="P228" s="12"/>
    </row>
    <row r="229">
      <c r="A229" s="12"/>
      <c r="D229" s="95"/>
      <c r="E229" s="14"/>
      <c r="H229" s="12"/>
      <c r="I229" s="12"/>
      <c r="J229" s="12"/>
      <c r="K229" s="12"/>
      <c r="L229" s="12"/>
      <c r="M229" s="12"/>
      <c r="N229" s="12"/>
      <c r="O229" s="12"/>
      <c r="P229" s="12"/>
    </row>
    <row r="230">
      <c r="A230" s="12"/>
      <c r="D230" s="95"/>
      <c r="E230" s="14"/>
      <c r="H230" s="12"/>
      <c r="I230" s="12"/>
      <c r="J230" s="12"/>
      <c r="K230" s="12"/>
      <c r="L230" s="12"/>
      <c r="M230" s="12"/>
      <c r="N230" s="12"/>
      <c r="O230" s="12"/>
      <c r="P230" s="12"/>
    </row>
    <row r="231">
      <c r="A231" s="12"/>
      <c r="D231" s="95"/>
      <c r="E231" s="14"/>
      <c r="H231" s="12"/>
      <c r="I231" s="12"/>
      <c r="J231" s="12"/>
      <c r="K231" s="12"/>
      <c r="L231" s="12"/>
      <c r="M231" s="12"/>
      <c r="N231" s="12"/>
      <c r="O231" s="12"/>
      <c r="P231" s="12"/>
    </row>
    <row r="232">
      <c r="A232" s="12"/>
      <c r="D232" s="95"/>
      <c r="E232" s="14"/>
      <c r="H232" s="12"/>
      <c r="I232" s="12"/>
      <c r="J232" s="12"/>
      <c r="K232" s="12"/>
      <c r="L232" s="12"/>
      <c r="M232" s="12"/>
      <c r="N232" s="12"/>
      <c r="O232" s="12"/>
      <c r="P232" s="12"/>
    </row>
    <row r="233">
      <c r="A233" s="12"/>
      <c r="D233" s="95"/>
      <c r="E233" s="14"/>
      <c r="H233" s="12"/>
      <c r="I233" s="12"/>
      <c r="J233" s="12"/>
      <c r="K233" s="12"/>
      <c r="L233" s="12"/>
      <c r="M233" s="12"/>
      <c r="N233" s="12"/>
      <c r="O233" s="12"/>
      <c r="P233" s="12"/>
    </row>
    <row r="234">
      <c r="A234" s="12"/>
      <c r="D234" s="95"/>
      <c r="E234" s="14"/>
      <c r="H234" s="12"/>
      <c r="I234" s="12"/>
      <c r="J234" s="12"/>
      <c r="K234" s="12"/>
      <c r="L234" s="12"/>
      <c r="M234" s="12"/>
      <c r="N234" s="12"/>
      <c r="O234" s="12"/>
      <c r="P234" s="12"/>
    </row>
    <row r="235">
      <c r="A235" s="12"/>
      <c r="D235" s="95"/>
      <c r="E235" s="14"/>
      <c r="H235" s="12"/>
      <c r="I235" s="12"/>
      <c r="J235" s="12"/>
      <c r="K235" s="12"/>
      <c r="L235" s="12"/>
      <c r="M235" s="12"/>
      <c r="N235" s="12"/>
      <c r="O235" s="12"/>
      <c r="P235" s="12"/>
    </row>
    <row r="236">
      <c r="A236" s="12"/>
      <c r="D236" s="95"/>
      <c r="E236" s="14"/>
      <c r="H236" s="12"/>
      <c r="I236" s="12"/>
      <c r="J236" s="12"/>
      <c r="K236" s="12"/>
      <c r="L236" s="12"/>
      <c r="M236" s="12"/>
      <c r="N236" s="12"/>
      <c r="O236" s="12"/>
      <c r="P236" s="12"/>
    </row>
    <row r="237">
      <c r="A237" s="12"/>
      <c r="D237" s="95"/>
      <c r="E237" s="14"/>
      <c r="H237" s="12"/>
      <c r="I237" s="12"/>
      <c r="J237" s="12"/>
      <c r="K237" s="12"/>
      <c r="L237" s="12"/>
      <c r="M237" s="12"/>
      <c r="N237" s="12"/>
      <c r="O237" s="12"/>
      <c r="P237" s="12"/>
    </row>
    <row r="238">
      <c r="A238" s="12"/>
      <c r="D238" s="95"/>
      <c r="E238" s="14"/>
      <c r="H238" s="12"/>
      <c r="I238" s="12"/>
      <c r="J238" s="12"/>
      <c r="K238" s="12"/>
      <c r="L238" s="12"/>
      <c r="M238" s="12"/>
      <c r="N238" s="12"/>
      <c r="O238" s="12"/>
      <c r="P238" s="12"/>
    </row>
    <row r="239">
      <c r="A239" s="12"/>
      <c r="D239" s="95"/>
      <c r="E239" s="14"/>
      <c r="H239" s="12"/>
      <c r="I239" s="12"/>
      <c r="J239" s="12"/>
      <c r="K239" s="12"/>
      <c r="L239" s="12"/>
      <c r="M239" s="12"/>
      <c r="N239" s="12"/>
      <c r="O239" s="12"/>
      <c r="P239" s="12"/>
    </row>
    <row r="240">
      <c r="A240" s="12"/>
      <c r="D240" s="95"/>
      <c r="E240" s="14"/>
      <c r="H240" s="12"/>
      <c r="I240" s="12"/>
      <c r="J240" s="12"/>
      <c r="K240" s="12"/>
      <c r="L240" s="12"/>
      <c r="M240" s="12"/>
      <c r="N240" s="12"/>
      <c r="O240" s="12"/>
      <c r="P240" s="12"/>
    </row>
    <row r="241">
      <c r="A241" s="12"/>
      <c r="D241" s="95"/>
      <c r="E241" s="14"/>
      <c r="H241" s="12"/>
      <c r="I241" s="12"/>
      <c r="J241" s="12"/>
      <c r="K241" s="12"/>
      <c r="L241" s="12"/>
      <c r="M241" s="12"/>
      <c r="N241" s="12"/>
      <c r="O241" s="12"/>
      <c r="P241" s="12"/>
    </row>
    <row r="242">
      <c r="A242" s="12"/>
      <c r="D242" s="95"/>
      <c r="E242" s="14"/>
      <c r="H242" s="12"/>
      <c r="I242" s="12"/>
      <c r="J242" s="12"/>
      <c r="K242" s="12"/>
      <c r="L242" s="12"/>
      <c r="M242" s="12"/>
      <c r="N242" s="12"/>
      <c r="O242" s="12"/>
      <c r="P242" s="12"/>
    </row>
    <row r="243">
      <c r="A243" s="12"/>
      <c r="D243" s="95"/>
      <c r="E243" s="14"/>
      <c r="H243" s="12"/>
      <c r="I243" s="12"/>
      <c r="J243" s="12"/>
      <c r="K243" s="12"/>
      <c r="L243" s="12"/>
      <c r="M243" s="12"/>
      <c r="N243" s="12"/>
      <c r="O243" s="12"/>
      <c r="P243" s="12"/>
    </row>
    <row r="244">
      <c r="A244" s="12"/>
      <c r="D244" s="95"/>
      <c r="E244" s="14"/>
      <c r="H244" s="12"/>
      <c r="I244" s="12"/>
      <c r="J244" s="12"/>
      <c r="K244" s="12"/>
      <c r="L244" s="12"/>
      <c r="M244" s="12"/>
      <c r="N244" s="12"/>
      <c r="O244" s="12"/>
      <c r="P244" s="12"/>
    </row>
    <row r="245">
      <c r="A245" s="12"/>
      <c r="D245" s="95"/>
      <c r="E245" s="14"/>
      <c r="H245" s="12"/>
      <c r="I245" s="12"/>
      <c r="J245" s="12"/>
      <c r="K245" s="12"/>
      <c r="L245" s="12"/>
      <c r="M245" s="12"/>
      <c r="N245" s="12"/>
      <c r="O245" s="12"/>
      <c r="P245" s="12"/>
    </row>
    <row r="246">
      <c r="A246" s="12"/>
      <c r="D246" s="95"/>
      <c r="E246" s="14"/>
      <c r="H246" s="12"/>
      <c r="I246" s="12"/>
      <c r="J246" s="12"/>
      <c r="K246" s="12"/>
      <c r="L246" s="12"/>
      <c r="M246" s="12"/>
      <c r="N246" s="12"/>
      <c r="O246" s="12"/>
      <c r="P246" s="12"/>
    </row>
    <row r="247">
      <c r="A247" s="12"/>
      <c r="D247" s="95"/>
      <c r="E247" s="14"/>
      <c r="H247" s="12"/>
      <c r="I247" s="12"/>
      <c r="J247" s="12"/>
      <c r="K247" s="12"/>
      <c r="L247" s="12"/>
      <c r="M247" s="12"/>
      <c r="N247" s="12"/>
      <c r="O247" s="12"/>
      <c r="P247" s="12"/>
    </row>
    <row r="248">
      <c r="A248" s="12"/>
      <c r="D248" s="95"/>
      <c r="E248" s="14"/>
      <c r="H248" s="12"/>
      <c r="I248" s="12"/>
      <c r="J248" s="12"/>
      <c r="K248" s="12"/>
      <c r="L248" s="12"/>
      <c r="M248" s="12"/>
      <c r="N248" s="12"/>
      <c r="O248" s="12"/>
      <c r="P248" s="12"/>
    </row>
    <row r="249">
      <c r="A249" s="12"/>
      <c r="D249" s="95"/>
      <c r="E249" s="14"/>
      <c r="H249" s="12"/>
      <c r="I249" s="12"/>
      <c r="J249" s="12"/>
      <c r="K249" s="12"/>
      <c r="L249" s="12"/>
      <c r="M249" s="12"/>
      <c r="N249" s="12"/>
      <c r="O249" s="12"/>
      <c r="P249" s="12"/>
    </row>
    <row r="250">
      <c r="A250" s="12"/>
      <c r="D250" s="95"/>
      <c r="E250" s="14"/>
      <c r="H250" s="12"/>
      <c r="I250" s="12"/>
      <c r="J250" s="12"/>
      <c r="K250" s="12"/>
      <c r="L250" s="12"/>
      <c r="M250" s="12"/>
      <c r="N250" s="12"/>
      <c r="O250" s="12"/>
      <c r="P250" s="12"/>
    </row>
    <row r="251">
      <c r="A251" s="12"/>
      <c r="D251" s="95"/>
      <c r="E251" s="14"/>
      <c r="H251" s="12"/>
      <c r="I251" s="12"/>
      <c r="J251" s="12"/>
      <c r="K251" s="12"/>
      <c r="L251" s="12"/>
      <c r="M251" s="12"/>
      <c r="N251" s="12"/>
      <c r="O251" s="12"/>
      <c r="P251" s="12"/>
    </row>
    <row r="252">
      <c r="A252" s="12"/>
      <c r="D252" s="95"/>
      <c r="E252" s="14"/>
      <c r="H252" s="12"/>
      <c r="I252" s="12"/>
      <c r="J252" s="12"/>
      <c r="K252" s="12"/>
      <c r="L252" s="12"/>
      <c r="M252" s="12"/>
      <c r="N252" s="12"/>
      <c r="O252" s="12"/>
      <c r="P252" s="12"/>
    </row>
    <row r="253">
      <c r="A253" s="12"/>
      <c r="D253" s="95"/>
      <c r="E253" s="14"/>
      <c r="H253" s="12"/>
      <c r="I253" s="12"/>
      <c r="J253" s="12"/>
      <c r="K253" s="12"/>
      <c r="L253" s="12"/>
      <c r="M253" s="12"/>
      <c r="N253" s="12"/>
      <c r="O253" s="12"/>
      <c r="P253" s="12"/>
    </row>
    <row r="254">
      <c r="A254" s="12"/>
      <c r="D254" s="95"/>
      <c r="E254" s="14"/>
      <c r="H254" s="12"/>
      <c r="I254" s="12"/>
      <c r="J254" s="12"/>
      <c r="K254" s="12"/>
      <c r="L254" s="12"/>
      <c r="M254" s="12"/>
      <c r="N254" s="12"/>
      <c r="O254" s="12"/>
      <c r="P254" s="12"/>
    </row>
    <row r="255">
      <c r="A255" s="12"/>
      <c r="D255" s="95"/>
      <c r="E255" s="14"/>
      <c r="H255" s="12"/>
      <c r="I255" s="12"/>
      <c r="J255" s="12"/>
      <c r="K255" s="12"/>
      <c r="L255" s="12"/>
      <c r="M255" s="12"/>
      <c r="N255" s="12"/>
      <c r="O255" s="12"/>
      <c r="P255" s="12"/>
    </row>
    <row r="256">
      <c r="A256" s="12"/>
      <c r="D256" s="95"/>
      <c r="E256" s="14"/>
      <c r="H256" s="12"/>
      <c r="I256" s="12"/>
      <c r="J256" s="12"/>
      <c r="K256" s="12"/>
      <c r="L256" s="12"/>
      <c r="M256" s="12"/>
      <c r="N256" s="12"/>
      <c r="O256" s="12"/>
      <c r="P256" s="12"/>
    </row>
    <row r="257">
      <c r="A257" s="12"/>
      <c r="D257" s="95"/>
      <c r="E257" s="14"/>
      <c r="H257" s="12"/>
      <c r="I257" s="12"/>
      <c r="J257" s="12"/>
      <c r="K257" s="12"/>
      <c r="L257" s="12"/>
      <c r="M257" s="12"/>
      <c r="N257" s="12"/>
      <c r="O257" s="12"/>
      <c r="P257" s="12"/>
    </row>
    <row r="258">
      <c r="A258" s="12"/>
      <c r="D258" s="95"/>
      <c r="E258" s="14"/>
      <c r="H258" s="12"/>
      <c r="I258" s="12"/>
      <c r="J258" s="12"/>
      <c r="K258" s="12"/>
      <c r="L258" s="12"/>
      <c r="M258" s="12"/>
      <c r="N258" s="12"/>
      <c r="O258" s="12"/>
      <c r="P258" s="12"/>
    </row>
    <row r="259">
      <c r="A259" s="12"/>
      <c r="D259" s="95"/>
      <c r="E259" s="14"/>
      <c r="H259" s="12"/>
      <c r="I259" s="12"/>
      <c r="J259" s="12"/>
      <c r="K259" s="12"/>
      <c r="L259" s="12"/>
      <c r="M259" s="12"/>
      <c r="N259" s="12"/>
      <c r="O259" s="12"/>
      <c r="P259" s="12"/>
    </row>
    <row r="260">
      <c r="A260" s="12"/>
      <c r="D260" s="95"/>
      <c r="E260" s="14"/>
      <c r="H260" s="12"/>
      <c r="I260" s="12"/>
      <c r="J260" s="12"/>
      <c r="K260" s="12"/>
      <c r="L260" s="12"/>
      <c r="M260" s="12"/>
      <c r="N260" s="12"/>
      <c r="O260" s="12"/>
      <c r="P260" s="12"/>
    </row>
    <row r="261">
      <c r="A261" s="12"/>
      <c r="D261" s="95"/>
      <c r="E261" s="14"/>
      <c r="H261" s="12"/>
      <c r="I261" s="12"/>
      <c r="J261" s="12"/>
      <c r="K261" s="12"/>
      <c r="L261" s="12"/>
      <c r="M261" s="12"/>
      <c r="N261" s="12"/>
      <c r="O261" s="12"/>
      <c r="P261" s="12"/>
    </row>
    <row r="262">
      <c r="A262" s="12"/>
      <c r="D262" s="95"/>
      <c r="E262" s="14"/>
      <c r="H262" s="12"/>
      <c r="I262" s="12"/>
      <c r="J262" s="12"/>
      <c r="K262" s="12"/>
      <c r="L262" s="12"/>
      <c r="M262" s="12"/>
      <c r="N262" s="12"/>
      <c r="O262" s="12"/>
      <c r="P262" s="12"/>
    </row>
    <row r="263">
      <c r="A263" s="12"/>
      <c r="D263" s="95"/>
      <c r="E263" s="14"/>
      <c r="H263" s="12"/>
      <c r="I263" s="12"/>
      <c r="J263" s="12"/>
      <c r="K263" s="12"/>
      <c r="L263" s="12"/>
      <c r="M263" s="12"/>
      <c r="N263" s="12"/>
      <c r="O263" s="12"/>
      <c r="P263" s="12"/>
    </row>
    <row r="264">
      <c r="A264" s="12"/>
      <c r="D264" s="95"/>
      <c r="E264" s="14"/>
      <c r="H264" s="12"/>
      <c r="I264" s="12"/>
      <c r="J264" s="12"/>
      <c r="K264" s="12"/>
      <c r="L264" s="12"/>
      <c r="M264" s="12"/>
      <c r="N264" s="12"/>
      <c r="O264" s="12"/>
      <c r="P264" s="12"/>
    </row>
    <row r="265">
      <c r="A265" s="12"/>
      <c r="D265" s="95"/>
      <c r="E265" s="14"/>
      <c r="H265" s="12"/>
      <c r="I265" s="12"/>
      <c r="J265" s="12"/>
      <c r="K265" s="12"/>
      <c r="L265" s="12"/>
      <c r="M265" s="12"/>
      <c r="N265" s="12"/>
      <c r="O265" s="12"/>
      <c r="P265" s="12"/>
    </row>
    <row r="266">
      <c r="A266" s="12"/>
      <c r="D266" s="95"/>
      <c r="E266" s="14"/>
      <c r="H266" s="12"/>
      <c r="I266" s="12"/>
      <c r="J266" s="12"/>
      <c r="K266" s="12"/>
      <c r="L266" s="12"/>
      <c r="M266" s="12"/>
      <c r="N266" s="12"/>
      <c r="O266" s="12"/>
      <c r="P266" s="12"/>
    </row>
    <row r="267">
      <c r="A267" s="12"/>
      <c r="D267" s="95"/>
      <c r="E267" s="14"/>
      <c r="H267" s="12"/>
      <c r="I267" s="12"/>
      <c r="J267" s="12"/>
      <c r="K267" s="12"/>
      <c r="L267" s="12"/>
      <c r="M267" s="12"/>
      <c r="N267" s="12"/>
      <c r="O267" s="12"/>
      <c r="P267" s="12"/>
    </row>
    <row r="268">
      <c r="A268" s="12"/>
      <c r="D268" s="95"/>
      <c r="E268" s="14"/>
      <c r="H268" s="12"/>
      <c r="I268" s="12"/>
      <c r="J268" s="12"/>
      <c r="K268" s="12"/>
      <c r="L268" s="12"/>
      <c r="M268" s="12"/>
      <c r="N268" s="12"/>
      <c r="O268" s="12"/>
      <c r="P268" s="12"/>
    </row>
    <row r="269">
      <c r="A269" s="12"/>
      <c r="D269" s="95"/>
      <c r="E269" s="14"/>
      <c r="H269" s="12"/>
      <c r="I269" s="12"/>
      <c r="J269" s="12"/>
      <c r="K269" s="12"/>
      <c r="L269" s="12"/>
      <c r="M269" s="12"/>
      <c r="N269" s="12"/>
      <c r="O269" s="12"/>
      <c r="P269" s="12"/>
    </row>
    <row r="270">
      <c r="A270" s="12"/>
      <c r="D270" s="95"/>
      <c r="E270" s="14"/>
      <c r="H270" s="12"/>
      <c r="I270" s="12"/>
      <c r="J270" s="12"/>
      <c r="K270" s="12"/>
      <c r="L270" s="12"/>
      <c r="M270" s="12"/>
      <c r="N270" s="12"/>
      <c r="O270" s="12"/>
      <c r="P270" s="12"/>
    </row>
    <row r="271">
      <c r="A271" s="12"/>
      <c r="D271" s="95"/>
      <c r="E271" s="14"/>
      <c r="H271" s="12"/>
      <c r="I271" s="12"/>
      <c r="J271" s="12"/>
      <c r="K271" s="12"/>
      <c r="L271" s="12"/>
      <c r="M271" s="12"/>
      <c r="N271" s="12"/>
      <c r="O271" s="12"/>
      <c r="P271" s="12"/>
    </row>
    <row r="272">
      <c r="A272" s="12"/>
      <c r="D272" s="95"/>
      <c r="E272" s="14"/>
      <c r="H272" s="12"/>
      <c r="I272" s="12"/>
      <c r="J272" s="12"/>
      <c r="K272" s="12"/>
      <c r="L272" s="12"/>
      <c r="M272" s="12"/>
      <c r="N272" s="12"/>
      <c r="O272" s="12"/>
      <c r="P272" s="12"/>
    </row>
    <row r="273">
      <c r="A273" s="12"/>
      <c r="D273" s="95"/>
      <c r="E273" s="14"/>
      <c r="H273" s="12"/>
      <c r="I273" s="12"/>
      <c r="J273" s="12"/>
      <c r="K273" s="12"/>
      <c r="L273" s="12"/>
      <c r="M273" s="12"/>
      <c r="N273" s="12"/>
      <c r="O273" s="12"/>
      <c r="P273" s="12"/>
    </row>
    <row r="274">
      <c r="A274" s="12"/>
      <c r="D274" s="95"/>
      <c r="E274" s="14"/>
      <c r="H274" s="12"/>
      <c r="I274" s="12"/>
      <c r="J274" s="12"/>
      <c r="K274" s="12"/>
      <c r="L274" s="12"/>
      <c r="M274" s="12"/>
      <c r="N274" s="12"/>
      <c r="O274" s="12"/>
      <c r="P274" s="12"/>
    </row>
    <row r="275">
      <c r="A275" s="12"/>
      <c r="D275" s="95"/>
      <c r="E275" s="14"/>
      <c r="H275" s="12"/>
      <c r="I275" s="12"/>
      <c r="J275" s="12"/>
      <c r="K275" s="12"/>
      <c r="L275" s="12"/>
      <c r="M275" s="12"/>
      <c r="N275" s="12"/>
      <c r="O275" s="12"/>
      <c r="P275" s="12"/>
    </row>
    <row r="276">
      <c r="A276" s="12"/>
      <c r="D276" s="95"/>
      <c r="E276" s="14"/>
      <c r="H276" s="12"/>
      <c r="I276" s="12"/>
      <c r="J276" s="12"/>
      <c r="K276" s="12"/>
      <c r="L276" s="12"/>
      <c r="M276" s="12"/>
      <c r="N276" s="12"/>
      <c r="O276" s="12"/>
      <c r="P276" s="12"/>
    </row>
    <row r="277">
      <c r="A277" s="12"/>
      <c r="D277" s="95"/>
      <c r="E277" s="14"/>
      <c r="H277" s="12"/>
      <c r="I277" s="12"/>
      <c r="J277" s="12"/>
      <c r="K277" s="12"/>
      <c r="L277" s="12"/>
      <c r="M277" s="12"/>
      <c r="N277" s="12"/>
      <c r="O277" s="12"/>
      <c r="P277" s="12"/>
    </row>
    <row r="278">
      <c r="A278" s="12"/>
      <c r="D278" s="95"/>
      <c r="E278" s="14"/>
      <c r="H278" s="12"/>
      <c r="I278" s="12"/>
      <c r="J278" s="12"/>
      <c r="K278" s="12"/>
      <c r="L278" s="12"/>
      <c r="M278" s="12"/>
      <c r="N278" s="12"/>
      <c r="O278" s="12"/>
      <c r="P278" s="12"/>
    </row>
    <row r="279">
      <c r="A279" s="12"/>
      <c r="D279" s="95"/>
      <c r="E279" s="14"/>
      <c r="H279" s="12"/>
      <c r="I279" s="12"/>
      <c r="J279" s="12"/>
      <c r="K279" s="12"/>
      <c r="L279" s="12"/>
      <c r="M279" s="12"/>
      <c r="N279" s="12"/>
      <c r="O279" s="12"/>
      <c r="P279" s="12"/>
    </row>
    <row r="280">
      <c r="A280" s="12"/>
      <c r="D280" s="95"/>
      <c r="E280" s="14"/>
      <c r="H280" s="12"/>
      <c r="I280" s="12"/>
      <c r="J280" s="12"/>
      <c r="K280" s="12"/>
      <c r="L280" s="12"/>
      <c r="M280" s="12"/>
      <c r="N280" s="12"/>
      <c r="O280" s="12"/>
      <c r="P280" s="12"/>
    </row>
    <row r="281">
      <c r="A281" s="12"/>
      <c r="D281" s="95"/>
      <c r="E281" s="14"/>
      <c r="H281" s="12"/>
      <c r="I281" s="12"/>
      <c r="J281" s="12"/>
      <c r="K281" s="12"/>
      <c r="L281" s="12"/>
      <c r="M281" s="12"/>
      <c r="N281" s="12"/>
      <c r="O281" s="12"/>
      <c r="P281" s="12"/>
    </row>
    <row r="282">
      <c r="A282" s="12"/>
      <c r="D282" s="95"/>
      <c r="E282" s="14"/>
      <c r="H282" s="12"/>
      <c r="I282" s="12"/>
      <c r="J282" s="12"/>
      <c r="K282" s="12"/>
      <c r="L282" s="12"/>
      <c r="M282" s="12"/>
      <c r="N282" s="12"/>
      <c r="O282" s="12"/>
      <c r="P282" s="12"/>
    </row>
    <row r="283">
      <c r="A283" s="12"/>
      <c r="D283" s="95"/>
      <c r="E283" s="14"/>
      <c r="H283" s="12"/>
      <c r="I283" s="12"/>
      <c r="J283" s="12"/>
      <c r="K283" s="12"/>
      <c r="L283" s="12"/>
      <c r="M283" s="12"/>
      <c r="N283" s="12"/>
      <c r="O283" s="12"/>
      <c r="P283" s="12"/>
    </row>
    <row r="284">
      <c r="A284" s="12"/>
      <c r="D284" s="95"/>
      <c r="E284" s="14"/>
      <c r="H284" s="12"/>
      <c r="I284" s="12"/>
      <c r="J284" s="12"/>
      <c r="K284" s="12"/>
      <c r="L284" s="12"/>
      <c r="M284" s="12"/>
      <c r="N284" s="12"/>
      <c r="O284" s="12"/>
      <c r="P284" s="12"/>
    </row>
    <row r="285">
      <c r="A285" s="12"/>
      <c r="D285" s="95"/>
      <c r="E285" s="14"/>
      <c r="H285" s="12"/>
      <c r="I285" s="12"/>
      <c r="J285" s="12"/>
      <c r="K285" s="12"/>
      <c r="L285" s="12"/>
      <c r="M285" s="12"/>
      <c r="N285" s="12"/>
      <c r="O285" s="12"/>
      <c r="P285" s="12"/>
    </row>
    <row r="286">
      <c r="A286" s="12"/>
      <c r="D286" s="95"/>
      <c r="E286" s="14"/>
      <c r="H286" s="12"/>
      <c r="I286" s="12"/>
      <c r="J286" s="12"/>
      <c r="K286" s="12"/>
      <c r="L286" s="12"/>
      <c r="M286" s="12"/>
      <c r="N286" s="12"/>
      <c r="O286" s="12"/>
      <c r="P286" s="12"/>
    </row>
    <row r="287">
      <c r="A287" s="12"/>
      <c r="D287" s="95"/>
      <c r="E287" s="14"/>
      <c r="H287" s="12"/>
      <c r="I287" s="12"/>
      <c r="J287" s="12"/>
      <c r="K287" s="12"/>
      <c r="L287" s="12"/>
      <c r="M287" s="12"/>
      <c r="N287" s="12"/>
      <c r="O287" s="12"/>
      <c r="P287" s="12"/>
    </row>
    <row r="288">
      <c r="A288" s="12"/>
      <c r="D288" s="95"/>
      <c r="E288" s="14"/>
      <c r="H288" s="12"/>
      <c r="I288" s="12"/>
      <c r="J288" s="12"/>
      <c r="K288" s="12"/>
      <c r="L288" s="12"/>
      <c r="M288" s="12"/>
      <c r="N288" s="12"/>
      <c r="O288" s="12"/>
      <c r="P288" s="12"/>
    </row>
    <row r="289">
      <c r="A289" s="12"/>
      <c r="D289" s="95"/>
      <c r="E289" s="14"/>
      <c r="H289" s="12"/>
      <c r="I289" s="12"/>
      <c r="J289" s="12"/>
      <c r="K289" s="12"/>
      <c r="L289" s="12"/>
      <c r="M289" s="12"/>
      <c r="N289" s="12"/>
      <c r="O289" s="12"/>
      <c r="P289" s="12"/>
    </row>
    <row r="290">
      <c r="A290" s="12"/>
      <c r="D290" s="95"/>
      <c r="E290" s="14"/>
      <c r="H290" s="12"/>
      <c r="I290" s="12"/>
      <c r="J290" s="12"/>
      <c r="K290" s="12"/>
      <c r="L290" s="12"/>
      <c r="M290" s="12"/>
      <c r="N290" s="12"/>
      <c r="O290" s="12"/>
      <c r="P290" s="12"/>
    </row>
    <row r="291">
      <c r="A291" s="12"/>
      <c r="D291" s="95"/>
      <c r="E291" s="14"/>
      <c r="H291" s="12"/>
      <c r="I291" s="12"/>
      <c r="J291" s="12"/>
      <c r="K291" s="12"/>
      <c r="L291" s="12"/>
      <c r="M291" s="12"/>
      <c r="N291" s="12"/>
      <c r="O291" s="12"/>
      <c r="P291" s="12"/>
    </row>
    <row r="292">
      <c r="A292" s="12"/>
      <c r="D292" s="95"/>
      <c r="E292" s="14"/>
      <c r="H292" s="12"/>
      <c r="I292" s="12"/>
      <c r="J292" s="12"/>
      <c r="K292" s="12"/>
      <c r="L292" s="12"/>
      <c r="M292" s="12"/>
      <c r="N292" s="12"/>
      <c r="O292" s="12"/>
      <c r="P292" s="12"/>
    </row>
    <row r="293">
      <c r="A293" s="12"/>
      <c r="D293" s="95"/>
      <c r="E293" s="14"/>
      <c r="H293" s="12"/>
      <c r="I293" s="12"/>
      <c r="J293" s="12"/>
      <c r="K293" s="12"/>
      <c r="L293" s="12"/>
      <c r="M293" s="12"/>
      <c r="N293" s="12"/>
      <c r="O293" s="12"/>
      <c r="P293" s="12"/>
    </row>
    <row r="294">
      <c r="A294" s="12"/>
      <c r="D294" s="95"/>
      <c r="E294" s="14"/>
      <c r="H294" s="12"/>
      <c r="I294" s="12"/>
      <c r="J294" s="12"/>
      <c r="K294" s="12"/>
      <c r="L294" s="12"/>
      <c r="M294" s="12"/>
      <c r="N294" s="12"/>
      <c r="O294" s="12"/>
      <c r="P294" s="12"/>
    </row>
    <row r="295">
      <c r="A295" s="12"/>
      <c r="D295" s="95"/>
      <c r="E295" s="14"/>
      <c r="H295" s="12"/>
      <c r="I295" s="12"/>
      <c r="J295" s="12"/>
      <c r="K295" s="12"/>
      <c r="L295" s="12"/>
      <c r="M295" s="12"/>
      <c r="N295" s="12"/>
      <c r="O295" s="12"/>
      <c r="P295" s="12"/>
    </row>
    <row r="296">
      <c r="A296" s="12"/>
      <c r="D296" s="95"/>
      <c r="E296" s="14"/>
      <c r="H296" s="12"/>
      <c r="I296" s="12"/>
      <c r="J296" s="12"/>
      <c r="K296" s="12"/>
      <c r="L296" s="12"/>
      <c r="M296" s="12"/>
      <c r="N296" s="12"/>
      <c r="O296" s="12"/>
      <c r="P296" s="12"/>
    </row>
    <row r="297">
      <c r="A297" s="12"/>
      <c r="D297" s="95"/>
      <c r="E297" s="14"/>
      <c r="H297" s="12"/>
      <c r="I297" s="12"/>
      <c r="J297" s="12"/>
      <c r="K297" s="12"/>
      <c r="L297" s="12"/>
      <c r="M297" s="12"/>
      <c r="N297" s="12"/>
      <c r="O297" s="12"/>
      <c r="P297" s="12"/>
    </row>
    <row r="298">
      <c r="A298" s="12"/>
      <c r="D298" s="95"/>
      <c r="E298" s="14"/>
      <c r="H298" s="12"/>
      <c r="I298" s="12"/>
      <c r="J298" s="12"/>
      <c r="K298" s="12"/>
      <c r="L298" s="12"/>
      <c r="M298" s="12"/>
      <c r="N298" s="12"/>
      <c r="O298" s="12"/>
      <c r="P298" s="12"/>
    </row>
    <row r="299">
      <c r="A299" s="12"/>
      <c r="D299" s="95"/>
      <c r="E299" s="14"/>
      <c r="H299" s="12"/>
      <c r="I299" s="12"/>
      <c r="J299" s="12"/>
      <c r="K299" s="12"/>
      <c r="L299" s="12"/>
      <c r="M299" s="12"/>
      <c r="N299" s="12"/>
      <c r="O299" s="12"/>
      <c r="P299" s="12"/>
    </row>
    <row r="300">
      <c r="A300" s="12"/>
      <c r="D300" s="95"/>
      <c r="E300" s="14"/>
      <c r="H300" s="12"/>
      <c r="I300" s="12"/>
      <c r="J300" s="12"/>
      <c r="K300" s="12"/>
      <c r="L300" s="12"/>
      <c r="M300" s="12"/>
      <c r="N300" s="12"/>
      <c r="O300" s="12"/>
      <c r="P300" s="12"/>
    </row>
    <row r="301">
      <c r="A301" s="12"/>
      <c r="D301" s="95"/>
      <c r="E301" s="14"/>
      <c r="H301" s="12"/>
      <c r="I301" s="12"/>
      <c r="J301" s="12"/>
      <c r="K301" s="12"/>
      <c r="L301" s="12"/>
      <c r="M301" s="12"/>
      <c r="N301" s="12"/>
      <c r="O301" s="12"/>
      <c r="P301" s="12"/>
    </row>
    <row r="302">
      <c r="A302" s="12"/>
      <c r="D302" s="95"/>
      <c r="E302" s="14"/>
      <c r="H302" s="12"/>
      <c r="I302" s="12"/>
      <c r="J302" s="12"/>
      <c r="K302" s="12"/>
      <c r="L302" s="12"/>
      <c r="M302" s="12"/>
      <c r="N302" s="12"/>
      <c r="O302" s="12"/>
      <c r="P302" s="12"/>
    </row>
    <row r="303">
      <c r="A303" s="12"/>
      <c r="D303" s="95"/>
      <c r="E303" s="14"/>
      <c r="H303" s="12"/>
      <c r="I303" s="12"/>
      <c r="J303" s="12"/>
      <c r="K303" s="12"/>
      <c r="L303" s="12"/>
      <c r="M303" s="12"/>
      <c r="N303" s="12"/>
      <c r="O303" s="12"/>
      <c r="P303" s="12"/>
    </row>
    <row r="304">
      <c r="A304" s="12"/>
      <c r="D304" s="95"/>
      <c r="E304" s="14"/>
      <c r="H304" s="12"/>
      <c r="I304" s="12"/>
      <c r="J304" s="12"/>
      <c r="K304" s="12"/>
      <c r="L304" s="12"/>
      <c r="M304" s="12"/>
      <c r="N304" s="12"/>
      <c r="O304" s="12"/>
      <c r="P304" s="12"/>
    </row>
    <row r="305">
      <c r="A305" s="12"/>
      <c r="D305" s="95"/>
      <c r="E305" s="14"/>
      <c r="H305" s="12"/>
      <c r="I305" s="12"/>
      <c r="J305" s="12"/>
      <c r="K305" s="12"/>
      <c r="L305" s="12"/>
      <c r="M305" s="12"/>
      <c r="N305" s="12"/>
      <c r="O305" s="12"/>
      <c r="P305" s="12"/>
    </row>
    <row r="306">
      <c r="A306" s="12"/>
      <c r="D306" s="95"/>
      <c r="E306" s="14"/>
      <c r="H306" s="12"/>
      <c r="I306" s="12"/>
      <c r="J306" s="12"/>
      <c r="K306" s="12"/>
      <c r="L306" s="12"/>
      <c r="M306" s="12"/>
      <c r="N306" s="12"/>
      <c r="O306" s="12"/>
      <c r="P306" s="12"/>
    </row>
    <row r="307">
      <c r="A307" s="12"/>
      <c r="D307" s="95"/>
      <c r="E307" s="14"/>
      <c r="H307" s="12"/>
      <c r="I307" s="12"/>
      <c r="J307" s="12"/>
      <c r="K307" s="12"/>
      <c r="L307" s="12"/>
      <c r="M307" s="12"/>
      <c r="N307" s="12"/>
      <c r="O307" s="12"/>
      <c r="P307" s="12"/>
    </row>
    <row r="308">
      <c r="A308" s="12"/>
      <c r="D308" s="95"/>
      <c r="E308" s="14"/>
      <c r="H308" s="12"/>
      <c r="I308" s="12"/>
      <c r="J308" s="12"/>
      <c r="K308" s="12"/>
      <c r="L308" s="12"/>
      <c r="M308" s="12"/>
      <c r="N308" s="12"/>
      <c r="O308" s="12"/>
      <c r="P308" s="12"/>
    </row>
    <row r="309">
      <c r="A309" s="12"/>
      <c r="D309" s="95"/>
      <c r="E309" s="14"/>
      <c r="H309" s="12"/>
      <c r="I309" s="12"/>
      <c r="J309" s="12"/>
      <c r="K309" s="12"/>
      <c r="L309" s="12"/>
      <c r="M309" s="12"/>
      <c r="N309" s="12"/>
      <c r="O309" s="12"/>
      <c r="P309" s="12"/>
    </row>
    <row r="310">
      <c r="A310" s="12"/>
      <c r="D310" s="95"/>
      <c r="E310" s="14"/>
      <c r="H310" s="12"/>
      <c r="I310" s="12"/>
      <c r="J310" s="12"/>
      <c r="K310" s="12"/>
      <c r="L310" s="12"/>
      <c r="M310" s="12"/>
      <c r="N310" s="12"/>
      <c r="O310" s="12"/>
      <c r="P310" s="12"/>
    </row>
    <row r="311">
      <c r="A311" s="12"/>
      <c r="D311" s="95"/>
      <c r="E311" s="14"/>
      <c r="H311" s="12"/>
      <c r="I311" s="12"/>
      <c r="J311" s="12"/>
      <c r="K311" s="12"/>
      <c r="L311" s="12"/>
      <c r="M311" s="12"/>
      <c r="N311" s="12"/>
      <c r="O311" s="12"/>
      <c r="P311" s="12"/>
    </row>
    <row r="312">
      <c r="A312" s="12"/>
      <c r="D312" s="95"/>
      <c r="E312" s="14"/>
      <c r="H312" s="12"/>
      <c r="I312" s="12"/>
      <c r="J312" s="12"/>
      <c r="K312" s="12"/>
      <c r="L312" s="12"/>
      <c r="M312" s="12"/>
      <c r="N312" s="12"/>
      <c r="O312" s="12"/>
      <c r="P312" s="12"/>
    </row>
    <row r="313">
      <c r="A313" s="12"/>
      <c r="D313" s="95"/>
      <c r="E313" s="14"/>
      <c r="H313" s="12"/>
      <c r="I313" s="12"/>
      <c r="J313" s="12"/>
      <c r="K313" s="12"/>
      <c r="L313" s="12"/>
      <c r="M313" s="12"/>
      <c r="N313" s="12"/>
      <c r="O313" s="12"/>
      <c r="P313" s="12"/>
    </row>
    <row r="314">
      <c r="A314" s="12"/>
      <c r="D314" s="95"/>
      <c r="E314" s="14"/>
      <c r="H314" s="12"/>
      <c r="I314" s="12"/>
      <c r="J314" s="12"/>
      <c r="K314" s="12"/>
      <c r="L314" s="12"/>
      <c r="M314" s="12"/>
      <c r="N314" s="12"/>
      <c r="O314" s="12"/>
      <c r="P314" s="12"/>
    </row>
    <row r="315">
      <c r="A315" s="12"/>
      <c r="D315" s="95"/>
      <c r="E315" s="14"/>
      <c r="H315" s="12"/>
      <c r="I315" s="12"/>
      <c r="J315" s="12"/>
      <c r="K315" s="12"/>
      <c r="L315" s="12"/>
      <c r="M315" s="12"/>
      <c r="N315" s="12"/>
      <c r="O315" s="12"/>
      <c r="P315" s="12"/>
    </row>
    <row r="316">
      <c r="A316" s="12"/>
      <c r="D316" s="95"/>
      <c r="E316" s="14"/>
      <c r="H316" s="12"/>
      <c r="I316" s="12"/>
      <c r="J316" s="12"/>
      <c r="K316" s="12"/>
      <c r="L316" s="12"/>
      <c r="M316" s="12"/>
      <c r="N316" s="12"/>
      <c r="O316" s="12"/>
      <c r="P316" s="12"/>
    </row>
    <row r="317">
      <c r="A317" s="12"/>
      <c r="D317" s="95"/>
      <c r="E317" s="14"/>
      <c r="H317" s="12"/>
      <c r="I317" s="12"/>
      <c r="J317" s="12"/>
      <c r="K317" s="12"/>
      <c r="L317" s="12"/>
      <c r="M317" s="12"/>
      <c r="N317" s="12"/>
      <c r="O317" s="12"/>
      <c r="P317" s="12"/>
    </row>
    <row r="318">
      <c r="A318" s="12"/>
      <c r="D318" s="95"/>
      <c r="E318" s="14"/>
      <c r="H318" s="12"/>
      <c r="I318" s="12"/>
      <c r="J318" s="12"/>
      <c r="K318" s="12"/>
      <c r="L318" s="12"/>
      <c r="M318" s="12"/>
      <c r="N318" s="12"/>
      <c r="O318" s="12"/>
      <c r="P318" s="12"/>
    </row>
    <row r="319">
      <c r="A319" s="12"/>
      <c r="D319" s="95"/>
      <c r="E319" s="14"/>
      <c r="H319" s="12"/>
      <c r="I319" s="12"/>
      <c r="J319" s="12"/>
      <c r="K319" s="12"/>
      <c r="L319" s="12"/>
      <c r="M319" s="12"/>
      <c r="N319" s="12"/>
      <c r="O319" s="12"/>
      <c r="P319" s="12"/>
    </row>
    <row r="320">
      <c r="A320" s="12"/>
      <c r="D320" s="95"/>
      <c r="E320" s="14"/>
      <c r="H320" s="12"/>
      <c r="I320" s="12"/>
      <c r="J320" s="12"/>
      <c r="K320" s="12"/>
      <c r="L320" s="12"/>
      <c r="M320" s="12"/>
      <c r="N320" s="12"/>
      <c r="O320" s="12"/>
      <c r="P320" s="12"/>
    </row>
    <row r="321">
      <c r="A321" s="12"/>
      <c r="D321" s="95"/>
      <c r="E321" s="14"/>
      <c r="H321" s="12"/>
      <c r="I321" s="12"/>
      <c r="J321" s="12"/>
      <c r="K321" s="12"/>
      <c r="L321" s="12"/>
      <c r="M321" s="12"/>
      <c r="N321" s="12"/>
      <c r="O321" s="12"/>
      <c r="P321" s="12"/>
    </row>
    <row r="322">
      <c r="A322" s="12"/>
      <c r="D322" s="95"/>
      <c r="E322" s="14"/>
      <c r="H322" s="12"/>
      <c r="I322" s="12"/>
      <c r="J322" s="12"/>
      <c r="K322" s="12"/>
      <c r="L322" s="12"/>
      <c r="M322" s="12"/>
      <c r="N322" s="12"/>
      <c r="O322" s="12"/>
      <c r="P322" s="12"/>
    </row>
    <row r="323">
      <c r="A323" s="12"/>
      <c r="D323" s="95"/>
      <c r="E323" s="14"/>
      <c r="H323" s="12"/>
      <c r="I323" s="12"/>
      <c r="J323" s="12"/>
      <c r="K323" s="12"/>
      <c r="L323" s="12"/>
      <c r="M323" s="12"/>
      <c r="N323" s="12"/>
      <c r="O323" s="12"/>
      <c r="P323" s="12"/>
    </row>
    <row r="324">
      <c r="A324" s="12"/>
      <c r="D324" s="95"/>
      <c r="E324" s="14"/>
      <c r="H324" s="12"/>
      <c r="I324" s="12"/>
      <c r="J324" s="12"/>
      <c r="K324" s="12"/>
      <c r="L324" s="12"/>
      <c r="M324" s="12"/>
      <c r="N324" s="12"/>
      <c r="O324" s="12"/>
      <c r="P324" s="12"/>
    </row>
    <row r="325">
      <c r="A325" s="12"/>
      <c r="D325" s="95"/>
      <c r="E325" s="14"/>
      <c r="H325" s="12"/>
      <c r="I325" s="12"/>
      <c r="J325" s="12"/>
      <c r="K325" s="12"/>
      <c r="L325" s="12"/>
      <c r="M325" s="12"/>
      <c r="N325" s="12"/>
      <c r="O325" s="12"/>
      <c r="P325" s="12"/>
    </row>
    <row r="326">
      <c r="A326" s="12"/>
      <c r="D326" s="95"/>
      <c r="E326" s="14"/>
      <c r="H326" s="12"/>
      <c r="I326" s="12"/>
      <c r="J326" s="12"/>
      <c r="K326" s="12"/>
      <c r="L326" s="12"/>
      <c r="M326" s="12"/>
      <c r="N326" s="12"/>
      <c r="O326" s="12"/>
      <c r="P326" s="12"/>
    </row>
    <row r="327">
      <c r="A327" s="12"/>
      <c r="D327" s="95"/>
      <c r="E327" s="14"/>
      <c r="H327" s="12"/>
      <c r="I327" s="12"/>
      <c r="J327" s="12"/>
      <c r="K327" s="12"/>
      <c r="L327" s="12"/>
      <c r="M327" s="12"/>
      <c r="N327" s="12"/>
      <c r="O327" s="12"/>
      <c r="P327" s="12"/>
    </row>
    <row r="328">
      <c r="A328" s="12"/>
      <c r="D328" s="95"/>
      <c r="E328" s="14"/>
      <c r="H328" s="12"/>
      <c r="I328" s="12"/>
      <c r="J328" s="12"/>
      <c r="K328" s="12"/>
      <c r="L328" s="12"/>
      <c r="M328" s="12"/>
      <c r="N328" s="12"/>
      <c r="O328" s="12"/>
      <c r="P328" s="12"/>
    </row>
    <row r="329">
      <c r="A329" s="12"/>
      <c r="D329" s="95"/>
      <c r="E329" s="14"/>
      <c r="H329" s="12"/>
      <c r="I329" s="12"/>
      <c r="J329" s="12"/>
      <c r="K329" s="12"/>
      <c r="L329" s="12"/>
      <c r="M329" s="12"/>
      <c r="N329" s="12"/>
      <c r="O329" s="12"/>
      <c r="P329" s="12"/>
    </row>
    <row r="330">
      <c r="A330" s="12"/>
      <c r="D330" s="95"/>
      <c r="E330" s="14"/>
      <c r="H330" s="12"/>
      <c r="I330" s="12"/>
      <c r="J330" s="12"/>
      <c r="K330" s="12"/>
      <c r="L330" s="12"/>
      <c r="M330" s="12"/>
      <c r="N330" s="12"/>
      <c r="O330" s="12"/>
      <c r="P330" s="12"/>
    </row>
    <row r="331">
      <c r="A331" s="12"/>
      <c r="D331" s="95"/>
      <c r="E331" s="14"/>
      <c r="H331" s="12"/>
      <c r="I331" s="12"/>
      <c r="J331" s="12"/>
      <c r="K331" s="12"/>
      <c r="L331" s="12"/>
      <c r="M331" s="12"/>
      <c r="N331" s="12"/>
      <c r="O331" s="12"/>
      <c r="P331" s="12"/>
    </row>
    <row r="332">
      <c r="A332" s="12"/>
      <c r="D332" s="95"/>
      <c r="E332" s="14"/>
      <c r="H332" s="12"/>
      <c r="I332" s="12"/>
      <c r="J332" s="12"/>
      <c r="K332" s="12"/>
      <c r="L332" s="12"/>
      <c r="M332" s="12"/>
      <c r="N332" s="12"/>
      <c r="O332" s="12"/>
      <c r="P332" s="12"/>
    </row>
    <row r="333">
      <c r="A333" s="12"/>
      <c r="D333" s="95"/>
      <c r="E333" s="14"/>
      <c r="H333" s="12"/>
      <c r="I333" s="12"/>
      <c r="J333" s="12"/>
      <c r="K333" s="12"/>
      <c r="L333" s="12"/>
      <c r="M333" s="12"/>
      <c r="N333" s="12"/>
      <c r="O333" s="12"/>
      <c r="P333" s="12"/>
    </row>
    <row r="334">
      <c r="A334" s="12"/>
      <c r="D334" s="95"/>
      <c r="E334" s="14"/>
      <c r="H334" s="12"/>
      <c r="I334" s="12"/>
      <c r="J334" s="12"/>
      <c r="K334" s="12"/>
      <c r="L334" s="12"/>
      <c r="M334" s="12"/>
      <c r="N334" s="12"/>
      <c r="O334" s="12"/>
      <c r="P334" s="12"/>
    </row>
    <row r="335">
      <c r="A335" s="12"/>
      <c r="D335" s="95"/>
      <c r="E335" s="14"/>
      <c r="H335" s="12"/>
      <c r="I335" s="12"/>
      <c r="J335" s="12"/>
      <c r="K335" s="12"/>
      <c r="L335" s="12"/>
      <c r="M335" s="12"/>
      <c r="N335" s="12"/>
      <c r="O335" s="12"/>
      <c r="P335" s="12"/>
    </row>
    <row r="336">
      <c r="A336" s="12"/>
      <c r="D336" s="95"/>
      <c r="E336" s="14"/>
      <c r="H336" s="12"/>
      <c r="I336" s="12"/>
      <c r="J336" s="12"/>
      <c r="K336" s="12"/>
      <c r="L336" s="12"/>
      <c r="M336" s="12"/>
      <c r="N336" s="12"/>
      <c r="O336" s="12"/>
      <c r="P336" s="12"/>
    </row>
    <row r="337">
      <c r="A337" s="12"/>
      <c r="D337" s="95"/>
      <c r="E337" s="14"/>
      <c r="H337" s="12"/>
      <c r="I337" s="12"/>
      <c r="J337" s="12"/>
      <c r="K337" s="12"/>
      <c r="L337" s="12"/>
      <c r="M337" s="12"/>
      <c r="N337" s="12"/>
      <c r="O337" s="12"/>
      <c r="P337" s="12"/>
    </row>
    <row r="338">
      <c r="A338" s="12"/>
      <c r="D338" s="95"/>
      <c r="E338" s="14"/>
      <c r="H338" s="12"/>
      <c r="I338" s="12"/>
      <c r="J338" s="12"/>
      <c r="K338" s="12"/>
      <c r="L338" s="12"/>
      <c r="M338" s="12"/>
      <c r="N338" s="12"/>
      <c r="O338" s="12"/>
      <c r="P338" s="12"/>
    </row>
    <row r="339">
      <c r="A339" s="12"/>
      <c r="D339" s="95"/>
      <c r="E339" s="14"/>
      <c r="H339" s="12"/>
      <c r="I339" s="12"/>
      <c r="J339" s="12"/>
      <c r="K339" s="12"/>
      <c r="L339" s="12"/>
      <c r="M339" s="12"/>
      <c r="N339" s="12"/>
      <c r="O339" s="12"/>
      <c r="P339" s="12"/>
    </row>
    <row r="340">
      <c r="A340" s="12"/>
      <c r="D340" s="95"/>
      <c r="E340" s="14"/>
      <c r="H340" s="12"/>
      <c r="I340" s="12"/>
      <c r="J340" s="12"/>
      <c r="K340" s="12"/>
      <c r="L340" s="12"/>
      <c r="M340" s="12"/>
      <c r="N340" s="12"/>
      <c r="O340" s="12"/>
      <c r="P340" s="12"/>
    </row>
    <row r="341">
      <c r="A341" s="12"/>
      <c r="D341" s="95"/>
      <c r="E341" s="14"/>
      <c r="H341" s="12"/>
      <c r="I341" s="12"/>
      <c r="J341" s="12"/>
      <c r="K341" s="12"/>
      <c r="L341" s="12"/>
      <c r="M341" s="12"/>
      <c r="N341" s="12"/>
      <c r="O341" s="12"/>
      <c r="P341" s="12"/>
    </row>
    <row r="342">
      <c r="A342" s="12"/>
      <c r="D342" s="95"/>
      <c r="E342" s="14"/>
      <c r="H342" s="12"/>
      <c r="I342" s="12"/>
      <c r="J342" s="12"/>
      <c r="K342" s="12"/>
      <c r="L342" s="12"/>
      <c r="M342" s="12"/>
      <c r="N342" s="12"/>
      <c r="O342" s="12"/>
      <c r="P342" s="12"/>
    </row>
    <row r="343">
      <c r="A343" s="12"/>
      <c r="D343" s="95"/>
      <c r="E343" s="14"/>
      <c r="H343" s="12"/>
      <c r="I343" s="12"/>
      <c r="J343" s="12"/>
      <c r="K343" s="12"/>
      <c r="L343" s="12"/>
      <c r="M343" s="12"/>
      <c r="N343" s="12"/>
      <c r="O343" s="12"/>
      <c r="P343" s="12"/>
    </row>
    <row r="344">
      <c r="A344" s="12"/>
      <c r="D344" s="95"/>
      <c r="E344" s="14"/>
      <c r="H344" s="12"/>
      <c r="I344" s="12"/>
      <c r="J344" s="12"/>
      <c r="K344" s="12"/>
      <c r="L344" s="12"/>
      <c r="M344" s="12"/>
      <c r="N344" s="12"/>
      <c r="O344" s="12"/>
      <c r="P344" s="12"/>
    </row>
    <row r="345">
      <c r="A345" s="12"/>
      <c r="D345" s="95"/>
      <c r="E345" s="14"/>
      <c r="H345" s="12"/>
      <c r="I345" s="12"/>
      <c r="J345" s="12"/>
      <c r="K345" s="12"/>
      <c r="L345" s="12"/>
      <c r="M345" s="12"/>
      <c r="N345" s="12"/>
      <c r="O345" s="12"/>
      <c r="P345" s="12"/>
    </row>
    <row r="346">
      <c r="A346" s="12"/>
      <c r="D346" s="95"/>
      <c r="E346" s="14"/>
      <c r="H346" s="12"/>
      <c r="I346" s="12"/>
      <c r="J346" s="12"/>
      <c r="K346" s="12"/>
      <c r="L346" s="12"/>
      <c r="M346" s="12"/>
      <c r="N346" s="12"/>
      <c r="O346" s="12"/>
      <c r="P346" s="12"/>
    </row>
    <row r="347">
      <c r="A347" s="12"/>
      <c r="D347" s="95"/>
      <c r="E347" s="14"/>
      <c r="H347" s="12"/>
      <c r="I347" s="12"/>
      <c r="J347" s="12"/>
      <c r="K347" s="12"/>
      <c r="L347" s="12"/>
      <c r="M347" s="12"/>
      <c r="N347" s="12"/>
      <c r="O347" s="12"/>
      <c r="P347" s="12"/>
    </row>
    <row r="348">
      <c r="A348" s="12"/>
      <c r="D348" s="95"/>
      <c r="E348" s="14"/>
      <c r="H348" s="12"/>
      <c r="I348" s="12"/>
      <c r="J348" s="12"/>
      <c r="K348" s="12"/>
      <c r="L348" s="12"/>
      <c r="M348" s="12"/>
      <c r="N348" s="12"/>
      <c r="O348" s="12"/>
      <c r="P348" s="12"/>
    </row>
    <row r="349">
      <c r="A349" s="12"/>
      <c r="D349" s="95"/>
      <c r="E349" s="14"/>
      <c r="H349" s="12"/>
      <c r="I349" s="12"/>
      <c r="J349" s="12"/>
      <c r="K349" s="12"/>
      <c r="L349" s="12"/>
      <c r="M349" s="12"/>
      <c r="N349" s="12"/>
      <c r="O349" s="12"/>
      <c r="P349" s="12"/>
    </row>
    <row r="350">
      <c r="A350" s="12"/>
      <c r="D350" s="95"/>
      <c r="E350" s="14"/>
      <c r="H350" s="12"/>
      <c r="I350" s="12"/>
      <c r="J350" s="12"/>
      <c r="K350" s="12"/>
      <c r="L350" s="12"/>
      <c r="M350" s="12"/>
      <c r="N350" s="12"/>
      <c r="O350" s="12"/>
      <c r="P350" s="12"/>
    </row>
    <row r="351">
      <c r="A351" s="12"/>
      <c r="D351" s="95"/>
      <c r="E351" s="14"/>
      <c r="H351" s="12"/>
      <c r="I351" s="12"/>
      <c r="J351" s="12"/>
      <c r="K351" s="12"/>
      <c r="L351" s="12"/>
      <c r="M351" s="12"/>
      <c r="N351" s="12"/>
      <c r="O351" s="12"/>
      <c r="P351" s="12"/>
    </row>
    <row r="352">
      <c r="A352" s="12"/>
      <c r="D352" s="95"/>
      <c r="E352" s="14"/>
      <c r="H352" s="12"/>
      <c r="I352" s="12"/>
      <c r="J352" s="12"/>
      <c r="K352" s="12"/>
      <c r="L352" s="12"/>
      <c r="M352" s="12"/>
      <c r="N352" s="12"/>
      <c r="O352" s="12"/>
      <c r="P352" s="12"/>
    </row>
    <row r="353">
      <c r="A353" s="12"/>
      <c r="D353" s="95"/>
      <c r="E353" s="14"/>
      <c r="H353" s="12"/>
      <c r="I353" s="12"/>
      <c r="J353" s="12"/>
      <c r="K353" s="12"/>
      <c r="L353" s="12"/>
      <c r="M353" s="12"/>
      <c r="N353" s="12"/>
      <c r="O353" s="12"/>
      <c r="P353" s="12"/>
    </row>
    <row r="354">
      <c r="A354" s="12"/>
      <c r="D354" s="95"/>
      <c r="E354" s="14"/>
      <c r="H354" s="12"/>
      <c r="I354" s="12"/>
      <c r="J354" s="12"/>
      <c r="K354" s="12"/>
      <c r="L354" s="12"/>
      <c r="M354" s="12"/>
      <c r="N354" s="12"/>
      <c r="O354" s="12"/>
      <c r="P354" s="12"/>
    </row>
    <row r="355">
      <c r="A355" s="12"/>
      <c r="D355" s="95"/>
      <c r="E355" s="14"/>
      <c r="H355" s="12"/>
      <c r="I355" s="12"/>
      <c r="J355" s="12"/>
      <c r="K355" s="12"/>
      <c r="L355" s="12"/>
      <c r="M355" s="12"/>
      <c r="N355" s="12"/>
      <c r="O355" s="12"/>
      <c r="P355" s="12"/>
    </row>
    <row r="356">
      <c r="A356" s="12"/>
      <c r="D356" s="95"/>
      <c r="E356" s="14"/>
      <c r="H356" s="12"/>
      <c r="I356" s="12"/>
      <c r="J356" s="12"/>
      <c r="K356" s="12"/>
      <c r="L356" s="12"/>
      <c r="M356" s="12"/>
      <c r="N356" s="12"/>
      <c r="O356" s="12"/>
      <c r="P356" s="12"/>
    </row>
    <row r="357">
      <c r="A357" s="12"/>
      <c r="D357" s="95"/>
      <c r="E357" s="14"/>
      <c r="H357" s="12"/>
      <c r="I357" s="12"/>
      <c r="J357" s="12"/>
      <c r="K357" s="12"/>
      <c r="L357" s="12"/>
      <c r="M357" s="12"/>
      <c r="N357" s="12"/>
      <c r="O357" s="12"/>
      <c r="P357" s="12"/>
    </row>
    <row r="358">
      <c r="A358" s="12"/>
      <c r="D358" s="95"/>
      <c r="E358" s="14"/>
      <c r="H358" s="12"/>
      <c r="I358" s="12"/>
      <c r="J358" s="12"/>
      <c r="K358" s="12"/>
      <c r="L358" s="12"/>
      <c r="M358" s="12"/>
      <c r="N358" s="12"/>
      <c r="O358" s="12"/>
      <c r="P358" s="12"/>
    </row>
    <row r="359">
      <c r="A359" s="12"/>
      <c r="D359" s="95"/>
      <c r="E359" s="14"/>
      <c r="H359" s="12"/>
      <c r="I359" s="12"/>
      <c r="J359" s="12"/>
      <c r="K359" s="12"/>
      <c r="L359" s="12"/>
      <c r="M359" s="12"/>
      <c r="N359" s="12"/>
      <c r="O359" s="12"/>
      <c r="P359" s="12"/>
    </row>
    <row r="360">
      <c r="A360" s="12"/>
      <c r="D360" s="95"/>
      <c r="E360" s="14"/>
      <c r="H360" s="12"/>
      <c r="I360" s="12"/>
      <c r="J360" s="12"/>
      <c r="K360" s="12"/>
      <c r="L360" s="12"/>
      <c r="M360" s="12"/>
      <c r="N360" s="12"/>
      <c r="O360" s="12"/>
      <c r="P360" s="12"/>
    </row>
    <row r="361">
      <c r="A361" s="12"/>
      <c r="D361" s="95"/>
      <c r="E361" s="14"/>
      <c r="H361" s="12"/>
      <c r="I361" s="12"/>
      <c r="J361" s="12"/>
      <c r="K361" s="12"/>
      <c r="L361" s="12"/>
      <c r="M361" s="12"/>
      <c r="N361" s="12"/>
      <c r="O361" s="12"/>
      <c r="P361" s="12"/>
    </row>
    <row r="362">
      <c r="A362" s="12"/>
      <c r="D362" s="95"/>
      <c r="E362" s="14"/>
      <c r="H362" s="12"/>
      <c r="I362" s="12"/>
      <c r="J362" s="12"/>
      <c r="K362" s="12"/>
      <c r="L362" s="12"/>
      <c r="M362" s="12"/>
      <c r="N362" s="12"/>
      <c r="O362" s="12"/>
      <c r="P362" s="12"/>
    </row>
    <row r="363">
      <c r="A363" s="12"/>
      <c r="D363" s="95"/>
      <c r="E363" s="14"/>
      <c r="H363" s="12"/>
      <c r="I363" s="12"/>
      <c r="J363" s="12"/>
      <c r="K363" s="12"/>
      <c r="L363" s="12"/>
      <c r="M363" s="12"/>
      <c r="N363" s="12"/>
      <c r="O363" s="12"/>
      <c r="P363" s="12"/>
    </row>
    <row r="364">
      <c r="A364" s="12"/>
      <c r="D364" s="95"/>
      <c r="E364" s="14"/>
      <c r="H364" s="12"/>
      <c r="I364" s="12"/>
      <c r="J364" s="12"/>
      <c r="K364" s="12"/>
      <c r="L364" s="12"/>
      <c r="M364" s="12"/>
      <c r="N364" s="12"/>
      <c r="O364" s="12"/>
      <c r="P364" s="12"/>
    </row>
    <row r="365">
      <c r="A365" s="12"/>
      <c r="D365" s="95"/>
      <c r="E365" s="14"/>
      <c r="H365" s="12"/>
      <c r="I365" s="12"/>
      <c r="J365" s="12"/>
      <c r="K365" s="12"/>
      <c r="L365" s="12"/>
      <c r="M365" s="12"/>
      <c r="N365" s="12"/>
      <c r="O365" s="12"/>
      <c r="P365" s="12"/>
    </row>
    <row r="366">
      <c r="A366" s="12"/>
      <c r="D366" s="95"/>
      <c r="E366" s="14"/>
      <c r="H366" s="12"/>
      <c r="I366" s="12"/>
      <c r="J366" s="12"/>
      <c r="K366" s="12"/>
      <c r="L366" s="12"/>
      <c r="M366" s="12"/>
      <c r="N366" s="12"/>
      <c r="O366" s="12"/>
      <c r="P366" s="12"/>
    </row>
    <row r="367">
      <c r="A367" s="12"/>
      <c r="D367" s="95"/>
      <c r="E367" s="14"/>
      <c r="H367" s="12"/>
      <c r="I367" s="12"/>
      <c r="J367" s="12"/>
      <c r="K367" s="12"/>
      <c r="L367" s="12"/>
      <c r="M367" s="12"/>
      <c r="N367" s="12"/>
      <c r="O367" s="12"/>
      <c r="P367" s="12"/>
    </row>
    <row r="368">
      <c r="A368" s="12"/>
      <c r="D368" s="95"/>
      <c r="E368" s="14"/>
      <c r="H368" s="12"/>
      <c r="I368" s="12"/>
      <c r="J368" s="12"/>
      <c r="K368" s="12"/>
      <c r="L368" s="12"/>
      <c r="M368" s="12"/>
      <c r="N368" s="12"/>
      <c r="O368" s="12"/>
      <c r="P368" s="12"/>
    </row>
    <row r="369">
      <c r="A369" s="12"/>
      <c r="D369" s="95"/>
      <c r="E369" s="14"/>
      <c r="H369" s="12"/>
      <c r="I369" s="12"/>
      <c r="J369" s="12"/>
      <c r="K369" s="12"/>
      <c r="L369" s="12"/>
      <c r="M369" s="12"/>
      <c r="N369" s="12"/>
      <c r="O369" s="12"/>
      <c r="P369" s="12"/>
    </row>
    <row r="370">
      <c r="A370" s="12"/>
      <c r="D370" s="95"/>
      <c r="E370" s="14"/>
      <c r="H370" s="12"/>
      <c r="I370" s="12"/>
      <c r="J370" s="12"/>
      <c r="K370" s="12"/>
      <c r="L370" s="12"/>
      <c r="M370" s="12"/>
      <c r="N370" s="12"/>
      <c r="O370" s="12"/>
      <c r="P370" s="12"/>
    </row>
    <row r="371">
      <c r="A371" s="12"/>
      <c r="D371" s="95"/>
      <c r="E371" s="14"/>
      <c r="H371" s="12"/>
      <c r="I371" s="12"/>
      <c r="J371" s="12"/>
      <c r="K371" s="12"/>
      <c r="L371" s="12"/>
      <c r="M371" s="12"/>
      <c r="N371" s="12"/>
      <c r="O371" s="12"/>
      <c r="P371" s="12"/>
    </row>
    <row r="372">
      <c r="A372" s="12"/>
      <c r="D372" s="95"/>
      <c r="E372" s="14"/>
      <c r="H372" s="12"/>
      <c r="I372" s="12"/>
      <c r="J372" s="12"/>
      <c r="K372" s="12"/>
      <c r="L372" s="12"/>
      <c r="M372" s="12"/>
      <c r="N372" s="12"/>
      <c r="O372" s="12"/>
      <c r="P372" s="12"/>
    </row>
    <row r="373">
      <c r="A373" s="12"/>
      <c r="D373" s="95"/>
      <c r="E373" s="14"/>
      <c r="H373" s="12"/>
      <c r="I373" s="12"/>
      <c r="J373" s="12"/>
      <c r="K373" s="12"/>
      <c r="L373" s="12"/>
      <c r="M373" s="12"/>
      <c r="N373" s="12"/>
      <c r="O373" s="12"/>
      <c r="P373" s="12"/>
    </row>
    <row r="374">
      <c r="A374" s="12"/>
      <c r="D374" s="95"/>
      <c r="E374" s="14"/>
      <c r="H374" s="12"/>
      <c r="I374" s="12"/>
      <c r="J374" s="12"/>
      <c r="K374" s="12"/>
      <c r="L374" s="12"/>
      <c r="M374" s="12"/>
      <c r="N374" s="12"/>
      <c r="O374" s="12"/>
      <c r="P374" s="12"/>
    </row>
    <row r="375">
      <c r="A375" s="12"/>
      <c r="D375" s="95"/>
      <c r="E375" s="14"/>
      <c r="H375" s="12"/>
      <c r="I375" s="12"/>
      <c r="J375" s="12"/>
      <c r="K375" s="12"/>
      <c r="L375" s="12"/>
      <c r="M375" s="12"/>
      <c r="N375" s="12"/>
      <c r="O375" s="12"/>
      <c r="P375" s="12"/>
    </row>
    <row r="376">
      <c r="A376" s="12"/>
      <c r="D376" s="95"/>
      <c r="E376" s="14"/>
      <c r="H376" s="12"/>
      <c r="I376" s="12"/>
      <c r="J376" s="12"/>
      <c r="K376" s="12"/>
      <c r="L376" s="12"/>
      <c r="M376" s="12"/>
      <c r="N376" s="12"/>
      <c r="O376" s="12"/>
      <c r="P376" s="12"/>
    </row>
    <row r="377">
      <c r="A377" s="12"/>
      <c r="D377" s="95"/>
      <c r="E377" s="14"/>
      <c r="H377" s="12"/>
      <c r="I377" s="12"/>
      <c r="J377" s="12"/>
      <c r="K377" s="12"/>
      <c r="L377" s="12"/>
      <c r="M377" s="12"/>
      <c r="N377" s="12"/>
      <c r="O377" s="12"/>
      <c r="P377" s="12"/>
    </row>
    <row r="378">
      <c r="A378" s="12"/>
      <c r="D378" s="95"/>
      <c r="E378" s="14"/>
      <c r="H378" s="12"/>
      <c r="I378" s="12"/>
      <c r="J378" s="12"/>
      <c r="K378" s="12"/>
      <c r="L378" s="12"/>
      <c r="M378" s="12"/>
      <c r="N378" s="12"/>
      <c r="O378" s="12"/>
      <c r="P378" s="12"/>
    </row>
    <row r="379">
      <c r="A379" s="12"/>
      <c r="D379" s="95"/>
      <c r="E379" s="14"/>
      <c r="H379" s="12"/>
      <c r="I379" s="12"/>
      <c r="J379" s="12"/>
      <c r="K379" s="12"/>
      <c r="L379" s="12"/>
      <c r="M379" s="12"/>
      <c r="N379" s="12"/>
      <c r="O379" s="12"/>
      <c r="P379" s="12"/>
    </row>
    <row r="380">
      <c r="A380" s="12"/>
      <c r="D380" s="95"/>
      <c r="E380" s="14"/>
      <c r="H380" s="12"/>
      <c r="I380" s="12"/>
      <c r="J380" s="12"/>
      <c r="K380" s="12"/>
      <c r="L380" s="12"/>
      <c r="M380" s="12"/>
      <c r="N380" s="12"/>
      <c r="O380" s="12"/>
      <c r="P380" s="12"/>
    </row>
    <row r="381">
      <c r="A381" s="12"/>
      <c r="D381" s="95"/>
      <c r="E381" s="14"/>
      <c r="H381" s="12"/>
      <c r="I381" s="12"/>
      <c r="J381" s="12"/>
      <c r="K381" s="12"/>
      <c r="L381" s="12"/>
      <c r="M381" s="12"/>
      <c r="N381" s="12"/>
      <c r="O381" s="12"/>
      <c r="P381" s="12"/>
    </row>
    <row r="382">
      <c r="A382" s="12"/>
      <c r="D382" s="95"/>
      <c r="E382" s="14"/>
      <c r="H382" s="12"/>
      <c r="I382" s="12"/>
      <c r="J382" s="12"/>
      <c r="K382" s="12"/>
      <c r="L382" s="12"/>
      <c r="M382" s="12"/>
      <c r="N382" s="12"/>
      <c r="O382" s="12"/>
      <c r="P382" s="12"/>
    </row>
    <row r="383">
      <c r="A383" s="12"/>
      <c r="D383" s="95"/>
      <c r="E383" s="14"/>
      <c r="H383" s="12"/>
      <c r="I383" s="12"/>
      <c r="J383" s="12"/>
      <c r="K383" s="12"/>
      <c r="L383" s="12"/>
      <c r="M383" s="12"/>
      <c r="N383" s="12"/>
      <c r="O383" s="12"/>
      <c r="P383" s="12"/>
    </row>
    <row r="384">
      <c r="A384" s="12"/>
      <c r="D384" s="95"/>
      <c r="E384" s="14"/>
      <c r="H384" s="12"/>
      <c r="I384" s="12"/>
      <c r="J384" s="12"/>
      <c r="K384" s="12"/>
      <c r="L384" s="12"/>
      <c r="M384" s="12"/>
      <c r="N384" s="12"/>
      <c r="O384" s="12"/>
      <c r="P384" s="12"/>
    </row>
    <row r="385">
      <c r="A385" s="12"/>
      <c r="D385" s="95"/>
      <c r="E385" s="14"/>
      <c r="H385" s="12"/>
      <c r="I385" s="12"/>
      <c r="J385" s="12"/>
      <c r="K385" s="12"/>
      <c r="L385" s="12"/>
      <c r="M385" s="12"/>
      <c r="N385" s="12"/>
      <c r="O385" s="12"/>
      <c r="P385" s="12"/>
    </row>
    <row r="386">
      <c r="A386" s="12"/>
      <c r="D386" s="95"/>
      <c r="E386" s="14"/>
      <c r="H386" s="12"/>
      <c r="I386" s="12"/>
      <c r="J386" s="12"/>
      <c r="K386" s="12"/>
      <c r="L386" s="12"/>
      <c r="M386" s="12"/>
      <c r="N386" s="12"/>
      <c r="O386" s="12"/>
      <c r="P386" s="12"/>
    </row>
    <row r="387">
      <c r="A387" s="12"/>
      <c r="D387" s="95"/>
      <c r="E387" s="14"/>
      <c r="H387" s="12"/>
      <c r="I387" s="12"/>
      <c r="J387" s="12"/>
      <c r="K387" s="12"/>
      <c r="L387" s="12"/>
      <c r="M387" s="12"/>
      <c r="N387" s="12"/>
      <c r="O387" s="12"/>
      <c r="P387" s="12"/>
    </row>
    <row r="388">
      <c r="A388" s="12"/>
      <c r="D388" s="95"/>
      <c r="E388" s="14"/>
      <c r="H388" s="12"/>
      <c r="I388" s="12"/>
      <c r="J388" s="12"/>
      <c r="K388" s="12"/>
      <c r="L388" s="12"/>
      <c r="M388" s="12"/>
      <c r="N388" s="12"/>
      <c r="O388" s="12"/>
      <c r="P388" s="12"/>
    </row>
    <row r="389">
      <c r="A389" s="12"/>
      <c r="D389" s="95"/>
      <c r="E389" s="14"/>
      <c r="H389" s="12"/>
      <c r="I389" s="12"/>
      <c r="J389" s="12"/>
      <c r="K389" s="12"/>
      <c r="L389" s="12"/>
      <c r="M389" s="12"/>
      <c r="N389" s="12"/>
      <c r="O389" s="12"/>
      <c r="P389" s="12"/>
    </row>
    <row r="390">
      <c r="A390" s="12"/>
      <c r="D390" s="95"/>
      <c r="E390" s="14"/>
      <c r="H390" s="12"/>
      <c r="I390" s="12"/>
      <c r="J390" s="12"/>
      <c r="K390" s="12"/>
      <c r="L390" s="12"/>
      <c r="M390" s="12"/>
      <c r="N390" s="12"/>
      <c r="O390" s="12"/>
      <c r="P390" s="12"/>
    </row>
    <row r="391">
      <c r="A391" s="12"/>
      <c r="D391" s="95"/>
      <c r="E391" s="14"/>
      <c r="H391" s="12"/>
      <c r="I391" s="12"/>
      <c r="J391" s="12"/>
      <c r="K391" s="12"/>
      <c r="L391" s="12"/>
      <c r="M391" s="12"/>
      <c r="N391" s="12"/>
      <c r="O391" s="12"/>
      <c r="P391" s="12"/>
    </row>
    <row r="392">
      <c r="A392" s="12"/>
      <c r="D392" s="95"/>
      <c r="E392" s="14"/>
      <c r="H392" s="12"/>
      <c r="I392" s="12"/>
      <c r="J392" s="12"/>
      <c r="K392" s="12"/>
      <c r="L392" s="12"/>
      <c r="M392" s="12"/>
      <c r="N392" s="12"/>
      <c r="O392" s="12"/>
      <c r="P392" s="12"/>
    </row>
    <row r="393">
      <c r="A393" s="12"/>
      <c r="D393" s="95"/>
      <c r="E393" s="14"/>
      <c r="H393" s="12"/>
      <c r="I393" s="12"/>
      <c r="J393" s="12"/>
      <c r="K393" s="12"/>
      <c r="L393" s="12"/>
      <c r="M393" s="12"/>
      <c r="N393" s="12"/>
      <c r="O393" s="12"/>
      <c r="P393" s="12"/>
    </row>
    <row r="394">
      <c r="A394" s="12"/>
      <c r="D394" s="95"/>
      <c r="E394" s="14"/>
      <c r="H394" s="12"/>
      <c r="I394" s="12"/>
      <c r="J394" s="12"/>
      <c r="K394" s="12"/>
      <c r="L394" s="12"/>
      <c r="M394" s="12"/>
      <c r="N394" s="12"/>
      <c r="O394" s="12"/>
      <c r="P394" s="12"/>
    </row>
    <row r="395">
      <c r="A395" s="12"/>
      <c r="D395" s="95"/>
      <c r="E395" s="14"/>
      <c r="H395" s="12"/>
      <c r="I395" s="12"/>
      <c r="J395" s="12"/>
      <c r="K395" s="12"/>
      <c r="L395" s="12"/>
      <c r="M395" s="12"/>
      <c r="N395" s="12"/>
      <c r="O395" s="12"/>
      <c r="P395" s="12"/>
    </row>
    <row r="396">
      <c r="A396" s="12"/>
      <c r="D396" s="95"/>
      <c r="E396" s="14"/>
      <c r="H396" s="12"/>
      <c r="I396" s="12"/>
      <c r="J396" s="12"/>
      <c r="K396" s="12"/>
      <c r="L396" s="12"/>
      <c r="M396" s="12"/>
      <c r="N396" s="12"/>
      <c r="O396" s="12"/>
      <c r="P396" s="12"/>
    </row>
    <row r="397">
      <c r="A397" s="12"/>
      <c r="D397" s="95"/>
      <c r="E397" s="14"/>
      <c r="H397" s="12"/>
      <c r="I397" s="12"/>
      <c r="J397" s="12"/>
      <c r="K397" s="12"/>
      <c r="L397" s="12"/>
      <c r="M397" s="12"/>
      <c r="N397" s="12"/>
      <c r="O397" s="12"/>
      <c r="P397" s="12"/>
    </row>
    <row r="398">
      <c r="A398" s="12"/>
      <c r="D398" s="95"/>
      <c r="E398" s="14"/>
      <c r="H398" s="12"/>
      <c r="I398" s="12"/>
      <c r="J398" s="12"/>
      <c r="K398" s="12"/>
      <c r="L398" s="12"/>
      <c r="M398" s="12"/>
      <c r="N398" s="12"/>
      <c r="O398" s="12"/>
      <c r="P398" s="12"/>
    </row>
    <row r="399">
      <c r="A399" s="12"/>
      <c r="D399" s="95"/>
      <c r="E399" s="14"/>
      <c r="H399" s="12"/>
      <c r="I399" s="12"/>
      <c r="J399" s="12"/>
      <c r="K399" s="12"/>
      <c r="L399" s="12"/>
      <c r="M399" s="12"/>
      <c r="N399" s="12"/>
      <c r="O399" s="12"/>
      <c r="P399" s="12"/>
    </row>
    <row r="400">
      <c r="A400" s="12"/>
      <c r="D400" s="95"/>
      <c r="E400" s="14"/>
      <c r="H400" s="12"/>
      <c r="I400" s="12"/>
      <c r="J400" s="12"/>
      <c r="K400" s="12"/>
      <c r="L400" s="12"/>
      <c r="M400" s="12"/>
      <c r="N400" s="12"/>
      <c r="O400" s="12"/>
      <c r="P400" s="12"/>
    </row>
    <row r="401">
      <c r="A401" s="12"/>
      <c r="D401" s="95"/>
      <c r="E401" s="14"/>
      <c r="H401" s="12"/>
      <c r="I401" s="12"/>
      <c r="J401" s="12"/>
      <c r="K401" s="12"/>
      <c r="L401" s="12"/>
      <c r="M401" s="12"/>
      <c r="N401" s="12"/>
      <c r="O401" s="12"/>
      <c r="P401" s="12"/>
    </row>
    <row r="402">
      <c r="A402" s="12"/>
      <c r="D402" s="95"/>
      <c r="E402" s="14"/>
      <c r="H402" s="12"/>
      <c r="I402" s="12"/>
      <c r="J402" s="12"/>
      <c r="K402" s="12"/>
      <c r="L402" s="12"/>
      <c r="M402" s="12"/>
      <c r="N402" s="12"/>
      <c r="O402" s="12"/>
      <c r="P402" s="12"/>
    </row>
    <row r="403">
      <c r="A403" s="12"/>
      <c r="D403" s="95"/>
      <c r="E403" s="14"/>
      <c r="H403" s="12"/>
      <c r="I403" s="12"/>
      <c r="J403" s="12"/>
      <c r="K403" s="12"/>
      <c r="L403" s="12"/>
      <c r="M403" s="12"/>
      <c r="N403" s="12"/>
      <c r="O403" s="12"/>
      <c r="P403" s="12"/>
    </row>
    <row r="404">
      <c r="A404" s="12"/>
      <c r="D404" s="95"/>
      <c r="E404" s="14"/>
      <c r="H404" s="12"/>
      <c r="I404" s="12"/>
      <c r="J404" s="12"/>
      <c r="K404" s="12"/>
      <c r="L404" s="12"/>
      <c r="M404" s="12"/>
      <c r="N404" s="12"/>
      <c r="O404" s="12"/>
      <c r="P404" s="12"/>
    </row>
    <row r="405">
      <c r="A405" s="12"/>
      <c r="D405" s="95"/>
      <c r="E405" s="14"/>
      <c r="H405" s="12"/>
      <c r="I405" s="12"/>
      <c r="J405" s="12"/>
      <c r="K405" s="12"/>
      <c r="L405" s="12"/>
      <c r="M405" s="12"/>
      <c r="N405" s="12"/>
      <c r="O405" s="12"/>
      <c r="P405" s="12"/>
    </row>
    <row r="406">
      <c r="A406" s="12"/>
      <c r="D406" s="95"/>
      <c r="E406" s="14"/>
      <c r="H406" s="12"/>
      <c r="I406" s="12"/>
      <c r="J406" s="12"/>
      <c r="K406" s="12"/>
      <c r="L406" s="12"/>
      <c r="M406" s="12"/>
      <c r="N406" s="12"/>
      <c r="O406" s="12"/>
      <c r="P406" s="12"/>
    </row>
    <row r="407">
      <c r="A407" s="12"/>
      <c r="D407" s="95"/>
      <c r="E407" s="14"/>
      <c r="H407" s="12"/>
      <c r="I407" s="12"/>
      <c r="J407" s="12"/>
      <c r="K407" s="12"/>
      <c r="L407" s="12"/>
      <c r="M407" s="12"/>
      <c r="N407" s="12"/>
      <c r="O407" s="12"/>
      <c r="P407" s="12"/>
    </row>
    <row r="408">
      <c r="A408" s="12"/>
      <c r="D408" s="95"/>
      <c r="E408" s="14"/>
      <c r="H408" s="12"/>
      <c r="I408" s="12"/>
      <c r="J408" s="12"/>
      <c r="K408" s="12"/>
      <c r="L408" s="12"/>
      <c r="M408" s="12"/>
      <c r="N408" s="12"/>
      <c r="O408" s="12"/>
      <c r="P408" s="12"/>
    </row>
    <row r="409">
      <c r="A409" s="12"/>
      <c r="D409" s="95"/>
      <c r="E409" s="14"/>
      <c r="H409" s="12"/>
      <c r="I409" s="12"/>
      <c r="J409" s="12"/>
      <c r="K409" s="12"/>
      <c r="L409" s="12"/>
      <c r="M409" s="12"/>
      <c r="N409" s="12"/>
      <c r="O409" s="12"/>
      <c r="P409" s="12"/>
    </row>
    <row r="410">
      <c r="A410" s="12"/>
      <c r="D410" s="95"/>
      <c r="E410" s="14"/>
      <c r="H410" s="12"/>
      <c r="I410" s="12"/>
      <c r="J410" s="12"/>
      <c r="K410" s="12"/>
      <c r="L410" s="12"/>
      <c r="M410" s="12"/>
      <c r="N410" s="12"/>
      <c r="O410" s="12"/>
      <c r="P410" s="12"/>
    </row>
    <row r="411">
      <c r="A411" s="12"/>
      <c r="D411" s="95"/>
      <c r="E411" s="14"/>
      <c r="H411" s="12"/>
      <c r="I411" s="12"/>
      <c r="J411" s="12"/>
      <c r="K411" s="12"/>
      <c r="L411" s="12"/>
      <c r="M411" s="12"/>
      <c r="N411" s="12"/>
      <c r="O411" s="12"/>
      <c r="P411" s="12"/>
    </row>
    <row r="412">
      <c r="A412" s="12"/>
      <c r="D412" s="95"/>
      <c r="E412" s="14"/>
      <c r="H412" s="12"/>
      <c r="I412" s="12"/>
      <c r="J412" s="12"/>
      <c r="K412" s="12"/>
      <c r="L412" s="12"/>
      <c r="M412" s="12"/>
      <c r="N412" s="12"/>
      <c r="O412" s="12"/>
      <c r="P412" s="12"/>
    </row>
    <row r="413">
      <c r="A413" s="12"/>
      <c r="D413" s="95"/>
      <c r="E413" s="14"/>
      <c r="H413" s="12"/>
      <c r="I413" s="12"/>
      <c r="J413" s="12"/>
      <c r="K413" s="12"/>
      <c r="L413" s="12"/>
      <c r="M413" s="12"/>
      <c r="N413" s="12"/>
      <c r="O413" s="12"/>
      <c r="P413" s="12"/>
    </row>
    <row r="414">
      <c r="A414" s="12"/>
      <c r="D414" s="95"/>
      <c r="E414" s="14"/>
      <c r="H414" s="12"/>
      <c r="I414" s="12"/>
      <c r="J414" s="12"/>
      <c r="K414" s="12"/>
      <c r="L414" s="12"/>
      <c r="M414" s="12"/>
      <c r="N414" s="12"/>
      <c r="O414" s="12"/>
      <c r="P414" s="12"/>
    </row>
    <row r="415">
      <c r="A415" s="12"/>
      <c r="D415" s="95"/>
      <c r="E415" s="14"/>
      <c r="H415" s="12"/>
      <c r="I415" s="12"/>
      <c r="J415" s="12"/>
      <c r="K415" s="12"/>
      <c r="L415" s="12"/>
      <c r="M415" s="12"/>
      <c r="N415" s="12"/>
      <c r="O415" s="12"/>
      <c r="P415" s="12"/>
    </row>
    <row r="416">
      <c r="A416" s="12"/>
      <c r="D416" s="95"/>
      <c r="E416" s="14"/>
      <c r="H416" s="12"/>
      <c r="I416" s="12"/>
      <c r="J416" s="12"/>
      <c r="K416" s="12"/>
      <c r="L416" s="12"/>
      <c r="M416" s="12"/>
      <c r="N416" s="12"/>
      <c r="O416" s="12"/>
      <c r="P416" s="12"/>
    </row>
    <row r="417">
      <c r="A417" s="12"/>
      <c r="D417" s="95"/>
      <c r="E417" s="14"/>
      <c r="H417" s="12"/>
      <c r="I417" s="12"/>
      <c r="J417" s="12"/>
      <c r="K417" s="12"/>
      <c r="L417" s="12"/>
      <c r="M417" s="12"/>
      <c r="N417" s="12"/>
      <c r="O417" s="12"/>
      <c r="P417" s="12"/>
    </row>
    <row r="418">
      <c r="A418" s="12"/>
      <c r="D418" s="95"/>
      <c r="E418" s="14"/>
      <c r="H418" s="12"/>
      <c r="I418" s="12"/>
      <c r="J418" s="12"/>
      <c r="K418" s="12"/>
      <c r="L418" s="12"/>
      <c r="M418" s="12"/>
      <c r="N418" s="12"/>
      <c r="O418" s="12"/>
      <c r="P418" s="12"/>
    </row>
    <row r="419">
      <c r="A419" s="12"/>
      <c r="D419" s="95"/>
      <c r="E419" s="14"/>
      <c r="H419" s="12"/>
      <c r="I419" s="12"/>
      <c r="J419" s="12"/>
      <c r="K419" s="12"/>
      <c r="L419" s="12"/>
      <c r="M419" s="12"/>
      <c r="N419" s="12"/>
      <c r="O419" s="12"/>
      <c r="P419" s="12"/>
    </row>
    <row r="420">
      <c r="A420" s="12"/>
      <c r="D420" s="95"/>
      <c r="E420" s="14"/>
      <c r="H420" s="12"/>
      <c r="I420" s="12"/>
      <c r="J420" s="12"/>
      <c r="K420" s="12"/>
      <c r="L420" s="12"/>
      <c r="M420" s="12"/>
      <c r="N420" s="12"/>
      <c r="O420" s="12"/>
      <c r="P420" s="12"/>
    </row>
    <row r="421">
      <c r="A421" s="12"/>
      <c r="D421" s="95"/>
      <c r="E421" s="14"/>
      <c r="H421" s="12"/>
      <c r="I421" s="12"/>
      <c r="J421" s="12"/>
      <c r="K421" s="12"/>
      <c r="L421" s="12"/>
      <c r="M421" s="12"/>
      <c r="N421" s="12"/>
      <c r="O421" s="12"/>
      <c r="P421" s="12"/>
    </row>
    <row r="422">
      <c r="A422" s="12"/>
      <c r="D422" s="95"/>
      <c r="E422" s="14"/>
      <c r="H422" s="12"/>
      <c r="I422" s="12"/>
      <c r="J422" s="12"/>
      <c r="K422" s="12"/>
      <c r="L422" s="12"/>
      <c r="M422" s="12"/>
      <c r="N422" s="12"/>
      <c r="O422" s="12"/>
      <c r="P422" s="12"/>
    </row>
    <row r="423">
      <c r="A423" s="12"/>
      <c r="D423" s="95"/>
      <c r="E423" s="14"/>
      <c r="H423" s="12"/>
      <c r="I423" s="12"/>
      <c r="J423" s="12"/>
      <c r="K423" s="12"/>
      <c r="L423" s="12"/>
      <c r="M423" s="12"/>
      <c r="N423" s="12"/>
      <c r="O423" s="12"/>
      <c r="P423" s="12"/>
    </row>
    <row r="424">
      <c r="A424" s="12"/>
      <c r="D424" s="95"/>
      <c r="E424" s="14"/>
      <c r="H424" s="12"/>
      <c r="I424" s="12"/>
      <c r="J424" s="12"/>
      <c r="K424" s="12"/>
      <c r="L424" s="12"/>
      <c r="M424" s="12"/>
      <c r="N424" s="12"/>
      <c r="O424" s="12"/>
      <c r="P424" s="12"/>
    </row>
    <row r="425">
      <c r="A425" s="12"/>
      <c r="D425" s="95"/>
      <c r="E425" s="14"/>
      <c r="H425" s="12"/>
      <c r="I425" s="12"/>
      <c r="J425" s="12"/>
      <c r="K425" s="12"/>
      <c r="L425" s="12"/>
      <c r="M425" s="12"/>
      <c r="N425" s="12"/>
      <c r="O425" s="12"/>
      <c r="P425" s="12"/>
    </row>
    <row r="426">
      <c r="A426" s="12"/>
      <c r="D426" s="95"/>
      <c r="E426" s="14"/>
      <c r="H426" s="12"/>
      <c r="I426" s="12"/>
      <c r="J426" s="12"/>
      <c r="K426" s="12"/>
      <c r="L426" s="12"/>
      <c r="M426" s="12"/>
      <c r="N426" s="12"/>
      <c r="O426" s="12"/>
      <c r="P426" s="12"/>
    </row>
    <row r="427">
      <c r="A427" s="12"/>
      <c r="D427" s="95"/>
      <c r="E427" s="14"/>
      <c r="H427" s="12"/>
      <c r="I427" s="12"/>
      <c r="J427" s="12"/>
      <c r="K427" s="12"/>
      <c r="L427" s="12"/>
      <c r="M427" s="12"/>
      <c r="N427" s="12"/>
      <c r="O427" s="12"/>
      <c r="P427" s="12"/>
    </row>
    <row r="428">
      <c r="A428" s="12"/>
      <c r="D428" s="95"/>
      <c r="E428" s="14"/>
      <c r="H428" s="12"/>
      <c r="I428" s="12"/>
      <c r="J428" s="12"/>
      <c r="K428" s="12"/>
      <c r="L428" s="12"/>
      <c r="M428" s="12"/>
      <c r="N428" s="12"/>
      <c r="O428" s="12"/>
      <c r="P428" s="12"/>
    </row>
    <row r="429">
      <c r="A429" s="12"/>
      <c r="D429" s="95"/>
      <c r="E429" s="14"/>
      <c r="H429" s="12"/>
      <c r="I429" s="12"/>
      <c r="J429" s="12"/>
      <c r="K429" s="12"/>
      <c r="L429" s="12"/>
      <c r="M429" s="12"/>
      <c r="N429" s="12"/>
      <c r="O429" s="12"/>
      <c r="P429" s="12"/>
    </row>
    <row r="430">
      <c r="A430" s="12"/>
      <c r="D430" s="95"/>
      <c r="E430" s="14"/>
      <c r="H430" s="12"/>
      <c r="I430" s="12"/>
      <c r="J430" s="12"/>
      <c r="K430" s="12"/>
      <c r="L430" s="12"/>
      <c r="M430" s="12"/>
      <c r="N430" s="12"/>
      <c r="O430" s="12"/>
      <c r="P430" s="12"/>
    </row>
    <row r="431">
      <c r="A431" s="12"/>
      <c r="D431" s="95"/>
      <c r="E431" s="14"/>
      <c r="H431" s="12"/>
      <c r="I431" s="12"/>
      <c r="J431" s="12"/>
      <c r="K431" s="12"/>
      <c r="L431" s="12"/>
      <c r="M431" s="12"/>
      <c r="N431" s="12"/>
      <c r="O431" s="12"/>
      <c r="P431" s="12"/>
    </row>
    <row r="432">
      <c r="A432" s="12"/>
      <c r="D432" s="95"/>
      <c r="E432" s="14"/>
      <c r="H432" s="12"/>
      <c r="I432" s="12"/>
      <c r="J432" s="12"/>
      <c r="K432" s="12"/>
      <c r="L432" s="12"/>
      <c r="M432" s="12"/>
      <c r="N432" s="12"/>
      <c r="O432" s="12"/>
      <c r="P432" s="12"/>
    </row>
    <row r="433">
      <c r="A433" s="12"/>
      <c r="D433" s="95"/>
      <c r="E433" s="14"/>
      <c r="H433" s="12"/>
      <c r="I433" s="12"/>
      <c r="J433" s="12"/>
      <c r="K433" s="12"/>
      <c r="L433" s="12"/>
      <c r="M433" s="12"/>
      <c r="N433" s="12"/>
      <c r="O433" s="12"/>
      <c r="P433" s="12"/>
    </row>
    <row r="434">
      <c r="A434" s="12"/>
      <c r="D434" s="95"/>
      <c r="E434" s="14"/>
      <c r="H434" s="12"/>
      <c r="I434" s="12"/>
      <c r="J434" s="12"/>
      <c r="K434" s="12"/>
      <c r="L434" s="12"/>
      <c r="M434" s="12"/>
      <c r="N434" s="12"/>
      <c r="O434" s="12"/>
      <c r="P434" s="12"/>
    </row>
    <row r="435">
      <c r="A435" s="12"/>
      <c r="D435" s="95"/>
      <c r="E435" s="14"/>
      <c r="H435" s="12"/>
      <c r="I435" s="12"/>
      <c r="J435" s="12"/>
      <c r="K435" s="12"/>
      <c r="L435" s="12"/>
      <c r="M435" s="12"/>
      <c r="N435" s="12"/>
      <c r="O435" s="12"/>
      <c r="P435" s="12"/>
    </row>
    <row r="436">
      <c r="A436" s="12"/>
      <c r="D436" s="95"/>
      <c r="E436" s="14"/>
      <c r="H436" s="12"/>
      <c r="I436" s="12"/>
      <c r="J436" s="12"/>
      <c r="K436" s="12"/>
      <c r="L436" s="12"/>
      <c r="M436" s="12"/>
      <c r="N436" s="12"/>
      <c r="O436" s="12"/>
      <c r="P436" s="12"/>
    </row>
    <row r="437">
      <c r="A437" s="12"/>
      <c r="D437" s="95"/>
      <c r="E437" s="14"/>
      <c r="H437" s="12"/>
      <c r="I437" s="12"/>
      <c r="J437" s="12"/>
      <c r="K437" s="12"/>
      <c r="L437" s="12"/>
      <c r="M437" s="12"/>
      <c r="N437" s="12"/>
      <c r="O437" s="12"/>
      <c r="P437" s="12"/>
    </row>
    <row r="438">
      <c r="A438" s="12"/>
      <c r="D438" s="95"/>
      <c r="E438" s="14"/>
      <c r="H438" s="12"/>
      <c r="I438" s="12"/>
      <c r="J438" s="12"/>
      <c r="K438" s="12"/>
      <c r="L438" s="12"/>
      <c r="M438" s="12"/>
      <c r="N438" s="12"/>
      <c r="O438" s="12"/>
      <c r="P438" s="12"/>
    </row>
    <row r="439">
      <c r="A439" s="12"/>
      <c r="D439" s="95"/>
      <c r="E439" s="14"/>
      <c r="H439" s="12"/>
      <c r="I439" s="12"/>
      <c r="J439" s="12"/>
      <c r="K439" s="12"/>
      <c r="L439" s="12"/>
      <c r="M439" s="12"/>
      <c r="N439" s="12"/>
      <c r="O439" s="12"/>
      <c r="P439" s="12"/>
    </row>
    <row r="440">
      <c r="A440" s="12"/>
      <c r="D440" s="95"/>
      <c r="E440" s="14"/>
      <c r="H440" s="12"/>
      <c r="I440" s="12"/>
      <c r="J440" s="12"/>
      <c r="K440" s="12"/>
      <c r="L440" s="12"/>
      <c r="M440" s="12"/>
      <c r="N440" s="12"/>
      <c r="O440" s="12"/>
      <c r="P440" s="12"/>
    </row>
    <row r="441">
      <c r="A441" s="12"/>
      <c r="D441" s="95"/>
      <c r="E441" s="14"/>
      <c r="H441" s="12"/>
      <c r="I441" s="12"/>
      <c r="J441" s="12"/>
      <c r="K441" s="12"/>
      <c r="L441" s="12"/>
      <c r="M441" s="12"/>
      <c r="N441" s="12"/>
      <c r="O441" s="12"/>
      <c r="P441" s="12"/>
    </row>
    <row r="442">
      <c r="A442" s="12"/>
      <c r="D442" s="95"/>
      <c r="E442" s="14"/>
      <c r="H442" s="12"/>
      <c r="I442" s="12"/>
      <c r="J442" s="12"/>
      <c r="K442" s="12"/>
      <c r="L442" s="12"/>
      <c r="M442" s="12"/>
      <c r="N442" s="12"/>
      <c r="O442" s="12"/>
      <c r="P442" s="12"/>
    </row>
    <row r="443">
      <c r="A443" s="12"/>
      <c r="D443" s="95"/>
      <c r="E443" s="14"/>
      <c r="H443" s="12"/>
      <c r="I443" s="12"/>
      <c r="J443" s="12"/>
      <c r="K443" s="12"/>
      <c r="L443" s="12"/>
      <c r="M443" s="12"/>
      <c r="N443" s="12"/>
      <c r="O443" s="12"/>
      <c r="P443" s="12"/>
    </row>
    <row r="444">
      <c r="A444" s="12"/>
      <c r="D444" s="95"/>
      <c r="E444" s="14"/>
      <c r="H444" s="12"/>
      <c r="I444" s="12"/>
      <c r="J444" s="12"/>
      <c r="K444" s="12"/>
      <c r="L444" s="12"/>
      <c r="M444" s="12"/>
      <c r="N444" s="12"/>
      <c r="O444" s="12"/>
      <c r="P444" s="12"/>
    </row>
    <row r="445">
      <c r="A445" s="12"/>
      <c r="D445" s="95"/>
      <c r="E445" s="14"/>
      <c r="H445" s="12"/>
      <c r="I445" s="12"/>
      <c r="J445" s="12"/>
      <c r="K445" s="12"/>
      <c r="L445" s="12"/>
      <c r="M445" s="12"/>
      <c r="N445" s="12"/>
      <c r="O445" s="12"/>
      <c r="P445" s="12"/>
    </row>
    <row r="446">
      <c r="A446" s="12"/>
      <c r="D446" s="95"/>
      <c r="E446" s="14"/>
      <c r="H446" s="12"/>
      <c r="I446" s="12"/>
      <c r="J446" s="12"/>
      <c r="K446" s="12"/>
      <c r="L446" s="12"/>
      <c r="M446" s="12"/>
      <c r="N446" s="12"/>
      <c r="O446" s="12"/>
      <c r="P446" s="12"/>
    </row>
    <row r="447">
      <c r="A447" s="12"/>
      <c r="D447" s="95"/>
      <c r="E447" s="14"/>
      <c r="H447" s="12"/>
      <c r="I447" s="12"/>
      <c r="J447" s="12"/>
      <c r="K447" s="12"/>
      <c r="L447" s="12"/>
      <c r="M447" s="12"/>
      <c r="N447" s="12"/>
      <c r="O447" s="12"/>
      <c r="P447" s="12"/>
    </row>
    <row r="448">
      <c r="A448" s="12"/>
      <c r="D448" s="95"/>
      <c r="E448" s="14"/>
      <c r="H448" s="12"/>
      <c r="I448" s="12"/>
      <c r="J448" s="12"/>
      <c r="K448" s="12"/>
      <c r="L448" s="12"/>
      <c r="M448" s="12"/>
      <c r="N448" s="12"/>
      <c r="O448" s="12"/>
      <c r="P448" s="12"/>
    </row>
    <row r="449">
      <c r="A449" s="12"/>
      <c r="D449" s="95"/>
      <c r="E449" s="14"/>
      <c r="H449" s="12"/>
      <c r="I449" s="12"/>
      <c r="J449" s="12"/>
      <c r="K449" s="12"/>
      <c r="L449" s="12"/>
      <c r="M449" s="12"/>
      <c r="N449" s="12"/>
      <c r="O449" s="12"/>
      <c r="P449" s="12"/>
    </row>
    <row r="450">
      <c r="A450" s="12"/>
      <c r="D450" s="95"/>
      <c r="E450" s="14"/>
      <c r="H450" s="12"/>
      <c r="I450" s="12"/>
      <c r="J450" s="12"/>
      <c r="K450" s="12"/>
      <c r="L450" s="12"/>
      <c r="M450" s="12"/>
      <c r="N450" s="12"/>
      <c r="O450" s="12"/>
      <c r="P450" s="12"/>
    </row>
    <row r="451">
      <c r="A451" s="12"/>
      <c r="D451" s="95"/>
      <c r="E451" s="14"/>
      <c r="H451" s="12"/>
      <c r="I451" s="12"/>
      <c r="J451" s="12"/>
      <c r="K451" s="12"/>
      <c r="L451" s="12"/>
      <c r="M451" s="12"/>
      <c r="N451" s="12"/>
      <c r="O451" s="12"/>
      <c r="P451" s="12"/>
    </row>
    <row r="452">
      <c r="A452" s="12"/>
      <c r="D452" s="95"/>
      <c r="E452" s="14"/>
      <c r="H452" s="12"/>
      <c r="I452" s="12"/>
      <c r="J452" s="12"/>
      <c r="K452" s="12"/>
      <c r="L452" s="12"/>
      <c r="M452" s="12"/>
      <c r="N452" s="12"/>
      <c r="O452" s="12"/>
      <c r="P452" s="12"/>
    </row>
    <row r="453">
      <c r="A453" s="12"/>
      <c r="D453" s="95"/>
      <c r="E453" s="14"/>
      <c r="H453" s="12"/>
      <c r="I453" s="12"/>
      <c r="J453" s="12"/>
      <c r="K453" s="12"/>
      <c r="L453" s="12"/>
      <c r="M453" s="12"/>
      <c r="N453" s="12"/>
      <c r="O453" s="12"/>
      <c r="P453" s="12"/>
    </row>
    <row r="454">
      <c r="A454" s="12"/>
      <c r="D454" s="95"/>
      <c r="E454" s="14"/>
      <c r="H454" s="12"/>
      <c r="I454" s="12"/>
      <c r="J454" s="12"/>
      <c r="K454" s="12"/>
      <c r="L454" s="12"/>
      <c r="M454" s="12"/>
      <c r="N454" s="12"/>
      <c r="O454" s="12"/>
      <c r="P454" s="12"/>
    </row>
    <row r="455">
      <c r="A455" s="12"/>
      <c r="D455" s="95"/>
      <c r="E455" s="14"/>
      <c r="H455" s="12"/>
      <c r="I455" s="12"/>
      <c r="J455" s="12"/>
      <c r="K455" s="12"/>
      <c r="L455" s="12"/>
      <c r="M455" s="12"/>
      <c r="N455" s="12"/>
      <c r="O455" s="12"/>
      <c r="P455" s="12"/>
    </row>
    <row r="456">
      <c r="A456" s="12"/>
      <c r="D456" s="95"/>
      <c r="E456" s="14"/>
      <c r="H456" s="12"/>
      <c r="I456" s="12"/>
      <c r="J456" s="12"/>
      <c r="K456" s="12"/>
      <c r="L456" s="12"/>
      <c r="M456" s="12"/>
      <c r="N456" s="12"/>
      <c r="O456" s="12"/>
      <c r="P456" s="12"/>
    </row>
    <row r="457">
      <c r="A457" s="12"/>
      <c r="D457" s="95"/>
      <c r="E457" s="14"/>
      <c r="H457" s="12"/>
      <c r="I457" s="12"/>
      <c r="J457" s="12"/>
      <c r="K457" s="12"/>
      <c r="L457" s="12"/>
      <c r="M457" s="12"/>
      <c r="N457" s="12"/>
      <c r="O457" s="12"/>
      <c r="P457" s="12"/>
    </row>
    <row r="458">
      <c r="A458" s="12"/>
      <c r="D458" s="95"/>
      <c r="E458" s="14"/>
      <c r="H458" s="12"/>
      <c r="I458" s="12"/>
      <c r="J458" s="12"/>
      <c r="K458" s="12"/>
      <c r="L458" s="12"/>
      <c r="M458" s="12"/>
      <c r="N458" s="12"/>
      <c r="O458" s="12"/>
      <c r="P458" s="12"/>
    </row>
    <row r="459">
      <c r="A459" s="12"/>
      <c r="D459" s="95"/>
      <c r="E459" s="14"/>
      <c r="H459" s="12"/>
      <c r="I459" s="12"/>
      <c r="J459" s="12"/>
      <c r="K459" s="12"/>
      <c r="L459" s="12"/>
      <c r="M459" s="12"/>
      <c r="N459" s="12"/>
      <c r="O459" s="12"/>
      <c r="P459" s="12"/>
    </row>
    <row r="460">
      <c r="A460" s="12"/>
      <c r="D460" s="95"/>
      <c r="E460" s="14"/>
      <c r="H460" s="12"/>
      <c r="I460" s="12"/>
      <c r="J460" s="12"/>
      <c r="K460" s="12"/>
      <c r="L460" s="12"/>
      <c r="M460" s="12"/>
      <c r="N460" s="12"/>
      <c r="O460" s="12"/>
      <c r="P460" s="12"/>
    </row>
    <row r="461">
      <c r="A461" s="12"/>
      <c r="D461" s="95"/>
      <c r="E461" s="14"/>
      <c r="H461" s="12"/>
      <c r="I461" s="12"/>
      <c r="J461" s="12"/>
      <c r="K461" s="12"/>
      <c r="L461" s="12"/>
      <c r="M461" s="12"/>
      <c r="N461" s="12"/>
      <c r="O461" s="12"/>
      <c r="P461" s="12"/>
    </row>
    <row r="462">
      <c r="A462" s="12"/>
      <c r="D462" s="95"/>
      <c r="E462" s="14"/>
      <c r="H462" s="12"/>
      <c r="I462" s="12"/>
      <c r="J462" s="12"/>
      <c r="K462" s="12"/>
      <c r="L462" s="12"/>
      <c r="M462" s="12"/>
      <c r="N462" s="12"/>
      <c r="O462" s="12"/>
      <c r="P462" s="12"/>
    </row>
    <row r="463">
      <c r="A463" s="12"/>
      <c r="D463" s="95"/>
      <c r="E463" s="14"/>
      <c r="H463" s="12"/>
      <c r="I463" s="12"/>
      <c r="J463" s="12"/>
      <c r="K463" s="12"/>
      <c r="L463" s="12"/>
      <c r="M463" s="12"/>
      <c r="N463" s="12"/>
      <c r="O463" s="12"/>
      <c r="P463" s="12"/>
    </row>
    <row r="464">
      <c r="A464" s="12"/>
      <c r="D464" s="95"/>
      <c r="E464" s="14"/>
      <c r="H464" s="12"/>
      <c r="I464" s="12"/>
      <c r="J464" s="12"/>
      <c r="K464" s="12"/>
      <c r="L464" s="12"/>
      <c r="M464" s="12"/>
      <c r="N464" s="12"/>
      <c r="O464" s="12"/>
      <c r="P464" s="12"/>
    </row>
    <row r="465">
      <c r="A465" s="12"/>
      <c r="D465" s="95"/>
      <c r="E465" s="14"/>
      <c r="H465" s="12"/>
      <c r="I465" s="12"/>
      <c r="J465" s="12"/>
      <c r="K465" s="12"/>
      <c r="L465" s="12"/>
      <c r="M465" s="12"/>
      <c r="N465" s="12"/>
      <c r="O465" s="12"/>
      <c r="P465" s="12"/>
    </row>
    <row r="466">
      <c r="A466" s="12"/>
      <c r="D466" s="95"/>
      <c r="E466" s="14"/>
      <c r="H466" s="12"/>
      <c r="I466" s="12"/>
      <c r="J466" s="12"/>
      <c r="K466" s="12"/>
      <c r="L466" s="12"/>
      <c r="M466" s="12"/>
      <c r="N466" s="12"/>
      <c r="O466" s="12"/>
      <c r="P466" s="12"/>
    </row>
    <row r="467">
      <c r="A467" s="12"/>
      <c r="D467" s="95"/>
      <c r="E467" s="14"/>
      <c r="H467" s="12"/>
      <c r="I467" s="12"/>
      <c r="J467" s="12"/>
      <c r="K467" s="12"/>
      <c r="L467" s="12"/>
      <c r="M467" s="12"/>
      <c r="N467" s="12"/>
      <c r="O467" s="12"/>
      <c r="P467" s="12"/>
    </row>
    <row r="468">
      <c r="A468" s="12"/>
      <c r="D468" s="95"/>
      <c r="E468" s="14"/>
      <c r="H468" s="12"/>
      <c r="I468" s="12"/>
      <c r="J468" s="12"/>
      <c r="K468" s="12"/>
      <c r="L468" s="12"/>
      <c r="M468" s="12"/>
      <c r="N468" s="12"/>
      <c r="O468" s="12"/>
      <c r="P468" s="12"/>
    </row>
    <row r="469">
      <c r="A469" s="12"/>
      <c r="D469" s="95"/>
      <c r="E469" s="14"/>
      <c r="H469" s="12"/>
      <c r="I469" s="12"/>
      <c r="J469" s="12"/>
      <c r="K469" s="12"/>
      <c r="L469" s="12"/>
      <c r="M469" s="12"/>
      <c r="N469" s="12"/>
      <c r="O469" s="12"/>
      <c r="P469" s="12"/>
    </row>
    <row r="470">
      <c r="A470" s="12"/>
      <c r="D470" s="95"/>
      <c r="E470" s="14"/>
      <c r="H470" s="12"/>
      <c r="I470" s="12"/>
      <c r="J470" s="12"/>
      <c r="K470" s="12"/>
      <c r="L470" s="12"/>
      <c r="M470" s="12"/>
      <c r="N470" s="12"/>
      <c r="O470" s="12"/>
      <c r="P470" s="12"/>
    </row>
    <row r="471">
      <c r="A471" s="12"/>
      <c r="D471" s="95"/>
      <c r="E471" s="14"/>
      <c r="H471" s="12"/>
      <c r="I471" s="12"/>
      <c r="J471" s="12"/>
      <c r="K471" s="12"/>
      <c r="L471" s="12"/>
      <c r="M471" s="12"/>
      <c r="N471" s="12"/>
      <c r="O471" s="12"/>
      <c r="P471" s="12"/>
    </row>
    <row r="472">
      <c r="A472" s="12"/>
      <c r="D472" s="95"/>
      <c r="E472" s="14"/>
      <c r="H472" s="12"/>
      <c r="I472" s="12"/>
      <c r="J472" s="12"/>
      <c r="K472" s="12"/>
      <c r="L472" s="12"/>
      <c r="M472" s="12"/>
      <c r="N472" s="12"/>
      <c r="O472" s="12"/>
      <c r="P472" s="12"/>
    </row>
    <row r="473">
      <c r="A473" s="12"/>
      <c r="D473" s="95"/>
      <c r="E473" s="14"/>
      <c r="H473" s="12"/>
      <c r="I473" s="12"/>
      <c r="J473" s="12"/>
      <c r="K473" s="12"/>
      <c r="L473" s="12"/>
      <c r="M473" s="12"/>
      <c r="N473" s="12"/>
      <c r="O473" s="12"/>
      <c r="P473" s="12"/>
    </row>
    <row r="474">
      <c r="A474" s="12"/>
      <c r="D474" s="95"/>
      <c r="E474" s="14"/>
      <c r="H474" s="12"/>
      <c r="I474" s="12"/>
      <c r="J474" s="12"/>
      <c r="K474" s="12"/>
      <c r="L474" s="12"/>
      <c r="M474" s="12"/>
      <c r="N474" s="12"/>
      <c r="O474" s="12"/>
      <c r="P474" s="12"/>
    </row>
    <row r="475">
      <c r="A475" s="12"/>
      <c r="D475" s="95"/>
      <c r="E475" s="14"/>
      <c r="H475" s="12"/>
      <c r="I475" s="12"/>
      <c r="J475" s="12"/>
      <c r="K475" s="12"/>
      <c r="L475" s="12"/>
      <c r="M475" s="12"/>
      <c r="N475" s="12"/>
      <c r="O475" s="12"/>
      <c r="P475" s="12"/>
    </row>
    <row r="476">
      <c r="A476" s="12"/>
      <c r="D476" s="95"/>
      <c r="E476" s="14"/>
      <c r="H476" s="12"/>
      <c r="I476" s="12"/>
      <c r="J476" s="12"/>
      <c r="K476" s="12"/>
      <c r="L476" s="12"/>
      <c r="M476" s="12"/>
      <c r="N476" s="12"/>
      <c r="O476" s="12"/>
      <c r="P476" s="12"/>
    </row>
    <row r="477">
      <c r="A477" s="12"/>
      <c r="D477" s="95"/>
      <c r="E477" s="14"/>
      <c r="H477" s="12"/>
      <c r="I477" s="12"/>
      <c r="J477" s="12"/>
      <c r="K477" s="12"/>
      <c r="L477" s="12"/>
      <c r="M477" s="12"/>
      <c r="N477" s="12"/>
      <c r="O477" s="12"/>
      <c r="P477" s="12"/>
    </row>
    <row r="478">
      <c r="A478" s="12"/>
      <c r="D478" s="95"/>
      <c r="E478" s="14"/>
      <c r="H478" s="12"/>
      <c r="I478" s="12"/>
      <c r="J478" s="12"/>
      <c r="K478" s="12"/>
      <c r="L478" s="12"/>
      <c r="M478" s="12"/>
      <c r="N478" s="12"/>
      <c r="O478" s="12"/>
      <c r="P478" s="12"/>
    </row>
    <row r="479">
      <c r="A479" s="12"/>
      <c r="D479" s="95"/>
      <c r="E479" s="14"/>
      <c r="H479" s="12"/>
      <c r="I479" s="12"/>
      <c r="J479" s="12"/>
      <c r="K479" s="12"/>
      <c r="L479" s="12"/>
      <c r="M479" s="12"/>
      <c r="N479" s="12"/>
      <c r="O479" s="12"/>
      <c r="P479" s="12"/>
    </row>
    <row r="480">
      <c r="A480" s="12"/>
      <c r="D480" s="95"/>
      <c r="E480" s="14"/>
      <c r="H480" s="12"/>
      <c r="I480" s="12"/>
      <c r="J480" s="12"/>
      <c r="K480" s="12"/>
      <c r="L480" s="12"/>
      <c r="M480" s="12"/>
      <c r="N480" s="12"/>
      <c r="O480" s="12"/>
      <c r="P480" s="12"/>
    </row>
    <row r="481">
      <c r="A481" s="12"/>
      <c r="D481" s="95"/>
      <c r="E481" s="14"/>
      <c r="H481" s="12"/>
      <c r="I481" s="12"/>
      <c r="J481" s="12"/>
      <c r="K481" s="12"/>
      <c r="L481" s="12"/>
      <c r="M481" s="12"/>
      <c r="N481" s="12"/>
      <c r="O481" s="12"/>
      <c r="P481" s="12"/>
    </row>
    <row r="482">
      <c r="A482" s="12"/>
      <c r="D482" s="95"/>
      <c r="E482" s="14"/>
      <c r="H482" s="12"/>
      <c r="I482" s="12"/>
      <c r="J482" s="12"/>
      <c r="K482" s="12"/>
      <c r="L482" s="12"/>
      <c r="M482" s="12"/>
      <c r="N482" s="12"/>
      <c r="O482" s="12"/>
      <c r="P482" s="12"/>
    </row>
    <row r="483">
      <c r="A483" s="12"/>
      <c r="D483" s="95"/>
      <c r="E483" s="14"/>
      <c r="H483" s="12"/>
      <c r="I483" s="12"/>
      <c r="J483" s="12"/>
      <c r="K483" s="12"/>
      <c r="L483" s="12"/>
      <c r="M483" s="12"/>
      <c r="N483" s="12"/>
      <c r="O483" s="12"/>
      <c r="P483" s="12"/>
    </row>
    <row r="484">
      <c r="A484" s="12"/>
      <c r="D484" s="95"/>
      <c r="E484" s="14"/>
      <c r="H484" s="12"/>
      <c r="I484" s="12"/>
      <c r="J484" s="12"/>
      <c r="K484" s="12"/>
      <c r="L484" s="12"/>
      <c r="M484" s="12"/>
      <c r="N484" s="12"/>
      <c r="O484" s="12"/>
      <c r="P484" s="12"/>
    </row>
    <row r="485">
      <c r="A485" s="12"/>
      <c r="D485" s="95"/>
      <c r="E485" s="14"/>
      <c r="H485" s="12"/>
      <c r="I485" s="12"/>
      <c r="J485" s="12"/>
      <c r="K485" s="12"/>
      <c r="L485" s="12"/>
      <c r="M485" s="12"/>
      <c r="N485" s="12"/>
      <c r="O485" s="12"/>
      <c r="P485" s="12"/>
    </row>
    <row r="486">
      <c r="A486" s="12"/>
      <c r="D486" s="95"/>
      <c r="E486" s="14"/>
      <c r="H486" s="12"/>
      <c r="I486" s="12"/>
      <c r="J486" s="12"/>
      <c r="K486" s="12"/>
      <c r="L486" s="12"/>
      <c r="M486" s="12"/>
      <c r="N486" s="12"/>
      <c r="O486" s="12"/>
      <c r="P486" s="12"/>
    </row>
    <row r="487">
      <c r="A487" s="12"/>
      <c r="D487" s="95"/>
      <c r="E487" s="14"/>
      <c r="H487" s="12"/>
      <c r="I487" s="12"/>
      <c r="J487" s="12"/>
      <c r="K487" s="12"/>
      <c r="L487" s="12"/>
      <c r="M487" s="12"/>
      <c r="N487" s="12"/>
      <c r="O487" s="12"/>
      <c r="P487" s="12"/>
    </row>
    <row r="488">
      <c r="A488" s="12"/>
      <c r="D488" s="95"/>
      <c r="E488" s="14"/>
      <c r="H488" s="12"/>
      <c r="I488" s="12"/>
      <c r="J488" s="12"/>
      <c r="K488" s="12"/>
      <c r="L488" s="12"/>
      <c r="M488" s="12"/>
      <c r="N488" s="12"/>
      <c r="O488" s="12"/>
      <c r="P488" s="12"/>
    </row>
    <row r="489">
      <c r="A489" s="12"/>
      <c r="D489" s="95"/>
      <c r="E489" s="14"/>
      <c r="H489" s="12"/>
      <c r="I489" s="12"/>
      <c r="J489" s="12"/>
      <c r="K489" s="12"/>
      <c r="L489" s="12"/>
      <c r="M489" s="12"/>
      <c r="N489" s="12"/>
      <c r="O489" s="12"/>
      <c r="P489" s="12"/>
    </row>
    <row r="490">
      <c r="A490" s="12"/>
      <c r="D490" s="95"/>
      <c r="E490" s="14"/>
      <c r="H490" s="12"/>
      <c r="I490" s="12"/>
      <c r="J490" s="12"/>
      <c r="K490" s="12"/>
      <c r="L490" s="12"/>
      <c r="M490" s="12"/>
      <c r="N490" s="12"/>
      <c r="O490" s="12"/>
      <c r="P490" s="12"/>
    </row>
    <row r="491">
      <c r="A491" s="12"/>
      <c r="D491" s="95"/>
      <c r="E491" s="14"/>
      <c r="H491" s="12"/>
      <c r="I491" s="12"/>
      <c r="J491" s="12"/>
      <c r="K491" s="12"/>
      <c r="L491" s="12"/>
      <c r="M491" s="12"/>
      <c r="N491" s="12"/>
      <c r="O491" s="12"/>
      <c r="P491" s="12"/>
    </row>
    <row r="492">
      <c r="A492" s="12"/>
      <c r="D492" s="95"/>
      <c r="E492" s="14"/>
      <c r="H492" s="12"/>
      <c r="I492" s="12"/>
      <c r="J492" s="12"/>
      <c r="K492" s="12"/>
      <c r="L492" s="12"/>
      <c r="M492" s="12"/>
      <c r="N492" s="12"/>
      <c r="O492" s="12"/>
      <c r="P492" s="12"/>
    </row>
    <row r="493">
      <c r="A493" s="12"/>
      <c r="D493" s="95"/>
      <c r="E493" s="14"/>
      <c r="H493" s="12"/>
      <c r="I493" s="12"/>
      <c r="J493" s="12"/>
      <c r="K493" s="12"/>
      <c r="L493" s="12"/>
      <c r="M493" s="12"/>
      <c r="N493" s="12"/>
      <c r="O493" s="12"/>
      <c r="P493" s="12"/>
    </row>
    <row r="494">
      <c r="A494" s="12"/>
      <c r="D494" s="95"/>
      <c r="E494" s="14"/>
      <c r="H494" s="12"/>
      <c r="I494" s="12"/>
      <c r="J494" s="12"/>
      <c r="K494" s="12"/>
      <c r="L494" s="12"/>
      <c r="M494" s="12"/>
      <c r="N494" s="12"/>
      <c r="O494" s="12"/>
      <c r="P494" s="12"/>
    </row>
    <row r="495">
      <c r="A495" s="12"/>
      <c r="D495" s="95"/>
      <c r="E495" s="14"/>
      <c r="H495" s="12"/>
      <c r="I495" s="12"/>
      <c r="J495" s="12"/>
      <c r="K495" s="12"/>
      <c r="L495" s="12"/>
      <c r="M495" s="12"/>
      <c r="N495" s="12"/>
      <c r="O495" s="12"/>
      <c r="P495" s="12"/>
    </row>
    <row r="496">
      <c r="A496" s="12"/>
      <c r="D496" s="95"/>
      <c r="E496" s="14"/>
      <c r="H496" s="12"/>
      <c r="I496" s="12"/>
      <c r="J496" s="12"/>
      <c r="K496" s="12"/>
      <c r="L496" s="12"/>
      <c r="M496" s="12"/>
      <c r="N496" s="12"/>
      <c r="O496" s="12"/>
      <c r="P496" s="12"/>
    </row>
    <row r="497">
      <c r="A497" s="12"/>
      <c r="D497" s="95"/>
      <c r="E497" s="14"/>
      <c r="H497" s="12"/>
      <c r="I497" s="12"/>
      <c r="J497" s="12"/>
      <c r="K497" s="12"/>
      <c r="L497" s="12"/>
      <c r="M497" s="12"/>
      <c r="N497" s="12"/>
      <c r="O497" s="12"/>
      <c r="P497" s="12"/>
    </row>
    <row r="498">
      <c r="A498" s="12"/>
      <c r="D498" s="95"/>
      <c r="E498" s="14"/>
      <c r="H498" s="12"/>
      <c r="I498" s="12"/>
      <c r="J498" s="12"/>
      <c r="K498" s="12"/>
      <c r="L498" s="12"/>
      <c r="M498" s="12"/>
      <c r="N498" s="12"/>
      <c r="O498" s="12"/>
      <c r="P498" s="12"/>
    </row>
    <row r="499">
      <c r="A499" s="12"/>
      <c r="D499" s="95"/>
      <c r="E499" s="14"/>
      <c r="H499" s="12"/>
      <c r="I499" s="12"/>
      <c r="J499" s="12"/>
      <c r="K499" s="12"/>
      <c r="L499" s="12"/>
      <c r="M499" s="12"/>
      <c r="N499" s="12"/>
      <c r="O499" s="12"/>
      <c r="P499" s="12"/>
    </row>
    <row r="500">
      <c r="A500" s="12"/>
      <c r="D500" s="95"/>
      <c r="E500" s="14"/>
      <c r="H500" s="12"/>
      <c r="I500" s="12"/>
      <c r="J500" s="12"/>
      <c r="K500" s="12"/>
      <c r="L500" s="12"/>
      <c r="M500" s="12"/>
      <c r="N500" s="12"/>
      <c r="O500" s="12"/>
      <c r="P500" s="12"/>
    </row>
    <row r="501">
      <c r="A501" s="12"/>
      <c r="D501" s="95"/>
      <c r="E501" s="14"/>
      <c r="H501" s="12"/>
      <c r="I501" s="12"/>
      <c r="J501" s="12"/>
      <c r="K501" s="12"/>
      <c r="L501" s="12"/>
      <c r="M501" s="12"/>
      <c r="N501" s="12"/>
      <c r="O501" s="12"/>
      <c r="P501" s="12"/>
    </row>
    <row r="502">
      <c r="A502" s="12"/>
      <c r="D502" s="95"/>
      <c r="E502" s="14"/>
      <c r="H502" s="12"/>
      <c r="I502" s="12"/>
      <c r="J502" s="12"/>
      <c r="K502" s="12"/>
      <c r="L502" s="12"/>
      <c r="M502" s="12"/>
      <c r="N502" s="12"/>
      <c r="O502" s="12"/>
      <c r="P502" s="12"/>
    </row>
    <row r="503">
      <c r="A503" s="12"/>
      <c r="D503" s="95"/>
      <c r="E503" s="14"/>
      <c r="H503" s="12"/>
      <c r="I503" s="12"/>
      <c r="J503" s="12"/>
      <c r="K503" s="12"/>
      <c r="L503" s="12"/>
      <c r="M503" s="12"/>
      <c r="N503" s="12"/>
      <c r="O503" s="12"/>
      <c r="P503" s="12"/>
    </row>
    <row r="504">
      <c r="A504" s="12"/>
      <c r="D504" s="95"/>
      <c r="E504" s="14"/>
      <c r="H504" s="12"/>
      <c r="I504" s="12"/>
      <c r="J504" s="12"/>
      <c r="K504" s="12"/>
      <c r="L504" s="12"/>
      <c r="M504" s="12"/>
      <c r="N504" s="12"/>
      <c r="O504" s="12"/>
      <c r="P504" s="12"/>
    </row>
    <row r="505">
      <c r="A505" s="12"/>
      <c r="D505" s="95"/>
      <c r="E505" s="14"/>
      <c r="H505" s="12"/>
      <c r="I505" s="12"/>
      <c r="J505" s="12"/>
      <c r="K505" s="12"/>
      <c r="L505" s="12"/>
      <c r="M505" s="12"/>
      <c r="N505" s="12"/>
      <c r="O505" s="12"/>
      <c r="P505" s="12"/>
    </row>
    <row r="506">
      <c r="A506" s="12"/>
      <c r="D506" s="95"/>
      <c r="E506" s="14"/>
      <c r="H506" s="12"/>
      <c r="I506" s="12"/>
      <c r="J506" s="12"/>
      <c r="K506" s="12"/>
      <c r="L506" s="12"/>
      <c r="M506" s="12"/>
      <c r="N506" s="12"/>
      <c r="O506" s="12"/>
      <c r="P506" s="12"/>
    </row>
    <row r="507">
      <c r="A507" s="12"/>
      <c r="D507" s="95"/>
      <c r="E507" s="14"/>
      <c r="H507" s="12"/>
      <c r="I507" s="12"/>
      <c r="J507" s="12"/>
      <c r="K507" s="12"/>
      <c r="L507" s="12"/>
      <c r="M507" s="12"/>
      <c r="N507" s="12"/>
      <c r="O507" s="12"/>
      <c r="P507" s="12"/>
    </row>
    <row r="508">
      <c r="A508" s="12"/>
      <c r="D508" s="95"/>
      <c r="E508" s="14"/>
      <c r="H508" s="12"/>
      <c r="I508" s="12"/>
      <c r="J508" s="12"/>
      <c r="K508" s="12"/>
      <c r="L508" s="12"/>
      <c r="M508" s="12"/>
      <c r="N508" s="12"/>
      <c r="O508" s="12"/>
      <c r="P508" s="12"/>
    </row>
    <row r="509">
      <c r="A509" s="12"/>
      <c r="D509" s="95"/>
      <c r="E509" s="14"/>
      <c r="H509" s="12"/>
      <c r="I509" s="12"/>
      <c r="J509" s="12"/>
      <c r="K509" s="12"/>
      <c r="L509" s="12"/>
      <c r="M509" s="12"/>
      <c r="N509" s="12"/>
      <c r="O509" s="12"/>
      <c r="P509" s="12"/>
    </row>
    <row r="510">
      <c r="A510" s="12"/>
      <c r="D510" s="95"/>
      <c r="E510" s="14"/>
      <c r="H510" s="12"/>
      <c r="I510" s="12"/>
      <c r="J510" s="12"/>
      <c r="K510" s="12"/>
      <c r="L510" s="12"/>
      <c r="M510" s="12"/>
      <c r="N510" s="12"/>
      <c r="O510" s="12"/>
      <c r="P510" s="12"/>
    </row>
    <row r="511">
      <c r="A511" s="12"/>
      <c r="D511" s="95"/>
      <c r="E511" s="14"/>
      <c r="H511" s="12"/>
      <c r="I511" s="12"/>
      <c r="J511" s="12"/>
      <c r="K511" s="12"/>
      <c r="L511" s="12"/>
      <c r="M511" s="12"/>
      <c r="N511" s="12"/>
      <c r="O511" s="12"/>
      <c r="P511" s="12"/>
    </row>
    <row r="512">
      <c r="A512" s="12"/>
      <c r="D512" s="95"/>
      <c r="E512" s="14"/>
      <c r="H512" s="12"/>
      <c r="I512" s="12"/>
      <c r="J512" s="12"/>
      <c r="K512" s="12"/>
      <c r="L512" s="12"/>
      <c r="M512" s="12"/>
      <c r="N512" s="12"/>
      <c r="O512" s="12"/>
      <c r="P512" s="12"/>
    </row>
    <row r="513">
      <c r="A513" s="12"/>
      <c r="D513" s="95"/>
      <c r="E513" s="14"/>
      <c r="H513" s="12"/>
      <c r="I513" s="12"/>
      <c r="J513" s="12"/>
      <c r="K513" s="12"/>
      <c r="L513" s="12"/>
      <c r="M513" s="12"/>
      <c r="N513" s="12"/>
      <c r="O513" s="12"/>
      <c r="P513" s="12"/>
    </row>
    <row r="514">
      <c r="A514" s="12"/>
      <c r="D514" s="95"/>
      <c r="E514" s="14"/>
      <c r="H514" s="12"/>
      <c r="I514" s="12"/>
      <c r="J514" s="12"/>
      <c r="K514" s="12"/>
      <c r="L514" s="12"/>
      <c r="M514" s="12"/>
      <c r="N514" s="12"/>
      <c r="O514" s="12"/>
      <c r="P514" s="12"/>
    </row>
    <row r="515">
      <c r="A515" s="12"/>
      <c r="D515" s="95"/>
      <c r="E515" s="14"/>
      <c r="H515" s="12"/>
      <c r="I515" s="12"/>
      <c r="J515" s="12"/>
      <c r="K515" s="12"/>
      <c r="L515" s="12"/>
      <c r="M515" s="12"/>
      <c r="N515" s="12"/>
      <c r="O515" s="12"/>
      <c r="P515" s="12"/>
    </row>
    <row r="516">
      <c r="A516" s="12"/>
      <c r="D516" s="95"/>
      <c r="E516" s="14"/>
      <c r="H516" s="12"/>
      <c r="I516" s="12"/>
      <c r="J516" s="12"/>
      <c r="K516" s="12"/>
      <c r="L516" s="12"/>
      <c r="M516" s="12"/>
      <c r="N516" s="12"/>
      <c r="O516" s="12"/>
      <c r="P516" s="12"/>
    </row>
    <row r="517">
      <c r="A517" s="12"/>
      <c r="D517" s="95"/>
      <c r="E517" s="14"/>
      <c r="H517" s="12"/>
      <c r="I517" s="12"/>
      <c r="J517" s="12"/>
      <c r="K517" s="12"/>
      <c r="L517" s="12"/>
      <c r="M517" s="12"/>
      <c r="N517" s="12"/>
      <c r="O517" s="12"/>
      <c r="P517" s="12"/>
    </row>
    <row r="518">
      <c r="A518" s="12"/>
      <c r="D518" s="95"/>
      <c r="E518" s="14"/>
      <c r="H518" s="12"/>
      <c r="I518" s="12"/>
      <c r="J518" s="12"/>
      <c r="K518" s="12"/>
      <c r="L518" s="12"/>
      <c r="M518" s="12"/>
      <c r="N518" s="12"/>
      <c r="O518" s="12"/>
      <c r="P518" s="12"/>
    </row>
    <row r="519">
      <c r="A519" s="12"/>
      <c r="D519" s="95"/>
      <c r="E519" s="14"/>
      <c r="H519" s="12"/>
      <c r="I519" s="12"/>
      <c r="J519" s="12"/>
      <c r="K519" s="12"/>
      <c r="L519" s="12"/>
      <c r="M519" s="12"/>
      <c r="N519" s="12"/>
      <c r="O519" s="12"/>
      <c r="P519" s="12"/>
    </row>
    <row r="520">
      <c r="A520" s="12"/>
      <c r="D520" s="95"/>
      <c r="E520" s="14"/>
      <c r="H520" s="12"/>
      <c r="I520" s="12"/>
      <c r="J520" s="12"/>
      <c r="K520" s="12"/>
      <c r="L520" s="12"/>
      <c r="M520" s="12"/>
      <c r="N520" s="12"/>
      <c r="O520" s="12"/>
      <c r="P520" s="12"/>
    </row>
    <row r="521">
      <c r="A521" s="12"/>
      <c r="D521" s="95"/>
      <c r="E521" s="14"/>
      <c r="H521" s="12"/>
      <c r="I521" s="12"/>
      <c r="J521" s="12"/>
      <c r="K521" s="12"/>
      <c r="L521" s="12"/>
      <c r="M521" s="12"/>
      <c r="N521" s="12"/>
      <c r="O521" s="12"/>
      <c r="P521" s="12"/>
    </row>
    <row r="522">
      <c r="A522" s="12"/>
      <c r="D522" s="95"/>
      <c r="E522" s="14"/>
      <c r="H522" s="12"/>
      <c r="I522" s="12"/>
      <c r="J522" s="12"/>
      <c r="K522" s="12"/>
      <c r="L522" s="12"/>
      <c r="M522" s="12"/>
      <c r="N522" s="12"/>
      <c r="O522" s="12"/>
      <c r="P522" s="12"/>
    </row>
    <row r="523">
      <c r="A523" s="12"/>
      <c r="D523" s="95"/>
      <c r="E523" s="14"/>
      <c r="H523" s="12"/>
      <c r="I523" s="12"/>
      <c r="J523" s="12"/>
      <c r="K523" s="12"/>
      <c r="L523" s="12"/>
      <c r="M523" s="12"/>
      <c r="N523" s="12"/>
      <c r="O523" s="12"/>
      <c r="P523" s="12"/>
    </row>
    <row r="524">
      <c r="A524" s="12"/>
      <c r="D524" s="95"/>
      <c r="E524" s="14"/>
      <c r="H524" s="12"/>
      <c r="I524" s="12"/>
      <c r="J524" s="12"/>
      <c r="K524" s="12"/>
      <c r="L524" s="12"/>
      <c r="M524" s="12"/>
      <c r="N524" s="12"/>
      <c r="O524" s="12"/>
      <c r="P524" s="12"/>
    </row>
    <row r="525">
      <c r="A525" s="12"/>
      <c r="D525" s="95"/>
      <c r="E525" s="14"/>
      <c r="H525" s="12"/>
      <c r="I525" s="12"/>
      <c r="J525" s="12"/>
      <c r="K525" s="12"/>
      <c r="L525" s="12"/>
      <c r="M525" s="12"/>
      <c r="N525" s="12"/>
      <c r="O525" s="12"/>
      <c r="P525" s="12"/>
    </row>
    <row r="526">
      <c r="A526" s="12"/>
      <c r="D526" s="95"/>
      <c r="E526" s="14"/>
      <c r="H526" s="12"/>
      <c r="I526" s="12"/>
      <c r="J526" s="12"/>
      <c r="K526" s="12"/>
      <c r="L526" s="12"/>
      <c r="M526" s="12"/>
      <c r="N526" s="12"/>
      <c r="O526" s="12"/>
      <c r="P526" s="12"/>
    </row>
    <row r="527">
      <c r="A527" s="12"/>
      <c r="D527" s="95"/>
      <c r="E527" s="14"/>
      <c r="H527" s="12"/>
      <c r="I527" s="12"/>
      <c r="J527" s="12"/>
      <c r="K527" s="12"/>
      <c r="L527" s="12"/>
      <c r="M527" s="12"/>
      <c r="N527" s="12"/>
      <c r="O527" s="12"/>
      <c r="P527" s="12"/>
    </row>
    <row r="528">
      <c r="A528" s="12"/>
      <c r="D528" s="95"/>
      <c r="E528" s="14"/>
      <c r="H528" s="12"/>
      <c r="I528" s="12"/>
      <c r="J528" s="12"/>
      <c r="K528" s="12"/>
      <c r="L528" s="12"/>
      <c r="M528" s="12"/>
      <c r="N528" s="12"/>
      <c r="O528" s="12"/>
      <c r="P528" s="12"/>
    </row>
    <row r="529">
      <c r="A529" s="12"/>
      <c r="D529" s="95"/>
      <c r="E529" s="14"/>
      <c r="H529" s="12"/>
      <c r="I529" s="12"/>
      <c r="J529" s="12"/>
      <c r="K529" s="12"/>
      <c r="L529" s="12"/>
      <c r="M529" s="12"/>
      <c r="N529" s="12"/>
      <c r="O529" s="12"/>
      <c r="P529" s="12"/>
    </row>
    <row r="530">
      <c r="A530" s="12"/>
      <c r="D530" s="95"/>
      <c r="E530" s="14"/>
      <c r="H530" s="12"/>
      <c r="I530" s="12"/>
      <c r="J530" s="12"/>
      <c r="K530" s="12"/>
      <c r="L530" s="12"/>
      <c r="M530" s="12"/>
      <c r="N530" s="12"/>
      <c r="O530" s="12"/>
      <c r="P530" s="12"/>
    </row>
    <row r="531">
      <c r="A531" s="12"/>
      <c r="D531" s="95"/>
      <c r="E531" s="14"/>
      <c r="H531" s="12"/>
      <c r="I531" s="12"/>
      <c r="J531" s="12"/>
      <c r="K531" s="12"/>
      <c r="L531" s="12"/>
      <c r="M531" s="12"/>
      <c r="N531" s="12"/>
      <c r="O531" s="12"/>
      <c r="P531" s="12"/>
    </row>
    <row r="532">
      <c r="A532" s="12"/>
      <c r="D532" s="95"/>
      <c r="E532" s="14"/>
      <c r="H532" s="12"/>
      <c r="I532" s="12"/>
      <c r="J532" s="12"/>
      <c r="K532" s="12"/>
      <c r="L532" s="12"/>
      <c r="M532" s="12"/>
      <c r="N532" s="12"/>
      <c r="O532" s="12"/>
      <c r="P532" s="12"/>
    </row>
    <row r="533">
      <c r="A533" s="12"/>
      <c r="D533" s="95"/>
      <c r="E533" s="14"/>
      <c r="H533" s="12"/>
      <c r="I533" s="12"/>
      <c r="J533" s="12"/>
      <c r="K533" s="12"/>
      <c r="L533" s="12"/>
      <c r="M533" s="12"/>
      <c r="N533" s="12"/>
      <c r="O533" s="12"/>
      <c r="P533" s="12"/>
    </row>
    <row r="534">
      <c r="A534" s="12"/>
      <c r="D534" s="95"/>
      <c r="E534" s="14"/>
      <c r="H534" s="12"/>
      <c r="I534" s="12"/>
      <c r="J534" s="12"/>
      <c r="K534" s="12"/>
      <c r="L534" s="12"/>
      <c r="M534" s="12"/>
      <c r="N534" s="12"/>
      <c r="O534" s="12"/>
      <c r="P534" s="12"/>
    </row>
    <row r="535">
      <c r="A535" s="12"/>
      <c r="D535" s="95"/>
      <c r="E535" s="14"/>
      <c r="H535" s="12"/>
      <c r="I535" s="12"/>
      <c r="J535" s="12"/>
      <c r="K535" s="12"/>
      <c r="L535" s="12"/>
      <c r="M535" s="12"/>
      <c r="N535" s="12"/>
      <c r="O535" s="12"/>
      <c r="P535" s="12"/>
    </row>
    <row r="536">
      <c r="A536" s="12"/>
      <c r="D536" s="95"/>
      <c r="E536" s="14"/>
      <c r="H536" s="12"/>
      <c r="I536" s="12"/>
      <c r="J536" s="12"/>
      <c r="K536" s="12"/>
      <c r="L536" s="12"/>
      <c r="M536" s="12"/>
      <c r="N536" s="12"/>
      <c r="O536" s="12"/>
      <c r="P536" s="12"/>
    </row>
    <row r="537">
      <c r="A537" s="12"/>
      <c r="D537" s="95"/>
      <c r="E537" s="14"/>
      <c r="H537" s="12"/>
      <c r="I537" s="12"/>
      <c r="J537" s="12"/>
      <c r="K537" s="12"/>
      <c r="L537" s="12"/>
      <c r="M537" s="12"/>
      <c r="N537" s="12"/>
      <c r="O537" s="12"/>
      <c r="P537" s="12"/>
    </row>
    <row r="538">
      <c r="A538" s="12"/>
      <c r="D538" s="95"/>
      <c r="E538" s="14"/>
      <c r="H538" s="12"/>
      <c r="I538" s="12"/>
      <c r="J538" s="12"/>
      <c r="K538" s="12"/>
      <c r="L538" s="12"/>
      <c r="M538" s="12"/>
      <c r="N538" s="12"/>
      <c r="O538" s="12"/>
      <c r="P538" s="12"/>
    </row>
    <row r="539">
      <c r="A539" s="12"/>
      <c r="D539" s="95"/>
      <c r="E539" s="14"/>
      <c r="H539" s="12"/>
      <c r="I539" s="12"/>
      <c r="J539" s="12"/>
      <c r="K539" s="12"/>
      <c r="L539" s="12"/>
      <c r="M539" s="12"/>
      <c r="N539" s="12"/>
      <c r="O539" s="12"/>
      <c r="P539" s="12"/>
    </row>
    <row r="540">
      <c r="A540" s="12"/>
      <c r="D540" s="95"/>
      <c r="E540" s="14"/>
      <c r="H540" s="12"/>
      <c r="I540" s="12"/>
      <c r="J540" s="12"/>
      <c r="K540" s="12"/>
      <c r="L540" s="12"/>
      <c r="M540" s="12"/>
      <c r="N540" s="12"/>
      <c r="O540" s="12"/>
      <c r="P540" s="12"/>
    </row>
    <row r="541">
      <c r="A541" s="12"/>
      <c r="D541" s="95"/>
      <c r="E541" s="14"/>
      <c r="H541" s="12"/>
      <c r="I541" s="12"/>
      <c r="J541" s="12"/>
      <c r="K541" s="12"/>
      <c r="L541" s="12"/>
      <c r="M541" s="12"/>
      <c r="N541" s="12"/>
      <c r="O541" s="12"/>
      <c r="P541" s="12"/>
    </row>
    <row r="542">
      <c r="A542" s="12"/>
      <c r="D542" s="95"/>
      <c r="E542" s="14"/>
      <c r="H542" s="12"/>
      <c r="I542" s="12"/>
      <c r="J542" s="12"/>
      <c r="K542" s="12"/>
      <c r="L542" s="12"/>
      <c r="M542" s="12"/>
      <c r="N542" s="12"/>
      <c r="O542" s="12"/>
      <c r="P542" s="12"/>
    </row>
    <row r="543">
      <c r="A543" s="12"/>
      <c r="D543" s="95"/>
      <c r="E543" s="14"/>
      <c r="H543" s="12"/>
      <c r="I543" s="12"/>
      <c r="J543" s="12"/>
      <c r="K543" s="12"/>
      <c r="L543" s="12"/>
      <c r="M543" s="12"/>
      <c r="N543" s="12"/>
      <c r="O543" s="12"/>
      <c r="P543" s="12"/>
    </row>
    <row r="544">
      <c r="A544" s="12"/>
      <c r="D544" s="95"/>
      <c r="E544" s="14"/>
      <c r="H544" s="12"/>
      <c r="I544" s="12"/>
      <c r="J544" s="12"/>
      <c r="K544" s="12"/>
      <c r="L544" s="12"/>
      <c r="M544" s="12"/>
      <c r="N544" s="12"/>
      <c r="O544" s="12"/>
      <c r="P544" s="12"/>
    </row>
    <row r="545">
      <c r="A545" s="12"/>
      <c r="D545" s="95"/>
      <c r="E545" s="14"/>
      <c r="H545" s="12"/>
      <c r="I545" s="12"/>
      <c r="J545" s="12"/>
      <c r="K545" s="12"/>
      <c r="L545" s="12"/>
      <c r="M545" s="12"/>
      <c r="N545" s="12"/>
      <c r="O545" s="12"/>
      <c r="P545" s="12"/>
    </row>
    <row r="546">
      <c r="A546" s="12"/>
      <c r="D546" s="95"/>
      <c r="E546" s="14"/>
      <c r="H546" s="12"/>
      <c r="I546" s="12"/>
      <c r="J546" s="12"/>
      <c r="K546" s="12"/>
      <c r="L546" s="12"/>
      <c r="M546" s="12"/>
      <c r="N546" s="12"/>
      <c r="O546" s="12"/>
      <c r="P546" s="12"/>
    </row>
    <row r="547">
      <c r="A547" s="12"/>
      <c r="D547" s="95"/>
      <c r="E547" s="14"/>
      <c r="H547" s="12"/>
      <c r="I547" s="12"/>
      <c r="J547" s="12"/>
      <c r="K547" s="12"/>
      <c r="L547" s="12"/>
      <c r="M547" s="12"/>
      <c r="N547" s="12"/>
      <c r="O547" s="12"/>
      <c r="P547" s="12"/>
    </row>
    <row r="548">
      <c r="A548" s="12"/>
      <c r="D548" s="95"/>
      <c r="E548" s="14"/>
      <c r="H548" s="12"/>
      <c r="I548" s="12"/>
      <c r="J548" s="12"/>
      <c r="K548" s="12"/>
      <c r="L548" s="12"/>
      <c r="M548" s="12"/>
      <c r="N548" s="12"/>
      <c r="O548" s="12"/>
      <c r="P548" s="12"/>
    </row>
    <row r="549">
      <c r="A549" s="12"/>
      <c r="D549" s="95"/>
      <c r="E549" s="14"/>
      <c r="H549" s="12"/>
      <c r="I549" s="12"/>
      <c r="J549" s="12"/>
      <c r="K549" s="12"/>
      <c r="L549" s="12"/>
      <c r="M549" s="12"/>
      <c r="N549" s="12"/>
      <c r="O549" s="12"/>
      <c r="P549" s="12"/>
    </row>
    <row r="550">
      <c r="A550" s="12"/>
      <c r="D550" s="95"/>
      <c r="E550" s="14"/>
      <c r="H550" s="12"/>
      <c r="I550" s="12"/>
      <c r="J550" s="12"/>
      <c r="K550" s="12"/>
      <c r="L550" s="12"/>
      <c r="M550" s="12"/>
      <c r="N550" s="12"/>
      <c r="O550" s="12"/>
      <c r="P550" s="12"/>
    </row>
    <row r="551">
      <c r="A551" s="12"/>
      <c r="D551" s="95"/>
      <c r="E551" s="14"/>
      <c r="H551" s="12"/>
      <c r="I551" s="12"/>
      <c r="J551" s="12"/>
      <c r="K551" s="12"/>
      <c r="L551" s="12"/>
      <c r="M551" s="12"/>
      <c r="N551" s="12"/>
      <c r="O551" s="12"/>
      <c r="P551" s="12"/>
    </row>
    <row r="552">
      <c r="A552" s="12"/>
      <c r="D552" s="95"/>
      <c r="E552" s="14"/>
      <c r="H552" s="12"/>
      <c r="I552" s="12"/>
      <c r="J552" s="12"/>
      <c r="K552" s="12"/>
      <c r="L552" s="12"/>
      <c r="M552" s="12"/>
      <c r="N552" s="12"/>
      <c r="O552" s="12"/>
      <c r="P552" s="12"/>
    </row>
    <row r="553">
      <c r="A553" s="12"/>
      <c r="D553" s="95"/>
      <c r="E553" s="14"/>
      <c r="H553" s="12"/>
      <c r="I553" s="12"/>
      <c r="J553" s="12"/>
      <c r="K553" s="12"/>
      <c r="L553" s="12"/>
      <c r="M553" s="12"/>
      <c r="N553" s="12"/>
      <c r="O553" s="12"/>
      <c r="P553" s="12"/>
    </row>
    <row r="554">
      <c r="A554" s="12"/>
      <c r="D554" s="95"/>
      <c r="E554" s="14"/>
      <c r="H554" s="12"/>
      <c r="I554" s="12"/>
      <c r="J554" s="12"/>
      <c r="K554" s="12"/>
      <c r="L554" s="12"/>
      <c r="M554" s="12"/>
      <c r="N554" s="12"/>
      <c r="O554" s="12"/>
      <c r="P554" s="12"/>
    </row>
    <row r="555">
      <c r="A555" s="12"/>
      <c r="D555" s="95"/>
      <c r="E555" s="14"/>
      <c r="H555" s="12"/>
      <c r="I555" s="12"/>
      <c r="J555" s="12"/>
      <c r="K555" s="12"/>
      <c r="L555" s="12"/>
      <c r="M555" s="12"/>
      <c r="N555" s="12"/>
      <c r="O555" s="12"/>
      <c r="P555" s="12"/>
    </row>
    <row r="556">
      <c r="A556" s="12"/>
      <c r="D556" s="95"/>
      <c r="E556" s="14"/>
      <c r="H556" s="12"/>
      <c r="I556" s="12"/>
      <c r="J556" s="12"/>
      <c r="K556" s="12"/>
      <c r="L556" s="12"/>
      <c r="M556" s="12"/>
      <c r="N556" s="12"/>
      <c r="O556" s="12"/>
      <c r="P556" s="12"/>
    </row>
    <row r="557">
      <c r="A557" s="12"/>
      <c r="D557" s="95"/>
      <c r="E557" s="14"/>
      <c r="H557" s="12"/>
      <c r="I557" s="12"/>
      <c r="J557" s="12"/>
      <c r="K557" s="12"/>
      <c r="L557" s="12"/>
      <c r="M557" s="12"/>
      <c r="N557" s="12"/>
      <c r="O557" s="12"/>
      <c r="P557" s="12"/>
    </row>
    <row r="558">
      <c r="A558" s="12"/>
      <c r="D558" s="95"/>
      <c r="E558" s="14"/>
      <c r="H558" s="12"/>
      <c r="I558" s="12"/>
      <c r="J558" s="12"/>
      <c r="K558" s="12"/>
      <c r="L558" s="12"/>
      <c r="M558" s="12"/>
      <c r="N558" s="12"/>
      <c r="O558" s="12"/>
      <c r="P558" s="12"/>
    </row>
    <row r="559">
      <c r="A559" s="12"/>
      <c r="D559" s="95"/>
      <c r="E559" s="14"/>
      <c r="H559" s="12"/>
      <c r="I559" s="12"/>
      <c r="J559" s="12"/>
      <c r="K559" s="12"/>
      <c r="L559" s="12"/>
      <c r="M559" s="12"/>
      <c r="N559" s="12"/>
      <c r="O559" s="12"/>
      <c r="P559" s="12"/>
    </row>
    <row r="560">
      <c r="A560" s="12"/>
      <c r="D560" s="95"/>
      <c r="E560" s="14"/>
      <c r="H560" s="12"/>
      <c r="I560" s="12"/>
      <c r="J560" s="12"/>
      <c r="K560" s="12"/>
      <c r="L560" s="12"/>
      <c r="M560" s="12"/>
      <c r="N560" s="12"/>
      <c r="O560" s="12"/>
      <c r="P560" s="12"/>
    </row>
    <row r="561">
      <c r="A561" s="12"/>
      <c r="D561" s="95"/>
      <c r="E561" s="14"/>
      <c r="H561" s="12"/>
      <c r="I561" s="12"/>
      <c r="J561" s="12"/>
      <c r="K561" s="12"/>
      <c r="L561" s="12"/>
      <c r="M561" s="12"/>
      <c r="N561" s="12"/>
      <c r="O561" s="12"/>
      <c r="P561" s="12"/>
    </row>
    <row r="562">
      <c r="A562" s="12"/>
      <c r="D562" s="95"/>
      <c r="E562" s="14"/>
      <c r="H562" s="12"/>
      <c r="I562" s="12"/>
      <c r="J562" s="12"/>
      <c r="K562" s="12"/>
      <c r="L562" s="12"/>
      <c r="M562" s="12"/>
      <c r="N562" s="12"/>
      <c r="O562" s="12"/>
      <c r="P562" s="12"/>
    </row>
    <row r="563">
      <c r="A563" s="12"/>
      <c r="D563" s="95"/>
      <c r="E563" s="14"/>
      <c r="H563" s="12"/>
      <c r="I563" s="12"/>
      <c r="J563" s="12"/>
      <c r="K563" s="12"/>
      <c r="L563" s="12"/>
      <c r="M563" s="12"/>
      <c r="N563" s="12"/>
      <c r="O563" s="12"/>
      <c r="P563" s="12"/>
    </row>
    <row r="564">
      <c r="A564" s="12"/>
      <c r="D564" s="95"/>
      <c r="E564" s="14"/>
      <c r="H564" s="12"/>
      <c r="I564" s="12"/>
      <c r="J564" s="12"/>
      <c r="K564" s="12"/>
      <c r="L564" s="12"/>
      <c r="M564" s="12"/>
      <c r="N564" s="12"/>
      <c r="O564" s="12"/>
      <c r="P564" s="12"/>
    </row>
    <row r="565">
      <c r="A565" s="12"/>
      <c r="D565" s="95"/>
      <c r="E565" s="14"/>
      <c r="H565" s="12"/>
      <c r="I565" s="12"/>
      <c r="J565" s="12"/>
      <c r="K565" s="12"/>
      <c r="L565" s="12"/>
      <c r="M565" s="12"/>
      <c r="N565" s="12"/>
      <c r="O565" s="12"/>
      <c r="P565" s="12"/>
    </row>
    <row r="566">
      <c r="A566" s="12"/>
      <c r="D566" s="95"/>
      <c r="E566" s="14"/>
      <c r="H566" s="12"/>
      <c r="I566" s="12"/>
      <c r="J566" s="12"/>
      <c r="K566" s="12"/>
      <c r="L566" s="12"/>
      <c r="M566" s="12"/>
      <c r="N566" s="12"/>
      <c r="O566" s="12"/>
      <c r="P566" s="12"/>
    </row>
    <row r="567">
      <c r="A567" s="12"/>
      <c r="D567" s="95"/>
      <c r="E567" s="14"/>
      <c r="H567" s="12"/>
      <c r="I567" s="12"/>
      <c r="J567" s="12"/>
      <c r="K567" s="12"/>
      <c r="L567" s="12"/>
      <c r="M567" s="12"/>
      <c r="N567" s="12"/>
      <c r="O567" s="12"/>
      <c r="P567" s="12"/>
    </row>
    <row r="568">
      <c r="A568" s="12"/>
      <c r="D568" s="95"/>
      <c r="E568" s="14"/>
      <c r="H568" s="12"/>
      <c r="I568" s="12"/>
      <c r="J568" s="12"/>
      <c r="K568" s="12"/>
      <c r="L568" s="12"/>
      <c r="M568" s="12"/>
      <c r="N568" s="12"/>
      <c r="O568" s="12"/>
      <c r="P568" s="12"/>
    </row>
    <row r="569">
      <c r="A569" s="12"/>
      <c r="D569" s="95"/>
      <c r="E569" s="14"/>
      <c r="H569" s="12"/>
      <c r="I569" s="12"/>
      <c r="J569" s="12"/>
      <c r="K569" s="12"/>
      <c r="L569" s="12"/>
      <c r="M569" s="12"/>
      <c r="N569" s="12"/>
      <c r="O569" s="12"/>
      <c r="P569" s="12"/>
    </row>
    <row r="570">
      <c r="A570" s="12"/>
      <c r="D570" s="95"/>
      <c r="E570" s="14"/>
      <c r="H570" s="12"/>
      <c r="I570" s="12"/>
      <c r="J570" s="12"/>
      <c r="K570" s="12"/>
      <c r="L570" s="12"/>
      <c r="M570" s="12"/>
      <c r="N570" s="12"/>
      <c r="O570" s="12"/>
      <c r="P570" s="12"/>
    </row>
    <row r="571">
      <c r="A571" s="12"/>
      <c r="D571" s="95"/>
      <c r="E571" s="14"/>
      <c r="H571" s="12"/>
      <c r="I571" s="12"/>
      <c r="J571" s="12"/>
      <c r="K571" s="12"/>
      <c r="L571" s="12"/>
      <c r="M571" s="12"/>
      <c r="N571" s="12"/>
      <c r="O571" s="12"/>
      <c r="P571" s="12"/>
    </row>
    <row r="572">
      <c r="A572" s="12"/>
      <c r="D572" s="95"/>
      <c r="E572" s="14"/>
      <c r="H572" s="12"/>
      <c r="I572" s="12"/>
      <c r="J572" s="12"/>
      <c r="K572" s="12"/>
      <c r="L572" s="12"/>
      <c r="M572" s="12"/>
      <c r="N572" s="12"/>
      <c r="O572" s="12"/>
      <c r="P572" s="12"/>
    </row>
    <row r="573">
      <c r="A573" s="12"/>
      <c r="D573" s="95"/>
      <c r="E573" s="14"/>
      <c r="H573" s="12"/>
      <c r="I573" s="12"/>
      <c r="J573" s="12"/>
      <c r="K573" s="12"/>
      <c r="L573" s="12"/>
      <c r="M573" s="12"/>
      <c r="N573" s="12"/>
      <c r="O573" s="12"/>
      <c r="P573" s="12"/>
    </row>
    <row r="574">
      <c r="A574" s="12"/>
      <c r="D574" s="95"/>
      <c r="E574" s="14"/>
      <c r="H574" s="12"/>
      <c r="I574" s="12"/>
      <c r="J574" s="12"/>
      <c r="K574" s="12"/>
      <c r="L574" s="12"/>
      <c r="M574" s="12"/>
      <c r="N574" s="12"/>
      <c r="O574" s="12"/>
      <c r="P574" s="12"/>
    </row>
    <row r="575">
      <c r="A575" s="12"/>
      <c r="D575" s="95"/>
      <c r="E575" s="14"/>
      <c r="H575" s="12"/>
      <c r="I575" s="12"/>
      <c r="J575" s="12"/>
      <c r="K575" s="12"/>
      <c r="L575" s="12"/>
      <c r="M575" s="12"/>
      <c r="N575" s="12"/>
      <c r="O575" s="12"/>
      <c r="P575" s="12"/>
    </row>
    <row r="576">
      <c r="A576" s="12"/>
      <c r="D576" s="95"/>
      <c r="E576" s="14"/>
      <c r="H576" s="12"/>
      <c r="I576" s="12"/>
      <c r="J576" s="12"/>
      <c r="K576" s="12"/>
      <c r="L576" s="12"/>
      <c r="M576" s="12"/>
      <c r="N576" s="12"/>
      <c r="O576" s="12"/>
      <c r="P576" s="12"/>
    </row>
    <row r="577">
      <c r="A577" s="12"/>
      <c r="D577" s="95"/>
      <c r="E577" s="14"/>
      <c r="H577" s="12"/>
      <c r="I577" s="12"/>
      <c r="J577" s="12"/>
      <c r="K577" s="12"/>
      <c r="L577" s="12"/>
      <c r="M577" s="12"/>
      <c r="N577" s="12"/>
      <c r="O577" s="12"/>
      <c r="P577" s="12"/>
    </row>
    <row r="578">
      <c r="A578" s="12"/>
      <c r="D578" s="95"/>
      <c r="E578" s="14"/>
      <c r="H578" s="12"/>
      <c r="I578" s="12"/>
      <c r="J578" s="12"/>
      <c r="K578" s="12"/>
      <c r="L578" s="12"/>
      <c r="M578" s="12"/>
      <c r="N578" s="12"/>
      <c r="O578" s="12"/>
      <c r="P578" s="12"/>
    </row>
    <row r="579">
      <c r="A579" s="12"/>
      <c r="D579" s="95"/>
      <c r="E579" s="14"/>
      <c r="H579" s="12"/>
      <c r="I579" s="12"/>
      <c r="J579" s="12"/>
      <c r="K579" s="12"/>
      <c r="L579" s="12"/>
      <c r="M579" s="12"/>
      <c r="N579" s="12"/>
      <c r="O579" s="12"/>
      <c r="P579" s="12"/>
    </row>
    <row r="580">
      <c r="A580" s="12"/>
      <c r="D580" s="95"/>
      <c r="E580" s="14"/>
      <c r="H580" s="12"/>
      <c r="I580" s="12"/>
      <c r="J580" s="12"/>
      <c r="K580" s="12"/>
      <c r="L580" s="12"/>
      <c r="M580" s="12"/>
      <c r="N580" s="12"/>
      <c r="O580" s="12"/>
      <c r="P580" s="12"/>
    </row>
    <row r="581">
      <c r="A581" s="12"/>
      <c r="D581" s="95"/>
      <c r="E581" s="14"/>
      <c r="H581" s="12"/>
      <c r="I581" s="12"/>
      <c r="J581" s="12"/>
      <c r="K581" s="12"/>
      <c r="L581" s="12"/>
      <c r="M581" s="12"/>
      <c r="N581" s="12"/>
      <c r="O581" s="12"/>
      <c r="P581" s="12"/>
    </row>
    <row r="582">
      <c r="A582" s="12"/>
      <c r="D582" s="95"/>
      <c r="E582" s="14"/>
      <c r="H582" s="12"/>
      <c r="I582" s="12"/>
      <c r="J582" s="12"/>
      <c r="K582" s="12"/>
      <c r="L582" s="12"/>
      <c r="M582" s="12"/>
      <c r="N582" s="12"/>
      <c r="O582" s="12"/>
      <c r="P582" s="12"/>
    </row>
    <row r="583">
      <c r="A583" s="12"/>
      <c r="D583" s="95"/>
      <c r="E583" s="14"/>
      <c r="H583" s="12"/>
      <c r="I583" s="12"/>
      <c r="J583" s="12"/>
      <c r="K583" s="12"/>
      <c r="L583" s="12"/>
      <c r="M583" s="12"/>
      <c r="N583" s="12"/>
      <c r="O583" s="12"/>
      <c r="P583" s="12"/>
    </row>
    <row r="584">
      <c r="A584" s="12"/>
      <c r="D584" s="95"/>
      <c r="E584" s="14"/>
      <c r="H584" s="12"/>
      <c r="I584" s="12"/>
      <c r="J584" s="12"/>
      <c r="K584" s="12"/>
      <c r="L584" s="12"/>
      <c r="M584" s="12"/>
      <c r="N584" s="12"/>
      <c r="O584" s="12"/>
      <c r="P584" s="12"/>
    </row>
    <row r="585">
      <c r="A585" s="12"/>
      <c r="D585" s="95"/>
      <c r="E585" s="14"/>
      <c r="H585" s="12"/>
      <c r="I585" s="12"/>
      <c r="J585" s="12"/>
      <c r="K585" s="12"/>
      <c r="L585" s="12"/>
      <c r="M585" s="12"/>
      <c r="N585" s="12"/>
      <c r="O585" s="12"/>
      <c r="P585" s="12"/>
    </row>
    <row r="586">
      <c r="A586" s="12"/>
      <c r="D586" s="95"/>
      <c r="E586" s="14"/>
      <c r="H586" s="12"/>
      <c r="I586" s="12"/>
      <c r="J586" s="12"/>
      <c r="K586" s="12"/>
      <c r="L586" s="12"/>
      <c r="M586" s="12"/>
      <c r="N586" s="12"/>
      <c r="O586" s="12"/>
      <c r="P586" s="12"/>
    </row>
    <row r="587">
      <c r="A587" s="12"/>
      <c r="D587" s="95"/>
      <c r="E587" s="14"/>
      <c r="H587" s="12"/>
      <c r="I587" s="12"/>
      <c r="J587" s="12"/>
      <c r="K587" s="12"/>
      <c r="L587" s="12"/>
      <c r="M587" s="12"/>
      <c r="N587" s="12"/>
      <c r="O587" s="12"/>
      <c r="P587" s="12"/>
    </row>
    <row r="588">
      <c r="A588" s="12"/>
      <c r="D588" s="95"/>
      <c r="E588" s="14"/>
      <c r="H588" s="12"/>
      <c r="I588" s="12"/>
      <c r="J588" s="12"/>
      <c r="K588" s="12"/>
      <c r="L588" s="12"/>
      <c r="M588" s="12"/>
      <c r="N588" s="12"/>
      <c r="O588" s="12"/>
      <c r="P588" s="12"/>
    </row>
    <row r="589">
      <c r="A589" s="12"/>
      <c r="D589" s="95"/>
      <c r="E589" s="14"/>
      <c r="H589" s="12"/>
      <c r="I589" s="12"/>
      <c r="J589" s="12"/>
      <c r="K589" s="12"/>
      <c r="L589" s="12"/>
      <c r="M589" s="12"/>
      <c r="N589" s="12"/>
      <c r="O589" s="12"/>
      <c r="P589" s="12"/>
    </row>
    <row r="590">
      <c r="A590" s="12"/>
      <c r="D590" s="95"/>
      <c r="E590" s="14"/>
      <c r="H590" s="12"/>
      <c r="I590" s="12"/>
      <c r="J590" s="12"/>
      <c r="K590" s="12"/>
      <c r="L590" s="12"/>
      <c r="M590" s="12"/>
      <c r="N590" s="12"/>
      <c r="O590" s="12"/>
      <c r="P590" s="12"/>
    </row>
    <row r="591">
      <c r="A591" s="12"/>
      <c r="D591" s="95"/>
      <c r="E591" s="14"/>
      <c r="H591" s="12"/>
      <c r="I591" s="12"/>
      <c r="J591" s="12"/>
      <c r="K591" s="12"/>
      <c r="L591" s="12"/>
      <c r="M591" s="12"/>
      <c r="N591" s="12"/>
      <c r="O591" s="12"/>
      <c r="P591" s="12"/>
    </row>
    <row r="592">
      <c r="A592" s="12"/>
      <c r="D592" s="95"/>
      <c r="E592" s="14"/>
      <c r="H592" s="12"/>
      <c r="I592" s="12"/>
      <c r="J592" s="12"/>
      <c r="K592" s="12"/>
      <c r="L592" s="12"/>
      <c r="M592" s="12"/>
      <c r="N592" s="12"/>
      <c r="O592" s="12"/>
      <c r="P592" s="12"/>
    </row>
    <row r="593">
      <c r="A593" s="12"/>
      <c r="D593" s="95"/>
      <c r="E593" s="14"/>
      <c r="H593" s="12"/>
      <c r="I593" s="12"/>
      <c r="J593" s="12"/>
      <c r="K593" s="12"/>
      <c r="L593" s="12"/>
      <c r="M593" s="12"/>
      <c r="N593" s="12"/>
      <c r="O593" s="12"/>
      <c r="P593" s="12"/>
    </row>
    <row r="594">
      <c r="A594" s="12"/>
      <c r="D594" s="95"/>
      <c r="E594" s="14"/>
      <c r="H594" s="12"/>
      <c r="I594" s="12"/>
      <c r="J594" s="12"/>
      <c r="K594" s="12"/>
      <c r="L594" s="12"/>
      <c r="M594" s="12"/>
      <c r="N594" s="12"/>
      <c r="O594" s="12"/>
      <c r="P594" s="12"/>
    </row>
    <row r="595">
      <c r="A595" s="12"/>
      <c r="D595" s="95"/>
      <c r="E595" s="14"/>
      <c r="H595" s="12"/>
      <c r="I595" s="12"/>
      <c r="J595" s="12"/>
      <c r="K595" s="12"/>
      <c r="L595" s="12"/>
      <c r="M595" s="12"/>
      <c r="N595" s="12"/>
      <c r="O595" s="12"/>
      <c r="P595" s="12"/>
    </row>
    <row r="596">
      <c r="A596" s="12"/>
      <c r="D596" s="95"/>
      <c r="E596" s="14"/>
      <c r="H596" s="12"/>
      <c r="I596" s="12"/>
      <c r="J596" s="12"/>
      <c r="K596" s="12"/>
      <c r="L596" s="12"/>
      <c r="M596" s="12"/>
      <c r="N596" s="12"/>
      <c r="O596" s="12"/>
      <c r="P596" s="12"/>
    </row>
    <row r="597">
      <c r="A597" s="12"/>
      <c r="D597" s="95"/>
      <c r="E597" s="14"/>
      <c r="H597" s="12"/>
      <c r="I597" s="12"/>
      <c r="J597" s="12"/>
      <c r="K597" s="12"/>
      <c r="L597" s="12"/>
      <c r="M597" s="12"/>
      <c r="N597" s="12"/>
      <c r="O597" s="12"/>
      <c r="P597" s="12"/>
    </row>
    <row r="598">
      <c r="A598" s="12"/>
      <c r="D598" s="95"/>
      <c r="E598" s="14"/>
      <c r="H598" s="12"/>
      <c r="I598" s="12"/>
      <c r="J598" s="12"/>
      <c r="K598" s="12"/>
      <c r="L598" s="12"/>
      <c r="M598" s="12"/>
      <c r="N598" s="12"/>
      <c r="O598" s="12"/>
      <c r="P598" s="12"/>
    </row>
    <row r="599">
      <c r="A599" s="12"/>
      <c r="D599" s="95"/>
      <c r="E599" s="14"/>
      <c r="H599" s="12"/>
      <c r="I599" s="12"/>
      <c r="J599" s="12"/>
      <c r="K599" s="12"/>
      <c r="L599" s="12"/>
      <c r="M599" s="12"/>
      <c r="N599" s="12"/>
      <c r="O599" s="12"/>
      <c r="P599" s="12"/>
    </row>
    <row r="600">
      <c r="A600" s="12"/>
      <c r="D600" s="95"/>
      <c r="E600" s="14"/>
      <c r="H600" s="12"/>
      <c r="I600" s="12"/>
      <c r="J600" s="12"/>
      <c r="K600" s="12"/>
      <c r="L600" s="12"/>
      <c r="M600" s="12"/>
      <c r="N600" s="12"/>
      <c r="O600" s="12"/>
      <c r="P600" s="12"/>
    </row>
    <row r="601">
      <c r="A601" s="12"/>
      <c r="D601" s="95"/>
      <c r="E601" s="14"/>
      <c r="H601" s="12"/>
      <c r="I601" s="12"/>
      <c r="J601" s="12"/>
      <c r="K601" s="12"/>
      <c r="L601" s="12"/>
      <c r="M601" s="12"/>
      <c r="N601" s="12"/>
      <c r="O601" s="12"/>
      <c r="P601" s="12"/>
    </row>
    <row r="602">
      <c r="A602" s="12"/>
      <c r="D602" s="95"/>
      <c r="E602" s="14"/>
      <c r="H602" s="12"/>
      <c r="I602" s="12"/>
      <c r="J602" s="12"/>
      <c r="K602" s="12"/>
      <c r="L602" s="12"/>
      <c r="M602" s="12"/>
      <c r="N602" s="12"/>
      <c r="O602" s="12"/>
      <c r="P602" s="12"/>
    </row>
    <row r="603">
      <c r="A603" s="12"/>
      <c r="D603" s="95"/>
      <c r="E603" s="14"/>
      <c r="H603" s="12"/>
      <c r="I603" s="12"/>
      <c r="J603" s="12"/>
      <c r="K603" s="12"/>
      <c r="L603" s="12"/>
      <c r="M603" s="12"/>
      <c r="N603" s="12"/>
      <c r="O603" s="12"/>
      <c r="P603" s="12"/>
    </row>
    <row r="604">
      <c r="A604" s="12"/>
      <c r="D604" s="95"/>
      <c r="E604" s="14"/>
      <c r="H604" s="12"/>
      <c r="I604" s="12"/>
      <c r="J604" s="12"/>
      <c r="K604" s="12"/>
      <c r="L604" s="12"/>
      <c r="M604" s="12"/>
      <c r="N604" s="12"/>
      <c r="O604" s="12"/>
      <c r="P604" s="12"/>
    </row>
    <row r="605">
      <c r="A605" s="12"/>
      <c r="D605" s="95"/>
      <c r="E605" s="14"/>
      <c r="H605" s="12"/>
      <c r="I605" s="12"/>
      <c r="J605" s="12"/>
      <c r="K605" s="12"/>
      <c r="L605" s="12"/>
      <c r="M605" s="12"/>
      <c r="N605" s="12"/>
      <c r="O605" s="12"/>
      <c r="P605" s="12"/>
    </row>
    <row r="606">
      <c r="A606" s="12"/>
      <c r="D606" s="95"/>
      <c r="E606" s="14"/>
      <c r="H606" s="12"/>
      <c r="I606" s="12"/>
      <c r="J606" s="12"/>
      <c r="K606" s="12"/>
      <c r="L606" s="12"/>
      <c r="M606" s="12"/>
      <c r="N606" s="12"/>
      <c r="O606" s="12"/>
      <c r="P606" s="12"/>
    </row>
    <row r="607">
      <c r="A607" s="12"/>
      <c r="D607" s="95"/>
      <c r="E607" s="14"/>
      <c r="H607" s="12"/>
      <c r="I607" s="12"/>
      <c r="J607" s="12"/>
      <c r="K607" s="12"/>
      <c r="L607" s="12"/>
      <c r="M607" s="12"/>
      <c r="N607" s="12"/>
      <c r="O607" s="12"/>
      <c r="P607" s="12"/>
    </row>
    <row r="608">
      <c r="A608" s="12"/>
      <c r="D608" s="95"/>
      <c r="E608" s="14"/>
      <c r="H608" s="12"/>
      <c r="I608" s="12"/>
      <c r="J608" s="12"/>
      <c r="K608" s="12"/>
      <c r="L608" s="12"/>
      <c r="M608" s="12"/>
      <c r="N608" s="12"/>
      <c r="O608" s="12"/>
      <c r="P608" s="12"/>
    </row>
    <row r="609">
      <c r="A609" s="12"/>
      <c r="D609" s="95"/>
      <c r="E609" s="14"/>
      <c r="H609" s="12"/>
      <c r="I609" s="12"/>
      <c r="J609" s="12"/>
      <c r="K609" s="12"/>
      <c r="L609" s="12"/>
      <c r="M609" s="12"/>
      <c r="N609" s="12"/>
      <c r="O609" s="12"/>
      <c r="P609" s="12"/>
    </row>
    <row r="610">
      <c r="A610" s="12"/>
      <c r="D610" s="95"/>
      <c r="E610" s="14"/>
      <c r="H610" s="12"/>
      <c r="I610" s="12"/>
      <c r="J610" s="12"/>
      <c r="K610" s="12"/>
      <c r="L610" s="12"/>
      <c r="M610" s="12"/>
      <c r="N610" s="12"/>
      <c r="O610" s="12"/>
      <c r="P610" s="12"/>
    </row>
    <row r="611">
      <c r="A611" s="12"/>
      <c r="D611" s="95"/>
      <c r="E611" s="14"/>
      <c r="H611" s="12"/>
      <c r="I611" s="12"/>
      <c r="J611" s="12"/>
      <c r="K611" s="12"/>
      <c r="L611" s="12"/>
      <c r="M611" s="12"/>
      <c r="N611" s="12"/>
      <c r="O611" s="12"/>
      <c r="P611" s="12"/>
    </row>
    <row r="612">
      <c r="A612" s="12"/>
      <c r="D612" s="95"/>
      <c r="E612" s="14"/>
      <c r="H612" s="12"/>
      <c r="I612" s="12"/>
      <c r="J612" s="12"/>
      <c r="K612" s="12"/>
      <c r="L612" s="12"/>
      <c r="M612" s="12"/>
      <c r="N612" s="12"/>
      <c r="O612" s="12"/>
      <c r="P612" s="12"/>
    </row>
    <row r="613">
      <c r="A613" s="12"/>
      <c r="D613" s="95"/>
      <c r="E613" s="14"/>
      <c r="H613" s="12"/>
      <c r="I613" s="12"/>
      <c r="J613" s="12"/>
      <c r="K613" s="12"/>
      <c r="L613" s="12"/>
      <c r="M613" s="12"/>
      <c r="N613" s="12"/>
      <c r="O613" s="12"/>
      <c r="P613" s="12"/>
    </row>
    <row r="614">
      <c r="A614" s="12"/>
      <c r="D614" s="95"/>
      <c r="E614" s="14"/>
      <c r="H614" s="12"/>
      <c r="I614" s="12"/>
      <c r="J614" s="12"/>
      <c r="K614" s="12"/>
      <c r="L614" s="12"/>
      <c r="M614" s="12"/>
      <c r="N614" s="12"/>
      <c r="O614" s="12"/>
      <c r="P614" s="12"/>
    </row>
    <row r="615">
      <c r="A615" s="12"/>
      <c r="D615" s="95"/>
      <c r="E615" s="14"/>
      <c r="H615" s="12"/>
      <c r="I615" s="12"/>
      <c r="J615" s="12"/>
      <c r="K615" s="12"/>
      <c r="L615" s="12"/>
      <c r="M615" s="12"/>
      <c r="N615" s="12"/>
      <c r="O615" s="12"/>
      <c r="P615" s="12"/>
    </row>
    <row r="616">
      <c r="A616" s="12"/>
      <c r="D616" s="95"/>
      <c r="E616" s="14"/>
      <c r="H616" s="12"/>
      <c r="I616" s="12"/>
      <c r="J616" s="12"/>
      <c r="K616" s="12"/>
      <c r="L616" s="12"/>
      <c r="M616" s="12"/>
      <c r="N616" s="12"/>
      <c r="O616" s="12"/>
      <c r="P616" s="12"/>
    </row>
    <row r="617">
      <c r="A617" s="12"/>
      <c r="D617" s="95"/>
      <c r="E617" s="14"/>
      <c r="H617" s="12"/>
      <c r="I617" s="12"/>
      <c r="J617" s="12"/>
      <c r="K617" s="12"/>
      <c r="L617" s="12"/>
      <c r="M617" s="12"/>
      <c r="N617" s="12"/>
      <c r="O617" s="12"/>
      <c r="P617" s="12"/>
    </row>
    <row r="618">
      <c r="A618" s="12"/>
      <c r="D618" s="95"/>
      <c r="E618" s="14"/>
      <c r="H618" s="12"/>
      <c r="I618" s="12"/>
      <c r="J618" s="12"/>
      <c r="K618" s="12"/>
      <c r="L618" s="12"/>
      <c r="M618" s="12"/>
      <c r="N618" s="12"/>
      <c r="O618" s="12"/>
      <c r="P618" s="12"/>
    </row>
    <row r="619">
      <c r="A619" s="12"/>
      <c r="D619" s="95"/>
      <c r="E619" s="14"/>
      <c r="H619" s="12"/>
      <c r="I619" s="12"/>
      <c r="J619" s="12"/>
      <c r="K619" s="12"/>
      <c r="L619" s="12"/>
      <c r="M619" s="12"/>
      <c r="N619" s="12"/>
      <c r="O619" s="12"/>
      <c r="P619" s="12"/>
    </row>
    <row r="620">
      <c r="A620" s="12"/>
      <c r="D620" s="95"/>
      <c r="E620" s="14"/>
      <c r="H620" s="12"/>
      <c r="I620" s="12"/>
      <c r="J620" s="12"/>
      <c r="K620" s="12"/>
      <c r="L620" s="12"/>
      <c r="M620" s="12"/>
      <c r="N620" s="12"/>
      <c r="O620" s="12"/>
      <c r="P620" s="12"/>
    </row>
    <row r="621">
      <c r="A621" s="12"/>
      <c r="D621" s="95"/>
      <c r="E621" s="14"/>
      <c r="H621" s="12"/>
      <c r="I621" s="12"/>
      <c r="J621" s="12"/>
      <c r="K621" s="12"/>
      <c r="L621" s="12"/>
      <c r="M621" s="12"/>
      <c r="N621" s="12"/>
      <c r="O621" s="12"/>
      <c r="P621" s="12"/>
    </row>
    <row r="622">
      <c r="A622" s="12"/>
      <c r="D622" s="95"/>
      <c r="E622" s="14"/>
      <c r="H622" s="12"/>
      <c r="I622" s="12"/>
      <c r="J622" s="12"/>
      <c r="K622" s="12"/>
      <c r="L622" s="12"/>
      <c r="M622" s="12"/>
      <c r="N622" s="12"/>
      <c r="O622" s="12"/>
      <c r="P622" s="12"/>
    </row>
    <row r="623">
      <c r="A623" s="12"/>
      <c r="D623" s="95"/>
      <c r="E623" s="14"/>
      <c r="H623" s="12"/>
      <c r="I623" s="12"/>
      <c r="J623" s="12"/>
      <c r="K623" s="12"/>
      <c r="L623" s="12"/>
      <c r="M623" s="12"/>
      <c r="N623" s="12"/>
      <c r="O623" s="12"/>
      <c r="P623" s="12"/>
    </row>
    <row r="624">
      <c r="A624" s="12"/>
      <c r="D624" s="95"/>
      <c r="E624" s="14"/>
      <c r="H624" s="12"/>
      <c r="I624" s="12"/>
      <c r="J624" s="12"/>
      <c r="K624" s="12"/>
      <c r="L624" s="12"/>
      <c r="M624" s="12"/>
      <c r="N624" s="12"/>
      <c r="O624" s="12"/>
      <c r="P624" s="12"/>
    </row>
    <row r="625">
      <c r="A625" s="12"/>
      <c r="D625" s="95"/>
      <c r="E625" s="14"/>
      <c r="H625" s="12"/>
      <c r="I625" s="12"/>
      <c r="J625" s="12"/>
      <c r="K625" s="12"/>
      <c r="L625" s="12"/>
      <c r="M625" s="12"/>
      <c r="N625" s="12"/>
      <c r="O625" s="12"/>
      <c r="P625" s="12"/>
    </row>
    <row r="626">
      <c r="A626" s="12"/>
      <c r="D626" s="95"/>
      <c r="E626" s="14"/>
      <c r="H626" s="12"/>
      <c r="I626" s="12"/>
      <c r="J626" s="12"/>
      <c r="K626" s="12"/>
      <c r="L626" s="12"/>
      <c r="M626" s="12"/>
      <c r="N626" s="12"/>
      <c r="O626" s="12"/>
      <c r="P626" s="12"/>
    </row>
    <row r="627">
      <c r="A627" s="12"/>
      <c r="D627" s="95"/>
      <c r="E627" s="14"/>
      <c r="H627" s="12"/>
      <c r="I627" s="12"/>
      <c r="J627" s="12"/>
      <c r="K627" s="12"/>
      <c r="L627" s="12"/>
      <c r="M627" s="12"/>
      <c r="N627" s="12"/>
      <c r="O627" s="12"/>
      <c r="P627" s="12"/>
    </row>
    <row r="628">
      <c r="A628" s="12"/>
      <c r="D628" s="95"/>
      <c r="E628" s="14"/>
      <c r="H628" s="12"/>
      <c r="I628" s="12"/>
      <c r="J628" s="12"/>
      <c r="K628" s="12"/>
      <c r="L628" s="12"/>
      <c r="M628" s="12"/>
      <c r="N628" s="12"/>
      <c r="O628" s="12"/>
      <c r="P628" s="12"/>
    </row>
    <row r="629">
      <c r="A629" s="12"/>
      <c r="D629" s="95"/>
      <c r="E629" s="14"/>
      <c r="H629" s="12"/>
      <c r="I629" s="12"/>
      <c r="J629" s="12"/>
      <c r="K629" s="12"/>
      <c r="L629" s="12"/>
      <c r="M629" s="12"/>
      <c r="N629" s="12"/>
      <c r="O629" s="12"/>
      <c r="P629" s="12"/>
    </row>
    <row r="630">
      <c r="A630" s="12"/>
      <c r="D630" s="95"/>
      <c r="E630" s="14"/>
      <c r="H630" s="12"/>
      <c r="I630" s="12"/>
      <c r="J630" s="12"/>
      <c r="K630" s="12"/>
      <c r="L630" s="12"/>
      <c r="M630" s="12"/>
      <c r="N630" s="12"/>
      <c r="O630" s="12"/>
      <c r="P630" s="12"/>
    </row>
    <row r="631">
      <c r="A631" s="12"/>
      <c r="D631" s="95"/>
      <c r="E631" s="14"/>
      <c r="H631" s="12"/>
      <c r="I631" s="12"/>
      <c r="J631" s="12"/>
      <c r="K631" s="12"/>
      <c r="L631" s="12"/>
      <c r="M631" s="12"/>
      <c r="N631" s="12"/>
      <c r="O631" s="12"/>
      <c r="P631" s="12"/>
    </row>
    <row r="632">
      <c r="A632" s="12"/>
      <c r="D632" s="95"/>
      <c r="E632" s="14"/>
      <c r="H632" s="12"/>
      <c r="I632" s="12"/>
      <c r="J632" s="12"/>
      <c r="K632" s="12"/>
      <c r="L632" s="12"/>
      <c r="M632" s="12"/>
      <c r="N632" s="12"/>
      <c r="O632" s="12"/>
      <c r="P632" s="12"/>
    </row>
    <row r="633">
      <c r="A633" s="12"/>
      <c r="D633" s="95"/>
      <c r="E633" s="14"/>
      <c r="H633" s="12"/>
      <c r="I633" s="12"/>
      <c r="J633" s="12"/>
      <c r="K633" s="12"/>
      <c r="L633" s="12"/>
      <c r="M633" s="12"/>
      <c r="N633" s="12"/>
      <c r="O633" s="12"/>
      <c r="P633" s="12"/>
    </row>
    <row r="634">
      <c r="A634" s="12"/>
      <c r="D634" s="95"/>
      <c r="E634" s="14"/>
      <c r="H634" s="12"/>
      <c r="I634" s="12"/>
      <c r="J634" s="12"/>
      <c r="K634" s="12"/>
      <c r="L634" s="12"/>
      <c r="M634" s="12"/>
      <c r="N634" s="12"/>
      <c r="O634" s="12"/>
      <c r="P634" s="12"/>
    </row>
    <row r="635">
      <c r="A635" s="12"/>
      <c r="D635" s="95"/>
      <c r="E635" s="14"/>
      <c r="H635" s="12"/>
      <c r="I635" s="12"/>
      <c r="J635" s="12"/>
      <c r="K635" s="12"/>
      <c r="L635" s="12"/>
      <c r="M635" s="12"/>
      <c r="N635" s="12"/>
      <c r="O635" s="12"/>
      <c r="P635" s="12"/>
    </row>
    <row r="636">
      <c r="A636" s="12"/>
      <c r="D636" s="95"/>
      <c r="E636" s="14"/>
      <c r="H636" s="12"/>
      <c r="I636" s="12"/>
      <c r="J636" s="12"/>
      <c r="K636" s="12"/>
      <c r="L636" s="12"/>
      <c r="M636" s="12"/>
      <c r="N636" s="12"/>
      <c r="O636" s="12"/>
      <c r="P636" s="12"/>
    </row>
    <row r="637">
      <c r="A637" s="12"/>
      <c r="D637" s="95"/>
      <c r="E637" s="14"/>
      <c r="H637" s="12"/>
      <c r="I637" s="12"/>
      <c r="J637" s="12"/>
      <c r="K637" s="12"/>
      <c r="L637" s="12"/>
      <c r="M637" s="12"/>
      <c r="N637" s="12"/>
      <c r="O637" s="12"/>
      <c r="P637" s="12"/>
    </row>
    <row r="638">
      <c r="A638" s="12"/>
      <c r="D638" s="95"/>
      <c r="E638" s="14"/>
      <c r="H638" s="12"/>
      <c r="I638" s="12"/>
      <c r="J638" s="12"/>
      <c r="K638" s="12"/>
      <c r="L638" s="12"/>
      <c r="M638" s="12"/>
      <c r="N638" s="12"/>
      <c r="O638" s="12"/>
      <c r="P638" s="12"/>
    </row>
    <row r="639">
      <c r="A639" s="12"/>
      <c r="D639" s="95"/>
      <c r="E639" s="14"/>
      <c r="H639" s="12"/>
      <c r="I639" s="12"/>
      <c r="J639" s="12"/>
      <c r="K639" s="12"/>
      <c r="L639" s="12"/>
      <c r="M639" s="12"/>
      <c r="N639" s="12"/>
      <c r="O639" s="12"/>
      <c r="P639" s="12"/>
    </row>
    <row r="640">
      <c r="A640" s="12"/>
      <c r="D640" s="95"/>
      <c r="E640" s="14"/>
      <c r="H640" s="12"/>
      <c r="I640" s="12"/>
      <c r="J640" s="12"/>
      <c r="K640" s="12"/>
      <c r="L640" s="12"/>
      <c r="M640" s="12"/>
      <c r="N640" s="12"/>
      <c r="O640" s="12"/>
      <c r="P640" s="12"/>
    </row>
    <row r="641">
      <c r="A641" s="12"/>
      <c r="D641" s="95"/>
      <c r="E641" s="14"/>
      <c r="H641" s="12"/>
      <c r="I641" s="12"/>
      <c r="J641" s="12"/>
      <c r="K641" s="12"/>
      <c r="L641" s="12"/>
      <c r="M641" s="12"/>
      <c r="N641" s="12"/>
      <c r="O641" s="12"/>
      <c r="P641" s="12"/>
    </row>
    <row r="642">
      <c r="A642" s="12"/>
      <c r="D642" s="95"/>
      <c r="E642" s="14"/>
      <c r="H642" s="12"/>
      <c r="I642" s="12"/>
      <c r="J642" s="12"/>
      <c r="K642" s="12"/>
      <c r="L642" s="12"/>
      <c r="M642" s="12"/>
      <c r="N642" s="12"/>
      <c r="O642" s="12"/>
      <c r="P642" s="12"/>
    </row>
    <row r="643">
      <c r="A643" s="12"/>
      <c r="D643" s="95"/>
      <c r="E643" s="14"/>
      <c r="H643" s="12"/>
      <c r="I643" s="12"/>
      <c r="J643" s="12"/>
      <c r="K643" s="12"/>
      <c r="L643" s="12"/>
      <c r="M643" s="12"/>
      <c r="N643" s="12"/>
      <c r="O643" s="12"/>
      <c r="P643" s="12"/>
    </row>
    <row r="644">
      <c r="A644" s="12"/>
      <c r="D644" s="95"/>
      <c r="E644" s="14"/>
      <c r="H644" s="12"/>
      <c r="I644" s="12"/>
      <c r="J644" s="12"/>
      <c r="K644" s="12"/>
      <c r="L644" s="12"/>
      <c r="M644" s="12"/>
      <c r="N644" s="12"/>
      <c r="O644" s="12"/>
      <c r="P644" s="12"/>
    </row>
    <row r="645">
      <c r="A645" s="12"/>
      <c r="D645" s="95"/>
      <c r="E645" s="14"/>
      <c r="H645" s="12"/>
      <c r="I645" s="12"/>
      <c r="J645" s="12"/>
      <c r="K645" s="12"/>
      <c r="L645" s="12"/>
      <c r="M645" s="12"/>
      <c r="N645" s="12"/>
      <c r="O645" s="12"/>
      <c r="P645" s="12"/>
    </row>
    <row r="646">
      <c r="A646" s="12"/>
      <c r="D646" s="95"/>
      <c r="E646" s="14"/>
      <c r="H646" s="12"/>
      <c r="I646" s="12"/>
      <c r="J646" s="12"/>
      <c r="K646" s="12"/>
      <c r="L646" s="12"/>
      <c r="M646" s="12"/>
      <c r="N646" s="12"/>
      <c r="O646" s="12"/>
      <c r="P646" s="12"/>
    </row>
    <row r="647">
      <c r="A647" s="12"/>
      <c r="D647" s="95"/>
      <c r="E647" s="14"/>
      <c r="H647" s="12"/>
      <c r="I647" s="12"/>
      <c r="J647" s="12"/>
      <c r="K647" s="12"/>
      <c r="L647" s="12"/>
      <c r="M647" s="12"/>
      <c r="N647" s="12"/>
      <c r="O647" s="12"/>
      <c r="P647" s="12"/>
    </row>
    <row r="648">
      <c r="A648" s="12"/>
      <c r="D648" s="95"/>
      <c r="E648" s="14"/>
      <c r="H648" s="12"/>
      <c r="I648" s="12"/>
      <c r="J648" s="12"/>
      <c r="K648" s="12"/>
      <c r="L648" s="12"/>
      <c r="M648" s="12"/>
      <c r="N648" s="12"/>
      <c r="O648" s="12"/>
      <c r="P648" s="12"/>
    </row>
    <row r="649">
      <c r="A649" s="12"/>
      <c r="D649" s="95"/>
      <c r="E649" s="14"/>
      <c r="H649" s="12"/>
      <c r="I649" s="12"/>
      <c r="J649" s="12"/>
      <c r="K649" s="12"/>
      <c r="L649" s="12"/>
      <c r="M649" s="12"/>
      <c r="N649" s="12"/>
      <c r="O649" s="12"/>
      <c r="P649" s="12"/>
    </row>
    <row r="650">
      <c r="A650" s="12"/>
      <c r="D650" s="95"/>
      <c r="E650" s="14"/>
      <c r="H650" s="12"/>
      <c r="I650" s="12"/>
      <c r="J650" s="12"/>
      <c r="K650" s="12"/>
      <c r="L650" s="12"/>
      <c r="M650" s="12"/>
      <c r="N650" s="12"/>
      <c r="O650" s="12"/>
      <c r="P650" s="12"/>
    </row>
    <row r="651">
      <c r="A651" s="12"/>
      <c r="D651" s="95"/>
      <c r="E651" s="14"/>
      <c r="H651" s="12"/>
      <c r="I651" s="12"/>
      <c r="J651" s="12"/>
      <c r="K651" s="12"/>
      <c r="L651" s="12"/>
      <c r="M651" s="12"/>
      <c r="N651" s="12"/>
      <c r="O651" s="12"/>
      <c r="P651" s="12"/>
    </row>
    <row r="652">
      <c r="A652" s="12"/>
      <c r="D652" s="95"/>
      <c r="E652" s="14"/>
      <c r="H652" s="12"/>
      <c r="I652" s="12"/>
      <c r="J652" s="12"/>
      <c r="K652" s="12"/>
      <c r="L652" s="12"/>
      <c r="M652" s="12"/>
      <c r="N652" s="12"/>
      <c r="O652" s="12"/>
      <c r="P652" s="12"/>
    </row>
    <row r="653">
      <c r="A653" s="12"/>
      <c r="D653" s="95"/>
      <c r="E653" s="14"/>
      <c r="H653" s="12"/>
      <c r="I653" s="12"/>
      <c r="J653" s="12"/>
      <c r="K653" s="12"/>
      <c r="L653" s="12"/>
      <c r="M653" s="12"/>
      <c r="N653" s="12"/>
      <c r="O653" s="12"/>
      <c r="P653" s="12"/>
    </row>
    <row r="654">
      <c r="A654" s="12"/>
      <c r="D654" s="95"/>
      <c r="E654" s="14"/>
      <c r="H654" s="12"/>
      <c r="I654" s="12"/>
      <c r="J654" s="12"/>
      <c r="K654" s="12"/>
      <c r="L654" s="12"/>
      <c r="M654" s="12"/>
      <c r="N654" s="12"/>
      <c r="O654" s="12"/>
      <c r="P654" s="12"/>
    </row>
    <row r="655">
      <c r="A655" s="12"/>
      <c r="D655" s="95"/>
      <c r="E655" s="14"/>
      <c r="H655" s="12"/>
      <c r="I655" s="12"/>
      <c r="J655" s="12"/>
      <c r="K655" s="12"/>
      <c r="L655" s="12"/>
      <c r="M655" s="12"/>
      <c r="N655" s="12"/>
      <c r="O655" s="12"/>
      <c r="P655" s="12"/>
    </row>
    <row r="656">
      <c r="A656" s="12"/>
      <c r="D656" s="95"/>
      <c r="E656" s="14"/>
      <c r="H656" s="12"/>
      <c r="I656" s="12"/>
      <c r="J656" s="12"/>
      <c r="K656" s="12"/>
      <c r="L656" s="12"/>
      <c r="M656" s="12"/>
      <c r="N656" s="12"/>
      <c r="O656" s="12"/>
      <c r="P656" s="12"/>
    </row>
    <row r="657">
      <c r="A657" s="12"/>
      <c r="D657" s="95"/>
      <c r="E657" s="14"/>
      <c r="H657" s="12"/>
      <c r="I657" s="12"/>
      <c r="J657" s="12"/>
      <c r="K657" s="12"/>
      <c r="L657" s="12"/>
      <c r="M657" s="12"/>
      <c r="N657" s="12"/>
      <c r="O657" s="12"/>
      <c r="P657" s="12"/>
    </row>
    <row r="658">
      <c r="A658" s="12"/>
      <c r="D658" s="95"/>
      <c r="E658" s="14"/>
      <c r="H658" s="12"/>
      <c r="I658" s="12"/>
      <c r="J658" s="12"/>
      <c r="K658" s="12"/>
      <c r="L658" s="12"/>
      <c r="M658" s="12"/>
      <c r="N658" s="12"/>
      <c r="O658" s="12"/>
      <c r="P658" s="12"/>
    </row>
    <row r="659">
      <c r="A659" s="12"/>
      <c r="D659" s="95"/>
      <c r="E659" s="14"/>
      <c r="H659" s="12"/>
      <c r="I659" s="12"/>
      <c r="J659" s="12"/>
      <c r="K659" s="12"/>
      <c r="L659" s="12"/>
      <c r="M659" s="12"/>
      <c r="N659" s="12"/>
      <c r="O659" s="12"/>
      <c r="P659" s="12"/>
    </row>
    <row r="660">
      <c r="A660" s="12"/>
      <c r="D660" s="95"/>
      <c r="E660" s="14"/>
      <c r="H660" s="12"/>
      <c r="I660" s="12"/>
      <c r="J660" s="12"/>
      <c r="K660" s="12"/>
      <c r="L660" s="12"/>
      <c r="M660" s="12"/>
      <c r="N660" s="12"/>
      <c r="O660" s="12"/>
      <c r="P660" s="12"/>
    </row>
    <row r="661">
      <c r="A661" s="12"/>
      <c r="D661" s="95"/>
      <c r="E661" s="14"/>
      <c r="H661" s="12"/>
      <c r="I661" s="12"/>
      <c r="J661" s="12"/>
      <c r="K661" s="12"/>
      <c r="L661" s="12"/>
      <c r="M661" s="12"/>
      <c r="N661" s="12"/>
      <c r="O661" s="12"/>
      <c r="P661" s="12"/>
    </row>
    <row r="662">
      <c r="A662" s="12"/>
      <c r="D662" s="95"/>
      <c r="E662" s="14"/>
      <c r="H662" s="12"/>
      <c r="I662" s="12"/>
      <c r="J662" s="12"/>
      <c r="K662" s="12"/>
      <c r="L662" s="12"/>
      <c r="M662" s="12"/>
      <c r="N662" s="12"/>
      <c r="O662" s="12"/>
      <c r="P662" s="12"/>
    </row>
    <row r="663">
      <c r="A663" s="12"/>
      <c r="D663" s="95"/>
      <c r="E663" s="14"/>
      <c r="H663" s="12"/>
      <c r="I663" s="12"/>
      <c r="J663" s="12"/>
      <c r="K663" s="12"/>
      <c r="L663" s="12"/>
      <c r="M663" s="12"/>
      <c r="N663" s="12"/>
      <c r="O663" s="12"/>
      <c r="P663" s="12"/>
    </row>
    <row r="664">
      <c r="A664" s="12"/>
      <c r="D664" s="95"/>
      <c r="E664" s="14"/>
      <c r="H664" s="12"/>
      <c r="I664" s="12"/>
      <c r="J664" s="12"/>
      <c r="K664" s="12"/>
      <c r="L664" s="12"/>
      <c r="M664" s="12"/>
      <c r="N664" s="12"/>
      <c r="O664" s="12"/>
      <c r="P664" s="12"/>
    </row>
    <row r="665">
      <c r="A665" s="12"/>
      <c r="D665" s="95"/>
      <c r="E665" s="14"/>
      <c r="H665" s="12"/>
      <c r="I665" s="12"/>
      <c r="J665" s="12"/>
      <c r="K665" s="12"/>
      <c r="L665" s="12"/>
      <c r="M665" s="12"/>
      <c r="N665" s="12"/>
      <c r="O665" s="12"/>
      <c r="P665" s="12"/>
    </row>
    <row r="666">
      <c r="A666" s="12"/>
      <c r="D666" s="95"/>
      <c r="E666" s="14"/>
      <c r="H666" s="12"/>
      <c r="I666" s="12"/>
      <c r="J666" s="12"/>
      <c r="K666" s="12"/>
      <c r="L666" s="12"/>
      <c r="M666" s="12"/>
      <c r="N666" s="12"/>
      <c r="O666" s="12"/>
      <c r="P666" s="12"/>
    </row>
    <row r="667">
      <c r="A667" s="12"/>
      <c r="D667" s="95"/>
      <c r="E667" s="14"/>
      <c r="H667" s="12"/>
      <c r="I667" s="12"/>
      <c r="J667" s="12"/>
      <c r="K667" s="12"/>
      <c r="L667" s="12"/>
      <c r="M667" s="12"/>
      <c r="N667" s="12"/>
      <c r="O667" s="12"/>
      <c r="P667" s="12"/>
    </row>
    <row r="668">
      <c r="A668" s="12"/>
      <c r="D668" s="95"/>
      <c r="E668" s="14"/>
      <c r="H668" s="12"/>
      <c r="I668" s="12"/>
      <c r="J668" s="12"/>
      <c r="K668" s="12"/>
      <c r="L668" s="12"/>
      <c r="M668" s="12"/>
      <c r="N668" s="12"/>
      <c r="O668" s="12"/>
      <c r="P668" s="12"/>
    </row>
    <row r="669">
      <c r="A669" s="12"/>
      <c r="D669" s="95"/>
      <c r="E669" s="14"/>
      <c r="H669" s="12"/>
      <c r="I669" s="12"/>
      <c r="J669" s="12"/>
      <c r="K669" s="12"/>
      <c r="L669" s="12"/>
      <c r="M669" s="12"/>
      <c r="N669" s="12"/>
      <c r="O669" s="12"/>
      <c r="P669" s="12"/>
    </row>
    <row r="670">
      <c r="A670" s="12"/>
      <c r="D670" s="95"/>
      <c r="E670" s="14"/>
      <c r="H670" s="12"/>
      <c r="I670" s="12"/>
      <c r="J670" s="12"/>
      <c r="K670" s="12"/>
      <c r="L670" s="12"/>
      <c r="M670" s="12"/>
      <c r="N670" s="12"/>
      <c r="O670" s="12"/>
      <c r="P670" s="12"/>
    </row>
    <row r="671">
      <c r="A671" s="12"/>
      <c r="D671" s="95"/>
      <c r="E671" s="14"/>
      <c r="H671" s="12"/>
      <c r="I671" s="12"/>
      <c r="J671" s="12"/>
      <c r="K671" s="12"/>
      <c r="L671" s="12"/>
      <c r="M671" s="12"/>
      <c r="N671" s="12"/>
      <c r="O671" s="12"/>
      <c r="P671" s="12"/>
    </row>
    <row r="672">
      <c r="A672" s="12"/>
      <c r="D672" s="95"/>
      <c r="E672" s="14"/>
      <c r="H672" s="12"/>
      <c r="I672" s="12"/>
      <c r="J672" s="12"/>
      <c r="K672" s="12"/>
      <c r="L672" s="12"/>
      <c r="M672" s="12"/>
      <c r="N672" s="12"/>
      <c r="O672" s="12"/>
      <c r="P672" s="12"/>
    </row>
    <row r="673">
      <c r="A673" s="12"/>
      <c r="D673" s="95"/>
      <c r="E673" s="14"/>
      <c r="H673" s="12"/>
      <c r="I673" s="12"/>
      <c r="J673" s="12"/>
      <c r="K673" s="12"/>
      <c r="L673" s="12"/>
      <c r="M673" s="12"/>
      <c r="N673" s="12"/>
      <c r="O673" s="12"/>
      <c r="P673" s="12"/>
    </row>
    <row r="674">
      <c r="A674" s="12"/>
      <c r="D674" s="95"/>
      <c r="E674" s="14"/>
      <c r="H674" s="12"/>
      <c r="I674" s="12"/>
      <c r="J674" s="12"/>
      <c r="K674" s="12"/>
      <c r="L674" s="12"/>
      <c r="M674" s="12"/>
      <c r="N674" s="12"/>
      <c r="O674" s="12"/>
      <c r="P674" s="12"/>
    </row>
    <row r="675">
      <c r="A675" s="12"/>
      <c r="D675" s="95"/>
      <c r="E675" s="14"/>
      <c r="H675" s="12"/>
      <c r="I675" s="12"/>
      <c r="J675" s="12"/>
      <c r="K675" s="12"/>
      <c r="L675" s="12"/>
      <c r="M675" s="12"/>
      <c r="N675" s="12"/>
      <c r="O675" s="12"/>
      <c r="P675" s="12"/>
    </row>
    <row r="676">
      <c r="A676" s="12"/>
      <c r="D676" s="95"/>
      <c r="E676" s="14"/>
      <c r="H676" s="12"/>
      <c r="I676" s="12"/>
      <c r="J676" s="12"/>
      <c r="K676" s="12"/>
      <c r="L676" s="12"/>
      <c r="M676" s="12"/>
      <c r="N676" s="12"/>
      <c r="O676" s="12"/>
      <c r="P676" s="12"/>
    </row>
    <row r="677">
      <c r="A677" s="12"/>
      <c r="D677" s="95"/>
      <c r="E677" s="14"/>
      <c r="H677" s="12"/>
      <c r="I677" s="12"/>
      <c r="J677" s="12"/>
      <c r="K677" s="12"/>
      <c r="L677" s="12"/>
      <c r="M677" s="12"/>
      <c r="N677" s="12"/>
      <c r="O677" s="12"/>
      <c r="P677" s="12"/>
    </row>
    <row r="678">
      <c r="A678" s="12"/>
      <c r="D678" s="95"/>
      <c r="E678" s="14"/>
      <c r="H678" s="12"/>
      <c r="I678" s="12"/>
      <c r="J678" s="12"/>
      <c r="K678" s="12"/>
      <c r="L678" s="12"/>
      <c r="M678" s="12"/>
      <c r="N678" s="12"/>
      <c r="O678" s="12"/>
      <c r="P678" s="12"/>
    </row>
    <row r="679">
      <c r="A679" s="12"/>
      <c r="D679" s="95"/>
      <c r="E679" s="14"/>
      <c r="H679" s="12"/>
      <c r="I679" s="12"/>
      <c r="J679" s="12"/>
      <c r="K679" s="12"/>
      <c r="L679" s="12"/>
      <c r="M679" s="12"/>
      <c r="N679" s="12"/>
      <c r="O679" s="12"/>
      <c r="P679" s="12"/>
    </row>
    <row r="680">
      <c r="A680" s="12"/>
      <c r="D680" s="95"/>
      <c r="E680" s="14"/>
      <c r="H680" s="12"/>
      <c r="I680" s="12"/>
      <c r="J680" s="12"/>
      <c r="K680" s="12"/>
      <c r="L680" s="12"/>
      <c r="M680" s="12"/>
      <c r="N680" s="12"/>
      <c r="O680" s="12"/>
      <c r="P680" s="12"/>
    </row>
    <row r="681">
      <c r="A681" s="12"/>
      <c r="D681" s="95"/>
      <c r="E681" s="14"/>
      <c r="H681" s="12"/>
      <c r="I681" s="12"/>
      <c r="J681" s="12"/>
      <c r="K681" s="12"/>
      <c r="L681" s="12"/>
      <c r="M681" s="12"/>
      <c r="N681" s="12"/>
      <c r="O681" s="12"/>
      <c r="P681" s="12"/>
    </row>
    <row r="682">
      <c r="A682" s="12"/>
      <c r="D682" s="95"/>
      <c r="E682" s="14"/>
      <c r="H682" s="12"/>
      <c r="I682" s="12"/>
      <c r="J682" s="12"/>
      <c r="K682" s="12"/>
      <c r="L682" s="12"/>
      <c r="M682" s="12"/>
      <c r="N682" s="12"/>
      <c r="O682" s="12"/>
      <c r="P682" s="12"/>
    </row>
    <row r="683">
      <c r="A683" s="12"/>
      <c r="D683" s="95"/>
      <c r="E683" s="14"/>
      <c r="H683" s="12"/>
      <c r="I683" s="12"/>
      <c r="J683" s="12"/>
      <c r="K683" s="12"/>
      <c r="L683" s="12"/>
      <c r="M683" s="12"/>
      <c r="N683" s="12"/>
      <c r="O683" s="12"/>
      <c r="P683" s="12"/>
    </row>
    <row r="684">
      <c r="A684" s="12"/>
      <c r="D684" s="95"/>
      <c r="E684" s="14"/>
      <c r="H684" s="12"/>
      <c r="I684" s="12"/>
      <c r="J684" s="12"/>
      <c r="K684" s="12"/>
      <c r="L684" s="12"/>
      <c r="M684" s="12"/>
      <c r="N684" s="12"/>
      <c r="O684" s="12"/>
      <c r="P684" s="12"/>
    </row>
    <row r="685">
      <c r="A685" s="12"/>
      <c r="D685" s="95"/>
      <c r="E685" s="14"/>
      <c r="H685" s="12"/>
      <c r="I685" s="12"/>
      <c r="J685" s="12"/>
      <c r="K685" s="12"/>
      <c r="L685" s="12"/>
      <c r="M685" s="12"/>
      <c r="N685" s="12"/>
      <c r="O685" s="12"/>
      <c r="P685" s="12"/>
    </row>
    <row r="686">
      <c r="A686" s="12"/>
      <c r="D686" s="95"/>
      <c r="E686" s="14"/>
      <c r="H686" s="12"/>
      <c r="I686" s="12"/>
      <c r="J686" s="12"/>
      <c r="K686" s="12"/>
      <c r="L686" s="12"/>
      <c r="M686" s="12"/>
      <c r="N686" s="12"/>
      <c r="O686" s="12"/>
      <c r="P686" s="12"/>
    </row>
    <row r="687">
      <c r="A687" s="12"/>
      <c r="D687" s="95"/>
      <c r="E687" s="14"/>
      <c r="H687" s="12"/>
      <c r="I687" s="12"/>
      <c r="J687" s="12"/>
      <c r="K687" s="12"/>
      <c r="L687" s="12"/>
      <c r="M687" s="12"/>
      <c r="N687" s="12"/>
      <c r="O687" s="12"/>
      <c r="P687" s="12"/>
    </row>
    <row r="688">
      <c r="A688" s="12"/>
      <c r="D688" s="95"/>
      <c r="E688" s="14"/>
      <c r="H688" s="12"/>
      <c r="I688" s="12"/>
      <c r="J688" s="12"/>
      <c r="K688" s="12"/>
      <c r="L688" s="12"/>
      <c r="M688" s="12"/>
      <c r="N688" s="12"/>
      <c r="O688" s="12"/>
      <c r="P688" s="12"/>
    </row>
    <row r="689">
      <c r="A689" s="12"/>
      <c r="D689" s="95"/>
      <c r="E689" s="14"/>
      <c r="H689" s="12"/>
      <c r="I689" s="12"/>
      <c r="J689" s="12"/>
      <c r="K689" s="12"/>
      <c r="L689" s="12"/>
      <c r="M689" s="12"/>
      <c r="N689" s="12"/>
      <c r="O689" s="12"/>
      <c r="P689" s="12"/>
    </row>
    <row r="690">
      <c r="A690" s="12"/>
      <c r="D690" s="95"/>
      <c r="E690" s="14"/>
      <c r="H690" s="12"/>
      <c r="I690" s="12"/>
      <c r="J690" s="12"/>
      <c r="K690" s="12"/>
      <c r="L690" s="12"/>
      <c r="M690" s="12"/>
      <c r="N690" s="12"/>
      <c r="O690" s="12"/>
      <c r="P690" s="12"/>
    </row>
    <row r="691">
      <c r="A691" s="12"/>
      <c r="D691" s="95"/>
      <c r="E691" s="14"/>
      <c r="H691" s="12"/>
      <c r="I691" s="12"/>
      <c r="J691" s="12"/>
      <c r="K691" s="12"/>
      <c r="L691" s="12"/>
      <c r="M691" s="12"/>
      <c r="N691" s="12"/>
      <c r="O691" s="12"/>
      <c r="P691" s="12"/>
    </row>
    <row r="692">
      <c r="A692" s="12"/>
      <c r="D692" s="95"/>
      <c r="E692" s="14"/>
      <c r="H692" s="12"/>
      <c r="I692" s="12"/>
      <c r="J692" s="12"/>
      <c r="K692" s="12"/>
      <c r="L692" s="12"/>
      <c r="M692" s="12"/>
      <c r="N692" s="12"/>
      <c r="O692" s="12"/>
      <c r="P692" s="12"/>
    </row>
    <row r="693">
      <c r="A693" s="12"/>
      <c r="D693" s="95"/>
      <c r="E693" s="14"/>
      <c r="H693" s="12"/>
      <c r="I693" s="12"/>
      <c r="J693" s="12"/>
      <c r="K693" s="12"/>
      <c r="L693" s="12"/>
      <c r="M693" s="12"/>
      <c r="N693" s="12"/>
      <c r="O693" s="12"/>
      <c r="P693" s="12"/>
    </row>
    <row r="694">
      <c r="A694" s="12"/>
      <c r="D694" s="95"/>
      <c r="E694" s="14"/>
      <c r="H694" s="12"/>
      <c r="I694" s="12"/>
      <c r="J694" s="12"/>
      <c r="K694" s="12"/>
      <c r="L694" s="12"/>
      <c r="M694" s="12"/>
      <c r="N694" s="12"/>
      <c r="O694" s="12"/>
      <c r="P694" s="12"/>
    </row>
    <row r="695">
      <c r="A695" s="12"/>
      <c r="D695" s="95"/>
      <c r="E695" s="14"/>
      <c r="H695" s="12"/>
      <c r="I695" s="12"/>
      <c r="J695" s="12"/>
      <c r="K695" s="12"/>
      <c r="L695" s="12"/>
      <c r="M695" s="12"/>
      <c r="N695" s="12"/>
      <c r="O695" s="12"/>
      <c r="P695" s="12"/>
    </row>
    <row r="696">
      <c r="A696" s="12"/>
      <c r="D696" s="95"/>
      <c r="E696" s="14"/>
      <c r="H696" s="12"/>
      <c r="I696" s="12"/>
      <c r="J696" s="12"/>
      <c r="K696" s="12"/>
      <c r="L696" s="12"/>
      <c r="M696" s="12"/>
      <c r="N696" s="12"/>
      <c r="O696" s="12"/>
      <c r="P696" s="12"/>
    </row>
    <row r="697">
      <c r="A697" s="12"/>
      <c r="D697" s="95"/>
      <c r="E697" s="14"/>
      <c r="H697" s="12"/>
      <c r="I697" s="12"/>
      <c r="J697" s="12"/>
      <c r="K697" s="12"/>
      <c r="L697" s="12"/>
      <c r="M697" s="12"/>
      <c r="N697" s="12"/>
      <c r="O697" s="12"/>
      <c r="P697" s="12"/>
    </row>
    <row r="698">
      <c r="A698" s="12"/>
      <c r="D698" s="95"/>
      <c r="E698" s="14"/>
      <c r="H698" s="12"/>
      <c r="I698" s="12"/>
      <c r="J698" s="12"/>
      <c r="K698" s="12"/>
      <c r="L698" s="12"/>
      <c r="M698" s="12"/>
      <c r="N698" s="12"/>
      <c r="O698" s="12"/>
      <c r="P698" s="12"/>
    </row>
    <row r="699">
      <c r="A699" s="12"/>
      <c r="D699" s="95"/>
      <c r="E699" s="14"/>
      <c r="H699" s="12"/>
      <c r="I699" s="12"/>
      <c r="J699" s="12"/>
      <c r="K699" s="12"/>
      <c r="L699" s="12"/>
      <c r="M699" s="12"/>
      <c r="N699" s="12"/>
      <c r="O699" s="12"/>
      <c r="P699" s="12"/>
    </row>
    <row r="700">
      <c r="A700" s="12"/>
      <c r="D700" s="95"/>
      <c r="E700" s="14"/>
      <c r="H700" s="12"/>
      <c r="I700" s="12"/>
      <c r="J700" s="12"/>
      <c r="K700" s="12"/>
      <c r="L700" s="12"/>
      <c r="M700" s="12"/>
      <c r="N700" s="12"/>
      <c r="O700" s="12"/>
      <c r="P700" s="12"/>
    </row>
    <row r="701">
      <c r="A701" s="12"/>
      <c r="D701" s="95"/>
      <c r="E701" s="14"/>
      <c r="H701" s="12"/>
      <c r="I701" s="12"/>
      <c r="J701" s="12"/>
      <c r="K701" s="12"/>
      <c r="L701" s="12"/>
      <c r="M701" s="12"/>
      <c r="N701" s="12"/>
      <c r="O701" s="12"/>
      <c r="P701" s="12"/>
    </row>
    <row r="702">
      <c r="A702" s="12"/>
      <c r="D702" s="95"/>
      <c r="E702" s="14"/>
      <c r="H702" s="12"/>
      <c r="I702" s="12"/>
      <c r="J702" s="12"/>
      <c r="K702" s="12"/>
      <c r="L702" s="12"/>
      <c r="M702" s="12"/>
      <c r="N702" s="12"/>
      <c r="O702" s="12"/>
      <c r="P702" s="12"/>
    </row>
    <row r="703">
      <c r="A703" s="12"/>
      <c r="D703" s="95"/>
      <c r="E703" s="14"/>
      <c r="H703" s="12"/>
      <c r="I703" s="12"/>
      <c r="J703" s="12"/>
      <c r="K703" s="12"/>
      <c r="L703" s="12"/>
      <c r="M703" s="12"/>
      <c r="N703" s="12"/>
      <c r="O703" s="12"/>
      <c r="P703" s="12"/>
    </row>
    <row r="704">
      <c r="A704" s="12"/>
      <c r="D704" s="95"/>
      <c r="E704" s="14"/>
      <c r="H704" s="12"/>
      <c r="I704" s="12"/>
      <c r="J704" s="12"/>
      <c r="K704" s="12"/>
      <c r="L704" s="12"/>
      <c r="M704" s="12"/>
      <c r="N704" s="12"/>
      <c r="O704" s="12"/>
      <c r="P704" s="12"/>
    </row>
    <row r="705">
      <c r="A705" s="12"/>
      <c r="D705" s="95"/>
      <c r="E705" s="14"/>
      <c r="H705" s="12"/>
      <c r="I705" s="12"/>
      <c r="J705" s="12"/>
      <c r="K705" s="12"/>
      <c r="L705" s="12"/>
      <c r="M705" s="12"/>
      <c r="N705" s="12"/>
      <c r="O705" s="12"/>
      <c r="P705" s="12"/>
    </row>
    <row r="706">
      <c r="A706" s="12"/>
      <c r="D706" s="95"/>
      <c r="E706" s="14"/>
      <c r="H706" s="12"/>
      <c r="I706" s="12"/>
      <c r="J706" s="12"/>
      <c r="K706" s="12"/>
      <c r="L706" s="12"/>
      <c r="M706" s="12"/>
      <c r="N706" s="12"/>
      <c r="O706" s="12"/>
      <c r="P706" s="12"/>
    </row>
    <row r="707">
      <c r="A707" s="12"/>
      <c r="D707" s="95"/>
      <c r="E707" s="14"/>
      <c r="H707" s="12"/>
      <c r="I707" s="12"/>
      <c r="J707" s="12"/>
      <c r="K707" s="12"/>
      <c r="L707" s="12"/>
      <c r="M707" s="12"/>
      <c r="N707" s="12"/>
      <c r="O707" s="12"/>
      <c r="P707" s="12"/>
    </row>
    <row r="708">
      <c r="A708" s="12"/>
      <c r="D708" s="95"/>
      <c r="E708" s="14"/>
      <c r="H708" s="12"/>
      <c r="I708" s="12"/>
      <c r="J708" s="12"/>
      <c r="K708" s="12"/>
      <c r="L708" s="12"/>
      <c r="M708" s="12"/>
      <c r="N708" s="12"/>
      <c r="O708" s="12"/>
      <c r="P708" s="12"/>
    </row>
    <row r="709">
      <c r="A709" s="12"/>
      <c r="D709" s="95"/>
      <c r="E709" s="14"/>
      <c r="H709" s="12"/>
      <c r="I709" s="12"/>
      <c r="J709" s="12"/>
      <c r="K709" s="12"/>
      <c r="L709" s="12"/>
      <c r="M709" s="12"/>
      <c r="N709" s="12"/>
      <c r="O709" s="12"/>
      <c r="P709" s="12"/>
    </row>
    <row r="710">
      <c r="A710" s="12"/>
      <c r="D710" s="95"/>
      <c r="E710" s="14"/>
      <c r="H710" s="12"/>
      <c r="I710" s="12"/>
      <c r="J710" s="12"/>
      <c r="K710" s="12"/>
      <c r="L710" s="12"/>
      <c r="M710" s="12"/>
      <c r="N710" s="12"/>
      <c r="O710" s="12"/>
      <c r="P710" s="12"/>
    </row>
    <row r="711">
      <c r="A711" s="12"/>
      <c r="D711" s="95"/>
      <c r="E711" s="14"/>
      <c r="H711" s="12"/>
      <c r="I711" s="12"/>
      <c r="J711" s="12"/>
      <c r="K711" s="12"/>
      <c r="L711" s="12"/>
      <c r="M711" s="12"/>
      <c r="N711" s="12"/>
      <c r="O711" s="12"/>
      <c r="P711" s="12"/>
    </row>
    <row r="712">
      <c r="A712" s="12"/>
      <c r="D712" s="95"/>
      <c r="E712" s="14"/>
      <c r="H712" s="12"/>
      <c r="I712" s="12"/>
      <c r="J712" s="12"/>
      <c r="K712" s="12"/>
      <c r="L712" s="12"/>
      <c r="M712" s="12"/>
      <c r="N712" s="12"/>
      <c r="O712" s="12"/>
      <c r="P712" s="12"/>
    </row>
    <row r="713">
      <c r="A713" s="12"/>
      <c r="D713" s="95"/>
      <c r="E713" s="14"/>
      <c r="H713" s="12"/>
      <c r="I713" s="12"/>
      <c r="J713" s="12"/>
      <c r="K713" s="12"/>
      <c r="L713" s="12"/>
      <c r="M713" s="12"/>
      <c r="N713" s="12"/>
      <c r="O713" s="12"/>
      <c r="P713" s="12"/>
    </row>
    <row r="714">
      <c r="A714" s="12"/>
      <c r="D714" s="95"/>
      <c r="E714" s="14"/>
      <c r="H714" s="12"/>
      <c r="I714" s="12"/>
      <c r="J714" s="12"/>
      <c r="K714" s="12"/>
      <c r="L714" s="12"/>
      <c r="M714" s="12"/>
      <c r="N714" s="12"/>
      <c r="O714" s="12"/>
      <c r="P714" s="12"/>
    </row>
    <row r="715">
      <c r="A715" s="12"/>
      <c r="D715" s="95"/>
      <c r="E715" s="14"/>
      <c r="H715" s="12"/>
      <c r="I715" s="12"/>
      <c r="J715" s="12"/>
      <c r="K715" s="12"/>
      <c r="L715" s="12"/>
      <c r="M715" s="12"/>
      <c r="N715" s="12"/>
      <c r="O715" s="12"/>
      <c r="P715" s="12"/>
    </row>
    <row r="716">
      <c r="A716" s="12"/>
      <c r="D716" s="95"/>
      <c r="E716" s="14"/>
      <c r="H716" s="12"/>
      <c r="I716" s="12"/>
      <c r="J716" s="12"/>
      <c r="K716" s="12"/>
      <c r="L716" s="12"/>
      <c r="M716" s="12"/>
      <c r="N716" s="12"/>
      <c r="O716" s="12"/>
      <c r="P716" s="12"/>
    </row>
    <row r="717">
      <c r="A717" s="12"/>
      <c r="D717" s="95"/>
      <c r="E717" s="14"/>
      <c r="H717" s="12"/>
      <c r="I717" s="12"/>
      <c r="J717" s="12"/>
      <c r="K717" s="12"/>
      <c r="L717" s="12"/>
      <c r="M717" s="12"/>
      <c r="N717" s="12"/>
      <c r="O717" s="12"/>
      <c r="P717" s="12"/>
    </row>
    <row r="718">
      <c r="A718" s="12"/>
      <c r="D718" s="95"/>
      <c r="E718" s="14"/>
      <c r="H718" s="12"/>
      <c r="I718" s="12"/>
      <c r="J718" s="12"/>
      <c r="K718" s="12"/>
      <c r="L718" s="12"/>
      <c r="M718" s="12"/>
      <c r="N718" s="12"/>
      <c r="O718" s="12"/>
      <c r="P718" s="12"/>
    </row>
    <row r="719">
      <c r="A719" s="12"/>
      <c r="D719" s="95"/>
      <c r="E719" s="14"/>
      <c r="H719" s="12"/>
      <c r="I719" s="12"/>
      <c r="J719" s="12"/>
      <c r="K719" s="12"/>
      <c r="L719" s="12"/>
      <c r="M719" s="12"/>
      <c r="N719" s="12"/>
      <c r="O719" s="12"/>
      <c r="P719" s="12"/>
    </row>
    <row r="720">
      <c r="A720" s="12"/>
      <c r="D720" s="95"/>
      <c r="E720" s="14"/>
      <c r="H720" s="12"/>
      <c r="I720" s="12"/>
      <c r="J720" s="12"/>
      <c r="K720" s="12"/>
      <c r="L720" s="12"/>
      <c r="M720" s="12"/>
      <c r="N720" s="12"/>
      <c r="O720" s="12"/>
      <c r="P720" s="12"/>
    </row>
    <row r="721">
      <c r="A721" s="12"/>
      <c r="D721" s="95"/>
      <c r="E721" s="14"/>
      <c r="H721" s="12"/>
      <c r="I721" s="12"/>
      <c r="J721" s="12"/>
      <c r="K721" s="12"/>
      <c r="L721" s="12"/>
      <c r="M721" s="12"/>
      <c r="N721" s="12"/>
      <c r="O721" s="12"/>
      <c r="P721" s="12"/>
    </row>
    <row r="722">
      <c r="A722" s="12"/>
      <c r="D722" s="95"/>
      <c r="E722" s="14"/>
      <c r="H722" s="12"/>
      <c r="I722" s="12"/>
      <c r="J722" s="12"/>
      <c r="K722" s="12"/>
      <c r="L722" s="12"/>
      <c r="M722" s="12"/>
      <c r="N722" s="12"/>
      <c r="O722" s="12"/>
      <c r="P722" s="12"/>
    </row>
    <row r="723">
      <c r="A723" s="12"/>
      <c r="D723" s="95"/>
      <c r="E723" s="14"/>
      <c r="H723" s="12"/>
      <c r="I723" s="12"/>
      <c r="J723" s="12"/>
      <c r="K723" s="12"/>
      <c r="L723" s="12"/>
      <c r="M723" s="12"/>
      <c r="N723" s="12"/>
      <c r="O723" s="12"/>
      <c r="P723" s="12"/>
    </row>
    <row r="724">
      <c r="A724" s="12"/>
      <c r="D724" s="95"/>
      <c r="E724" s="14"/>
      <c r="H724" s="12"/>
      <c r="I724" s="12"/>
      <c r="J724" s="12"/>
      <c r="K724" s="12"/>
      <c r="L724" s="12"/>
      <c r="M724" s="12"/>
      <c r="N724" s="12"/>
      <c r="O724" s="12"/>
      <c r="P724" s="12"/>
    </row>
    <row r="725">
      <c r="A725" s="12"/>
      <c r="D725" s="95"/>
      <c r="E725" s="14"/>
      <c r="H725" s="12"/>
      <c r="I725" s="12"/>
      <c r="J725" s="12"/>
      <c r="K725" s="12"/>
      <c r="L725" s="12"/>
      <c r="M725" s="12"/>
      <c r="N725" s="12"/>
      <c r="O725" s="12"/>
      <c r="P725" s="12"/>
    </row>
    <row r="726">
      <c r="A726" s="12"/>
      <c r="D726" s="95"/>
      <c r="E726" s="14"/>
      <c r="H726" s="12"/>
      <c r="I726" s="12"/>
      <c r="J726" s="12"/>
      <c r="K726" s="12"/>
      <c r="L726" s="12"/>
      <c r="M726" s="12"/>
      <c r="N726" s="12"/>
      <c r="O726" s="12"/>
      <c r="P726" s="12"/>
    </row>
    <row r="727">
      <c r="A727" s="12"/>
      <c r="D727" s="95"/>
      <c r="E727" s="14"/>
      <c r="H727" s="12"/>
      <c r="I727" s="12"/>
      <c r="J727" s="12"/>
      <c r="K727" s="12"/>
      <c r="L727" s="12"/>
      <c r="M727" s="12"/>
      <c r="N727" s="12"/>
      <c r="O727" s="12"/>
      <c r="P727" s="12"/>
    </row>
    <row r="728">
      <c r="A728" s="12"/>
      <c r="D728" s="95"/>
      <c r="E728" s="14"/>
      <c r="H728" s="12"/>
      <c r="I728" s="12"/>
      <c r="J728" s="12"/>
      <c r="K728" s="12"/>
      <c r="L728" s="12"/>
      <c r="M728" s="12"/>
      <c r="N728" s="12"/>
      <c r="O728" s="12"/>
      <c r="P728" s="12"/>
    </row>
    <row r="729">
      <c r="A729" s="12"/>
      <c r="D729" s="95"/>
      <c r="E729" s="14"/>
      <c r="H729" s="12"/>
      <c r="I729" s="12"/>
      <c r="J729" s="12"/>
      <c r="K729" s="12"/>
      <c r="L729" s="12"/>
      <c r="M729" s="12"/>
      <c r="N729" s="12"/>
      <c r="O729" s="12"/>
      <c r="P729" s="12"/>
    </row>
    <row r="730">
      <c r="A730" s="12"/>
      <c r="D730" s="95"/>
      <c r="E730" s="14"/>
      <c r="H730" s="12"/>
      <c r="I730" s="12"/>
      <c r="J730" s="12"/>
      <c r="K730" s="12"/>
      <c r="L730" s="12"/>
      <c r="M730" s="12"/>
      <c r="N730" s="12"/>
      <c r="O730" s="12"/>
      <c r="P730" s="12"/>
    </row>
    <row r="731">
      <c r="A731" s="12"/>
      <c r="D731" s="95"/>
      <c r="E731" s="14"/>
      <c r="H731" s="12"/>
      <c r="I731" s="12"/>
      <c r="J731" s="12"/>
      <c r="K731" s="12"/>
      <c r="L731" s="12"/>
      <c r="M731" s="12"/>
      <c r="N731" s="12"/>
      <c r="O731" s="12"/>
      <c r="P731" s="12"/>
    </row>
    <row r="732">
      <c r="A732" s="12"/>
      <c r="D732" s="95"/>
      <c r="E732" s="14"/>
      <c r="H732" s="12"/>
      <c r="I732" s="12"/>
      <c r="J732" s="12"/>
      <c r="K732" s="12"/>
      <c r="L732" s="12"/>
      <c r="M732" s="12"/>
      <c r="N732" s="12"/>
      <c r="O732" s="12"/>
      <c r="P732" s="12"/>
    </row>
    <row r="733">
      <c r="A733" s="12"/>
      <c r="D733" s="95"/>
      <c r="E733" s="14"/>
      <c r="H733" s="12"/>
      <c r="I733" s="12"/>
      <c r="J733" s="12"/>
      <c r="K733" s="12"/>
      <c r="L733" s="12"/>
      <c r="M733" s="12"/>
      <c r="N733" s="12"/>
      <c r="O733" s="12"/>
      <c r="P733" s="12"/>
    </row>
    <row r="734">
      <c r="A734" s="12"/>
      <c r="D734" s="95"/>
      <c r="E734" s="14"/>
      <c r="H734" s="12"/>
      <c r="I734" s="12"/>
      <c r="J734" s="12"/>
      <c r="K734" s="12"/>
      <c r="L734" s="12"/>
      <c r="M734" s="12"/>
      <c r="N734" s="12"/>
      <c r="O734" s="12"/>
      <c r="P734" s="12"/>
    </row>
    <row r="735">
      <c r="A735" s="12"/>
      <c r="D735" s="95"/>
      <c r="E735" s="14"/>
      <c r="H735" s="12"/>
      <c r="I735" s="12"/>
      <c r="J735" s="12"/>
      <c r="K735" s="12"/>
      <c r="L735" s="12"/>
      <c r="M735" s="12"/>
      <c r="N735" s="12"/>
      <c r="O735" s="12"/>
      <c r="P735" s="12"/>
    </row>
    <row r="736">
      <c r="A736" s="12"/>
      <c r="D736" s="95"/>
      <c r="E736" s="14"/>
      <c r="H736" s="12"/>
      <c r="I736" s="12"/>
      <c r="J736" s="12"/>
      <c r="K736" s="12"/>
      <c r="L736" s="12"/>
      <c r="M736" s="12"/>
      <c r="N736" s="12"/>
      <c r="O736" s="12"/>
      <c r="P736" s="12"/>
    </row>
    <row r="737">
      <c r="A737" s="12"/>
      <c r="D737" s="95"/>
      <c r="E737" s="14"/>
      <c r="H737" s="12"/>
      <c r="I737" s="12"/>
      <c r="J737" s="12"/>
      <c r="K737" s="12"/>
      <c r="L737" s="12"/>
      <c r="M737" s="12"/>
      <c r="N737" s="12"/>
      <c r="O737" s="12"/>
      <c r="P737" s="12"/>
    </row>
    <row r="738">
      <c r="A738" s="12"/>
      <c r="D738" s="95"/>
      <c r="E738" s="14"/>
      <c r="H738" s="12"/>
      <c r="I738" s="12"/>
      <c r="J738" s="12"/>
      <c r="K738" s="12"/>
      <c r="L738" s="12"/>
      <c r="M738" s="12"/>
      <c r="N738" s="12"/>
      <c r="O738" s="12"/>
      <c r="P738" s="12"/>
    </row>
    <row r="739">
      <c r="A739" s="12"/>
      <c r="D739" s="95"/>
      <c r="E739" s="14"/>
      <c r="H739" s="12"/>
      <c r="I739" s="12"/>
      <c r="J739" s="12"/>
      <c r="K739" s="12"/>
      <c r="L739" s="12"/>
      <c r="M739" s="12"/>
      <c r="N739" s="12"/>
      <c r="O739" s="12"/>
      <c r="P739" s="12"/>
    </row>
    <row r="740">
      <c r="A740" s="12"/>
      <c r="D740" s="95"/>
      <c r="E740" s="14"/>
      <c r="H740" s="12"/>
      <c r="I740" s="12"/>
      <c r="J740" s="12"/>
      <c r="K740" s="12"/>
      <c r="L740" s="12"/>
      <c r="M740" s="12"/>
      <c r="N740" s="12"/>
      <c r="O740" s="12"/>
      <c r="P740" s="12"/>
    </row>
    <row r="741">
      <c r="A741" s="12"/>
      <c r="D741" s="95"/>
      <c r="E741" s="14"/>
      <c r="H741" s="12"/>
      <c r="I741" s="12"/>
      <c r="J741" s="12"/>
      <c r="K741" s="12"/>
      <c r="L741" s="12"/>
      <c r="M741" s="12"/>
      <c r="N741" s="12"/>
      <c r="O741" s="12"/>
      <c r="P741" s="12"/>
    </row>
    <row r="742">
      <c r="A742" s="12"/>
      <c r="D742" s="95"/>
      <c r="E742" s="14"/>
      <c r="H742" s="12"/>
      <c r="I742" s="12"/>
      <c r="J742" s="12"/>
      <c r="K742" s="12"/>
      <c r="L742" s="12"/>
      <c r="M742" s="12"/>
      <c r="N742" s="12"/>
      <c r="O742" s="12"/>
      <c r="P742" s="12"/>
    </row>
    <row r="743">
      <c r="A743" s="12"/>
      <c r="D743" s="95"/>
      <c r="E743" s="14"/>
      <c r="H743" s="12"/>
      <c r="I743" s="12"/>
      <c r="J743" s="12"/>
      <c r="K743" s="12"/>
      <c r="L743" s="12"/>
      <c r="M743" s="12"/>
      <c r="N743" s="12"/>
      <c r="O743" s="12"/>
      <c r="P743" s="12"/>
    </row>
    <row r="744">
      <c r="A744" s="12"/>
      <c r="D744" s="95"/>
      <c r="E744" s="14"/>
      <c r="H744" s="12"/>
      <c r="I744" s="12"/>
      <c r="J744" s="12"/>
      <c r="K744" s="12"/>
      <c r="L744" s="12"/>
      <c r="M744" s="12"/>
      <c r="N744" s="12"/>
      <c r="O744" s="12"/>
      <c r="P744" s="12"/>
    </row>
    <row r="745">
      <c r="A745" s="12"/>
      <c r="D745" s="95"/>
      <c r="E745" s="14"/>
      <c r="H745" s="12"/>
      <c r="I745" s="12"/>
      <c r="J745" s="12"/>
      <c r="K745" s="12"/>
      <c r="L745" s="12"/>
      <c r="M745" s="12"/>
      <c r="N745" s="12"/>
      <c r="O745" s="12"/>
      <c r="P745" s="12"/>
    </row>
    <row r="746">
      <c r="A746" s="12"/>
      <c r="D746" s="95"/>
      <c r="E746" s="14"/>
      <c r="H746" s="12"/>
      <c r="I746" s="12"/>
      <c r="J746" s="12"/>
      <c r="K746" s="12"/>
      <c r="L746" s="12"/>
      <c r="M746" s="12"/>
      <c r="N746" s="12"/>
      <c r="O746" s="12"/>
      <c r="P746" s="12"/>
    </row>
    <row r="747">
      <c r="A747" s="12"/>
      <c r="D747" s="95"/>
      <c r="E747" s="14"/>
      <c r="H747" s="12"/>
      <c r="I747" s="12"/>
      <c r="J747" s="12"/>
      <c r="K747" s="12"/>
      <c r="L747" s="12"/>
      <c r="M747" s="12"/>
      <c r="N747" s="12"/>
      <c r="O747" s="12"/>
      <c r="P747" s="12"/>
    </row>
    <row r="748">
      <c r="A748" s="12"/>
      <c r="D748" s="95"/>
      <c r="E748" s="14"/>
      <c r="H748" s="12"/>
      <c r="I748" s="12"/>
      <c r="J748" s="12"/>
      <c r="K748" s="12"/>
      <c r="L748" s="12"/>
      <c r="M748" s="12"/>
      <c r="N748" s="12"/>
      <c r="O748" s="12"/>
      <c r="P748" s="12"/>
    </row>
    <row r="749">
      <c r="A749" s="12"/>
      <c r="D749" s="95"/>
      <c r="E749" s="14"/>
      <c r="H749" s="12"/>
      <c r="I749" s="12"/>
      <c r="J749" s="12"/>
      <c r="K749" s="12"/>
      <c r="L749" s="12"/>
      <c r="M749" s="12"/>
      <c r="N749" s="12"/>
      <c r="O749" s="12"/>
      <c r="P749" s="12"/>
    </row>
    <row r="750">
      <c r="A750" s="12"/>
      <c r="D750" s="95"/>
      <c r="E750" s="14"/>
      <c r="H750" s="12"/>
      <c r="I750" s="12"/>
      <c r="J750" s="12"/>
      <c r="K750" s="12"/>
      <c r="L750" s="12"/>
      <c r="M750" s="12"/>
      <c r="N750" s="12"/>
      <c r="O750" s="12"/>
      <c r="P750" s="12"/>
    </row>
    <row r="751">
      <c r="A751" s="12"/>
      <c r="D751" s="95"/>
      <c r="E751" s="14"/>
      <c r="H751" s="12"/>
      <c r="I751" s="12"/>
      <c r="J751" s="12"/>
      <c r="K751" s="12"/>
      <c r="L751" s="12"/>
      <c r="M751" s="12"/>
      <c r="N751" s="12"/>
      <c r="O751" s="12"/>
      <c r="P751" s="12"/>
    </row>
    <row r="752">
      <c r="A752" s="12"/>
      <c r="D752" s="95"/>
      <c r="E752" s="14"/>
      <c r="H752" s="12"/>
      <c r="I752" s="12"/>
      <c r="J752" s="12"/>
      <c r="K752" s="12"/>
      <c r="L752" s="12"/>
      <c r="M752" s="12"/>
      <c r="N752" s="12"/>
      <c r="O752" s="12"/>
      <c r="P752" s="12"/>
    </row>
    <row r="753">
      <c r="A753" s="12"/>
      <c r="D753" s="95"/>
      <c r="E753" s="14"/>
      <c r="H753" s="12"/>
      <c r="I753" s="12"/>
      <c r="J753" s="12"/>
      <c r="K753" s="12"/>
      <c r="L753" s="12"/>
      <c r="M753" s="12"/>
      <c r="N753" s="12"/>
      <c r="O753" s="12"/>
      <c r="P753" s="12"/>
    </row>
    <row r="754">
      <c r="A754" s="12"/>
      <c r="D754" s="95"/>
      <c r="E754" s="14"/>
      <c r="H754" s="12"/>
      <c r="I754" s="12"/>
      <c r="J754" s="12"/>
      <c r="K754" s="12"/>
      <c r="L754" s="12"/>
      <c r="M754" s="12"/>
      <c r="N754" s="12"/>
      <c r="O754" s="12"/>
      <c r="P754" s="12"/>
    </row>
    <row r="755">
      <c r="A755" s="12"/>
      <c r="D755" s="95"/>
      <c r="E755" s="14"/>
      <c r="H755" s="12"/>
      <c r="I755" s="12"/>
      <c r="J755" s="12"/>
      <c r="K755" s="12"/>
      <c r="L755" s="12"/>
      <c r="M755" s="12"/>
      <c r="N755" s="12"/>
      <c r="O755" s="12"/>
      <c r="P755" s="12"/>
    </row>
    <row r="756">
      <c r="A756" s="12"/>
      <c r="D756" s="95"/>
      <c r="E756" s="14"/>
      <c r="H756" s="12"/>
      <c r="I756" s="12"/>
      <c r="J756" s="12"/>
      <c r="K756" s="12"/>
      <c r="L756" s="12"/>
      <c r="M756" s="12"/>
      <c r="N756" s="12"/>
      <c r="O756" s="12"/>
      <c r="P756" s="12"/>
    </row>
    <row r="757">
      <c r="A757" s="12"/>
      <c r="D757" s="95"/>
      <c r="E757" s="14"/>
      <c r="H757" s="12"/>
      <c r="I757" s="12"/>
      <c r="J757" s="12"/>
      <c r="K757" s="12"/>
      <c r="L757" s="12"/>
      <c r="M757" s="12"/>
      <c r="N757" s="12"/>
      <c r="O757" s="12"/>
      <c r="P757" s="12"/>
    </row>
    <row r="758">
      <c r="A758" s="12"/>
      <c r="D758" s="95"/>
      <c r="E758" s="14"/>
      <c r="H758" s="12"/>
      <c r="I758" s="12"/>
      <c r="J758" s="12"/>
      <c r="K758" s="12"/>
      <c r="L758" s="12"/>
      <c r="M758" s="12"/>
      <c r="N758" s="12"/>
      <c r="O758" s="12"/>
      <c r="P758" s="12"/>
    </row>
    <row r="759">
      <c r="A759" s="12"/>
      <c r="D759" s="95"/>
      <c r="E759" s="14"/>
      <c r="H759" s="12"/>
      <c r="I759" s="12"/>
      <c r="J759" s="12"/>
      <c r="K759" s="12"/>
      <c r="L759" s="12"/>
      <c r="M759" s="12"/>
      <c r="N759" s="12"/>
      <c r="O759" s="12"/>
      <c r="P759" s="12"/>
    </row>
    <row r="760">
      <c r="A760" s="12"/>
      <c r="D760" s="95"/>
      <c r="E760" s="14"/>
      <c r="H760" s="12"/>
      <c r="I760" s="12"/>
      <c r="J760" s="12"/>
      <c r="K760" s="12"/>
      <c r="L760" s="12"/>
      <c r="M760" s="12"/>
      <c r="N760" s="12"/>
      <c r="O760" s="12"/>
      <c r="P760" s="12"/>
    </row>
    <row r="761">
      <c r="A761" s="12"/>
      <c r="D761" s="95"/>
      <c r="E761" s="14"/>
      <c r="H761" s="12"/>
      <c r="I761" s="12"/>
      <c r="J761" s="12"/>
      <c r="K761" s="12"/>
      <c r="L761" s="12"/>
      <c r="M761" s="12"/>
      <c r="N761" s="12"/>
      <c r="O761" s="12"/>
      <c r="P761" s="12"/>
    </row>
    <row r="762">
      <c r="A762" s="12"/>
      <c r="D762" s="95"/>
      <c r="E762" s="14"/>
      <c r="H762" s="12"/>
      <c r="I762" s="12"/>
      <c r="J762" s="12"/>
      <c r="K762" s="12"/>
      <c r="L762" s="12"/>
      <c r="M762" s="12"/>
      <c r="N762" s="12"/>
      <c r="O762" s="12"/>
      <c r="P762" s="12"/>
    </row>
    <row r="763">
      <c r="A763" s="12"/>
      <c r="D763" s="95"/>
      <c r="E763" s="14"/>
      <c r="H763" s="12"/>
      <c r="I763" s="12"/>
      <c r="J763" s="12"/>
      <c r="K763" s="12"/>
      <c r="L763" s="12"/>
      <c r="M763" s="12"/>
      <c r="N763" s="12"/>
      <c r="O763" s="12"/>
      <c r="P763" s="12"/>
    </row>
    <row r="764">
      <c r="A764" s="12"/>
      <c r="D764" s="95"/>
      <c r="E764" s="14"/>
      <c r="H764" s="12"/>
      <c r="I764" s="12"/>
      <c r="J764" s="12"/>
      <c r="K764" s="12"/>
      <c r="L764" s="12"/>
      <c r="M764" s="12"/>
      <c r="N764" s="12"/>
      <c r="O764" s="12"/>
      <c r="P764" s="12"/>
    </row>
    <row r="765">
      <c r="A765" s="12"/>
      <c r="D765" s="95"/>
      <c r="E765" s="14"/>
      <c r="H765" s="12"/>
      <c r="I765" s="12"/>
      <c r="J765" s="12"/>
      <c r="K765" s="12"/>
      <c r="L765" s="12"/>
      <c r="M765" s="12"/>
      <c r="N765" s="12"/>
      <c r="O765" s="12"/>
      <c r="P765" s="12"/>
    </row>
    <row r="766">
      <c r="A766" s="12"/>
      <c r="D766" s="95"/>
      <c r="E766" s="14"/>
      <c r="H766" s="12"/>
      <c r="I766" s="12"/>
      <c r="J766" s="12"/>
      <c r="K766" s="12"/>
      <c r="L766" s="12"/>
      <c r="M766" s="12"/>
      <c r="N766" s="12"/>
      <c r="O766" s="12"/>
      <c r="P766" s="12"/>
    </row>
    <row r="767">
      <c r="A767" s="12"/>
      <c r="D767" s="95"/>
      <c r="E767" s="14"/>
      <c r="H767" s="12"/>
      <c r="I767" s="12"/>
      <c r="J767" s="12"/>
      <c r="K767" s="12"/>
      <c r="L767" s="12"/>
      <c r="M767" s="12"/>
      <c r="N767" s="12"/>
      <c r="O767" s="12"/>
      <c r="P767" s="12"/>
    </row>
    <row r="768">
      <c r="A768" s="12"/>
      <c r="D768" s="95"/>
      <c r="E768" s="14"/>
      <c r="H768" s="12"/>
      <c r="I768" s="12"/>
      <c r="J768" s="12"/>
      <c r="K768" s="12"/>
      <c r="L768" s="12"/>
      <c r="M768" s="12"/>
      <c r="N768" s="12"/>
      <c r="O768" s="12"/>
      <c r="P768" s="12"/>
    </row>
    <row r="769">
      <c r="A769" s="12"/>
      <c r="D769" s="95"/>
      <c r="E769" s="14"/>
      <c r="H769" s="12"/>
      <c r="I769" s="12"/>
      <c r="J769" s="12"/>
      <c r="K769" s="12"/>
      <c r="L769" s="12"/>
      <c r="M769" s="12"/>
      <c r="N769" s="12"/>
      <c r="O769" s="12"/>
      <c r="P769" s="12"/>
    </row>
    <row r="770">
      <c r="A770" s="12"/>
      <c r="D770" s="95"/>
      <c r="E770" s="14"/>
      <c r="H770" s="12"/>
      <c r="I770" s="12"/>
      <c r="J770" s="12"/>
      <c r="K770" s="12"/>
      <c r="L770" s="12"/>
      <c r="M770" s="12"/>
      <c r="N770" s="12"/>
      <c r="O770" s="12"/>
      <c r="P770" s="12"/>
    </row>
    <row r="771">
      <c r="A771" s="12"/>
      <c r="D771" s="95"/>
      <c r="E771" s="14"/>
      <c r="H771" s="12"/>
      <c r="I771" s="12"/>
      <c r="J771" s="12"/>
      <c r="K771" s="12"/>
      <c r="L771" s="12"/>
      <c r="M771" s="12"/>
      <c r="N771" s="12"/>
      <c r="O771" s="12"/>
      <c r="P771" s="12"/>
    </row>
    <row r="772">
      <c r="A772" s="12"/>
      <c r="D772" s="95"/>
      <c r="E772" s="14"/>
      <c r="H772" s="12"/>
      <c r="I772" s="12"/>
      <c r="J772" s="12"/>
      <c r="K772" s="12"/>
      <c r="L772" s="12"/>
      <c r="M772" s="12"/>
      <c r="N772" s="12"/>
      <c r="O772" s="12"/>
      <c r="P772" s="12"/>
    </row>
    <row r="773">
      <c r="A773" s="12"/>
      <c r="D773" s="95"/>
      <c r="E773" s="14"/>
      <c r="H773" s="12"/>
      <c r="I773" s="12"/>
      <c r="J773" s="12"/>
      <c r="K773" s="12"/>
      <c r="L773" s="12"/>
      <c r="M773" s="12"/>
      <c r="N773" s="12"/>
      <c r="O773" s="12"/>
      <c r="P773" s="12"/>
    </row>
    <row r="774">
      <c r="A774" s="12"/>
      <c r="D774" s="95"/>
      <c r="E774" s="14"/>
      <c r="H774" s="12"/>
      <c r="I774" s="12"/>
      <c r="J774" s="12"/>
      <c r="K774" s="12"/>
      <c r="L774" s="12"/>
      <c r="M774" s="12"/>
      <c r="N774" s="12"/>
      <c r="O774" s="12"/>
      <c r="P774" s="12"/>
    </row>
    <row r="775">
      <c r="A775" s="12"/>
      <c r="D775" s="95"/>
      <c r="E775" s="14"/>
      <c r="H775" s="12"/>
      <c r="I775" s="12"/>
      <c r="J775" s="12"/>
      <c r="K775" s="12"/>
      <c r="L775" s="12"/>
      <c r="M775" s="12"/>
      <c r="N775" s="12"/>
      <c r="O775" s="12"/>
      <c r="P775" s="12"/>
    </row>
    <row r="776">
      <c r="A776" s="12"/>
      <c r="D776" s="95"/>
      <c r="E776" s="14"/>
      <c r="H776" s="12"/>
      <c r="I776" s="12"/>
      <c r="J776" s="12"/>
      <c r="K776" s="12"/>
      <c r="L776" s="12"/>
      <c r="M776" s="12"/>
      <c r="N776" s="12"/>
      <c r="O776" s="12"/>
      <c r="P776" s="12"/>
    </row>
    <row r="777">
      <c r="A777" s="12"/>
      <c r="D777" s="95"/>
      <c r="E777" s="14"/>
      <c r="H777" s="12"/>
      <c r="I777" s="12"/>
      <c r="J777" s="12"/>
      <c r="K777" s="12"/>
      <c r="L777" s="12"/>
      <c r="M777" s="12"/>
      <c r="N777" s="12"/>
      <c r="O777" s="12"/>
      <c r="P777" s="12"/>
    </row>
    <row r="778">
      <c r="A778" s="12"/>
      <c r="D778" s="95"/>
      <c r="E778" s="14"/>
      <c r="H778" s="12"/>
      <c r="I778" s="12"/>
      <c r="J778" s="12"/>
      <c r="K778" s="12"/>
      <c r="L778" s="12"/>
      <c r="M778" s="12"/>
      <c r="N778" s="12"/>
      <c r="O778" s="12"/>
      <c r="P778" s="12"/>
    </row>
    <row r="779">
      <c r="A779" s="12"/>
      <c r="D779" s="95"/>
      <c r="E779" s="14"/>
      <c r="H779" s="12"/>
      <c r="I779" s="12"/>
      <c r="J779" s="12"/>
      <c r="K779" s="12"/>
      <c r="L779" s="12"/>
      <c r="M779" s="12"/>
      <c r="N779" s="12"/>
      <c r="O779" s="12"/>
      <c r="P779" s="12"/>
    </row>
    <row r="780">
      <c r="A780" s="12"/>
      <c r="D780" s="95"/>
      <c r="E780" s="14"/>
      <c r="H780" s="12"/>
      <c r="I780" s="12"/>
      <c r="J780" s="12"/>
      <c r="K780" s="12"/>
      <c r="L780" s="12"/>
      <c r="M780" s="12"/>
      <c r="N780" s="12"/>
      <c r="O780" s="12"/>
      <c r="P780" s="12"/>
    </row>
    <row r="781">
      <c r="A781" s="12"/>
      <c r="D781" s="95"/>
      <c r="E781" s="14"/>
      <c r="H781" s="12"/>
      <c r="I781" s="12"/>
      <c r="J781" s="12"/>
      <c r="K781" s="12"/>
      <c r="L781" s="12"/>
      <c r="M781" s="12"/>
      <c r="N781" s="12"/>
      <c r="O781" s="12"/>
      <c r="P781" s="12"/>
    </row>
    <row r="782">
      <c r="A782" s="12"/>
      <c r="D782" s="95"/>
      <c r="E782" s="14"/>
      <c r="H782" s="12"/>
      <c r="I782" s="12"/>
      <c r="J782" s="12"/>
      <c r="K782" s="12"/>
      <c r="L782" s="12"/>
      <c r="M782" s="12"/>
      <c r="N782" s="12"/>
      <c r="O782" s="12"/>
      <c r="P782" s="12"/>
    </row>
    <row r="783">
      <c r="A783" s="12"/>
      <c r="D783" s="95"/>
      <c r="E783" s="14"/>
      <c r="H783" s="12"/>
      <c r="I783" s="12"/>
      <c r="J783" s="12"/>
      <c r="K783" s="12"/>
      <c r="L783" s="12"/>
      <c r="M783" s="12"/>
      <c r="N783" s="12"/>
      <c r="O783" s="12"/>
      <c r="P783" s="12"/>
    </row>
    <row r="784">
      <c r="A784" s="12"/>
      <c r="D784" s="95"/>
      <c r="E784" s="14"/>
      <c r="H784" s="12"/>
      <c r="I784" s="12"/>
      <c r="J784" s="12"/>
      <c r="K784" s="12"/>
      <c r="L784" s="12"/>
      <c r="M784" s="12"/>
      <c r="N784" s="12"/>
      <c r="O784" s="12"/>
      <c r="P784" s="12"/>
    </row>
    <row r="785">
      <c r="A785" s="12"/>
      <c r="D785" s="95"/>
      <c r="E785" s="14"/>
      <c r="H785" s="12"/>
      <c r="I785" s="12"/>
      <c r="J785" s="12"/>
      <c r="K785" s="12"/>
      <c r="L785" s="12"/>
      <c r="M785" s="12"/>
      <c r="N785" s="12"/>
      <c r="O785" s="12"/>
      <c r="P785" s="12"/>
    </row>
    <row r="786">
      <c r="A786" s="12"/>
      <c r="D786" s="95"/>
      <c r="E786" s="14"/>
      <c r="H786" s="12"/>
      <c r="I786" s="12"/>
      <c r="J786" s="12"/>
      <c r="K786" s="12"/>
      <c r="L786" s="12"/>
      <c r="M786" s="12"/>
      <c r="N786" s="12"/>
      <c r="O786" s="12"/>
      <c r="P786" s="12"/>
    </row>
    <row r="787">
      <c r="A787" s="12"/>
      <c r="D787" s="95"/>
      <c r="E787" s="14"/>
      <c r="H787" s="12"/>
      <c r="I787" s="12"/>
      <c r="J787" s="12"/>
      <c r="K787" s="12"/>
      <c r="L787" s="12"/>
      <c r="M787" s="12"/>
      <c r="N787" s="12"/>
      <c r="O787" s="12"/>
      <c r="P787" s="12"/>
    </row>
    <row r="788">
      <c r="A788" s="12"/>
      <c r="D788" s="95"/>
      <c r="E788" s="14"/>
      <c r="H788" s="12"/>
      <c r="I788" s="12"/>
      <c r="J788" s="12"/>
      <c r="K788" s="12"/>
      <c r="L788" s="12"/>
      <c r="M788" s="12"/>
      <c r="N788" s="12"/>
      <c r="O788" s="12"/>
      <c r="P788" s="12"/>
    </row>
    <row r="789">
      <c r="A789" s="12"/>
      <c r="D789" s="95"/>
      <c r="E789" s="14"/>
      <c r="H789" s="12"/>
      <c r="I789" s="12"/>
      <c r="J789" s="12"/>
      <c r="K789" s="12"/>
      <c r="L789" s="12"/>
      <c r="M789" s="12"/>
      <c r="N789" s="12"/>
      <c r="O789" s="12"/>
      <c r="P789" s="12"/>
    </row>
    <row r="790">
      <c r="A790" s="12"/>
      <c r="D790" s="95"/>
      <c r="E790" s="14"/>
      <c r="H790" s="12"/>
      <c r="I790" s="12"/>
      <c r="J790" s="12"/>
      <c r="K790" s="12"/>
      <c r="L790" s="12"/>
      <c r="M790" s="12"/>
      <c r="N790" s="12"/>
      <c r="O790" s="12"/>
      <c r="P790" s="12"/>
    </row>
    <row r="791">
      <c r="A791" s="12"/>
      <c r="D791" s="95"/>
      <c r="E791" s="14"/>
      <c r="H791" s="12"/>
      <c r="I791" s="12"/>
      <c r="J791" s="12"/>
      <c r="K791" s="12"/>
      <c r="L791" s="12"/>
      <c r="M791" s="12"/>
      <c r="N791" s="12"/>
      <c r="O791" s="12"/>
      <c r="P791" s="12"/>
    </row>
    <row r="792">
      <c r="A792" s="12"/>
      <c r="D792" s="95"/>
      <c r="E792" s="14"/>
      <c r="H792" s="12"/>
      <c r="I792" s="12"/>
      <c r="J792" s="12"/>
      <c r="K792" s="12"/>
      <c r="L792" s="12"/>
      <c r="M792" s="12"/>
      <c r="N792" s="12"/>
      <c r="O792" s="12"/>
      <c r="P792" s="12"/>
    </row>
    <row r="793">
      <c r="A793" s="12"/>
      <c r="D793" s="95"/>
      <c r="E793" s="14"/>
      <c r="H793" s="12"/>
      <c r="I793" s="12"/>
      <c r="J793" s="12"/>
      <c r="K793" s="12"/>
      <c r="L793" s="12"/>
      <c r="M793" s="12"/>
      <c r="N793" s="12"/>
      <c r="O793" s="12"/>
      <c r="P793" s="12"/>
    </row>
    <row r="794">
      <c r="A794" s="12"/>
      <c r="D794" s="95"/>
      <c r="E794" s="14"/>
      <c r="H794" s="12"/>
      <c r="I794" s="12"/>
      <c r="J794" s="12"/>
      <c r="K794" s="12"/>
      <c r="L794" s="12"/>
      <c r="M794" s="12"/>
      <c r="N794" s="12"/>
      <c r="O794" s="12"/>
      <c r="P794" s="12"/>
    </row>
    <row r="795">
      <c r="A795" s="12"/>
      <c r="D795" s="95"/>
      <c r="E795" s="14"/>
      <c r="H795" s="12"/>
      <c r="I795" s="12"/>
      <c r="J795" s="12"/>
      <c r="K795" s="12"/>
      <c r="L795" s="12"/>
      <c r="M795" s="12"/>
      <c r="N795" s="12"/>
      <c r="O795" s="12"/>
      <c r="P795" s="12"/>
    </row>
    <row r="796">
      <c r="A796" s="12"/>
      <c r="D796" s="95"/>
      <c r="E796" s="14"/>
      <c r="H796" s="12"/>
      <c r="I796" s="12"/>
      <c r="J796" s="12"/>
      <c r="K796" s="12"/>
      <c r="L796" s="12"/>
      <c r="M796" s="12"/>
      <c r="N796" s="12"/>
      <c r="O796" s="12"/>
      <c r="P796" s="12"/>
    </row>
    <row r="797">
      <c r="A797" s="12"/>
      <c r="D797" s="95"/>
      <c r="E797" s="14"/>
      <c r="H797" s="12"/>
      <c r="I797" s="12"/>
      <c r="J797" s="12"/>
      <c r="K797" s="12"/>
      <c r="L797" s="12"/>
      <c r="M797" s="12"/>
      <c r="N797" s="12"/>
      <c r="O797" s="12"/>
      <c r="P797" s="12"/>
    </row>
    <row r="798">
      <c r="A798" s="12"/>
      <c r="D798" s="95"/>
      <c r="E798" s="14"/>
      <c r="H798" s="12"/>
      <c r="I798" s="12"/>
      <c r="J798" s="12"/>
      <c r="K798" s="12"/>
      <c r="L798" s="12"/>
      <c r="M798" s="12"/>
      <c r="N798" s="12"/>
      <c r="O798" s="12"/>
      <c r="P798" s="12"/>
    </row>
    <row r="799">
      <c r="A799" s="12"/>
      <c r="D799" s="95"/>
      <c r="E799" s="14"/>
      <c r="H799" s="12"/>
      <c r="I799" s="12"/>
      <c r="J799" s="12"/>
      <c r="K799" s="12"/>
      <c r="L799" s="12"/>
      <c r="M799" s="12"/>
      <c r="N799" s="12"/>
      <c r="O799" s="12"/>
      <c r="P799" s="12"/>
    </row>
    <row r="800">
      <c r="A800" s="12"/>
      <c r="D800" s="95"/>
      <c r="E800" s="14"/>
      <c r="H800" s="12"/>
      <c r="I800" s="12"/>
      <c r="J800" s="12"/>
      <c r="K800" s="12"/>
      <c r="L800" s="12"/>
      <c r="M800" s="12"/>
      <c r="N800" s="12"/>
      <c r="O800" s="12"/>
      <c r="P800" s="12"/>
    </row>
    <row r="801">
      <c r="A801" s="12"/>
      <c r="D801" s="95"/>
      <c r="E801" s="14"/>
      <c r="H801" s="12"/>
      <c r="I801" s="12"/>
      <c r="J801" s="12"/>
      <c r="K801" s="12"/>
      <c r="L801" s="12"/>
      <c r="M801" s="12"/>
      <c r="N801" s="12"/>
      <c r="O801" s="12"/>
      <c r="P801" s="12"/>
    </row>
    <row r="802">
      <c r="A802" s="12"/>
      <c r="D802" s="95"/>
      <c r="E802" s="14"/>
      <c r="H802" s="12"/>
      <c r="I802" s="12"/>
      <c r="J802" s="12"/>
      <c r="K802" s="12"/>
      <c r="L802" s="12"/>
      <c r="M802" s="12"/>
      <c r="N802" s="12"/>
      <c r="O802" s="12"/>
      <c r="P802" s="12"/>
    </row>
    <row r="803">
      <c r="A803" s="12"/>
      <c r="D803" s="95"/>
      <c r="E803" s="14"/>
      <c r="H803" s="12"/>
      <c r="I803" s="12"/>
      <c r="J803" s="12"/>
      <c r="K803" s="12"/>
      <c r="L803" s="12"/>
      <c r="M803" s="12"/>
      <c r="N803" s="12"/>
      <c r="O803" s="12"/>
      <c r="P803" s="12"/>
    </row>
    <row r="804">
      <c r="A804" s="12"/>
      <c r="D804" s="95"/>
      <c r="E804" s="14"/>
      <c r="H804" s="12"/>
      <c r="I804" s="12"/>
      <c r="J804" s="12"/>
      <c r="K804" s="12"/>
      <c r="L804" s="12"/>
      <c r="M804" s="12"/>
      <c r="N804" s="12"/>
      <c r="O804" s="12"/>
      <c r="P804" s="12"/>
    </row>
    <row r="805">
      <c r="A805" s="12"/>
      <c r="D805" s="95"/>
      <c r="E805" s="14"/>
      <c r="H805" s="12"/>
      <c r="I805" s="12"/>
      <c r="J805" s="12"/>
      <c r="K805" s="12"/>
      <c r="L805" s="12"/>
      <c r="M805" s="12"/>
      <c r="N805" s="12"/>
      <c r="O805" s="12"/>
      <c r="P805" s="12"/>
    </row>
    <row r="806">
      <c r="A806" s="12"/>
      <c r="D806" s="95"/>
      <c r="E806" s="14"/>
      <c r="H806" s="12"/>
      <c r="I806" s="12"/>
      <c r="J806" s="12"/>
      <c r="K806" s="12"/>
      <c r="L806" s="12"/>
      <c r="M806" s="12"/>
      <c r="N806" s="12"/>
      <c r="O806" s="12"/>
      <c r="P806" s="12"/>
    </row>
    <row r="807">
      <c r="A807" s="12"/>
      <c r="D807" s="95"/>
      <c r="E807" s="14"/>
      <c r="H807" s="12"/>
      <c r="I807" s="12"/>
      <c r="J807" s="12"/>
      <c r="K807" s="12"/>
      <c r="L807" s="12"/>
      <c r="M807" s="12"/>
      <c r="N807" s="12"/>
      <c r="O807" s="12"/>
      <c r="P807" s="12"/>
    </row>
    <row r="808">
      <c r="A808" s="12"/>
      <c r="D808" s="95"/>
      <c r="E808" s="14"/>
      <c r="H808" s="12"/>
      <c r="I808" s="12"/>
      <c r="J808" s="12"/>
      <c r="K808" s="12"/>
      <c r="L808" s="12"/>
      <c r="M808" s="12"/>
      <c r="N808" s="12"/>
      <c r="O808" s="12"/>
      <c r="P808" s="12"/>
    </row>
    <row r="809">
      <c r="A809" s="12"/>
      <c r="D809" s="95"/>
      <c r="E809" s="14"/>
      <c r="H809" s="12"/>
      <c r="I809" s="12"/>
      <c r="J809" s="12"/>
      <c r="K809" s="12"/>
      <c r="L809" s="12"/>
      <c r="M809" s="12"/>
      <c r="N809" s="12"/>
      <c r="O809" s="12"/>
      <c r="P809" s="12"/>
    </row>
    <row r="810">
      <c r="A810" s="12"/>
      <c r="D810" s="95"/>
      <c r="E810" s="14"/>
      <c r="H810" s="12"/>
      <c r="I810" s="12"/>
      <c r="J810" s="12"/>
      <c r="K810" s="12"/>
      <c r="L810" s="12"/>
      <c r="M810" s="12"/>
      <c r="N810" s="12"/>
      <c r="O810" s="12"/>
      <c r="P810" s="12"/>
    </row>
    <row r="811">
      <c r="A811" s="12"/>
      <c r="D811" s="95"/>
      <c r="E811" s="14"/>
      <c r="H811" s="12"/>
      <c r="I811" s="12"/>
      <c r="J811" s="12"/>
      <c r="K811" s="12"/>
      <c r="L811" s="12"/>
      <c r="M811" s="12"/>
      <c r="N811" s="12"/>
      <c r="O811" s="12"/>
      <c r="P811" s="12"/>
    </row>
    <row r="812">
      <c r="A812" s="12"/>
      <c r="D812" s="95"/>
      <c r="E812" s="14"/>
      <c r="H812" s="12"/>
      <c r="I812" s="12"/>
      <c r="J812" s="12"/>
      <c r="K812" s="12"/>
      <c r="L812" s="12"/>
      <c r="M812" s="12"/>
      <c r="N812" s="12"/>
      <c r="O812" s="12"/>
      <c r="P812" s="12"/>
    </row>
    <row r="813">
      <c r="A813" s="12"/>
      <c r="D813" s="95"/>
      <c r="E813" s="14"/>
      <c r="H813" s="12"/>
      <c r="I813" s="12"/>
      <c r="J813" s="12"/>
      <c r="K813" s="12"/>
      <c r="L813" s="12"/>
      <c r="M813" s="12"/>
      <c r="N813" s="12"/>
      <c r="O813" s="12"/>
      <c r="P813" s="12"/>
    </row>
    <row r="814">
      <c r="A814" s="12"/>
      <c r="D814" s="95"/>
      <c r="E814" s="14"/>
      <c r="H814" s="12"/>
      <c r="I814" s="12"/>
      <c r="J814" s="12"/>
      <c r="K814" s="12"/>
      <c r="L814" s="12"/>
      <c r="M814" s="12"/>
      <c r="N814" s="12"/>
      <c r="O814" s="12"/>
      <c r="P814" s="12"/>
    </row>
    <row r="815">
      <c r="A815" s="12"/>
      <c r="D815" s="95"/>
      <c r="E815" s="14"/>
      <c r="H815" s="12"/>
      <c r="I815" s="12"/>
      <c r="J815" s="12"/>
      <c r="K815" s="12"/>
      <c r="L815" s="12"/>
      <c r="M815" s="12"/>
      <c r="N815" s="12"/>
      <c r="O815" s="12"/>
      <c r="P815" s="12"/>
    </row>
    <row r="816">
      <c r="A816" s="12"/>
      <c r="D816" s="95"/>
      <c r="E816" s="14"/>
      <c r="H816" s="12"/>
      <c r="I816" s="12"/>
      <c r="J816" s="12"/>
      <c r="K816" s="12"/>
      <c r="L816" s="12"/>
      <c r="M816" s="12"/>
      <c r="N816" s="12"/>
      <c r="O816" s="12"/>
      <c r="P816" s="12"/>
    </row>
    <row r="817">
      <c r="A817" s="12"/>
      <c r="D817" s="95"/>
      <c r="E817" s="14"/>
      <c r="H817" s="12"/>
      <c r="I817" s="12"/>
      <c r="J817" s="12"/>
      <c r="K817" s="12"/>
      <c r="L817" s="12"/>
      <c r="M817" s="12"/>
      <c r="N817" s="12"/>
      <c r="O817" s="12"/>
      <c r="P817" s="12"/>
    </row>
    <row r="818">
      <c r="A818" s="12"/>
      <c r="D818" s="95"/>
      <c r="E818" s="14"/>
      <c r="H818" s="12"/>
      <c r="I818" s="12"/>
      <c r="J818" s="12"/>
      <c r="K818" s="12"/>
      <c r="L818" s="12"/>
      <c r="M818" s="12"/>
      <c r="N818" s="12"/>
      <c r="O818" s="12"/>
      <c r="P818" s="12"/>
    </row>
    <row r="819">
      <c r="A819" s="12"/>
      <c r="D819" s="95"/>
      <c r="E819" s="14"/>
      <c r="H819" s="12"/>
      <c r="I819" s="12"/>
      <c r="J819" s="12"/>
      <c r="K819" s="12"/>
      <c r="L819" s="12"/>
      <c r="M819" s="12"/>
      <c r="N819" s="12"/>
      <c r="O819" s="12"/>
      <c r="P819" s="12"/>
    </row>
    <row r="820">
      <c r="A820" s="12"/>
      <c r="D820" s="95"/>
      <c r="E820" s="14"/>
      <c r="H820" s="12"/>
      <c r="I820" s="12"/>
      <c r="J820" s="12"/>
      <c r="K820" s="12"/>
      <c r="L820" s="12"/>
      <c r="M820" s="12"/>
      <c r="N820" s="12"/>
      <c r="O820" s="12"/>
      <c r="P820" s="12"/>
    </row>
    <row r="821">
      <c r="A821" s="12"/>
      <c r="D821" s="95"/>
      <c r="E821" s="14"/>
      <c r="H821" s="12"/>
      <c r="I821" s="12"/>
      <c r="J821" s="12"/>
      <c r="K821" s="12"/>
      <c r="L821" s="12"/>
      <c r="M821" s="12"/>
      <c r="N821" s="12"/>
      <c r="O821" s="12"/>
      <c r="P821" s="12"/>
    </row>
    <row r="822">
      <c r="A822" s="12"/>
      <c r="D822" s="95"/>
      <c r="E822" s="14"/>
      <c r="H822" s="12"/>
      <c r="I822" s="12"/>
      <c r="J822" s="12"/>
      <c r="K822" s="12"/>
      <c r="L822" s="12"/>
      <c r="M822" s="12"/>
      <c r="N822" s="12"/>
      <c r="O822" s="12"/>
      <c r="P822" s="12"/>
    </row>
    <row r="823">
      <c r="A823" s="12"/>
      <c r="D823" s="95"/>
      <c r="E823" s="14"/>
      <c r="H823" s="12"/>
      <c r="I823" s="12"/>
      <c r="J823" s="12"/>
      <c r="K823" s="12"/>
      <c r="L823" s="12"/>
      <c r="M823" s="12"/>
      <c r="N823" s="12"/>
      <c r="O823" s="12"/>
      <c r="P823" s="12"/>
    </row>
    <row r="824">
      <c r="A824" s="12"/>
      <c r="D824" s="95"/>
      <c r="E824" s="14"/>
      <c r="H824" s="12"/>
      <c r="I824" s="12"/>
      <c r="J824" s="12"/>
      <c r="K824" s="12"/>
      <c r="L824" s="12"/>
      <c r="M824" s="12"/>
      <c r="N824" s="12"/>
      <c r="O824" s="12"/>
      <c r="P824" s="12"/>
    </row>
    <row r="825">
      <c r="A825" s="12"/>
      <c r="D825" s="95"/>
      <c r="E825" s="14"/>
      <c r="H825" s="12"/>
      <c r="I825" s="12"/>
      <c r="J825" s="12"/>
      <c r="K825" s="12"/>
      <c r="L825" s="12"/>
      <c r="M825" s="12"/>
      <c r="N825" s="12"/>
      <c r="O825" s="12"/>
      <c r="P825" s="12"/>
    </row>
    <row r="826">
      <c r="A826" s="12"/>
      <c r="D826" s="95"/>
      <c r="E826" s="14"/>
      <c r="H826" s="12"/>
      <c r="I826" s="12"/>
      <c r="J826" s="12"/>
      <c r="K826" s="12"/>
      <c r="L826" s="12"/>
      <c r="M826" s="12"/>
      <c r="N826" s="12"/>
      <c r="O826" s="12"/>
      <c r="P826" s="12"/>
    </row>
    <row r="827">
      <c r="A827" s="12"/>
      <c r="D827" s="95"/>
      <c r="E827" s="14"/>
      <c r="H827" s="12"/>
      <c r="I827" s="12"/>
      <c r="J827" s="12"/>
      <c r="K827" s="12"/>
      <c r="L827" s="12"/>
      <c r="M827" s="12"/>
      <c r="N827" s="12"/>
      <c r="O827" s="12"/>
      <c r="P827" s="12"/>
    </row>
    <row r="828">
      <c r="A828" s="12"/>
      <c r="D828" s="95"/>
      <c r="E828" s="14"/>
      <c r="H828" s="12"/>
      <c r="I828" s="12"/>
      <c r="J828" s="12"/>
      <c r="K828" s="12"/>
      <c r="L828" s="12"/>
      <c r="M828" s="12"/>
      <c r="N828" s="12"/>
      <c r="O828" s="12"/>
      <c r="P828" s="12"/>
    </row>
    <row r="829">
      <c r="A829" s="12"/>
      <c r="D829" s="95"/>
      <c r="E829" s="14"/>
      <c r="H829" s="12"/>
      <c r="I829" s="12"/>
      <c r="J829" s="12"/>
      <c r="K829" s="12"/>
      <c r="L829" s="12"/>
      <c r="M829" s="12"/>
      <c r="N829" s="12"/>
      <c r="O829" s="12"/>
      <c r="P829" s="12"/>
    </row>
    <row r="830">
      <c r="A830" s="12"/>
      <c r="D830" s="95"/>
      <c r="E830" s="14"/>
      <c r="H830" s="12"/>
      <c r="I830" s="12"/>
      <c r="J830" s="12"/>
      <c r="K830" s="12"/>
      <c r="L830" s="12"/>
      <c r="M830" s="12"/>
      <c r="N830" s="12"/>
      <c r="O830" s="12"/>
      <c r="P830" s="12"/>
    </row>
    <row r="831">
      <c r="A831" s="12"/>
      <c r="D831" s="95"/>
      <c r="E831" s="14"/>
      <c r="H831" s="12"/>
      <c r="I831" s="12"/>
      <c r="J831" s="12"/>
      <c r="K831" s="12"/>
      <c r="L831" s="12"/>
      <c r="M831" s="12"/>
      <c r="N831" s="12"/>
      <c r="O831" s="12"/>
      <c r="P831" s="12"/>
    </row>
    <row r="832">
      <c r="A832" s="12"/>
      <c r="D832" s="95"/>
      <c r="E832" s="14"/>
      <c r="H832" s="12"/>
      <c r="I832" s="12"/>
      <c r="J832" s="12"/>
      <c r="K832" s="12"/>
      <c r="L832" s="12"/>
      <c r="M832" s="12"/>
      <c r="N832" s="12"/>
      <c r="O832" s="12"/>
      <c r="P832" s="12"/>
    </row>
    <row r="833">
      <c r="A833" s="12"/>
      <c r="D833" s="95"/>
      <c r="E833" s="14"/>
      <c r="H833" s="12"/>
      <c r="I833" s="12"/>
      <c r="J833" s="12"/>
      <c r="K833" s="12"/>
      <c r="L833" s="12"/>
      <c r="M833" s="12"/>
      <c r="N833" s="12"/>
      <c r="O833" s="12"/>
      <c r="P833" s="12"/>
    </row>
    <row r="834">
      <c r="A834" s="12"/>
      <c r="D834" s="95"/>
      <c r="E834" s="14"/>
      <c r="H834" s="12"/>
      <c r="I834" s="12"/>
      <c r="J834" s="12"/>
      <c r="K834" s="12"/>
      <c r="L834" s="12"/>
      <c r="M834" s="12"/>
      <c r="N834" s="12"/>
      <c r="O834" s="12"/>
      <c r="P834" s="12"/>
    </row>
    <row r="835">
      <c r="A835" s="12"/>
      <c r="D835" s="95"/>
      <c r="E835" s="14"/>
      <c r="H835" s="12"/>
      <c r="I835" s="12"/>
      <c r="J835" s="12"/>
      <c r="K835" s="12"/>
      <c r="L835" s="12"/>
      <c r="M835" s="12"/>
      <c r="N835" s="12"/>
      <c r="O835" s="12"/>
      <c r="P835" s="12"/>
    </row>
    <row r="836">
      <c r="A836" s="12"/>
      <c r="D836" s="95"/>
      <c r="E836" s="14"/>
      <c r="H836" s="12"/>
      <c r="I836" s="12"/>
      <c r="J836" s="12"/>
      <c r="K836" s="12"/>
      <c r="L836" s="12"/>
      <c r="M836" s="12"/>
      <c r="N836" s="12"/>
      <c r="O836" s="12"/>
      <c r="P836" s="12"/>
    </row>
    <row r="837">
      <c r="A837" s="12"/>
      <c r="D837" s="95"/>
      <c r="E837" s="14"/>
      <c r="H837" s="12"/>
      <c r="I837" s="12"/>
      <c r="J837" s="12"/>
      <c r="K837" s="12"/>
      <c r="L837" s="12"/>
      <c r="M837" s="12"/>
      <c r="N837" s="12"/>
      <c r="O837" s="12"/>
      <c r="P837" s="12"/>
    </row>
    <row r="838">
      <c r="A838" s="12"/>
      <c r="D838" s="95"/>
      <c r="E838" s="14"/>
      <c r="H838" s="12"/>
      <c r="I838" s="12"/>
      <c r="J838" s="12"/>
      <c r="K838" s="12"/>
      <c r="L838" s="12"/>
      <c r="M838" s="12"/>
      <c r="N838" s="12"/>
      <c r="O838" s="12"/>
      <c r="P838" s="12"/>
    </row>
    <row r="839">
      <c r="A839" s="12"/>
      <c r="D839" s="95"/>
      <c r="E839" s="14"/>
      <c r="H839" s="12"/>
      <c r="I839" s="12"/>
      <c r="J839" s="12"/>
      <c r="K839" s="12"/>
      <c r="L839" s="12"/>
      <c r="M839" s="12"/>
      <c r="N839" s="12"/>
      <c r="O839" s="12"/>
      <c r="P839" s="12"/>
    </row>
    <row r="840">
      <c r="A840" s="12"/>
      <c r="D840" s="95"/>
      <c r="E840" s="14"/>
      <c r="H840" s="12"/>
      <c r="I840" s="12"/>
      <c r="J840" s="12"/>
      <c r="K840" s="12"/>
      <c r="L840" s="12"/>
      <c r="M840" s="12"/>
      <c r="N840" s="12"/>
      <c r="O840" s="12"/>
      <c r="P840" s="12"/>
    </row>
    <row r="841">
      <c r="A841" s="12"/>
      <c r="D841" s="95"/>
      <c r="E841" s="14"/>
      <c r="H841" s="12"/>
      <c r="I841" s="12"/>
      <c r="J841" s="12"/>
      <c r="K841" s="12"/>
      <c r="L841" s="12"/>
      <c r="M841" s="12"/>
      <c r="N841" s="12"/>
      <c r="O841" s="12"/>
      <c r="P841" s="12"/>
    </row>
    <row r="842">
      <c r="A842" s="12"/>
      <c r="D842" s="95"/>
      <c r="E842" s="14"/>
      <c r="H842" s="12"/>
      <c r="I842" s="12"/>
      <c r="J842" s="12"/>
      <c r="K842" s="12"/>
      <c r="L842" s="12"/>
      <c r="M842" s="12"/>
      <c r="N842" s="12"/>
      <c r="O842" s="12"/>
      <c r="P842" s="12"/>
    </row>
    <row r="843">
      <c r="A843" s="12"/>
      <c r="D843" s="95"/>
      <c r="E843" s="14"/>
      <c r="H843" s="12"/>
      <c r="I843" s="12"/>
      <c r="J843" s="12"/>
      <c r="K843" s="12"/>
      <c r="L843" s="12"/>
      <c r="M843" s="12"/>
      <c r="N843" s="12"/>
      <c r="O843" s="12"/>
      <c r="P843" s="12"/>
    </row>
    <row r="844">
      <c r="A844" s="12"/>
      <c r="D844" s="95"/>
      <c r="E844" s="14"/>
      <c r="H844" s="12"/>
      <c r="I844" s="12"/>
      <c r="J844" s="12"/>
      <c r="K844" s="12"/>
      <c r="L844" s="12"/>
      <c r="M844" s="12"/>
      <c r="N844" s="12"/>
      <c r="O844" s="12"/>
      <c r="P844" s="12"/>
    </row>
    <row r="845">
      <c r="A845" s="12"/>
      <c r="D845" s="95"/>
      <c r="E845" s="14"/>
      <c r="H845" s="12"/>
      <c r="I845" s="12"/>
      <c r="J845" s="12"/>
      <c r="K845" s="12"/>
      <c r="L845" s="12"/>
      <c r="M845" s="12"/>
      <c r="N845" s="12"/>
      <c r="O845" s="12"/>
      <c r="P845" s="12"/>
    </row>
    <row r="846">
      <c r="A846" s="12"/>
      <c r="D846" s="95"/>
      <c r="E846" s="14"/>
      <c r="H846" s="12"/>
      <c r="I846" s="12"/>
      <c r="J846" s="12"/>
      <c r="K846" s="12"/>
      <c r="L846" s="12"/>
      <c r="M846" s="12"/>
      <c r="N846" s="12"/>
      <c r="O846" s="12"/>
      <c r="P846" s="12"/>
    </row>
    <row r="847">
      <c r="A847" s="12"/>
      <c r="D847" s="95"/>
      <c r="E847" s="14"/>
      <c r="H847" s="12"/>
      <c r="I847" s="12"/>
      <c r="J847" s="12"/>
      <c r="K847" s="12"/>
      <c r="L847" s="12"/>
      <c r="M847" s="12"/>
      <c r="N847" s="12"/>
      <c r="O847" s="12"/>
      <c r="P847" s="12"/>
    </row>
    <row r="848">
      <c r="A848" s="12"/>
      <c r="D848" s="95"/>
      <c r="E848" s="14"/>
      <c r="H848" s="12"/>
      <c r="I848" s="12"/>
      <c r="J848" s="12"/>
      <c r="K848" s="12"/>
      <c r="L848" s="12"/>
      <c r="M848" s="12"/>
      <c r="N848" s="12"/>
      <c r="O848" s="12"/>
      <c r="P848" s="12"/>
    </row>
    <row r="849">
      <c r="A849" s="12"/>
      <c r="D849" s="95"/>
      <c r="E849" s="14"/>
      <c r="H849" s="12"/>
      <c r="I849" s="12"/>
      <c r="J849" s="12"/>
      <c r="K849" s="12"/>
      <c r="L849" s="12"/>
      <c r="M849" s="12"/>
      <c r="N849" s="12"/>
      <c r="O849" s="12"/>
      <c r="P849" s="12"/>
    </row>
    <row r="850">
      <c r="A850" s="12"/>
      <c r="D850" s="95"/>
      <c r="E850" s="14"/>
      <c r="H850" s="12"/>
      <c r="I850" s="12"/>
      <c r="J850" s="12"/>
      <c r="K850" s="12"/>
      <c r="L850" s="12"/>
      <c r="M850" s="12"/>
      <c r="N850" s="12"/>
      <c r="O850" s="12"/>
      <c r="P850" s="12"/>
    </row>
    <row r="851">
      <c r="A851" s="12"/>
      <c r="D851" s="95"/>
      <c r="E851" s="14"/>
      <c r="H851" s="12"/>
      <c r="I851" s="12"/>
      <c r="J851" s="12"/>
      <c r="K851" s="12"/>
      <c r="L851" s="12"/>
      <c r="M851" s="12"/>
      <c r="N851" s="12"/>
      <c r="O851" s="12"/>
      <c r="P851" s="12"/>
    </row>
    <row r="852">
      <c r="A852" s="12"/>
      <c r="D852" s="95"/>
      <c r="E852" s="14"/>
      <c r="H852" s="12"/>
      <c r="I852" s="12"/>
      <c r="J852" s="12"/>
      <c r="K852" s="12"/>
      <c r="L852" s="12"/>
      <c r="M852" s="12"/>
      <c r="N852" s="12"/>
      <c r="O852" s="12"/>
      <c r="P852" s="12"/>
    </row>
    <row r="853">
      <c r="A853" s="12"/>
      <c r="D853" s="95"/>
      <c r="E853" s="14"/>
      <c r="H853" s="12"/>
      <c r="I853" s="12"/>
      <c r="J853" s="12"/>
      <c r="K853" s="12"/>
      <c r="L853" s="12"/>
      <c r="M853" s="12"/>
      <c r="N853" s="12"/>
      <c r="O853" s="12"/>
      <c r="P853" s="12"/>
    </row>
    <row r="854">
      <c r="A854" s="12"/>
      <c r="D854" s="95"/>
      <c r="E854" s="14"/>
      <c r="H854" s="12"/>
      <c r="I854" s="12"/>
      <c r="J854" s="12"/>
      <c r="K854" s="12"/>
      <c r="L854" s="12"/>
      <c r="M854" s="12"/>
      <c r="N854" s="12"/>
      <c r="O854" s="12"/>
      <c r="P854" s="12"/>
    </row>
    <row r="855">
      <c r="A855" s="12"/>
      <c r="D855" s="95"/>
      <c r="E855" s="14"/>
      <c r="H855" s="12"/>
      <c r="I855" s="12"/>
      <c r="J855" s="12"/>
      <c r="K855" s="12"/>
      <c r="L855" s="12"/>
      <c r="M855" s="12"/>
      <c r="N855" s="12"/>
      <c r="O855" s="12"/>
      <c r="P855" s="12"/>
    </row>
    <row r="856">
      <c r="A856" s="12"/>
      <c r="D856" s="95"/>
      <c r="E856" s="14"/>
      <c r="H856" s="12"/>
      <c r="I856" s="12"/>
      <c r="J856" s="12"/>
      <c r="K856" s="12"/>
      <c r="L856" s="12"/>
      <c r="M856" s="12"/>
      <c r="N856" s="12"/>
      <c r="O856" s="12"/>
      <c r="P856" s="12"/>
    </row>
    <row r="857">
      <c r="A857" s="12"/>
      <c r="D857" s="95"/>
      <c r="E857" s="14"/>
      <c r="H857" s="12"/>
      <c r="I857" s="12"/>
      <c r="J857" s="12"/>
      <c r="K857" s="12"/>
      <c r="L857" s="12"/>
      <c r="M857" s="12"/>
      <c r="N857" s="12"/>
      <c r="O857" s="12"/>
      <c r="P857" s="12"/>
    </row>
    <row r="858">
      <c r="A858" s="12"/>
      <c r="D858" s="95"/>
      <c r="E858" s="14"/>
      <c r="H858" s="12"/>
      <c r="I858" s="12"/>
      <c r="J858" s="12"/>
      <c r="K858" s="12"/>
      <c r="L858" s="12"/>
      <c r="M858" s="12"/>
      <c r="N858" s="12"/>
      <c r="O858" s="12"/>
      <c r="P858" s="12"/>
    </row>
    <row r="859">
      <c r="A859" s="12"/>
      <c r="D859" s="95"/>
      <c r="E859" s="14"/>
      <c r="H859" s="12"/>
      <c r="I859" s="12"/>
      <c r="J859" s="12"/>
      <c r="K859" s="12"/>
      <c r="L859" s="12"/>
      <c r="M859" s="12"/>
      <c r="N859" s="12"/>
      <c r="O859" s="12"/>
      <c r="P859" s="12"/>
    </row>
    <row r="860">
      <c r="A860" s="12"/>
      <c r="D860" s="95"/>
      <c r="E860" s="14"/>
      <c r="H860" s="12"/>
      <c r="I860" s="12"/>
      <c r="J860" s="12"/>
      <c r="K860" s="12"/>
      <c r="L860" s="12"/>
      <c r="M860" s="12"/>
      <c r="N860" s="12"/>
      <c r="O860" s="12"/>
      <c r="P860" s="12"/>
    </row>
    <row r="861">
      <c r="A861" s="12"/>
      <c r="D861" s="95"/>
      <c r="E861" s="14"/>
      <c r="H861" s="12"/>
      <c r="I861" s="12"/>
      <c r="J861" s="12"/>
      <c r="K861" s="12"/>
      <c r="L861" s="12"/>
      <c r="M861" s="12"/>
      <c r="N861" s="12"/>
      <c r="O861" s="12"/>
      <c r="P861" s="12"/>
    </row>
    <row r="862">
      <c r="A862" s="12"/>
      <c r="D862" s="95"/>
      <c r="E862" s="14"/>
      <c r="H862" s="12"/>
      <c r="I862" s="12"/>
      <c r="J862" s="12"/>
      <c r="K862" s="12"/>
      <c r="L862" s="12"/>
      <c r="M862" s="12"/>
      <c r="N862" s="12"/>
      <c r="O862" s="12"/>
      <c r="P862" s="12"/>
    </row>
    <row r="863">
      <c r="A863" s="12"/>
      <c r="D863" s="95"/>
      <c r="E863" s="14"/>
      <c r="H863" s="12"/>
      <c r="I863" s="12"/>
      <c r="J863" s="12"/>
      <c r="K863" s="12"/>
      <c r="L863" s="12"/>
      <c r="M863" s="12"/>
      <c r="N863" s="12"/>
      <c r="O863" s="12"/>
      <c r="P863" s="12"/>
    </row>
    <row r="864">
      <c r="A864" s="12"/>
      <c r="D864" s="95"/>
      <c r="E864" s="14"/>
      <c r="H864" s="12"/>
      <c r="I864" s="12"/>
      <c r="J864" s="12"/>
      <c r="K864" s="12"/>
      <c r="L864" s="12"/>
      <c r="M864" s="12"/>
      <c r="N864" s="12"/>
      <c r="O864" s="12"/>
      <c r="P864" s="12"/>
    </row>
    <row r="865">
      <c r="A865" s="12"/>
      <c r="D865" s="95"/>
      <c r="E865" s="14"/>
      <c r="H865" s="12"/>
      <c r="I865" s="12"/>
      <c r="J865" s="12"/>
      <c r="K865" s="12"/>
      <c r="L865" s="12"/>
      <c r="M865" s="12"/>
      <c r="N865" s="12"/>
      <c r="O865" s="12"/>
      <c r="P865" s="12"/>
    </row>
    <row r="866">
      <c r="A866" s="12"/>
      <c r="D866" s="95"/>
      <c r="E866" s="14"/>
      <c r="H866" s="12"/>
      <c r="I866" s="12"/>
      <c r="J866" s="12"/>
      <c r="K866" s="12"/>
      <c r="L866" s="12"/>
      <c r="M866" s="12"/>
      <c r="N866" s="12"/>
      <c r="O866" s="12"/>
      <c r="P866" s="12"/>
    </row>
    <row r="867">
      <c r="A867" s="12"/>
      <c r="D867" s="95"/>
      <c r="E867" s="14"/>
      <c r="H867" s="12"/>
      <c r="I867" s="12"/>
      <c r="J867" s="12"/>
      <c r="K867" s="12"/>
      <c r="L867" s="12"/>
      <c r="M867" s="12"/>
      <c r="N867" s="12"/>
      <c r="O867" s="12"/>
      <c r="P867" s="12"/>
    </row>
    <row r="868">
      <c r="A868" s="12"/>
      <c r="D868" s="95"/>
      <c r="E868" s="14"/>
      <c r="H868" s="12"/>
      <c r="I868" s="12"/>
      <c r="J868" s="12"/>
      <c r="K868" s="12"/>
      <c r="L868" s="12"/>
      <c r="M868" s="12"/>
      <c r="N868" s="12"/>
      <c r="O868" s="12"/>
      <c r="P868" s="12"/>
    </row>
    <row r="869">
      <c r="A869" s="12"/>
      <c r="D869" s="95"/>
      <c r="E869" s="14"/>
      <c r="H869" s="12"/>
      <c r="I869" s="12"/>
      <c r="J869" s="12"/>
      <c r="K869" s="12"/>
      <c r="L869" s="12"/>
      <c r="M869" s="12"/>
      <c r="N869" s="12"/>
      <c r="O869" s="12"/>
      <c r="P869" s="12"/>
    </row>
    <row r="870">
      <c r="A870" s="12"/>
      <c r="D870" s="95"/>
      <c r="E870" s="14"/>
      <c r="H870" s="12"/>
      <c r="I870" s="12"/>
      <c r="J870" s="12"/>
      <c r="K870" s="12"/>
      <c r="L870" s="12"/>
      <c r="M870" s="12"/>
      <c r="N870" s="12"/>
      <c r="O870" s="12"/>
      <c r="P870" s="12"/>
    </row>
    <row r="871">
      <c r="A871" s="12"/>
      <c r="D871" s="95"/>
      <c r="E871" s="14"/>
      <c r="H871" s="12"/>
      <c r="I871" s="12"/>
      <c r="J871" s="12"/>
      <c r="K871" s="12"/>
      <c r="L871" s="12"/>
      <c r="M871" s="12"/>
      <c r="N871" s="12"/>
      <c r="O871" s="12"/>
      <c r="P871" s="12"/>
    </row>
    <row r="872">
      <c r="A872" s="12"/>
      <c r="D872" s="95"/>
      <c r="E872" s="14"/>
      <c r="H872" s="12"/>
      <c r="I872" s="12"/>
      <c r="J872" s="12"/>
      <c r="K872" s="12"/>
      <c r="L872" s="12"/>
      <c r="M872" s="12"/>
      <c r="N872" s="12"/>
      <c r="O872" s="12"/>
      <c r="P872" s="12"/>
    </row>
    <row r="873">
      <c r="A873" s="12"/>
      <c r="D873" s="95"/>
      <c r="E873" s="14"/>
      <c r="H873" s="12"/>
      <c r="I873" s="12"/>
      <c r="J873" s="12"/>
      <c r="K873" s="12"/>
      <c r="L873" s="12"/>
      <c r="M873" s="12"/>
      <c r="N873" s="12"/>
      <c r="O873" s="12"/>
      <c r="P873" s="12"/>
    </row>
    <row r="874">
      <c r="A874" s="12"/>
      <c r="D874" s="95"/>
      <c r="E874" s="14"/>
      <c r="H874" s="12"/>
      <c r="I874" s="12"/>
      <c r="J874" s="12"/>
      <c r="K874" s="12"/>
      <c r="L874" s="12"/>
      <c r="M874" s="12"/>
      <c r="N874" s="12"/>
      <c r="O874" s="12"/>
      <c r="P874" s="12"/>
    </row>
    <row r="875">
      <c r="A875" s="12"/>
      <c r="D875" s="95"/>
      <c r="E875" s="14"/>
      <c r="H875" s="12"/>
      <c r="I875" s="12"/>
      <c r="J875" s="12"/>
      <c r="K875" s="12"/>
      <c r="L875" s="12"/>
      <c r="M875" s="12"/>
      <c r="N875" s="12"/>
      <c r="O875" s="12"/>
      <c r="P875" s="12"/>
    </row>
    <row r="876">
      <c r="A876" s="12"/>
      <c r="D876" s="95"/>
      <c r="E876" s="14"/>
      <c r="H876" s="12"/>
      <c r="I876" s="12"/>
      <c r="J876" s="12"/>
      <c r="K876" s="12"/>
      <c r="L876" s="12"/>
      <c r="M876" s="12"/>
      <c r="N876" s="12"/>
      <c r="O876" s="12"/>
      <c r="P876" s="12"/>
    </row>
    <row r="877">
      <c r="A877" s="12"/>
      <c r="D877" s="95"/>
      <c r="E877" s="14"/>
      <c r="H877" s="12"/>
      <c r="I877" s="12"/>
      <c r="J877" s="12"/>
      <c r="K877" s="12"/>
      <c r="L877" s="12"/>
      <c r="M877" s="12"/>
      <c r="N877" s="12"/>
      <c r="O877" s="12"/>
      <c r="P877" s="12"/>
    </row>
    <row r="878">
      <c r="A878" s="12"/>
      <c r="D878" s="95"/>
      <c r="E878" s="14"/>
      <c r="H878" s="12"/>
      <c r="I878" s="12"/>
      <c r="J878" s="12"/>
      <c r="K878" s="12"/>
      <c r="L878" s="12"/>
      <c r="M878" s="12"/>
      <c r="N878" s="12"/>
      <c r="O878" s="12"/>
      <c r="P878" s="12"/>
    </row>
    <row r="879">
      <c r="A879" s="12"/>
      <c r="D879" s="95"/>
      <c r="E879" s="14"/>
      <c r="H879" s="12"/>
      <c r="I879" s="12"/>
      <c r="J879" s="12"/>
      <c r="K879" s="12"/>
      <c r="L879" s="12"/>
      <c r="M879" s="12"/>
      <c r="N879" s="12"/>
      <c r="O879" s="12"/>
      <c r="P879" s="12"/>
    </row>
    <row r="880">
      <c r="A880" s="12"/>
      <c r="D880" s="95"/>
      <c r="E880" s="14"/>
      <c r="H880" s="12"/>
      <c r="I880" s="12"/>
      <c r="J880" s="12"/>
      <c r="K880" s="12"/>
      <c r="L880" s="12"/>
      <c r="M880" s="12"/>
      <c r="N880" s="12"/>
      <c r="O880" s="12"/>
      <c r="P880" s="12"/>
    </row>
    <row r="881">
      <c r="A881" s="12"/>
      <c r="D881" s="95"/>
      <c r="E881" s="14"/>
      <c r="H881" s="12"/>
      <c r="I881" s="12"/>
      <c r="J881" s="12"/>
      <c r="K881" s="12"/>
      <c r="L881" s="12"/>
      <c r="M881" s="12"/>
      <c r="N881" s="12"/>
      <c r="O881" s="12"/>
      <c r="P881" s="12"/>
    </row>
    <row r="882">
      <c r="A882" s="12"/>
      <c r="D882" s="95"/>
      <c r="E882" s="14"/>
      <c r="H882" s="12"/>
      <c r="I882" s="12"/>
      <c r="J882" s="12"/>
      <c r="K882" s="12"/>
      <c r="L882" s="12"/>
      <c r="M882" s="12"/>
      <c r="N882" s="12"/>
      <c r="O882" s="12"/>
      <c r="P882" s="12"/>
    </row>
    <row r="883">
      <c r="A883" s="12"/>
      <c r="D883" s="95"/>
      <c r="E883" s="14"/>
      <c r="H883" s="12"/>
      <c r="I883" s="12"/>
      <c r="J883" s="12"/>
      <c r="K883" s="12"/>
      <c r="L883" s="12"/>
      <c r="M883" s="12"/>
      <c r="N883" s="12"/>
      <c r="O883" s="12"/>
      <c r="P883" s="12"/>
    </row>
    <row r="884">
      <c r="A884" s="12"/>
      <c r="D884" s="95"/>
      <c r="E884" s="14"/>
      <c r="H884" s="12"/>
      <c r="I884" s="12"/>
      <c r="J884" s="12"/>
      <c r="K884" s="12"/>
      <c r="L884" s="12"/>
      <c r="M884" s="12"/>
      <c r="N884" s="12"/>
      <c r="O884" s="12"/>
      <c r="P884" s="12"/>
    </row>
    <row r="885">
      <c r="A885" s="12"/>
      <c r="D885" s="95"/>
      <c r="E885" s="14"/>
      <c r="H885" s="12"/>
      <c r="I885" s="12"/>
      <c r="J885" s="12"/>
      <c r="K885" s="12"/>
      <c r="L885" s="12"/>
      <c r="M885" s="12"/>
      <c r="N885" s="12"/>
      <c r="O885" s="12"/>
      <c r="P885" s="12"/>
    </row>
    <row r="886">
      <c r="A886" s="12"/>
      <c r="D886" s="95"/>
      <c r="E886" s="14"/>
      <c r="H886" s="12"/>
      <c r="I886" s="12"/>
      <c r="J886" s="12"/>
      <c r="K886" s="12"/>
      <c r="L886" s="12"/>
      <c r="M886" s="12"/>
      <c r="N886" s="12"/>
      <c r="O886" s="12"/>
      <c r="P886" s="12"/>
    </row>
    <row r="887">
      <c r="A887" s="12"/>
      <c r="D887" s="95"/>
      <c r="E887" s="14"/>
      <c r="H887" s="12"/>
      <c r="I887" s="12"/>
      <c r="J887" s="12"/>
      <c r="K887" s="12"/>
      <c r="L887" s="12"/>
      <c r="M887" s="12"/>
      <c r="N887" s="12"/>
      <c r="O887" s="12"/>
      <c r="P887" s="12"/>
    </row>
    <row r="888">
      <c r="A888" s="12"/>
      <c r="D888" s="95"/>
      <c r="E888" s="14"/>
      <c r="H888" s="12"/>
      <c r="I888" s="12"/>
      <c r="J888" s="12"/>
      <c r="K888" s="12"/>
      <c r="L888" s="12"/>
      <c r="M888" s="12"/>
      <c r="N888" s="12"/>
      <c r="O888" s="12"/>
      <c r="P888" s="12"/>
    </row>
    <row r="889">
      <c r="A889" s="12"/>
      <c r="D889" s="95"/>
      <c r="E889" s="14"/>
      <c r="H889" s="12"/>
      <c r="I889" s="12"/>
      <c r="J889" s="12"/>
      <c r="K889" s="12"/>
      <c r="L889" s="12"/>
      <c r="M889" s="12"/>
      <c r="N889" s="12"/>
      <c r="O889" s="12"/>
      <c r="P889" s="12"/>
    </row>
    <row r="890">
      <c r="A890" s="12"/>
      <c r="D890" s="95"/>
      <c r="E890" s="14"/>
      <c r="H890" s="12"/>
      <c r="I890" s="12"/>
      <c r="J890" s="12"/>
      <c r="K890" s="12"/>
      <c r="L890" s="12"/>
      <c r="M890" s="12"/>
      <c r="N890" s="12"/>
      <c r="O890" s="12"/>
      <c r="P890" s="12"/>
    </row>
    <row r="891">
      <c r="A891" s="12"/>
      <c r="D891" s="95"/>
      <c r="E891" s="14"/>
      <c r="H891" s="12"/>
      <c r="I891" s="12"/>
      <c r="J891" s="12"/>
      <c r="K891" s="12"/>
      <c r="L891" s="12"/>
      <c r="M891" s="12"/>
      <c r="N891" s="12"/>
      <c r="O891" s="12"/>
      <c r="P891" s="12"/>
    </row>
    <row r="892">
      <c r="A892" s="12"/>
      <c r="D892" s="95"/>
      <c r="E892" s="14"/>
      <c r="H892" s="12"/>
      <c r="I892" s="12"/>
      <c r="J892" s="12"/>
      <c r="K892" s="12"/>
      <c r="L892" s="12"/>
      <c r="M892" s="12"/>
      <c r="N892" s="12"/>
      <c r="O892" s="12"/>
      <c r="P892" s="12"/>
    </row>
    <row r="893">
      <c r="A893" s="12"/>
      <c r="D893" s="95"/>
      <c r="E893" s="14"/>
      <c r="H893" s="12"/>
      <c r="I893" s="12"/>
      <c r="J893" s="12"/>
      <c r="K893" s="12"/>
      <c r="L893" s="12"/>
      <c r="M893" s="12"/>
      <c r="N893" s="12"/>
      <c r="O893" s="12"/>
      <c r="P893" s="12"/>
    </row>
    <row r="894">
      <c r="A894" s="12"/>
      <c r="D894" s="95"/>
      <c r="E894" s="14"/>
      <c r="H894" s="12"/>
      <c r="I894" s="12"/>
      <c r="J894" s="12"/>
      <c r="K894" s="12"/>
      <c r="L894" s="12"/>
      <c r="M894" s="12"/>
      <c r="N894" s="12"/>
      <c r="O894" s="12"/>
      <c r="P894" s="12"/>
    </row>
    <row r="895">
      <c r="A895" s="12"/>
      <c r="D895" s="95"/>
      <c r="E895" s="14"/>
      <c r="H895" s="12"/>
      <c r="I895" s="12"/>
      <c r="J895" s="12"/>
      <c r="K895" s="12"/>
      <c r="L895" s="12"/>
      <c r="M895" s="12"/>
      <c r="N895" s="12"/>
      <c r="O895" s="12"/>
      <c r="P895" s="12"/>
    </row>
    <row r="896">
      <c r="A896" s="12"/>
      <c r="D896" s="95"/>
      <c r="E896" s="14"/>
      <c r="H896" s="12"/>
      <c r="I896" s="12"/>
      <c r="J896" s="12"/>
      <c r="K896" s="12"/>
      <c r="L896" s="12"/>
      <c r="M896" s="12"/>
      <c r="N896" s="12"/>
      <c r="O896" s="12"/>
      <c r="P896" s="12"/>
    </row>
    <row r="897">
      <c r="A897" s="12"/>
      <c r="D897" s="95"/>
      <c r="E897" s="14"/>
      <c r="H897" s="12"/>
      <c r="I897" s="12"/>
      <c r="J897" s="12"/>
      <c r="K897" s="12"/>
      <c r="L897" s="12"/>
      <c r="M897" s="12"/>
      <c r="N897" s="12"/>
      <c r="O897" s="12"/>
      <c r="P897" s="12"/>
    </row>
    <row r="898">
      <c r="A898" s="12"/>
      <c r="D898" s="95"/>
      <c r="E898" s="14"/>
      <c r="H898" s="12"/>
      <c r="I898" s="12"/>
      <c r="J898" s="12"/>
      <c r="K898" s="12"/>
      <c r="L898" s="12"/>
      <c r="M898" s="12"/>
      <c r="N898" s="12"/>
      <c r="O898" s="12"/>
      <c r="P898" s="12"/>
    </row>
    <row r="899">
      <c r="A899" s="12"/>
      <c r="D899" s="95"/>
      <c r="E899" s="14"/>
      <c r="H899" s="12"/>
      <c r="I899" s="12"/>
      <c r="J899" s="12"/>
      <c r="K899" s="12"/>
      <c r="L899" s="12"/>
      <c r="M899" s="12"/>
      <c r="N899" s="12"/>
      <c r="O899" s="12"/>
      <c r="P899" s="12"/>
    </row>
    <row r="900">
      <c r="A900" s="12"/>
      <c r="D900" s="95"/>
      <c r="E900" s="14"/>
      <c r="H900" s="12"/>
      <c r="I900" s="12"/>
      <c r="J900" s="12"/>
      <c r="K900" s="12"/>
      <c r="L900" s="12"/>
      <c r="M900" s="12"/>
      <c r="N900" s="12"/>
      <c r="O900" s="12"/>
      <c r="P900" s="12"/>
    </row>
    <row r="901">
      <c r="A901" s="12"/>
      <c r="D901" s="95"/>
      <c r="E901" s="14"/>
      <c r="H901" s="12"/>
      <c r="I901" s="12"/>
      <c r="J901" s="12"/>
      <c r="K901" s="12"/>
      <c r="L901" s="12"/>
      <c r="M901" s="12"/>
      <c r="N901" s="12"/>
      <c r="O901" s="12"/>
      <c r="P901" s="12"/>
    </row>
    <row r="902">
      <c r="A902" s="12"/>
      <c r="D902" s="95"/>
      <c r="E902" s="14"/>
      <c r="H902" s="12"/>
      <c r="I902" s="12"/>
      <c r="J902" s="12"/>
      <c r="K902" s="12"/>
      <c r="L902" s="12"/>
      <c r="M902" s="12"/>
      <c r="N902" s="12"/>
      <c r="O902" s="12"/>
      <c r="P902" s="12"/>
    </row>
    <row r="903">
      <c r="A903" s="12"/>
      <c r="D903" s="95"/>
      <c r="E903" s="14"/>
      <c r="H903" s="12"/>
      <c r="I903" s="12"/>
      <c r="J903" s="12"/>
      <c r="K903" s="12"/>
      <c r="L903" s="12"/>
      <c r="M903" s="12"/>
      <c r="N903" s="12"/>
      <c r="O903" s="12"/>
      <c r="P903" s="12"/>
    </row>
    <row r="904">
      <c r="A904" s="12"/>
      <c r="D904" s="95"/>
      <c r="E904" s="14"/>
      <c r="H904" s="12"/>
      <c r="I904" s="12"/>
      <c r="J904" s="12"/>
      <c r="K904" s="12"/>
      <c r="L904" s="12"/>
      <c r="M904" s="12"/>
      <c r="N904" s="12"/>
      <c r="O904" s="12"/>
      <c r="P904" s="12"/>
    </row>
    <row r="905">
      <c r="A905" s="12"/>
      <c r="D905" s="95"/>
      <c r="E905" s="14"/>
      <c r="H905" s="12"/>
      <c r="I905" s="12"/>
      <c r="J905" s="12"/>
      <c r="K905" s="12"/>
      <c r="L905" s="12"/>
      <c r="M905" s="12"/>
      <c r="N905" s="12"/>
      <c r="O905" s="12"/>
      <c r="P905" s="12"/>
    </row>
    <row r="906">
      <c r="A906" s="12"/>
      <c r="D906" s="95"/>
      <c r="E906" s="14"/>
      <c r="H906" s="12"/>
      <c r="I906" s="12"/>
      <c r="J906" s="12"/>
      <c r="K906" s="12"/>
      <c r="L906" s="12"/>
      <c r="M906" s="12"/>
      <c r="N906" s="12"/>
      <c r="O906" s="12"/>
      <c r="P906" s="12"/>
    </row>
    <row r="907">
      <c r="A907" s="12"/>
      <c r="D907" s="95"/>
      <c r="E907" s="14"/>
      <c r="H907" s="12"/>
      <c r="I907" s="12"/>
      <c r="J907" s="12"/>
      <c r="K907" s="12"/>
      <c r="L907" s="12"/>
      <c r="M907" s="12"/>
      <c r="N907" s="12"/>
      <c r="O907" s="12"/>
      <c r="P907" s="12"/>
    </row>
    <row r="908">
      <c r="A908" s="12"/>
      <c r="D908" s="95"/>
      <c r="E908" s="14"/>
      <c r="H908" s="12"/>
      <c r="I908" s="12"/>
      <c r="J908" s="12"/>
      <c r="K908" s="12"/>
      <c r="L908" s="12"/>
      <c r="M908" s="12"/>
      <c r="N908" s="12"/>
      <c r="O908" s="12"/>
      <c r="P908" s="12"/>
    </row>
    <row r="909">
      <c r="A909" s="12"/>
      <c r="D909" s="95"/>
      <c r="E909" s="14"/>
      <c r="H909" s="12"/>
      <c r="I909" s="12"/>
      <c r="J909" s="12"/>
      <c r="K909" s="12"/>
      <c r="L909" s="12"/>
      <c r="M909" s="12"/>
      <c r="N909" s="12"/>
      <c r="O909" s="12"/>
      <c r="P909" s="12"/>
    </row>
    <row r="910">
      <c r="A910" s="12"/>
      <c r="D910" s="95"/>
      <c r="E910" s="14"/>
      <c r="H910" s="12"/>
      <c r="I910" s="12"/>
      <c r="J910" s="12"/>
      <c r="K910" s="12"/>
      <c r="L910" s="12"/>
      <c r="M910" s="12"/>
      <c r="N910" s="12"/>
      <c r="O910" s="12"/>
      <c r="P910" s="12"/>
    </row>
    <row r="911">
      <c r="A911" s="12"/>
      <c r="D911" s="95"/>
      <c r="E911" s="14"/>
      <c r="H911" s="12"/>
      <c r="I911" s="12"/>
      <c r="J911" s="12"/>
      <c r="K911" s="12"/>
      <c r="L911" s="12"/>
      <c r="M911" s="12"/>
      <c r="N911" s="12"/>
      <c r="O911" s="12"/>
      <c r="P911" s="12"/>
    </row>
    <row r="912">
      <c r="A912" s="12"/>
      <c r="D912" s="95"/>
      <c r="E912" s="14"/>
      <c r="H912" s="12"/>
      <c r="I912" s="12"/>
      <c r="J912" s="12"/>
      <c r="K912" s="12"/>
      <c r="L912" s="12"/>
      <c r="M912" s="12"/>
      <c r="N912" s="12"/>
      <c r="O912" s="12"/>
      <c r="P912" s="12"/>
    </row>
    <row r="913">
      <c r="A913" s="12"/>
      <c r="D913" s="95"/>
      <c r="E913" s="14"/>
      <c r="H913" s="12"/>
      <c r="I913" s="12"/>
      <c r="J913" s="12"/>
      <c r="K913" s="12"/>
      <c r="L913" s="12"/>
      <c r="M913" s="12"/>
      <c r="N913" s="12"/>
      <c r="O913" s="12"/>
      <c r="P913" s="12"/>
    </row>
    <row r="914">
      <c r="A914" s="12"/>
      <c r="D914" s="95"/>
      <c r="E914" s="14"/>
      <c r="H914" s="12"/>
      <c r="I914" s="12"/>
      <c r="J914" s="12"/>
      <c r="K914" s="12"/>
      <c r="L914" s="12"/>
      <c r="M914" s="12"/>
      <c r="N914" s="12"/>
      <c r="O914" s="12"/>
      <c r="P914" s="12"/>
    </row>
    <row r="915">
      <c r="A915" s="12"/>
      <c r="D915" s="95"/>
      <c r="E915" s="14"/>
      <c r="H915" s="12"/>
      <c r="I915" s="12"/>
      <c r="J915" s="12"/>
      <c r="K915" s="12"/>
      <c r="L915" s="12"/>
      <c r="M915" s="12"/>
      <c r="N915" s="12"/>
      <c r="O915" s="12"/>
      <c r="P915" s="12"/>
    </row>
    <row r="916">
      <c r="A916" s="12"/>
      <c r="D916" s="95"/>
      <c r="E916" s="14"/>
      <c r="H916" s="12"/>
      <c r="I916" s="12"/>
      <c r="J916" s="12"/>
      <c r="K916" s="12"/>
      <c r="L916" s="12"/>
      <c r="M916" s="12"/>
      <c r="N916" s="12"/>
      <c r="O916" s="12"/>
      <c r="P916" s="12"/>
    </row>
    <row r="917">
      <c r="A917" s="12"/>
      <c r="D917" s="95"/>
      <c r="E917" s="14"/>
      <c r="H917" s="12"/>
      <c r="I917" s="12"/>
      <c r="J917" s="12"/>
      <c r="K917" s="12"/>
      <c r="L917" s="12"/>
      <c r="M917" s="12"/>
      <c r="N917" s="12"/>
      <c r="O917" s="12"/>
      <c r="P917" s="12"/>
    </row>
    <row r="918">
      <c r="A918" s="12"/>
      <c r="D918" s="95"/>
      <c r="E918" s="14"/>
      <c r="H918" s="12"/>
      <c r="I918" s="12"/>
      <c r="J918" s="12"/>
      <c r="K918" s="12"/>
      <c r="L918" s="12"/>
      <c r="M918" s="12"/>
      <c r="N918" s="12"/>
      <c r="O918" s="12"/>
      <c r="P918" s="12"/>
    </row>
    <row r="919">
      <c r="A919" s="12"/>
      <c r="D919" s="95"/>
      <c r="E919" s="14"/>
      <c r="H919" s="12"/>
      <c r="I919" s="12"/>
      <c r="J919" s="12"/>
      <c r="K919" s="12"/>
      <c r="L919" s="12"/>
      <c r="M919" s="12"/>
      <c r="N919" s="12"/>
      <c r="O919" s="12"/>
      <c r="P919" s="12"/>
    </row>
    <row r="920">
      <c r="A920" s="12"/>
      <c r="D920" s="95"/>
      <c r="E920" s="14"/>
      <c r="H920" s="12"/>
      <c r="I920" s="12"/>
      <c r="J920" s="12"/>
      <c r="K920" s="12"/>
      <c r="L920" s="12"/>
      <c r="M920" s="12"/>
      <c r="N920" s="12"/>
      <c r="O920" s="12"/>
      <c r="P920" s="12"/>
    </row>
    <row r="921">
      <c r="A921" s="12"/>
      <c r="D921" s="95"/>
      <c r="E921" s="14"/>
      <c r="H921" s="12"/>
      <c r="I921" s="12"/>
      <c r="J921" s="12"/>
      <c r="K921" s="12"/>
      <c r="L921" s="12"/>
      <c r="M921" s="12"/>
      <c r="N921" s="12"/>
      <c r="O921" s="12"/>
      <c r="P921" s="12"/>
    </row>
    <row r="922">
      <c r="A922" s="12"/>
      <c r="D922" s="95"/>
      <c r="E922" s="14"/>
      <c r="H922" s="12"/>
      <c r="I922" s="12"/>
      <c r="J922" s="12"/>
      <c r="K922" s="12"/>
      <c r="L922" s="12"/>
      <c r="M922" s="12"/>
      <c r="N922" s="12"/>
      <c r="O922" s="12"/>
      <c r="P922" s="12"/>
    </row>
    <row r="923">
      <c r="A923" s="12"/>
      <c r="D923" s="95"/>
      <c r="E923" s="14"/>
      <c r="H923" s="12"/>
      <c r="I923" s="12"/>
      <c r="J923" s="12"/>
      <c r="K923" s="12"/>
      <c r="L923" s="12"/>
      <c r="M923" s="12"/>
      <c r="N923" s="12"/>
      <c r="O923" s="12"/>
      <c r="P923" s="12"/>
    </row>
    <row r="924">
      <c r="A924" s="12"/>
      <c r="D924" s="95"/>
      <c r="E924" s="14"/>
      <c r="H924" s="12"/>
      <c r="I924" s="12"/>
      <c r="J924" s="12"/>
      <c r="K924" s="12"/>
      <c r="L924" s="12"/>
      <c r="M924" s="12"/>
      <c r="N924" s="12"/>
      <c r="O924" s="12"/>
      <c r="P924" s="12"/>
    </row>
    <row r="925">
      <c r="A925" s="12"/>
      <c r="D925" s="95"/>
      <c r="E925" s="14"/>
      <c r="H925" s="12"/>
      <c r="I925" s="12"/>
      <c r="J925" s="12"/>
      <c r="K925" s="12"/>
      <c r="L925" s="12"/>
      <c r="M925" s="12"/>
      <c r="N925" s="12"/>
      <c r="O925" s="12"/>
      <c r="P925" s="12"/>
    </row>
    <row r="926">
      <c r="A926" s="12"/>
      <c r="D926" s="95"/>
      <c r="E926" s="14"/>
      <c r="H926" s="12"/>
      <c r="I926" s="12"/>
      <c r="J926" s="12"/>
      <c r="K926" s="12"/>
      <c r="L926" s="12"/>
      <c r="M926" s="12"/>
      <c r="N926" s="12"/>
      <c r="O926" s="12"/>
      <c r="P926" s="12"/>
    </row>
    <row r="927">
      <c r="A927" s="12"/>
      <c r="D927" s="95"/>
      <c r="E927" s="14"/>
      <c r="H927" s="12"/>
      <c r="I927" s="12"/>
      <c r="J927" s="12"/>
      <c r="K927" s="12"/>
      <c r="L927" s="12"/>
      <c r="M927" s="12"/>
      <c r="N927" s="12"/>
      <c r="O927" s="12"/>
      <c r="P927" s="12"/>
    </row>
    <row r="928">
      <c r="A928" s="12"/>
      <c r="D928" s="95"/>
      <c r="E928" s="14"/>
      <c r="H928" s="12"/>
      <c r="I928" s="12"/>
      <c r="J928" s="12"/>
      <c r="K928" s="12"/>
      <c r="L928" s="12"/>
      <c r="M928" s="12"/>
      <c r="N928" s="12"/>
      <c r="O928" s="12"/>
      <c r="P928" s="12"/>
    </row>
    <row r="929">
      <c r="A929" s="12"/>
      <c r="D929" s="95"/>
      <c r="E929" s="14"/>
      <c r="H929" s="12"/>
      <c r="I929" s="12"/>
      <c r="J929" s="12"/>
      <c r="K929" s="12"/>
      <c r="L929" s="12"/>
      <c r="M929" s="12"/>
      <c r="N929" s="12"/>
      <c r="O929" s="12"/>
      <c r="P929" s="12"/>
    </row>
    <row r="930">
      <c r="A930" s="12"/>
      <c r="D930" s="95"/>
      <c r="E930" s="14"/>
      <c r="H930" s="12"/>
      <c r="I930" s="12"/>
      <c r="J930" s="12"/>
      <c r="K930" s="12"/>
      <c r="L930" s="12"/>
      <c r="M930" s="12"/>
      <c r="N930" s="12"/>
      <c r="O930" s="12"/>
      <c r="P930" s="12"/>
    </row>
    <row r="931">
      <c r="A931" s="12"/>
      <c r="D931" s="95"/>
      <c r="E931" s="14"/>
      <c r="H931" s="12"/>
      <c r="I931" s="12"/>
      <c r="J931" s="12"/>
      <c r="K931" s="12"/>
      <c r="L931" s="12"/>
      <c r="M931" s="12"/>
      <c r="N931" s="12"/>
      <c r="O931" s="12"/>
      <c r="P931" s="12"/>
    </row>
    <row r="932">
      <c r="A932" s="12"/>
      <c r="D932" s="95"/>
      <c r="E932" s="14"/>
      <c r="H932" s="12"/>
      <c r="I932" s="12"/>
      <c r="J932" s="12"/>
      <c r="K932" s="12"/>
      <c r="L932" s="12"/>
      <c r="M932" s="12"/>
      <c r="N932" s="12"/>
      <c r="O932" s="12"/>
      <c r="P932" s="12"/>
    </row>
    <row r="933">
      <c r="A933" s="12"/>
      <c r="D933" s="95"/>
      <c r="E933" s="14"/>
      <c r="H933" s="12"/>
      <c r="I933" s="12"/>
      <c r="J933" s="12"/>
      <c r="K933" s="12"/>
      <c r="L933" s="12"/>
      <c r="M933" s="12"/>
      <c r="N933" s="12"/>
      <c r="O933" s="12"/>
      <c r="P933" s="12"/>
    </row>
    <row r="934">
      <c r="A934" s="12"/>
      <c r="D934" s="95"/>
      <c r="E934" s="14"/>
      <c r="H934" s="12"/>
      <c r="I934" s="12"/>
      <c r="J934" s="12"/>
      <c r="K934" s="12"/>
      <c r="L934" s="12"/>
      <c r="M934" s="12"/>
      <c r="N934" s="12"/>
      <c r="O934" s="12"/>
      <c r="P934" s="12"/>
    </row>
    <row r="935">
      <c r="A935" s="12"/>
      <c r="D935" s="95"/>
      <c r="E935" s="14"/>
      <c r="H935" s="12"/>
      <c r="I935" s="12"/>
      <c r="J935" s="12"/>
      <c r="K935" s="12"/>
      <c r="L935" s="12"/>
      <c r="M935" s="12"/>
      <c r="N935" s="12"/>
      <c r="O935" s="12"/>
      <c r="P935" s="12"/>
    </row>
    <row r="936">
      <c r="A936" s="12"/>
      <c r="D936" s="95"/>
      <c r="E936" s="14"/>
      <c r="H936" s="12"/>
      <c r="I936" s="12"/>
      <c r="J936" s="12"/>
      <c r="K936" s="12"/>
      <c r="L936" s="12"/>
      <c r="M936" s="12"/>
      <c r="N936" s="12"/>
      <c r="O936" s="12"/>
      <c r="P936" s="12"/>
    </row>
    <row r="937">
      <c r="A937" s="12"/>
      <c r="D937" s="95"/>
      <c r="E937" s="14"/>
      <c r="H937" s="12"/>
      <c r="I937" s="12"/>
      <c r="J937" s="12"/>
      <c r="K937" s="12"/>
      <c r="L937" s="12"/>
      <c r="M937" s="12"/>
      <c r="N937" s="12"/>
      <c r="O937" s="12"/>
      <c r="P937" s="12"/>
    </row>
    <row r="938">
      <c r="A938" s="12"/>
      <c r="D938" s="95"/>
      <c r="E938" s="14"/>
      <c r="H938" s="12"/>
      <c r="I938" s="12"/>
      <c r="J938" s="12"/>
      <c r="K938" s="12"/>
      <c r="L938" s="12"/>
      <c r="M938" s="12"/>
      <c r="N938" s="12"/>
      <c r="O938" s="12"/>
      <c r="P938" s="12"/>
    </row>
    <row r="939">
      <c r="A939" s="12"/>
      <c r="D939" s="95"/>
      <c r="E939" s="14"/>
      <c r="H939" s="12"/>
      <c r="I939" s="12"/>
      <c r="J939" s="12"/>
      <c r="K939" s="12"/>
      <c r="L939" s="12"/>
      <c r="M939" s="12"/>
      <c r="N939" s="12"/>
      <c r="O939" s="12"/>
      <c r="P939" s="12"/>
    </row>
    <row r="940">
      <c r="A940" s="12"/>
      <c r="D940" s="95"/>
      <c r="E940" s="14"/>
      <c r="H940" s="12"/>
      <c r="I940" s="12"/>
      <c r="J940" s="12"/>
      <c r="K940" s="12"/>
      <c r="L940" s="12"/>
      <c r="M940" s="12"/>
      <c r="N940" s="12"/>
      <c r="O940" s="12"/>
      <c r="P940" s="12"/>
    </row>
    <row r="941">
      <c r="A941" s="12"/>
      <c r="D941" s="95"/>
      <c r="E941" s="14"/>
      <c r="H941" s="12"/>
      <c r="I941" s="12"/>
      <c r="J941" s="12"/>
      <c r="K941" s="12"/>
      <c r="L941" s="12"/>
      <c r="M941" s="12"/>
      <c r="N941" s="12"/>
      <c r="O941" s="12"/>
      <c r="P941" s="12"/>
    </row>
    <row r="942">
      <c r="A942" s="12"/>
      <c r="D942" s="95"/>
      <c r="E942" s="14"/>
      <c r="H942" s="12"/>
      <c r="I942" s="12"/>
      <c r="J942" s="12"/>
      <c r="K942" s="12"/>
      <c r="L942" s="12"/>
      <c r="M942" s="12"/>
      <c r="N942" s="12"/>
      <c r="O942" s="12"/>
      <c r="P942" s="12"/>
    </row>
    <row r="943">
      <c r="A943" s="12"/>
      <c r="D943" s="95"/>
      <c r="E943" s="14"/>
      <c r="H943" s="12"/>
      <c r="I943" s="12"/>
      <c r="J943" s="12"/>
      <c r="K943" s="12"/>
      <c r="L943" s="12"/>
      <c r="M943" s="12"/>
      <c r="N943" s="12"/>
      <c r="O943" s="12"/>
      <c r="P943" s="12"/>
    </row>
    <row r="944">
      <c r="A944" s="12"/>
      <c r="D944" s="95"/>
      <c r="E944" s="14"/>
      <c r="H944" s="12"/>
      <c r="I944" s="12"/>
      <c r="J944" s="12"/>
      <c r="K944" s="12"/>
      <c r="L944" s="12"/>
      <c r="M944" s="12"/>
      <c r="N944" s="12"/>
      <c r="O944" s="12"/>
      <c r="P944" s="12"/>
    </row>
    <row r="945">
      <c r="A945" s="12"/>
      <c r="D945" s="95"/>
      <c r="E945" s="14"/>
      <c r="H945" s="12"/>
      <c r="I945" s="12"/>
      <c r="J945" s="12"/>
      <c r="K945" s="12"/>
      <c r="L945" s="12"/>
      <c r="M945" s="12"/>
      <c r="N945" s="12"/>
      <c r="O945" s="12"/>
      <c r="P945" s="12"/>
    </row>
    <row r="946">
      <c r="A946" s="12"/>
      <c r="D946" s="95"/>
      <c r="E946" s="14"/>
      <c r="H946" s="12"/>
      <c r="I946" s="12"/>
      <c r="J946" s="12"/>
      <c r="K946" s="12"/>
      <c r="L946" s="12"/>
      <c r="M946" s="12"/>
      <c r="N946" s="12"/>
      <c r="O946" s="12"/>
      <c r="P946" s="12"/>
    </row>
    <row r="947">
      <c r="A947" s="12"/>
      <c r="D947" s="95"/>
      <c r="E947" s="14"/>
      <c r="H947" s="12"/>
      <c r="I947" s="12"/>
      <c r="J947" s="12"/>
      <c r="K947" s="12"/>
      <c r="L947" s="12"/>
      <c r="M947" s="12"/>
      <c r="N947" s="12"/>
      <c r="O947" s="12"/>
      <c r="P947" s="12"/>
    </row>
    <row r="948">
      <c r="A948" s="12"/>
      <c r="D948" s="95"/>
      <c r="E948" s="14"/>
      <c r="H948" s="12"/>
      <c r="I948" s="12"/>
      <c r="J948" s="12"/>
      <c r="K948" s="12"/>
      <c r="L948" s="12"/>
      <c r="M948" s="12"/>
      <c r="N948" s="12"/>
      <c r="O948" s="12"/>
      <c r="P948" s="12"/>
    </row>
    <row r="949">
      <c r="A949" s="12"/>
      <c r="D949" s="95"/>
      <c r="E949" s="14"/>
      <c r="H949" s="12"/>
      <c r="I949" s="12"/>
      <c r="J949" s="12"/>
      <c r="K949" s="12"/>
      <c r="L949" s="12"/>
      <c r="M949" s="12"/>
      <c r="N949" s="12"/>
      <c r="O949" s="12"/>
      <c r="P949" s="12"/>
    </row>
    <row r="950">
      <c r="A950" s="12"/>
      <c r="D950" s="95"/>
      <c r="E950" s="14"/>
      <c r="H950" s="12"/>
      <c r="I950" s="12"/>
      <c r="J950" s="12"/>
      <c r="K950" s="12"/>
      <c r="L950" s="12"/>
      <c r="M950" s="12"/>
      <c r="N950" s="12"/>
      <c r="O950" s="12"/>
      <c r="P950" s="12"/>
    </row>
    <row r="951">
      <c r="A951" s="12"/>
      <c r="D951" s="95"/>
      <c r="E951" s="14"/>
      <c r="H951" s="12"/>
      <c r="I951" s="12"/>
      <c r="J951" s="12"/>
      <c r="K951" s="12"/>
      <c r="L951" s="12"/>
      <c r="M951" s="12"/>
      <c r="N951" s="12"/>
      <c r="O951" s="12"/>
      <c r="P951" s="12"/>
    </row>
    <row r="952">
      <c r="A952" s="12"/>
      <c r="D952" s="95"/>
      <c r="E952" s="14"/>
      <c r="H952" s="12"/>
      <c r="I952" s="12"/>
      <c r="J952" s="12"/>
      <c r="K952" s="12"/>
      <c r="L952" s="12"/>
      <c r="M952" s="12"/>
      <c r="N952" s="12"/>
      <c r="O952" s="12"/>
      <c r="P952" s="12"/>
    </row>
    <row r="953">
      <c r="A953" s="12"/>
      <c r="D953" s="95"/>
      <c r="E953" s="14"/>
      <c r="H953" s="12"/>
      <c r="I953" s="12"/>
      <c r="J953" s="12"/>
      <c r="K953" s="12"/>
      <c r="L953" s="12"/>
      <c r="M953" s="12"/>
      <c r="N953" s="12"/>
      <c r="O953" s="12"/>
      <c r="P953" s="12"/>
    </row>
    <row r="954">
      <c r="A954" s="12"/>
      <c r="D954" s="95"/>
      <c r="E954" s="14"/>
      <c r="H954" s="12"/>
      <c r="I954" s="12"/>
      <c r="J954" s="12"/>
      <c r="K954" s="12"/>
      <c r="L954" s="12"/>
      <c r="M954" s="12"/>
      <c r="N954" s="12"/>
      <c r="O954" s="12"/>
      <c r="P954" s="12"/>
    </row>
    <row r="955">
      <c r="A955" s="12"/>
      <c r="D955" s="95"/>
      <c r="E955" s="14"/>
      <c r="H955" s="12"/>
      <c r="I955" s="12"/>
      <c r="J955" s="12"/>
      <c r="K955" s="12"/>
      <c r="L955" s="12"/>
      <c r="M955" s="12"/>
      <c r="N955" s="12"/>
      <c r="O955" s="12"/>
      <c r="P955" s="12"/>
    </row>
    <row r="956">
      <c r="A956" s="12"/>
      <c r="D956" s="95"/>
      <c r="E956" s="14"/>
      <c r="H956" s="12"/>
      <c r="I956" s="12"/>
      <c r="J956" s="12"/>
      <c r="K956" s="12"/>
      <c r="L956" s="12"/>
      <c r="M956" s="12"/>
      <c r="N956" s="12"/>
      <c r="O956" s="12"/>
      <c r="P956" s="12"/>
    </row>
    <row r="957">
      <c r="A957" s="12"/>
      <c r="D957" s="95"/>
      <c r="E957" s="14"/>
      <c r="H957" s="12"/>
      <c r="I957" s="12"/>
      <c r="J957" s="12"/>
      <c r="K957" s="12"/>
      <c r="L957" s="12"/>
      <c r="M957" s="12"/>
      <c r="N957" s="12"/>
      <c r="O957" s="12"/>
      <c r="P957" s="12"/>
    </row>
    <row r="958">
      <c r="A958" s="12"/>
      <c r="D958" s="95"/>
      <c r="E958" s="14"/>
      <c r="H958" s="12"/>
      <c r="I958" s="12"/>
      <c r="J958" s="12"/>
      <c r="K958" s="12"/>
      <c r="L958" s="12"/>
      <c r="M958" s="12"/>
      <c r="N958" s="12"/>
      <c r="O958" s="12"/>
      <c r="P958" s="12"/>
    </row>
    <row r="959">
      <c r="A959" s="12"/>
      <c r="D959" s="95"/>
      <c r="E959" s="14"/>
      <c r="H959" s="12"/>
      <c r="I959" s="12"/>
      <c r="J959" s="12"/>
      <c r="K959" s="12"/>
      <c r="L959" s="12"/>
      <c r="M959" s="12"/>
      <c r="N959" s="12"/>
      <c r="O959" s="12"/>
      <c r="P959" s="12"/>
    </row>
    <row r="960">
      <c r="A960" s="12"/>
      <c r="D960" s="95"/>
      <c r="E960" s="14"/>
      <c r="H960" s="12"/>
      <c r="I960" s="12"/>
      <c r="J960" s="12"/>
      <c r="K960" s="12"/>
      <c r="L960" s="12"/>
      <c r="M960" s="12"/>
      <c r="N960" s="12"/>
      <c r="O960" s="12"/>
      <c r="P960" s="12"/>
    </row>
    <row r="961">
      <c r="A961" s="12"/>
      <c r="D961" s="95"/>
      <c r="E961" s="14"/>
      <c r="H961" s="12"/>
      <c r="I961" s="12"/>
      <c r="J961" s="12"/>
      <c r="K961" s="12"/>
      <c r="L961" s="12"/>
      <c r="M961" s="12"/>
      <c r="N961" s="12"/>
      <c r="O961" s="12"/>
      <c r="P961" s="12"/>
    </row>
    <row r="962">
      <c r="A962" s="12"/>
      <c r="D962" s="95"/>
      <c r="E962" s="14"/>
      <c r="H962" s="12"/>
      <c r="I962" s="12"/>
      <c r="J962" s="12"/>
      <c r="K962" s="12"/>
      <c r="L962" s="12"/>
      <c r="M962" s="12"/>
      <c r="N962" s="12"/>
      <c r="O962" s="12"/>
      <c r="P962" s="12"/>
    </row>
    <row r="963">
      <c r="A963" s="12"/>
      <c r="D963" s="95"/>
      <c r="E963" s="14"/>
      <c r="H963" s="12"/>
      <c r="I963" s="12"/>
      <c r="J963" s="12"/>
      <c r="K963" s="12"/>
      <c r="L963" s="12"/>
      <c r="M963" s="12"/>
      <c r="N963" s="12"/>
      <c r="O963" s="12"/>
      <c r="P963" s="12"/>
    </row>
    <row r="964">
      <c r="A964" s="12"/>
      <c r="D964" s="95"/>
      <c r="E964" s="14"/>
      <c r="H964" s="12"/>
      <c r="I964" s="12"/>
      <c r="J964" s="12"/>
      <c r="K964" s="12"/>
      <c r="L964" s="12"/>
      <c r="M964" s="12"/>
      <c r="N964" s="12"/>
      <c r="O964" s="12"/>
      <c r="P964" s="12"/>
    </row>
    <row r="965">
      <c r="A965" s="12"/>
      <c r="D965" s="95"/>
      <c r="E965" s="14"/>
      <c r="H965" s="12"/>
      <c r="I965" s="12"/>
      <c r="J965" s="12"/>
      <c r="K965" s="12"/>
      <c r="L965" s="12"/>
      <c r="M965" s="12"/>
      <c r="N965" s="12"/>
      <c r="O965" s="12"/>
      <c r="P965" s="12"/>
    </row>
    <row r="966">
      <c r="A966" s="12"/>
      <c r="D966" s="95"/>
      <c r="E966" s="14"/>
      <c r="H966" s="12"/>
      <c r="I966" s="12"/>
      <c r="J966" s="12"/>
      <c r="K966" s="12"/>
      <c r="L966" s="12"/>
      <c r="M966" s="12"/>
      <c r="N966" s="12"/>
      <c r="O966" s="12"/>
      <c r="P966" s="12"/>
    </row>
    <row r="967">
      <c r="A967" s="12"/>
      <c r="D967" s="95"/>
      <c r="E967" s="14"/>
      <c r="H967" s="12"/>
      <c r="I967" s="12"/>
      <c r="J967" s="12"/>
      <c r="K967" s="12"/>
      <c r="L967" s="12"/>
      <c r="M967" s="12"/>
      <c r="N967" s="12"/>
      <c r="O967" s="12"/>
      <c r="P967" s="12"/>
    </row>
    <row r="968">
      <c r="A968" s="12"/>
      <c r="D968" s="95"/>
      <c r="E968" s="14"/>
      <c r="H968" s="12"/>
      <c r="I968" s="12"/>
      <c r="J968" s="12"/>
      <c r="K968" s="12"/>
      <c r="L968" s="12"/>
      <c r="M968" s="12"/>
      <c r="N968" s="12"/>
      <c r="O968" s="12"/>
      <c r="P968" s="12"/>
    </row>
    <row r="969">
      <c r="A969" s="12"/>
      <c r="D969" s="95"/>
      <c r="E969" s="14"/>
      <c r="H969" s="12"/>
      <c r="I969" s="12"/>
      <c r="J969" s="12"/>
      <c r="K969" s="12"/>
      <c r="L969" s="12"/>
      <c r="M969" s="12"/>
      <c r="N969" s="12"/>
      <c r="O969" s="12"/>
      <c r="P969" s="12"/>
    </row>
    <row r="970">
      <c r="A970" s="12"/>
      <c r="D970" s="95"/>
      <c r="E970" s="14"/>
      <c r="H970" s="12"/>
      <c r="I970" s="12"/>
      <c r="J970" s="12"/>
      <c r="K970" s="12"/>
      <c r="L970" s="12"/>
      <c r="M970" s="12"/>
      <c r="N970" s="12"/>
      <c r="O970" s="12"/>
      <c r="P970" s="12"/>
    </row>
    <row r="971">
      <c r="A971" s="12"/>
      <c r="D971" s="95"/>
      <c r="E971" s="14"/>
      <c r="H971" s="12"/>
      <c r="I971" s="12"/>
      <c r="J971" s="12"/>
      <c r="K971" s="12"/>
      <c r="L971" s="12"/>
      <c r="M971" s="12"/>
      <c r="N971" s="12"/>
      <c r="O971" s="12"/>
      <c r="P971" s="12"/>
    </row>
    <row r="972">
      <c r="A972" s="12"/>
      <c r="D972" s="95"/>
      <c r="E972" s="14"/>
      <c r="H972" s="12"/>
      <c r="I972" s="12"/>
      <c r="J972" s="12"/>
      <c r="K972" s="12"/>
      <c r="L972" s="12"/>
      <c r="M972" s="12"/>
      <c r="N972" s="12"/>
      <c r="O972" s="12"/>
      <c r="P972" s="12"/>
    </row>
    <row r="973">
      <c r="A973" s="12"/>
      <c r="D973" s="95"/>
      <c r="E973" s="14"/>
      <c r="H973" s="12"/>
      <c r="I973" s="12"/>
      <c r="J973" s="12"/>
      <c r="K973" s="12"/>
      <c r="L973" s="12"/>
      <c r="M973" s="12"/>
      <c r="N973" s="12"/>
      <c r="O973" s="12"/>
      <c r="P973" s="12"/>
    </row>
    <row r="974">
      <c r="A974" s="12"/>
      <c r="D974" s="95"/>
      <c r="E974" s="14"/>
      <c r="H974" s="12"/>
      <c r="I974" s="12"/>
      <c r="J974" s="12"/>
      <c r="K974" s="12"/>
      <c r="L974" s="12"/>
      <c r="M974" s="12"/>
      <c r="N974" s="12"/>
      <c r="O974" s="12"/>
      <c r="P974" s="12"/>
    </row>
    <row r="975">
      <c r="A975" s="12"/>
      <c r="D975" s="95"/>
      <c r="E975" s="14"/>
      <c r="H975" s="12"/>
      <c r="I975" s="12"/>
      <c r="J975" s="12"/>
      <c r="K975" s="12"/>
      <c r="L975" s="12"/>
      <c r="M975" s="12"/>
      <c r="N975" s="12"/>
      <c r="O975" s="12"/>
      <c r="P975" s="12"/>
    </row>
    <row r="976">
      <c r="A976" s="12"/>
      <c r="D976" s="95"/>
      <c r="E976" s="14"/>
      <c r="H976" s="12"/>
      <c r="I976" s="12"/>
      <c r="J976" s="12"/>
      <c r="K976" s="12"/>
      <c r="L976" s="12"/>
      <c r="M976" s="12"/>
      <c r="N976" s="12"/>
      <c r="O976" s="12"/>
      <c r="P976" s="12"/>
    </row>
    <row r="977">
      <c r="A977" s="12"/>
      <c r="D977" s="95"/>
      <c r="E977" s="14"/>
      <c r="H977" s="12"/>
      <c r="I977" s="12"/>
      <c r="J977" s="12"/>
      <c r="K977" s="12"/>
      <c r="L977" s="12"/>
      <c r="M977" s="12"/>
      <c r="N977" s="12"/>
      <c r="O977" s="12"/>
      <c r="P977" s="12"/>
    </row>
    <row r="978">
      <c r="A978" s="12"/>
      <c r="D978" s="95"/>
      <c r="E978" s="14"/>
      <c r="H978" s="12"/>
      <c r="I978" s="12"/>
      <c r="J978" s="12"/>
      <c r="K978" s="12"/>
      <c r="L978" s="12"/>
      <c r="M978" s="12"/>
      <c r="N978" s="12"/>
      <c r="O978" s="12"/>
      <c r="P978" s="12"/>
    </row>
    <row r="979">
      <c r="A979" s="12"/>
      <c r="D979" s="95"/>
      <c r="E979" s="14"/>
      <c r="H979" s="12"/>
      <c r="I979" s="12"/>
      <c r="J979" s="12"/>
      <c r="K979" s="12"/>
      <c r="L979" s="12"/>
      <c r="M979" s="12"/>
      <c r="N979" s="12"/>
      <c r="O979" s="12"/>
      <c r="P979" s="12"/>
    </row>
    <row r="980">
      <c r="A980" s="12"/>
      <c r="D980" s="95"/>
      <c r="E980" s="14"/>
      <c r="H980" s="12"/>
      <c r="I980" s="12"/>
      <c r="J980" s="12"/>
      <c r="K980" s="12"/>
      <c r="L980" s="12"/>
      <c r="M980" s="12"/>
      <c r="N980" s="12"/>
      <c r="O980" s="12"/>
      <c r="P980" s="12"/>
    </row>
    <row r="981">
      <c r="A981" s="12"/>
      <c r="D981" s="95"/>
      <c r="E981" s="14"/>
      <c r="H981" s="12"/>
      <c r="I981" s="12"/>
      <c r="J981" s="12"/>
      <c r="K981" s="12"/>
      <c r="L981" s="12"/>
      <c r="M981" s="12"/>
      <c r="N981" s="12"/>
      <c r="O981" s="12"/>
      <c r="P981" s="12"/>
    </row>
    <row r="982">
      <c r="A982" s="12"/>
      <c r="D982" s="95"/>
      <c r="E982" s="14"/>
      <c r="H982" s="12"/>
      <c r="I982" s="12"/>
      <c r="J982" s="12"/>
      <c r="K982" s="12"/>
      <c r="L982" s="12"/>
      <c r="M982" s="12"/>
      <c r="N982" s="12"/>
      <c r="O982" s="12"/>
      <c r="P982" s="12"/>
    </row>
    <row r="983">
      <c r="A983" s="12"/>
      <c r="D983" s="95"/>
      <c r="E983" s="14"/>
      <c r="H983" s="12"/>
      <c r="I983" s="12"/>
      <c r="J983" s="12"/>
      <c r="K983" s="12"/>
      <c r="L983" s="12"/>
      <c r="M983" s="12"/>
      <c r="N983" s="12"/>
      <c r="O983" s="12"/>
      <c r="P983" s="12"/>
    </row>
    <row r="984">
      <c r="A984" s="12"/>
      <c r="D984" s="95"/>
      <c r="E984" s="14"/>
      <c r="H984" s="12"/>
      <c r="I984" s="12"/>
      <c r="J984" s="12"/>
      <c r="K984" s="12"/>
      <c r="L984" s="12"/>
      <c r="M984" s="12"/>
      <c r="N984" s="12"/>
      <c r="O984" s="12"/>
      <c r="P984" s="12"/>
    </row>
    <row r="985">
      <c r="A985" s="12"/>
      <c r="D985" s="95"/>
      <c r="E985" s="14"/>
      <c r="H985" s="12"/>
      <c r="I985" s="12"/>
      <c r="J985" s="12"/>
      <c r="K985" s="12"/>
      <c r="L985" s="12"/>
      <c r="M985" s="12"/>
      <c r="N985" s="12"/>
      <c r="O985" s="12"/>
      <c r="P985" s="12"/>
    </row>
    <row r="986">
      <c r="A986" s="12"/>
      <c r="D986" s="95"/>
      <c r="E986" s="14"/>
      <c r="H986" s="12"/>
      <c r="I986" s="12"/>
      <c r="J986" s="12"/>
      <c r="K986" s="12"/>
      <c r="L986" s="12"/>
      <c r="M986" s="12"/>
      <c r="N986" s="12"/>
      <c r="O986" s="12"/>
      <c r="P986" s="12"/>
    </row>
    <row r="987">
      <c r="A987" s="12"/>
      <c r="D987" s="95"/>
      <c r="E987" s="14"/>
      <c r="H987" s="12"/>
      <c r="I987" s="12"/>
      <c r="J987" s="12"/>
      <c r="K987" s="12"/>
      <c r="L987" s="12"/>
      <c r="M987" s="12"/>
      <c r="N987" s="12"/>
      <c r="O987" s="12"/>
      <c r="P987" s="12"/>
    </row>
    <row r="988">
      <c r="A988" s="12"/>
      <c r="D988" s="95"/>
      <c r="E988" s="14"/>
      <c r="H988" s="12"/>
      <c r="I988" s="12"/>
      <c r="J988" s="12"/>
      <c r="K988" s="12"/>
      <c r="L988" s="12"/>
      <c r="M988" s="12"/>
      <c r="N988" s="12"/>
      <c r="O988" s="12"/>
      <c r="P988" s="12"/>
    </row>
    <row r="989">
      <c r="A989" s="12"/>
      <c r="D989" s="95"/>
      <c r="E989" s="14"/>
      <c r="H989" s="12"/>
      <c r="I989" s="12"/>
      <c r="J989" s="12"/>
      <c r="K989" s="12"/>
      <c r="L989" s="12"/>
      <c r="M989" s="12"/>
      <c r="N989" s="12"/>
      <c r="O989" s="12"/>
      <c r="P989" s="12"/>
    </row>
    <row r="990">
      <c r="A990" s="12"/>
      <c r="D990" s="95"/>
      <c r="E990" s="14"/>
      <c r="H990" s="12"/>
      <c r="I990" s="12"/>
      <c r="J990" s="12"/>
      <c r="K990" s="12"/>
      <c r="L990" s="12"/>
      <c r="M990" s="12"/>
      <c r="N990" s="12"/>
      <c r="O990" s="12"/>
      <c r="P990" s="12"/>
    </row>
    <row r="991">
      <c r="A991" s="12"/>
      <c r="D991" s="95"/>
      <c r="E991" s="14"/>
      <c r="H991" s="12"/>
      <c r="I991" s="12"/>
      <c r="J991" s="12"/>
      <c r="K991" s="12"/>
      <c r="L991" s="12"/>
      <c r="M991" s="12"/>
      <c r="N991" s="12"/>
      <c r="O991" s="12"/>
      <c r="P991" s="12"/>
    </row>
    <row r="992">
      <c r="A992" s="12"/>
      <c r="D992" s="95"/>
      <c r="E992" s="14"/>
      <c r="H992" s="12"/>
      <c r="I992" s="12"/>
      <c r="J992" s="12"/>
      <c r="K992" s="12"/>
      <c r="L992" s="12"/>
      <c r="M992" s="12"/>
      <c r="N992" s="12"/>
      <c r="O992" s="12"/>
      <c r="P992" s="12"/>
    </row>
    <row r="993">
      <c r="A993" s="12"/>
      <c r="D993" s="95"/>
      <c r="E993" s="14"/>
      <c r="H993" s="12"/>
      <c r="I993" s="12"/>
      <c r="J993" s="12"/>
      <c r="K993" s="12"/>
      <c r="L993" s="12"/>
      <c r="M993" s="12"/>
      <c r="N993" s="12"/>
      <c r="O993" s="12"/>
      <c r="P993" s="12"/>
    </row>
    <row r="994">
      <c r="A994" s="12"/>
      <c r="D994" s="95"/>
      <c r="E994" s="14"/>
      <c r="H994" s="12"/>
      <c r="I994" s="12"/>
      <c r="J994" s="12"/>
      <c r="K994" s="12"/>
      <c r="L994" s="12"/>
      <c r="M994" s="12"/>
      <c r="N994" s="12"/>
      <c r="O994" s="12"/>
      <c r="P994" s="12"/>
    </row>
    <row r="995">
      <c r="A995" s="12"/>
      <c r="D995" s="95"/>
      <c r="E995" s="14"/>
      <c r="H995" s="12"/>
      <c r="I995" s="12"/>
      <c r="J995" s="12"/>
      <c r="K995" s="12"/>
      <c r="L995" s="12"/>
      <c r="M995" s="12"/>
      <c r="N995" s="12"/>
      <c r="O995" s="12"/>
      <c r="P995" s="12"/>
    </row>
    <row r="996">
      <c r="A996" s="12"/>
      <c r="D996" s="95"/>
      <c r="E996" s="14"/>
      <c r="H996" s="12"/>
      <c r="I996" s="12"/>
      <c r="J996" s="12"/>
      <c r="K996" s="12"/>
      <c r="L996" s="12"/>
      <c r="M996" s="12"/>
      <c r="N996" s="12"/>
      <c r="O996" s="12"/>
      <c r="P996" s="12"/>
    </row>
    <row r="997">
      <c r="A997" s="12"/>
      <c r="D997" s="95"/>
      <c r="E997" s="14"/>
      <c r="H997" s="12"/>
      <c r="I997" s="12"/>
      <c r="J997" s="12"/>
      <c r="K997" s="12"/>
      <c r="L997" s="12"/>
      <c r="M997" s="12"/>
      <c r="N997" s="12"/>
      <c r="O997" s="12"/>
      <c r="P997" s="12"/>
    </row>
    <row r="998">
      <c r="A998" s="12"/>
      <c r="D998" s="95"/>
      <c r="E998" s="14"/>
      <c r="H998" s="12"/>
      <c r="I998" s="12"/>
      <c r="J998" s="12"/>
      <c r="K998" s="12"/>
      <c r="L998" s="12"/>
      <c r="M998" s="12"/>
      <c r="N998" s="12"/>
      <c r="O998" s="12"/>
      <c r="P998" s="12"/>
    </row>
    <row r="999">
      <c r="A999" s="12"/>
      <c r="D999" s="95"/>
      <c r="E999" s="14"/>
      <c r="H999" s="12"/>
      <c r="I999" s="12"/>
      <c r="J999" s="12"/>
      <c r="K999" s="12"/>
      <c r="L999" s="12"/>
      <c r="M999" s="12"/>
      <c r="N999" s="12"/>
      <c r="O999" s="12"/>
      <c r="P999" s="12"/>
    </row>
    <row r="1000">
      <c r="A1000" s="12"/>
      <c r="D1000" s="95"/>
      <c r="E1000" s="14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>
      <c r="A1001" s="12"/>
      <c r="D1001" s="95"/>
      <c r="E1001" s="14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>
      <c r="A1002" s="12"/>
      <c r="D1002" s="95"/>
      <c r="E1002" s="14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>
      <c r="A1003" s="12"/>
      <c r="D1003" s="95"/>
      <c r="E1003" s="14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>
      <c r="A1004" s="12"/>
      <c r="D1004" s="95"/>
      <c r="E1004" s="14"/>
      <c r="H1004" s="12"/>
      <c r="I1004" s="12"/>
      <c r="J1004" s="12"/>
      <c r="K1004" s="12"/>
      <c r="L1004" s="12"/>
      <c r="M1004" s="12"/>
      <c r="N1004" s="12"/>
      <c r="O1004" s="12"/>
      <c r="P1004" s="12"/>
    </row>
  </sheetData>
  <conditionalFormatting sqref="H2:P38">
    <cfRule type="cellIs" dxfId="25" priority="1" operator="equal">
      <formula>0</formula>
    </cfRule>
  </conditionalFormatting>
  <conditionalFormatting sqref="H2:H38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8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8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8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8">
    <cfRule type="colorScale" priority="6">
      <colorScale>
        <cfvo type="formula" val="-(max(L2:L38))"/>
        <cfvo type="percentile" val="50"/>
        <cfvo type="max"/>
        <color rgb="FF34A853"/>
        <color rgb="FFFFFF00"/>
        <color rgb="FFEA4335"/>
      </colorScale>
    </cfRule>
  </conditionalFormatting>
  <conditionalFormatting sqref="M2:M38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8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8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P38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4:C51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4:F51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Nou),Astana (Astana Arena)"</formula1>
    </dataValidation>
    <dataValidation type="custom" allowBlank="1" showDropDown="1" sqref="F2:F38 F41">
      <formula1>OR(NOT(ISERROR(DATEVALUE(F2))), AND(ISNUMBER(F2), LEFT(CELL("format", F2))="D"))</formula1>
    </dataValidation>
    <dataValidation type="list" allowBlank="1" showDropDown="1" sqref="C2:C38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5"/>
    <col customWidth="1" min="3" max="3" width="15.5"/>
    <col customWidth="1" min="4" max="4" width="34.0"/>
    <col customWidth="1" min="5" max="5" width="9.25"/>
    <col customWidth="1" min="6" max="6" width="26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698" t="s">
        <v>48</v>
      </c>
      <c r="B1" s="699" t="s">
        <v>49</v>
      </c>
      <c r="C1" s="699" t="s">
        <v>50</v>
      </c>
      <c r="D1" s="700" t="s">
        <v>56</v>
      </c>
      <c r="E1" s="698" t="s">
        <v>57</v>
      </c>
      <c r="F1" s="701" t="s">
        <v>52</v>
      </c>
      <c r="G1" s="702" t="s">
        <v>53</v>
      </c>
      <c r="H1" s="698" t="s">
        <v>4</v>
      </c>
      <c r="I1" s="698" t="s">
        <v>58</v>
      </c>
      <c r="J1" s="698" t="s">
        <v>59</v>
      </c>
      <c r="K1" s="698" t="s">
        <v>60</v>
      </c>
      <c r="L1" s="698" t="s">
        <v>61</v>
      </c>
      <c r="M1" s="698" t="s">
        <v>62</v>
      </c>
      <c r="N1" s="698" t="s">
        <v>63</v>
      </c>
      <c r="O1" s="703" t="s">
        <v>64</v>
      </c>
      <c r="P1" s="698" t="s">
        <v>65</v>
      </c>
    </row>
    <row r="2" ht="22.5" customHeight="1">
      <c r="A2" s="704">
        <v>1.0</v>
      </c>
      <c r="B2" s="705" t="s">
        <v>1103</v>
      </c>
      <c r="C2" s="706" t="s">
        <v>67</v>
      </c>
      <c r="D2" s="707" t="s">
        <v>206</v>
      </c>
      <c r="E2" s="708" t="str">
        <f>IMAGE("https://flagcdn.com/w320/it.png")</f>
        <v/>
      </c>
      <c r="F2" s="709">
        <v>33918.0</v>
      </c>
      <c r="G2" s="710">
        <f t="shared" ref="G2:G30" si="1">DATEDIF(F2,TODAY(),"Y")</f>
        <v>33</v>
      </c>
      <c r="H2" s="708">
        <f t="shared" ref="H2:H3" si="2">1+1</f>
        <v>2</v>
      </c>
      <c r="I2" s="708">
        <f t="shared" ref="I2:I3" si="3">90+90</f>
        <v>180</v>
      </c>
      <c r="J2" s="708"/>
      <c r="K2" s="708"/>
      <c r="L2" s="708"/>
      <c r="M2" s="708"/>
      <c r="N2" s="708"/>
      <c r="O2" s="708">
        <f t="shared" ref="O2:O30" si="4">J2+K2</f>
        <v>0</v>
      </c>
      <c r="P2" s="708"/>
    </row>
    <row r="3" ht="22.5" customHeight="1">
      <c r="A3" s="704">
        <v>3.0</v>
      </c>
      <c r="B3" s="711" t="s">
        <v>1104</v>
      </c>
      <c r="C3" s="706" t="s">
        <v>70</v>
      </c>
      <c r="D3" s="707" t="s">
        <v>182</v>
      </c>
      <c r="E3" s="708" t="str">
        <f>IMAGE("https://flagcdn.com/w320/br.png")</f>
        <v/>
      </c>
      <c r="F3" s="709">
        <v>35507.0</v>
      </c>
      <c r="G3" s="710">
        <f t="shared" si="1"/>
        <v>28</v>
      </c>
      <c r="H3" s="708">
        <f t="shared" si="2"/>
        <v>2</v>
      </c>
      <c r="I3" s="708">
        <f t="shared" si="3"/>
        <v>180</v>
      </c>
      <c r="J3" s="708"/>
      <c r="K3" s="708"/>
      <c r="L3" s="708"/>
      <c r="M3" s="708"/>
      <c r="N3" s="708"/>
      <c r="O3" s="708">
        <f t="shared" si="4"/>
        <v>0</v>
      </c>
      <c r="P3" s="708"/>
    </row>
    <row r="4" ht="22.5" customHeight="1">
      <c r="A4" s="704">
        <v>4.0</v>
      </c>
      <c r="B4" s="705" t="s">
        <v>1105</v>
      </c>
      <c r="C4" s="706" t="s">
        <v>70</v>
      </c>
      <c r="D4" s="707" t="s">
        <v>206</v>
      </c>
      <c r="E4" s="708" t="str">
        <f t="shared" ref="E4:E5" si="5">IMAGE("https://flagcdn.com/w320/it.png")</f>
        <v/>
      </c>
      <c r="F4" s="709">
        <v>35970.0</v>
      </c>
      <c r="G4" s="710">
        <f t="shared" si="1"/>
        <v>27</v>
      </c>
      <c r="H4" s="708">
        <f>1+1+1</f>
        <v>3</v>
      </c>
      <c r="I4" s="708">
        <f>90+90+90</f>
        <v>270</v>
      </c>
      <c r="J4" s="708">
        <f>1</f>
        <v>1</v>
      </c>
      <c r="K4" s="708"/>
      <c r="L4" s="708"/>
      <c r="M4" s="708"/>
      <c r="N4" s="708"/>
      <c r="O4" s="708">
        <f t="shared" si="4"/>
        <v>1</v>
      </c>
      <c r="P4" s="708"/>
    </row>
    <row r="5" ht="22.5" customHeight="1">
      <c r="A5" s="704">
        <v>5.0</v>
      </c>
      <c r="B5" s="705" t="s">
        <v>1106</v>
      </c>
      <c r="C5" s="706" t="s">
        <v>79</v>
      </c>
      <c r="D5" s="707" t="s">
        <v>206</v>
      </c>
      <c r="E5" s="708" t="str">
        <f t="shared" si="5"/>
        <v/>
      </c>
      <c r="F5" s="709">
        <v>35803.0</v>
      </c>
      <c r="G5" s="710">
        <f t="shared" si="1"/>
        <v>28</v>
      </c>
      <c r="H5" s="708">
        <f>1+1+1+1+1+1+1</f>
        <v>7</v>
      </c>
      <c r="I5" s="708">
        <f>22+90+17+82+90+59+86</f>
        <v>446</v>
      </c>
      <c r="J5" s="708"/>
      <c r="K5" s="708"/>
      <c r="L5" s="708">
        <f t="shared" ref="L5:L6" si="7">1+1</f>
        <v>2</v>
      </c>
      <c r="M5" s="708"/>
      <c r="N5" s="708"/>
      <c r="O5" s="708">
        <f t="shared" si="4"/>
        <v>0</v>
      </c>
      <c r="P5" s="708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ht="22.5" customHeight="1">
      <c r="A6" s="704">
        <v>6.0</v>
      </c>
      <c r="B6" s="705" t="s">
        <v>1107</v>
      </c>
      <c r="C6" s="706" t="s">
        <v>70</v>
      </c>
      <c r="D6" s="707" t="s">
        <v>1108</v>
      </c>
      <c r="E6" s="708" t="str">
        <f>IMAGE("https://flagcdn.com/w320/gb-eng.png")</f>
        <v/>
      </c>
      <c r="F6" s="709">
        <v>36013.0</v>
      </c>
      <c r="G6" s="710">
        <f t="shared" si="1"/>
        <v>27</v>
      </c>
      <c r="H6" s="708">
        <f t="shared" ref="H6:H7" si="8">1+1+1+1+1+1</f>
        <v>6</v>
      </c>
      <c r="I6" s="708">
        <f>90+90+90+90+90+90</f>
        <v>540</v>
      </c>
      <c r="J6" s="708">
        <f t="shared" ref="J6:K6" si="6">1</f>
        <v>1</v>
      </c>
      <c r="K6" s="708">
        <f t="shared" si="6"/>
        <v>1</v>
      </c>
      <c r="L6" s="708">
        <f t="shared" si="7"/>
        <v>2</v>
      </c>
      <c r="M6" s="708"/>
      <c r="N6" s="708"/>
      <c r="O6" s="708">
        <f t="shared" si="4"/>
        <v>2</v>
      </c>
      <c r="P6" s="708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ht="22.5" customHeight="1">
      <c r="A7" s="704">
        <v>7.0</v>
      </c>
      <c r="B7" s="711" t="s">
        <v>1109</v>
      </c>
      <c r="C7" s="706" t="s">
        <v>82</v>
      </c>
      <c r="D7" s="707" t="s">
        <v>477</v>
      </c>
      <c r="E7" s="708" t="str">
        <f>IMAGE("https://flagcdn.com/w320/pt.png")</f>
        <v/>
      </c>
      <c r="F7" s="709">
        <v>37604.0</v>
      </c>
      <c r="G7" s="710">
        <f t="shared" si="1"/>
        <v>23</v>
      </c>
      <c r="H7" s="708">
        <f t="shared" si="8"/>
        <v>6</v>
      </c>
      <c r="I7" s="708">
        <f>45+29+71+82+45+45</f>
        <v>317</v>
      </c>
      <c r="J7" s="708">
        <f>1</f>
        <v>1</v>
      </c>
      <c r="K7" s="708"/>
      <c r="L7" s="708">
        <f>1</f>
        <v>1</v>
      </c>
      <c r="M7" s="708"/>
      <c r="N7" s="708"/>
      <c r="O7" s="708">
        <f t="shared" si="4"/>
        <v>1</v>
      </c>
      <c r="P7" s="708"/>
    </row>
    <row r="8" ht="22.5" customHeight="1">
      <c r="A8" s="704">
        <v>8.0</v>
      </c>
      <c r="B8" s="705" t="s">
        <v>1110</v>
      </c>
      <c r="C8" s="706" t="s">
        <v>79</v>
      </c>
      <c r="D8" s="707" t="s">
        <v>80</v>
      </c>
      <c r="E8" s="708" t="str">
        <f>IMAGE("https://flagcdn.com/w320/nl.png")</f>
        <v/>
      </c>
      <c r="F8" s="709">
        <v>35854.0</v>
      </c>
      <c r="G8" s="710">
        <f t="shared" si="1"/>
        <v>27</v>
      </c>
      <c r="H8" s="708">
        <f>1+1+1+1+1+1+1</f>
        <v>7</v>
      </c>
      <c r="I8" s="708">
        <f>68+45+73+90+90+90+4</f>
        <v>460</v>
      </c>
      <c r="J8" s="708"/>
      <c r="K8" s="708"/>
      <c r="L8" s="708"/>
      <c r="M8" s="708"/>
      <c r="N8" s="708"/>
      <c r="O8" s="708">
        <f t="shared" si="4"/>
        <v>0</v>
      </c>
      <c r="P8" s="708"/>
    </row>
    <row r="9" ht="22.5" customHeight="1">
      <c r="A9" s="704">
        <v>9.0</v>
      </c>
      <c r="B9" s="705" t="s">
        <v>1111</v>
      </c>
      <c r="C9" s="706" t="s">
        <v>82</v>
      </c>
      <c r="D9" s="707" t="s">
        <v>1074</v>
      </c>
      <c r="E9" s="708" t="str">
        <f>IMAGE("https://flagcdn.com/w320/rs.png")</f>
        <v/>
      </c>
      <c r="F9" s="709">
        <v>36553.0</v>
      </c>
      <c r="G9" s="710">
        <f t="shared" si="1"/>
        <v>26</v>
      </c>
      <c r="H9" s="708">
        <f>1+1+1+1</f>
        <v>4</v>
      </c>
      <c r="I9" s="708">
        <f>33+5+73+82</f>
        <v>193</v>
      </c>
      <c r="J9" s="708">
        <f>2+1</f>
        <v>3</v>
      </c>
      <c r="K9" s="708">
        <f>1</f>
        <v>1</v>
      </c>
      <c r="L9" s="708"/>
      <c r="M9" s="708"/>
      <c r="N9" s="708"/>
      <c r="O9" s="708">
        <f t="shared" si="4"/>
        <v>4</v>
      </c>
      <c r="P9" s="708"/>
    </row>
    <row r="10" ht="22.5" customHeight="1">
      <c r="A10" s="712">
        <v>10.0</v>
      </c>
      <c r="B10" s="713" t="s">
        <v>1112</v>
      </c>
      <c r="C10" s="714" t="s">
        <v>82</v>
      </c>
      <c r="D10" s="715" t="s">
        <v>1113</v>
      </c>
      <c r="E10" s="716" t="str">
        <f>IMAGE("https://flagcdn.com/w320/tr.png")</f>
        <v/>
      </c>
      <c r="F10" s="717">
        <v>38476.0</v>
      </c>
      <c r="G10" s="718">
        <f t="shared" si="1"/>
        <v>20</v>
      </c>
      <c r="H10" s="716">
        <f>1+1+1+1+1+1+1</f>
        <v>7</v>
      </c>
      <c r="I10" s="716">
        <f>86+79+73+86+45+83+81</f>
        <v>533</v>
      </c>
      <c r="J10" s="716">
        <f>1</f>
        <v>1</v>
      </c>
      <c r="K10" s="716">
        <f>1+1+1</f>
        <v>3</v>
      </c>
      <c r="L10" s="716"/>
      <c r="M10" s="716"/>
      <c r="N10" s="716"/>
      <c r="O10" s="716">
        <f t="shared" si="4"/>
        <v>4</v>
      </c>
      <c r="P10" s="716"/>
    </row>
    <row r="11" ht="22.5" customHeight="1">
      <c r="A11" s="704">
        <v>11.0</v>
      </c>
      <c r="B11" s="705" t="s">
        <v>1114</v>
      </c>
      <c r="C11" s="706" t="s">
        <v>82</v>
      </c>
      <c r="D11" s="707" t="s">
        <v>1115</v>
      </c>
      <c r="E11" s="708" t="str">
        <f>IMAGE("https://flagcdn.com/w320/xk.png")</f>
        <v/>
      </c>
      <c r="F11" s="709">
        <v>36250.0</v>
      </c>
      <c r="G11" s="710">
        <f t="shared" si="1"/>
        <v>26</v>
      </c>
      <c r="H11" s="708">
        <f>1+1+1+1</f>
        <v>4</v>
      </c>
      <c r="I11" s="708">
        <f>4+19+8+45</f>
        <v>76</v>
      </c>
      <c r="J11" s="708"/>
      <c r="K11" s="708"/>
      <c r="L11" s="708"/>
      <c r="M11" s="708"/>
      <c r="N11" s="708"/>
      <c r="O11" s="708">
        <f t="shared" si="4"/>
        <v>0</v>
      </c>
      <c r="P11" s="708"/>
    </row>
    <row r="12" ht="22.5" customHeight="1">
      <c r="A12" s="704">
        <v>15.0</v>
      </c>
      <c r="B12" s="705" t="s">
        <v>1116</v>
      </c>
      <c r="C12" s="706" t="s">
        <v>70</v>
      </c>
      <c r="D12" s="707" t="s">
        <v>1117</v>
      </c>
      <c r="E12" s="708" t="str">
        <f>IMAGE("https://flagcdn.com/w320/fr.png")</f>
        <v/>
      </c>
      <c r="F12" s="709">
        <v>36682.0</v>
      </c>
      <c r="G12" s="710">
        <f t="shared" si="1"/>
        <v>25</v>
      </c>
      <c r="H12" s="708">
        <f>1+1+1+1+1+1+1</f>
        <v>7</v>
      </c>
      <c r="I12" s="708">
        <f>90+90+90+90+90+90+90</f>
        <v>630</v>
      </c>
      <c r="J12" s="708"/>
      <c r="K12" s="708">
        <f>1</f>
        <v>1</v>
      </c>
      <c r="L12" s="708"/>
      <c r="M12" s="708"/>
      <c r="N12" s="708"/>
      <c r="O12" s="708">
        <f t="shared" si="4"/>
        <v>1</v>
      </c>
      <c r="P12" s="708"/>
    </row>
    <row r="13" ht="22.5" customHeight="1">
      <c r="A13" s="704">
        <v>16.0</v>
      </c>
      <c r="B13" s="705" t="s">
        <v>1118</v>
      </c>
      <c r="C13" s="706" t="s">
        <v>67</v>
      </c>
      <c r="D13" s="707" t="s">
        <v>206</v>
      </c>
      <c r="E13" s="708" t="str">
        <f>IMAGE("https://flagcdn.com/w320/it.png")</f>
        <v/>
      </c>
      <c r="F13" s="709">
        <v>35638.0</v>
      </c>
      <c r="G13" s="710">
        <f t="shared" si="1"/>
        <v>28</v>
      </c>
      <c r="H13" s="708">
        <f t="shared" ref="H13:H14" si="9">1+1+1+1+1</f>
        <v>5</v>
      </c>
      <c r="I13" s="708">
        <f>90+90+90+90+90</f>
        <v>450</v>
      </c>
      <c r="J13" s="708"/>
      <c r="K13" s="708"/>
      <c r="L13" s="708"/>
      <c r="M13" s="708"/>
      <c r="N13" s="708">
        <f>1+1</f>
        <v>2</v>
      </c>
      <c r="O13" s="708">
        <f t="shared" si="4"/>
        <v>0</v>
      </c>
      <c r="P13" s="708"/>
    </row>
    <row r="14" ht="22.5" customHeight="1">
      <c r="A14" s="704">
        <v>17.0</v>
      </c>
      <c r="B14" s="705" t="s">
        <v>1119</v>
      </c>
      <c r="C14" s="706" t="s">
        <v>79</v>
      </c>
      <c r="D14" s="707" t="s">
        <v>1120</v>
      </c>
      <c r="E14" s="708" t="str">
        <f>IMAGE("https://flagcdn.com/w320/me.png")</f>
        <v/>
      </c>
      <c r="F14" s="709">
        <v>38849.0</v>
      </c>
      <c r="G14" s="710">
        <f t="shared" si="1"/>
        <v>19</v>
      </c>
      <c r="H14" s="704">
        <f t="shared" si="9"/>
        <v>5</v>
      </c>
      <c r="I14" s="708">
        <f>22+11+8+45+17</f>
        <v>103</v>
      </c>
      <c r="J14" s="708"/>
      <c r="K14" s="708"/>
      <c r="L14" s="708"/>
      <c r="M14" s="708"/>
      <c r="N14" s="708"/>
      <c r="O14" s="708">
        <f t="shared" si="4"/>
        <v>0</v>
      </c>
      <c r="P14" s="708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22.5" customHeight="1">
      <c r="A15" s="704">
        <v>18.0</v>
      </c>
      <c r="B15" s="705" t="s">
        <v>1121</v>
      </c>
      <c r="C15" s="706" t="s">
        <v>79</v>
      </c>
      <c r="D15" s="707" t="s">
        <v>1074</v>
      </c>
      <c r="E15" s="708" t="str">
        <f>IMAGE("https://flagcdn.com/w320/rs.png")</f>
        <v/>
      </c>
      <c r="F15" s="709">
        <v>33909.0</v>
      </c>
      <c r="G15" s="710">
        <f t="shared" si="1"/>
        <v>33</v>
      </c>
      <c r="H15" s="708">
        <f>1+1+1</f>
        <v>3</v>
      </c>
      <c r="I15" s="708">
        <f>3+19+9</f>
        <v>31</v>
      </c>
      <c r="J15" s="708"/>
      <c r="K15" s="708"/>
      <c r="L15" s="708"/>
      <c r="M15" s="708"/>
      <c r="N15" s="708"/>
      <c r="O15" s="708">
        <f t="shared" si="4"/>
        <v>0</v>
      </c>
      <c r="P15" s="708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22.5" customHeight="1">
      <c r="A16" s="704">
        <v>19.0</v>
      </c>
      <c r="B16" s="705" t="s">
        <v>1122</v>
      </c>
      <c r="C16" s="706" t="s">
        <v>79</v>
      </c>
      <c r="D16" s="707" t="s">
        <v>1123</v>
      </c>
      <c r="E16" s="708" t="str">
        <f>IMAGE("https://flagcdn.com/w320/fr.png")</f>
        <v/>
      </c>
      <c r="F16" s="709">
        <v>36976.0</v>
      </c>
      <c r="G16" s="710">
        <f t="shared" si="1"/>
        <v>24</v>
      </c>
      <c r="H16" s="708">
        <f>1+1+1+1+1+1</f>
        <v>6</v>
      </c>
      <c r="I16" s="708">
        <f>90+61+71+23+17+90</f>
        <v>352</v>
      </c>
      <c r="J16" s="708">
        <f t="shared" ref="J16:L16" si="10">1</f>
        <v>1</v>
      </c>
      <c r="K16" s="708">
        <f t="shared" si="10"/>
        <v>1</v>
      </c>
      <c r="L16" s="708">
        <f t="shared" si="10"/>
        <v>1</v>
      </c>
      <c r="M16" s="708"/>
      <c r="N16" s="708"/>
      <c r="O16" s="708">
        <f t="shared" si="4"/>
        <v>2</v>
      </c>
      <c r="P16" s="708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22.5" customHeight="1">
      <c r="A17" s="704">
        <v>20.0</v>
      </c>
      <c r="B17" s="705" t="s">
        <v>1124</v>
      </c>
      <c r="C17" s="706" t="s">
        <v>82</v>
      </c>
      <c r="D17" s="707" t="s">
        <v>1125</v>
      </c>
      <c r="E17" s="708" t="str">
        <f>IMAGE("https://flagcdn.com/w320/be.png")</f>
        <v/>
      </c>
      <c r="F17" s="709">
        <v>36572.0</v>
      </c>
      <c r="G17" s="710">
        <f t="shared" si="1"/>
        <v>25</v>
      </c>
      <c r="H17" s="708">
        <f>1+1+1+1+1</f>
        <v>5</v>
      </c>
      <c r="I17" s="708">
        <f>68+17+74+31+21</f>
        <v>211</v>
      </c>
      <c r="J17" s="708">
        <f>1</f>
        <v>1</v>
      </c>
      <c r="K17" s="708"/>
      <c r="L17" s="708"/>
      <c r="M17" s="708"/>
      <c r="N17" s="708"/>
      <c r="O17" s="708">
        <f t="shared" si="4"/>
        <v>1</v>
      </c>
      <c r="P17" s="708"/>
    </row>
    <row r="18" ht="22.5" customHeight="1">
      <c r="A18" s="704">
        <v>21.0</v>
      </c>
      <c r="B18" s="705" t="s">
        <v>1126</v>
      </c>
      <c r="C18" s="706" t="s">
        <v>79</v>
      </c>
      <c r="D18" s="707" t="s">
        <v>206</v>
      </c>
      <c r="E18" s="708" t="str">
        <f>IMAGE("https://flagcdn.com/w320/it.png")</f>
        <v/>
      </c>
      <c r="F18" s="709">
        <v>37836.0</v>
      </c>
      <c r="G18" s="710">
        <f t="shared" si="1"/>
        <v>22</v>
      </c>
      <c r="H18" s="708">
        <f>1+1+1+1</f>
        <v>4</v>
      </c>
      <c r="I18" s="708">
        <f>8+67+73+45</f>
        <v>193</v>
      </c>
      <c r="J18" s="708"/>
      <c r="K18" s="708">
        <f t="shared" ref="K18:L18" si="11">1</f>
        <v>1</v>
      </c>
      <c r="L18" s="708">
        <f t="shared" si="11"/>
        <v>1</v>
      </c>
      <c r="M18" s="708"/>
      <c r="N18" s="708"/>
      <c r="O18" s="708">
        <f t="shared" si="4"/>
        <v>1</v>
      </c>
      <c r="P18" s="708"/>
    </row>
    <row r="19" ht="22.5" customHeight="1">
      <c r="A19" s="704">
        <v>22.0</v>
      </c>
      <c r="B19" s="705" t="s">
        <v>1127</v>
      </c>
      <c r="C19" s="706" t="s">
        <v>79</v>
      </c>
      <c r="D19" s="707" t="s">
        <v>663</v>
      </c>
      <c r="E19" s="708" t="str">
        <f>IMAGE("https://flagcdn.com/w320/us.png")</f>
        <v/>
      </c>
      <c r="F19" s="709">
        <v>36035.0</v>
      </c>
      <c r="G19" s="710">
        <f t="shared" si="1"/>
        <v>27</v>
      </c>
      <c r="H19" s="708">
        <f>1+1+1+1+1+1+1</f>
        <v>7</v>
      </c>
      <c r="I19" s="708">
        <f>58+90+90+90+90+90+90</f>
        <v>598</v>
      </c>
      <c r="J19" s="708">
        <f>1+1+1</f>
        <v>3</v>
      </c>
      <c r="K19" s="708"/>
      <c r="L19" s="708">
        <f>1</f>
        <v>1</v>
      </c>
      <c r="M19" s="708"/>
      <c r="N19" s="708"/>
      <c r="O19" s="708">
        <f t="shared" si="4"/>
        <v>3</v>
      </c>
      <c r="P19" s="708"/>
    </row>
    <row r="20" ht="22.5" customHeight="1">
      <c r="A20" s="704">
        <v>23.0</v>
      </c>
      <c r="B20" s="705" t="s">
        <v>1128</v>
      </c>
      <c r="C20" s="706" t="s">
        <v>67</v>
      </c>
      <c r="D20" s="707" t="s">
        <v>206</v>
      </c>
      <c r="E20" s="708" t="str">
        <f t="shared" ref="E20:E21" si="13">IMAGE("https://flagcdn.com/w320/it.png")</f>
        <v/>
      </c>
      <c r="F20" s="709">
        <v>32948.0</v>
      </c>
      <c r="G20" s="710">
        <f t="shared" si="1"/>
        <v>35</v>
      </c>
      <c r="H20" s="708">
        <f t="shared" ref="H20:I20" si="12">0</f>
        <v>0</v>
      </c>
      <c r="I20" s="708">
        <f t="shared" si="12"/>
        <v>0</v>
      </c>
      <c r="J20" s="708"/>
      <c r="K20" s="708"/>
      <c r="L20" s="708"/>
      <c r="M20" s="708"/>
      <c r="N20" s="708"/>
      <c r="O20" s="708">
        <f t="shared" si="4"/>
        <v>0</v>
      </c>
      <c r="P20" s="708"/>
    </row>
    <row r="21" ht="22.5" customHeight="1">
      <c r="A21" s="704">
        <v>24.0</v>
      </c>
      <c r="B21" s="705" t="s">
        <v>1129</v>
      </c>
      <c r="C21" s="706" t="s">
        <v>70</v>
      </c>
      <c r="D21" s="707" t="s">
        <v>206</v>
      </c>
      <c r="E21" s="708" t="str">
        <f t="shared" si="13"/>
        <v/>
      </c>
      <c r="F21" s="709">
        <v>34544.0</v>
      </c>
      <c r="G21" s="710">
        <f t="shared" si="1"/>
        <v>31</v>
      </c>
      <c r="H21" s="708">
        <f t="shared" ref="H21:H22" si="14">1+1</f>
        <v>2</v>
      </c>
      <c r="I21" s="708">
        <f>11+90</f>
        <v>101</v>
      </c>
      <c r="J21" s="708"/>
      <c r="K21" s="708"/>
      <c r="L21" s="708"/>
      <c r="M21" s="708"/>
      <c r="N21" s="708"/>
      <c r="O21" s="708">
        <f t="shared" si="4"/>
        <v>0</v>
      </c>
      <c r="P21" s="708"/>
    </row>
    <row r="22" ht="22.5" customHeight="1">
      <c r="A22" s="704">
        <v>25.0</v>
      </c>
      <c r="B22" s="711" t="s">
        <v>1130</v>
      </c>
      <c r="C22" s="706" t="s">
        <v>82</v>
      </c>
      <c r="D22" s="707" t="s">
        <v>477</v>
      </c>
      <c r="E22" s="708" t="str">
        <f>IMAGE("https://flagcdn.com/w320/pt.png")</f>
        <v/>
      </c>
      <c r="F22" s="709">
        <v>36528.0</v>
      </c>
      <c r="G22" s="710">
        <f t="shared" si="1"/>
        <v>26</v>
      </c>
      <c r="H22" s="708">
        <f t="shared" si="14"/>
        <v>2</v>
      </c>
      <c r="I22" s="708">
        <f>32+75</f>
        <v>107</v>
      </c>
      <c r="J22" s="708"/>
      <c r="K22" s="708">
        <f t="shared" ref="K22:K24" si="15">1</f>
        <v>1</v>
      </c>
      <c r="L22" s="708"/>
      <c r="M22" s="708"/>
      <c r="N22" s="708"/>
      <c r="O22" s="708">
        <f t="shared" si="4"/>
        <v>1</v>
      </c>
      <c r="P22" s="708"/>
    </row>
    <row r="23" ht="22.5" customHeight="1">
      <c r="A23" s="704">
        <v>27.0</v>
      </c>
      <c r="B23" s="705" t="s">
        <v>1131</v>
      </c>
      <c r="C23" s="706" t="s">
        <v>70</v>
      </c>
      <c r="D23" s="707" t="s">
        <v>206</v>
      </c>
      <c r="E23" s="708" t="str">
        <f>IMAGE("https://flagcdn.com/w320/it.png")</f>
        <v/>
      </c>
      <c r="F23" s="709">
        <v>36576.0</v>
      </c>
      <c r="G23" s="710">
        <f t="shared" si="1"/>
        <v>25</v>
      </c>
      <c r="H23" s="708">
        <f>1+1+1+1+1+1+1</f>
        <v>7</v>
      </c>
      <c r="I23" s="708">
        <f>90+79+87+90+74+90+69</f>
        <v>579</v>
      </c>
      <c r="J23" s="708"/>
      <c r="K23" s="708">
        <f t="shared" si="15"/>
        <v>1</v>
      </c>
      <c r="L23" s="708">
        <f>1+1</f>
        <v>2</v>
      </c>
      <c r="M23" s="708"/>
      <c r="N23" s="708"/>
      <c r="O23" s="708">
        <f t="shared" si="4"/>
        <v>1</v>
      </c>
      <c r="P23" s="708"/>
    </row>
    <row r="24" ht="22.5" customHeight="1">
      <c r="A24" s="704">
        <v>30.0</v>
      </c>
      <c r="B24" s="705" t="s">
        <v>1132</v>
      </c>
      <c r="C24" s="706" t="s">
        <v>82</v>
      </c>
      <c r="D24" s="707" t="s">
        <v>1133</v>
      </c>
      <c r="E24" s="708" t="str">
        <f>IMAGE("https://flagcdn.com/w320/ca.png")</f>
        <v/>
      </c>
      <c r="F24" s="709">
        <v>36539.0</v>
      </c>
      <c r="G24" s="710">
        <f t="shared" si="1"/>
        <v>26</v>
      </c>
      <c r="H24" s="708">
        <f>1+1+1+1+1+1+1+1</f>
        <v>8</v>
      </c>
      <c r="I24" s="708">
        <f>57+85+17+4+16+73+21+69</f>
        <v>342</v>
      </c>
      <c r="J24" s="708">
        <f>1+1</f>
        <v>2</v>
      </c>
      <c r="K24" s="708">
        <f t="shared" si="15"/>
        <v>1</v>
      </c>
      <c r="L24" s="708"/>
      <c r="M24" s="708"/>
      <c r="N24" s="708"/>
      <c r="O24" s="708">
        <f t="shared" si="4"/>
        <v>3</v>
      </c>
      <c r="P24" s="708"/>
    </row>
    <row r="25" ht="22.5" customHeight="1">
      <c r="A25" s="704">
        <v>32.0</v>
      </c>
      <c r="B25" s="705" t="s">
        <v>1134</v>
      </c>
      <c r="C25" s="706" t="s">
        <v>70</v>
      </c>
      <c r="D25" s="707" t="s">
        <v>581</v>
      </c>
      <c r="E25" s="708" t="str">
        <f>IMAGE("https://flagcdn.com/w320/co.png")</f>
        <v/>
      </c>
      <c r="F25" s="709">
        <v>36899.0</v>
      </c>
      <c r="G25" s="710">
        <f t="shared" si="1"/>
        <v>25</v>
      </c>
      <c r="H25" s="708">
        <f>1+1+1</f>
        <v>3</v>
      </c>
      <c r="I25" s="708">
        <f>15+16+7</f>
        <v>38</v>
      </c>
      <c r="J25" s="708"/>
      <c r="K25" s="708"/>
      <c r="L25" s="708">
        <f>1+1</f>
        <v>2</v>
      </c>
      <c r="M25" s="708"/>
      <c r="N25" s="708"/>
      <c r="O25" s="708">
        <f t="shared" si="4"/>
        <v>0</v>
      </c>
      <c r="P25" s="708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22.5" customHeight="1">
      <c r="A26" s="712">
        <v>40.0</v>
      </c>
      <c r="B26" s="713" t="s">
        <v>1135</v>
      </c>
      <c r="C26" s="714" t="s">
        <v>70</v>
      </c>
      <c r="D26" s="715" t="s">
        <v>1136</v>
      </c>
      <c r="E26" s="716" t="str">
        <f>IMAGE("https://flagcdn.com/w320/se.png")</f>
        <v/>
      </c>
      <c r="F26" s="717">
        <v>37993.0</v>
      </c>
      <c r="G26" s="718">
        <f t="shared" si="1"/>
        <v>22</v>
      </c>
      <c r="H26" s="712">
        <v>0.0</v>
      </c>
      <c r="I26" s="712">
        <v>0.0</v>
      </c>
      <c r="J26" s="716"/>
      <c r="K26" s="716"/>
      <c r="L26" s="716"/>
      <c r="M26" s="716"/>
      <c r="N26" s="716"/>
      <c r="O26" s="708">
        <f t="shared" si="4"/>
        <v>0</v>
      </c>
      <c r="P26" s="716"/>
    </row>
    <row r="27" ht="22.5" customHeight="1">
      <c r="A27" s="712">
        <v>41.0</v>
      </c>
      <c r="B27" s="713" t="s">
        <v>1137</v>
      </c>
      <c r="C27" s="714" t="s">
        <v>70</v>
      </c>
      <c r="D27" s="715" t="s">
        <v>83</v>
      </c>
      <c r="E27" s="716" t="str">
        <f>IMAGE("https://flagcdn.com/w320/es.png")</f>
        <v/>
      </c>
      <c r="F27" s="717">
        <v>38840.0</v>
      </c>
      <c r="G27" s="718">
        <f t="shared" si="1"/>
        <v>19</v>
      </c>
      <c r="H27" s="716"/>
      <c r="I27" s="716"/>
      <c r="J27" s="716"/>
      <c r="K27" s="716"/>
      <c r="L27" s="716"/>
      <c r="M27" s="716"/>
      <c r="N27" s="716"/>
      <c r="O27" s="708">
        <f t="shared" si="4"/>
        <v>0</v>
      </c>
      <c r="P27" s="716"/>
    </row>
    <row r="28" ht="22.5" customHeight="1">
      <c r="A28" s="712">
        <v>42.0</v>
      </c>
      <c r="B28" s="713" t="s">
        <v>1138</v>
      </c>
      <c r="C28" s="714" t="s">
        <v>67</v>
      </c>
      <c r="D28" s="715" t="s">
        <v>206</v>
      </c>
      <c r="E28" s="716" t="str">
        <f t="shared" ref="E28:E29" si="16">IMAGE("https://flagcdn.com/w320/it.png")</f>
        <v/>
      </c>
      <c r="F28" s="717">
        <v>38180.0</v>
      </c>
      <c r="G28" s="718">
        <f t="shared" si="1"/>
        <v>21</v>
      </c>
      <c r="H28" s="712">
        <v>0.0</v>
      </c>
      <c r="I28" s="712">
        <v>0.0</v>
      </c>
      <c r="J28" s="716"/>
      <c r="K28" s="716"/>
      <c r="L28" s="716"/>
      <c r="M28" s="716"/>
      <c r="N28" s="716"/>
      <c r="O28" s="708">
        <f t="shared" si="4"/>
        <v>0</v>
      </c>
      <c r="P28" s="716"/>
    </row>
    <row r="29" ht="22.5" customHeight="1">
      <c r="A29" s="712">
        <v>43.0</v>
      </c>
      <c r="B29" s="713" t="s">
        <v>1139</v>
      </c>
      <c r="C29" s="714" t="s">
        <v>67</v>
      </c>
      <c r="D29" s="715" t="s">
        <v>206</v>
      </c>
      <c r="E29" s="716" t="str">
        <f t="shared" si="16"/>
        <v/>
      </c>
      <c r="F29" s="717">
        <v>38408.0</v>
      </c>
      <c r="G29" s="718">
        <f t="shared" si="1"/>
        <v>20</v>
      </c>
      <c r="H29" s="712">
        <v>0.0</v>
      </c>
      <c r="I29" s="712">
        <v>0.0</v>
      </c>
      <c r="J29" s="716"/>
      <c r="K29" s="716"/>
      <c r="L29" s="716"/>
      <c r="M29" s="716"/>
      <c r="N29" s="716"/>
      <c r="O29" s="708">
        <f t="shared" si="4"/>
        <v>0</v>
      </c>
      <c r="P29" s="716"/>
    </row>
    <row r="30" ht="22.5" customHeight="1">
      <c r="A30" s="712">
        <v>47.0</v>
      </c>
      <c r="B30" s="713" t="s">
        <v>1140</v>
      </c>
      <c r="C30" s="714" t="s">
        <v>70</v>
      </c>
      <c r="D30" s="715" t="s">
        <v>83</v>
      </c>
      <c r="E30" s="716" t="str">
        <f>IMAGE("https://flagcdn.com/w320/es.png")</f>
        <v/>
      </c>
      <c r="F30" s="717">
        <v>38887.0</v>
      </c>
      <c r="G30" s="718">
        <f t="shared" si="1"/>
        <v>19</v>
      </c>
      <c r="H30" s="716"/>
      <c r="I30" s="716"/>
      <c r="J30" s="716"/>
      <c r="K30" s="716"/>
      <c r="L30" s="716"/>
      <c r="M30" s="716"/>
      <c r="N30" s="716"/>
      <c r="O30" s="708">
        <f t="shared" si="4"/>
        <v>0</v>
      </c>
      <c r="P30" s="716"/>
    </row>
    <row r="31">
      <c r="A31" s="11"/>
      <c r="B31" s="18"/>
      <c r="C31" s="18"/>
      <c r="D31" s="64"/>
      <c r="E31" s="65"/>
      <c r="F31" s="66"/>
      <c r="G31" s="18"/>
      <c r="H31" s="73">
        <f t="shared" ref="H31:P31" si="17">SUM(H2:H30)</f>
        <v>112</v>
      </c>
      <c r="I31" s="73">
        <f t="shared" si="17"/>
        <v>6930</v>
      </c>
      <c r="J31" s="73">
        <f t="shared" si="17"/>
        <v>14</v>
      </c>
      <c r="K31" s="73">
        <f t="shared" si="17"/>
        <v>11</v>
      </c>
      <c r="L31" s="73">
        <f t="shared" si="17"/>
        <v>12</v>
      </c>
      <c r="M31" s="73">
        <f t="shared" si="17"/>
        <v>0</v>
      </c>
      <c r="N31" s="73">
        <f t="shared" si="17"/>
        <v>2</v>
      </c>
      <c r="O31" s="73">
        <f t="shared" si="17"/>
        <v>25</v>
      </c>
      <c r="P31" s="73">
        <f t="shared" si="17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22.5" customHeight="1">
      <c r="A32" s="698" t="s">
        <v>150</v>
      </c>
      <c r="B32" s="699" t="s">
        <v>49</v>
      </c>
      <c r="C32" s="699" t="s">
        <v>265</v>
      </c>
      <c r="D32" s="719" t="s">
        <v>56</v>
      </c>
      <c r="E32" s="699" t="s">
        <v>57</v>
      </c>
      <c r="F32" s="699" t="s">
        <v>52</v>
      </c>
      <c r="G32" s="699" t="s">
        <v>53</v>
      </c>
      <c r="H32" s="699" t="s">
        <v>4</v>
      </c>
      <c r="I32" s="699" t="s">
        <v>5</v>
      </c>
      <c r="J32" s="699" t="s">
        <v>6</v>
      </c>
      <c r="K32" s="699" t="s">
        <v>7</v>
      </c>
      <c r="L32" s="699" t="s">
        <v>8</v>
      </c>
      <c r="M32" s="699" t="s">
        <v>9</v>
      </c>
      <c r="N32" s="699" t="s">
        <v>10</v>
      </c>
    </row>
    <row r="33" ht="22.5" customHeight="1">
      <c r="A33" s="720"/>
      <c r="B33" s="705" t="s">
        <v>1141</v>
      </c>
      <c r="C33" s="705" t="s">
        <v>153</v>
      </c>
      <c r="D33" s="707" t="s">
        <v>111</v>
      </c>
      <c r="E33" s="721" t="str">
        <f>IMAGE("https://flagcdn.com/w320/hr.png")</f>
        <v/>
      </c>
      <c r="F33" s="709">
        <v>28596.0</v>
      </c>
      <c r="G33" s="710">
        <f t="shared" ref="G33:G34" si="18">DATEDIF(F33,TODAY(),"Y")</f>
        <v>47</v>
      </c>
      <c r="H33" s="722">
        <f t="shared" ref="H33:H34" si="19">L33+M33+N33</f>
        <v>3</v>
      </c>
      <c r="I33" s="722">
        <f t="shared" ref="I33:I34" si="20">(3*L33)+M33</f>
        <v>2</v>
      </c>
      <c r="J33" s="722">
        <f>4+2</f>
        <v>6</v>
      </c>
      <c r="K33" s="722">
        <f>4+2+1</f>
        <v>7</v>
      </c>
      <c r="L33" s="723">
        <f>0</f>
        <v>0</v>
      </c>
      <c r="M33" s="724">
        <f>1+1</f>
        <v>2</v>
      </c>
      <c r="N33" s="725">
        <f>1</f>
        <v>1</v>
      </c>
    </row>
    <row r="34" ht="22.5" customHeight="1">
      <c r="A34" s="720"/>
      <c r="B34" s="705" t="s">
        <v>1142</v>
      </c>
      <c r="C34" s="705" t="s">
        <v>153</v>
      </c>
      <c r="D34" s="707" t="s">
        <v>206</v>
      </c>
      <c r="E34" s="721" t="str">
        <f>IMAGE("https://flagcdn.com/w320/it.png")</f>
        <v/>
      </c>
      <c r="F34" s="709">
        <v>21616.0</v>
      </c>
      <c r="G34" s="710">
        <f t="shared" si="18"/>
        <v>66</v>
      </c>
      <c r="H34" s="722">
        <f t="shared" si="19"/>
        <v>4</v>
      </c>
      <c r="I34" s="722">
        <f t="shared" si="20"/>
        <v>10</v>
      </c>
      <c r="J34" s="722">
        <f>1+3+2+2</f>
        <v>8</v>
      </c>
      <c r="K34" s="722">
        <f>1+2</f>
        <v>3</v>
      </c>
      <c r="L34" s="723">
        <f>1+1+1</f>
        <v>3</v>
      </c>
      <c r="M34" s="724">
        <f>1</f>
        <v>1</v>
      </c>
      <c r="N34" s="726">
        <v>0.0</v>
      </c>
    </row>
    <row r="35">
      <c r="A35" s="11"/>
      <c r="B35" s="18"/>
      <c r="C35" s="18"/>
      <c r="D35" s="64"/>
      <c r="E35" s="65"/>
      <c r="F35" s="66"/>
      <c r="G35" s="18"/>
      <c r="H35" s="73">
        <f>SUM(trenerJuventus[mecze])</f>
        <v>7</v>
      </c>
      <c r="I35" s="73">
        <f>SUM(trenerJuventus[punkty])</f>
        <v>12</v>
      </c>
      <c r="J35" s="73">
        <f>SUM(trenerJuventus[strzelone])</f>
        <v>14</v>
      </c>
      <c r="K35" s="73">
        <f>SUM(trenerJuventus[stracone])</f>
        <v>10</v>
      </c>
      <c r="L35" s="73">
        <f>SUM(trenerJuventus[wygrane])</f>
        <v>3</v>
      </c>
      <c r="M35" s="73">
        <f>SUM(trenerJuventus[remisy])</f>
        <v>3</v>
      </c>
      <c r="N35" s="73">
        <f>SUM(trenerJuventus[porażki])</f>
        <v>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22.5" customHeight="1">
      <c r="A36" s="698" t="s">
        <v>156</v>
      </c>
      <c r="B36" s="698" t="s">
        <v>157</v>
      </c>
      <c r="C36" s="698" t="s">
        <v>158</v>
      </c>
      <c r="D36" s="702" t="s">
        <v>554</v>
      </c>
      <c r="E36" s="698" t="s">
        <v>160</v>
      </c>
      <c r="F36" s="698" t="s">
        <v>161</v>
      </c>
    </row>
    <row r="37" ht="22.5" customHeight="1">
      <c r="A37" s="197">
        <v>1.0</v>
      </c>
      <c r="B37" s="198" t="s">
        <v>35</v>
      </c>
      <c r="C37" s="198" t="s">
        <v>21</v>
      </c>
      <c r="D37" s="264" t="s">
        <v>1143</v>
      </c>
      <c r="E37" s="265">
        <v>45751.0</v>
      </c>
      <c r="F37" s="198" t="s">
        <v>502</v>
      </c>
    </row>
    <row r="38" ht="22.5" customHeight="1">
      <c r="A38" s="197">
        <v>2.0</v>
      </c>
      <c r="B38" s="727" t="s">
        <v>46</v>
      </c>
      <c r="C38" s="198" t="s">
        <v>35</v>
      </c>
      <c r="D38" s="264" t="s">
        <v>1144</v>
      </c>
      <c r="E38" s="265">
        <v>45690.0</v>
      </c>
      <c r="F38" s="198" t="s">
        <v>172</v>
      </c>
    </row>
    <row r="39" ht="22.5" customHeight="1">
      <c r="A39" s="77">
        <v>3.0</v>
      </c>
      <c r="B39" s="78" t="s">
        <v>17</v>
      </c>
      <c r="C39" s="78" t="s">
        <v>35</v>
      </c>
      <c r="D39" s="79"/>
      <c r="E39" s="80" t="s">
        <v>677</v>
      </c>
      <c r="F39" s="78" t="s">
        <v>1145</v>
      </c>
    </row>
    <row r="40" ht="22.5" customHeight="1">
      <c r="A40" s="197">
        <v>4.0</v>
      </c>
      <c r="B40" s="198" t="s">
        <v>35</v>
      </c>
      <c r="C40" s="198" t="s">
        <v>24</v>
      </c>
      <c r="D40" s="264" t="s">
        <v>1146</v>
      </c>
      <c r="E40" s="265">
        <v>45658.0</v>
      </c>
      <c r="F40" s="198" t="s">
        <v>502</v>
      </c>
    </row>
    <row r="41" ht="22.5" customHeight="1">
      <c r="A41" s="86">
        <v>5.0</v>
      </c>
      <c r="B41" s="87" t="s">
        <v>44</v>
      </c>
      <c r="C41" s="87" t="s">
        <v>35</v>
      </c>
      <c r="D41" s="88" t="s">
        <v>1147</v>
      </c>
      <c r="E41" s="89">
        <v>45691.0</v>
      </c>
      <c r="F41" s="87" t="s">
        <v>719</v>
      </c>
    </row>
    <row r="42" ht="22.5" customHeight="1">
      <c r="A42" s="86">
        <v>6.0</v>
      </c>
      <c r="B42" s="87" t="s">
        <v>35</v>
      </c>
      <c r="C42" s="87" t="s">
        <v>36</v>
      </c>
      <c r="D42" s="88" t="s">
        <v>1148</v>
      </c>
      <c r="E42" s="161" t="s">
        <v>271</v>
      </c>
      <c r="F42" s="87" t="s">
        <v>502</v>
      </c>
    </row>
    <row r="43" ht="22.5" customHeight="1">
      <c r="A43" s="86">
        <v>7.0</v>
      </c>
      <c r="B43" s="87" t="s">
        <v>35</v>
      </c>
      <c r="C43" s="87" t="s">
        <v>42</v>
      </c>
      <c r="D43" s="88" t="s">
        <v>1149</v>
      </c>
      <c r="E43" s="161" t="s">
        <v>271</v>
      </c>
      <c r="F43" s="87" t="s">
        <v>502</v>
      </c>
    </row>
    <row r="44" ht="22.5" customHeight="1">
      <c r="A44" s="90">
        <v>8.0</v>
      </c>
      <c r="B44" s="91" t="s">
        <v>29</v>
      </c>
      <c r="C44" s="91" t="s">
        <v>35</v>
      </c>
      <c r="D44" s="92"/>
      <c r="E44" s="93"/>
      <c r="F44" s="94" t="s">
        <v>997</v>
      </c>
    </row>
    <row r="45">
      <c r="A45" s="12"/>
      <c r="D45" s="95"/>
      <c r="E45" s="14"/>
      <c r="F45" s="96"/>
    </row>
    <row r="46">
      <c r="A46" s="12"/>
      <c r="D46" s="95"/>
      <c r="E46" s="14"/>
      <c r="F46" s="96"/>
    </row>
    <row r="47">
      <c r="A47" s="12"/>
      <c r="D47" s="95"/>
      <c r="E47" s="14"/>
      <c r="F47" s="96"/>
    </row>
    <row r="48">
      <c r="A48" s="12"/>
      <c r="D48" s="95"/>
      <c r="E48" s="14"/>
      <c r="F48" s="96"/>
    </row>
    <row r="49">
      <c r="A49" s="12"/>
      <c r="D49" s="95"/>
      <c r="E49" s="14"/>
      <c r="F49" s="96"/>
    </row>
    <row r="50">
      <c r="A50" s="12"/>
      <c r="D50" s="95"/>
      <c r="E50" s="14"/>
      <c r="F50" s="96"/>
    </row>
    <row r="51">
      <c r="A51" s="12"/>
      <c r="D51" s="95"/>
      <c r="E51" s="14"/>
      <c r="F51" s="96"/>
    </row>
    <row r="52">
      <c r="A52" s="12"/>
      <c r="D52" s="95"/>
      <c r="E52" s="14"/>
      <c r="F52" s="96"/>
    </row>
    <row r="53">
      <c r="A53" s="12"/>
      <c r="D53" s="95"/>
      <c r="E53" s="14"/>
      <c r="F53" s="96"/>
    </row>
    <row r="54">
      <c r="A54" s="12"/>
      <c r="D54" s="95"/>
      <c r="E54" s="14"/>
      <c r="F54" s="96"/>
    </row>
    <row r="55">
      <c r="A55" s="12"/>
      <c r="D55" s="95"/>
      <c r="E55" s="14"/>
      <c r="F55" s="96"/>
    </row>
    <row r="56">
      <c r="A56" s="12"/>
      <c r="D56" s="95"/>
      <c r="E56" s="14"/>
      <c r="F56" s="96"/>
    </row>
    <row r="57">
      <c r="A57" s="12"/>
      <c r="D57" s="95"/>
      <c r="E57" s="14"/>
      <c r="F57" s="96"/>
    </row>
    <row r="58">
      <c r="A58" s="12"/>
      <c r="D58" s="95"/>
      <c r="E58" s="14"/>
      <c r="F58" s="96"/>
    </row>
    <row r="59">
      <c r="A59" s="12"/>
      <c r="D59" s="95"/>
      <c r="E59" s="14"/>
      <c r="F59" s="96"/>
    </row>
    <row r="60">
      <c r="A60" s="12"/>
      <c r="D60" s="95"/>
      <c r="E60" s="14"/>
      <c r="F60" s="96"/>
    </row>
    <row r="61">
      <c r="A61" s="12"/>
      <c r="D61" s="95"/>
      <c r="E61" s="14"/>
      <c r="F61" s="96"/>
    </row>
    <row r="62">
      <c r="A62" s="12"/>
      <c r="D62" s="95"/>
      <c r="E62" s="14"/>
      <c r="F62" s="96"/>
    </row>
    <row r="63">
      <c r="A63" s="12"/>
      <c r="D63" s="95"/>
      <c r="E63" s="14"/>
      <c r="F63" s="96"/>
    </row>
    <row r="64">
      <c r="A64" s="12"/>
      <c r="D64" s="95"/>
      <c r="E64" s="14"/>
      <c r="F64" s="96"/>
    </row>
    <row r="65">
      <c r="A65" s="12"/>
      <c r="D65" s="95"/>
      <c r="E65" s="14"/>
      <c r="F65" s="96"/>
    </row>
    <row r="66">
      <c r="A66" s="12"/>
      <c r="D66" s="95"/>
      <c r="E66" s="14"/>
      <c r="F66" s="96"/>
    </row>
    <row r="67">
      <c r="A67" s="12"/>
      <c r="D67" s="95"/>
      <c r="E67" s="14"/>
      <c r="F67" s="96"/>
    </row>
    <row r="68">
      <c r="A68" s="12"/>
      <c r="D68" s="95"/>
      <c r="E68" s="14"/>
      <c r="F68" s="96"/>
    </row>
    <row r="69">
      <c r="A69" s="12"/>
      <c r="D69" s="95"/>
      <c r="E69" s="14"/>
      <c r="F69" s="96"/>
    </row>
    <row r="70">
      <c r="A70" s="12"/>
      <c r="D70" s="95"/>
      <c r="E70" s="14"/>
      <c r="F70" s="96"/>
    </row>
    <row r="71">
      <c r="A71" s="12"/>
      <c r="D71" s="95"/>
      <c r="E71" s="14"/>
      <c r="F71" s="96"/>
    </row>
    <row r="72">
      <c r="A72" s="12"/>
      <c r="D72" s="95"/>
      <c r="E72" s="14"/>
      <c r="F72" s="96"/>
    </row>
    <row r="73">
      <c r="A73" s="12"/>
      <c r="D73" s="95"/>
      <c r="E73" s="14"/>
      <c r="F73" s="96"/>
    </row>
    <row r="74">
      <c r="A74" s="12"/>
      <c r="D74" s="95"/>
      <c r="E74" s="14"/>
      <c r="F74" s="96"/>
    </row>
    <row r="75">
      <c r="A75" s="12"/>
      <c r="D75" s="95"/>
      <c r="E75" s="14"/>
      <c r="F75" s="96"/>
    </row>
    <row r="76">
      <c r="A76" s="12"/>
      <c r="D76" s="95"/>
      <c r="E76" s="14"/>
      <c r="F76" s="96"/>
    </row>
    <row r="77">
      <c r="A77" s="12"/>
      <c r="D77" s="95"/>
      <c r="E77" s="14"/>
      <c r="F77" s="96"/>
    </row>
    <row r="78">
      <c r="A78" s="12"/>
      <c r="D78" s="95"/>
      <c r="E78" s="14"/>
      <c r="F78" s="96"/>
    </row>
    <row r="79">
      <c r="A79" s="12"/>
      <c r="D79" s="95"/>
      <c r="E79" s="14"/>
      <c r="F79" s="96"/>
    </row>
    <row r="80">
      <c r="A80" s="12"/>
      <c r="D80" s="95"/>
      <c r="E80" s="14"/>
      <c r="F80" s="96"/>
    </row>
    <row r="81">
      <c r="A81" s="12"/>
      <c r="D81" s="95"/>
      <c r="E81" s="14"/>
      <c r="F81" s="96"/>
    </row>
    <row r="82">
      <c r="A82" s="12"/>
      <c r="D82" s="95"/>
      <c r="E82" s="14"/>
      <c r="F82" s="96"/>
    </row>
    <row r="83">
      <c r="A83" s="12"/>
      <c r="D83" s="95"/>
      <c r="E83" s="14"/>
      <c r="F83" s="96"/>
    </row>
    <row r="84">
      <c r="A84" s="12"/>
      <c r="D84" s="95"/>
      <c r="E84" s="14"/>
      <c r="F84" s="96"/>
    </row>
    <row r="85">
      <c r="A85" s="12"/>
      <c r="D85" s="95"/>
      <c r="E85" s="14"/>
      <c r="F85" s="96"/>
    </row>
    <row r="86">
      <c r="A86" s="12"/>
      <c r="D86" s="95"/>
      <c r="E86" s="14"/>
      <c r="F86" s="96"/>
    </row>
    <row r="87">
      <c r="A87" s="12"/>
      <c r="D87" s="95"/>
      <c r="E87" s="14"/>
      <c r="F87" s="96"/>
    </row>
    <row r="88">
      <c r="A88" s="12"/>
      <c r="D88" s="95"/>
      <c r="E88" s="14"/>
      <c r="F88" s="96"/>
    </row>
    <row r="89">
      <c r="A89" s="12"/>
      <c r="D89" s="95"/>
      <c r="E89" s="14"/>
      <c r="F89" s="96"/>
    </row>
    <row r="90">
      <c r="A90" s="12"/>
      <c r="D90" s="95"/>
      <c r="E90" s="14"/>
      <c r="F90" s="96"/>
    </row>
    <row r="91">
      <c r="A91" s="12"/>
      <c r="D91" s="95"/>
      <c r="E91" s="14"/>
      <c r="F91" s="96"/>
    </row>
    <row r="92">
      <c r="A92" s="12"/>
      <c r="D92" s="95"/>
      <c r="E92" s="14"/>
      <c r="F92" s="96"/>
    </row>
    <row r="93">
      <c r="A93" s="12"/>
      <c r="D93" s="95"/>
      <c r="E93" s="14"/>
      <c r="F93" s="96"/>
    </row>
    <row r="94">
      <c r="A94" s="12"/>
      <c r="D94" s="95"/>
      <c r="E94" s="14"/>
      <c r="F94" s="96"/>
    </row>
    <row r="95">
      <c r="A95" s="12"/>
      <c r="D95" s="95"/>
      <c r="E95" s="14"/>
      <c r="F95" s="96"/>
    </row>
    <row r="96">
      <c r="A96" s="12"/>
      <c r="D96" s="95"/>
      <c r="E96" s="14"/>
      <c r="F96" s="96"/>
    </row>
    <row r="97">
      <c r="A97" s="12"/>
      <c r="D97" s="95"/>
      <c r="E97" s="14"/>
      <c r="F97" s="96"/>
    </row>
    <row r="98">
      <c r="A98" s="12"/>
      <c r="D98" s="95"/>
      <c r="E98" s="14"/>
      <c r="F98" s="96"/>
    </row>
    <row r="99">
      <c r="A99" s="12"/>
      <c r="D99" s="95"/>
      <c r="E99" s="14"/>
      <c r="F99" s="96"/>
    </row>
    <row r="100">
      <c r="A100" s="12"/>
      <c r="D100" s="95"/>
      <c r="E100" s="14"/>
      <c r="F100" s="96"/>
    </row>
    <row r="101">
      <c r="A101" s="12"/>
      <c r="D101" s="95"/>
      <c r="E101" s="14"/>
      <c r="F101" s="96"/>
    </row>
    <row r="102">
      <c r="A102" s="12"/>
      <c r="D102" s="95"/>
      <c r="E102" s="14"/>
      <c r="F102" s="96"/>
    </row>
    <row r="103">
      <c r="A103" s="12"/>
      <c r="D103" s="95"/>
      <c r="E103" s="14"/>
      <c r="F103" s="96"/>
    </row>
    <row r="104">
      <c r="A104" s="12"/>
      <c r="D104" s="95"/>
      <c r="E104" s="14"/>
      <c r="F104" s="96"/>
    </row>
    <row r="105">
      <c r="A105" s="12"/>
      <c r="D105" s="95"/>
      <c r="E105" s="14"/>
      <c r="F105" s="96"/>
    </row>
    <row r="106">
      <c r="A106" s="12"/>
      <c r="D106" s="95"/>
      <c r="E106" s="14"/>
      <c r="F106" s="96"/>
    </row>
    <row r="107">
      <c r="A107" s="12"/>
      <c r="D107" s="95"/>
      <c r="E107" s="14"/>
      <c r="F107" s="96"/>
    </row>
    <row r="108">
      <c r="A108" s="12"/>
      <c r="D108" s="95"/>
      <c r="E108" s="14"/>
      <c r="F108" s="96"/>
    </row>
    <row r="109">
      <c r="A109" s="12"/>
      <c r="D109" s="95"/>
      <c r="E109" s="14"/>
      <c r="F109" s="96"/>
    </row>
    <row r="110">
      <c r="A110" s="12"/>
      <c r="D110" s="95"/>
      <c r="E110" s="14"/>
      <c r="F110" s="96"/>
    </row>
    <row r="111">
      <c r="A111" s="12"/>
      <c r="D111" s="95"/>
      <c r="E111" s="14"/>
      <c r="F111" s="96"/>
    </row>
    <row r="112">
      <c r="A112" s="12"/>
      <c r="D112" s="95"/>
      <c r="E112" s="14"/>
      <c r="F112" s="96"/>
    </row>
    <row r="113">
      <c r="A113" s="12"/>
      <c r="D113" s="95"/>
      <c r="E113" s="14"/>
      <c r="F113" s="96"/>
    </row>
    <row r="114">
      <c r="A114" s="12"/>
      <c r="D114" s="95"/>
      <c r="E114" s="14"/>
      <c r="F114" s="96"/>
    </row>
    <row r="115">
      <c r="A115" s="12"/>
      <c r="D115" s="95"/>
      <c r="E115" s="14"/>
      <c r="F115" s="96"/>
    </row>
    <row r="116">
      <c r="A116" s="12"/>
      <c r="D116" s="95"/>
      <c r="E116" s="14"/>
      <c r="F116" s="96"/>
    </row>
    <row r="117">
      <c r="A117" s="12"/>
      <c r="D117" s="95"/>
      <c r="E117" s="14"/>
      <c r="F117" s="96"/>
    </row>
    <row r="118">
      <c r="A118" s="12"/>
      <c r="D118" s="95"/>
      <c r="E118" s="14"/>
      <c r="F118" s="96"/>
    </row>
    <row r="119">
      <c r="A119" s="12"/>
      <c r="D119" s="95"/>
      <c r="E119" s="14"/>
      <c r="F119" s="96"/>
    </row>
    <row r="120">
      <c r="A120" s="12"/>
      <c r="D120" s="95"/>
      <c r="E120" s="14"/>
      <c r="F120" s="96"/>
    </row>
    <row r="121">
      <c r="A121" s="12"/>
      <c r="D121" s="95"/>
      <c r="E121" s="14"/>
      <c r="F121" s="96"/>
    </row>
    <row r="122">
      <c r="A122" s="12"/>
      <c r="D122" s="95"/>
      <c r="E122" s="14"/>
      <c r="F122" s="96"/>
    </row>
    <row r="123">
      <c r="A123" s="12"/>
      <c r="D123" s="95"/>
      <c r="E123" s="14"/>
      <c r="F123" s="96"/>
    </row>
    <row r="124">
      <c r="A124" s="12"/>
      <c r="D124" s="95"/>
      <c r="E124" s="14"/>
      <c r="F124" s="96"/>
    </row>
    <row r="125">
      <c r="A125" s="12"/>
      <c r="D125" s="95"/>
      <c r="E125" s="14"/>
      <c r="F125" s="96"/>
    </row>
    <row r="126">
      <c r="A126" s="12"/>
      <c r="D126" s="95"/>
      <c r="E126" s="14"/>
      <c r="F126" s="96"/>
    </row>
    <row r="127">
      <c r="A127" s="12"/>
      <c r="D127" s="95"/>
      <c r="E127" s="14"/>
      <c r="F127" s="96"/>
    </row>
    <row r="128">
      <c r="A128" s="12"/>
      <c r="D128" s="95"/>
      <c r="E128" s="14"/>
      <c r="F128" s="96"/>
    </row>
    <row r="129">
      <c r="A129" s="12"/>
      <c r="D129" s="95"/>
      <c r="E129" s="14"/>
      <c r="F129" s="96"/>
    </row>
    <row r="130">
      <c r="A130" s="12"/>
      <c r="D130" s="95"/>
      <c r="E130" s="14"/>
      <c r="F130" s="96"/>
    </row>
    <row r="131">
      <c r="A131" s="12"/>
      <c r="D131" s="95"/>
      <c r="E131" s="14"/>
      <c r="F131" s="96"/>
    </row>
    <row r="132">
      <c r="A132" s="12"/>
      <c r="D132" s="95"/>
      <c r="E132" s="14"/>
      <c r="F132" s="96"/>
    </row>
    <row r="133">
      <c r="A133" s="12"/>
      <c r="D133" s="95"/>
      <c r="E133" s="14"/>
      <c r="F133" s="96"/>
    </row>
    <row r="134">
      <c r="A134" s="12"/>
      <c r="D134" s="95"/>
      <c r="E134" s="14"/>
      <c r="F134" s="96"/>
    </row>
    <row r="135">
      <c r="A135" s="12"/>
      <c r="D135" s="95"/>
      <c r="E135" s="14"/>
      <c r="F135" s="96"/>
    </row>
    <row r="136">
      <c r="A136" s="12"/>
      <c r="D136" s="95"/>
      <c r="E136" s="14"/>
      <c r="F136" s="96"/>
    </row>
    <row r="137">
      <c r="A137" s="12"/>
      <c r="D137" s="95"/>
      <c r="E137" s="14"/>
      <c r="F137" s="96"/>
    </row>
    <row r="138">
      <c r="A138" s="12"/>
      <c r="D138" s="95"/>
      <c r="E138" s="14"/>
      <c r="F138" s="96"/>
    </row>
    <row r="139">
      <c r="A139" s="12"/>
      <c r="D139" s="95"/>
      <c r="E139" s="14"/>
      <c r="F139" s="96"/>
    </row>
    <row r="140">
      <c r="A140" s="12"/>
      <c r="D140" s="95"/>
      <c r="E140" s="14"/>
      <c r="F140" s="96"/>
    </row>
    <row r="141">
      <c r="A141" s="12"/>
      <c r="D141" s="95"/>
      <c r="E141" s="14"/>
      <c r="F141" s="96"/>
    </row>
    <row r="142">
      <c r="A142" s="12"/>
      <c r="D142" s="95"/>
      <c r="E142" s="14"/>
      <c r="F142" s="96"/>
    </row>
    <row r="143">
      <c r="A143" s="12"/>
      <c r="D143" s="95"/>
      <c r="E143" s="14"/>
      <c r="F143" s="96"/>
    </row>
    <row r="144">
      <c r="A144" s="12"/>
      <c r="D144" s="95"/>
      <c r="E144" s="14"/>
      <c r="F144" s="96"/>
    </row>
    <row r="145">
      <c r="A145" s="12"/>
      <c r="D145" s="95"/>
      <c r="E145" s="14"/>
      <c r="F145" s="96"/>
    </row>
    <row r="146">
      <c r="A146" s="12"/>
      <c r="D146" s="95"/>
      <c r="E146" s="14"/>
      <c r="F146" s="96"/>
    </row>
    <row r="147">
      <c r="A147" s="12"/>
      <c r="D147" s="95"/>
      <c r="E147" s="14"/>
      <c r="F147" s="96"/>
    </row>
    <row r="148">
      <c r="A148" s="12"/>
      <c r="D148" s="95"/>
      <c r="E148" s="14"/>
      <c r="F148" s="96"/>
    </row>
    <row r="149">
      <c r="A149" s="12"/>
      <c r="D149" s="95"/>
      <c r="E149" s="14"/>
      <c r="F149" s="96"/>
    </row>
    <row r="150">
      <c r="A150" s="12"/>
      <c r="D150" s="95"/>
      <c r="E150" s="14"/>
      <c r="F150" s="96"/>
    </row>
    <row r="151">
      <c r="A151" s="12"/>
      <c r="D151" s="95"/>
      <c r="E151" s="14"/>
      <c r="F151" s="96"/>
    </row>
    <row r="152">
      <c r="A152" s="12"/>
      <c r="D152" s="95"/>
      <c r="E152" s="14"/>
      <c r="F152" s="96"/>
    </row>
    <row r="153">
      <c r="A153" s="12"/>
      <c r="D153" s="95"/>
      <c r="E153" s="14"/>
      <c r="F153" s="96"/>
    </row>
    <row r="154">
      <c r="A154" s="12"/>
      <c r="D154" s="95"/>
      <c r="E154" s="14"/>
      <c r="F154" s="96"/>
    </row>
    <row r="155">
      <c r="A155" s="12"/>
      <c r="D155" s="95"/>
      <c r="E155" s="14"/>
      <c r="F155" s="96"/>
    </row>
    <row r="156">
      <c r="A156" s="12"/>
      <c r="D156" s="95"/>
      <c r="E156" s="14"/>
      <c r="F156" s="96"/>
    </row>
    <row r="157">
      <c r="A157" s="12"/>
      <c r="D157" s="95"/>
      <c r="E157" s="14"/>
      <c r="F157" s="96"/>
    </row>
    <row r="158">
      <c r="A158" s="12"/>
      <c r="D158" s="95"/>
      <c r="E158" s="14"/>
      <c r="F158" s="96"/>
    </row>
    <row r="159">
      <c r="A159" s="12"/>
      <c r="D159" s="95"/>
      <c r="E159" s="14"/>
      <c r="F159" s="96"/>
    </row>
    <row r="160">
      <c r="A160" s="12"/>
      <c r="D160" s="95"/>
      <c r="E160" s="14"/>
      <c r="F160" s="96"/>
    </row>
    <row r="161">
      <c r="A161" s="12"/>
      <c r="D161" s="95"/>
      <c r="E161" s="14"/>
      <c r="F161" s="96"/>
    </row>
    <row r="162">
      <c r="A162" s="12"/>
      <c r="D162" s="95"/>
      <c r="E162" s="14"/>
      <c r="F162" s="96"/>
    </row>
    <row r="163">
      <c r="A163" s="12"/>
      <c r="D163" s="95"/>
      <c r="E163" s="14"/>
      <c r="F163" s="96"/>
    </row>
    <row r="164">
      <c r="A164" s="12"/>
      <c r="D164" s="95"/>
      <c r="E164" s="14"/>
      <c r="F164" s="96"/>
    </row>
    <row r="165">
      <c r="A165" s="12"/>
      <c r="D165" s="95"/>
      <c r="E165" s="14"/>
      <c r="F165" s="96"/>
    </row>
    <row r="166">
      <c r="A166" s="12"/>
      <c r="D166" s="95"/>
      <c r="E166" s="14"/>
      <c r="F166" s="96"/>
    </row>
    <row r="167">
      <c r="A167" s="12"/>
      <c r="D167" s="95"/>
      <c r="E167" s="14"/>
      <c r="F167" s="96"/>
    </row>
    <row r="168">
      <c r="A168" s="12"/>
      <c r="D168" s="95"/>
      <c r="E168" s="14"/>
      <c r="F168" s="96"/>
    </row>
    <row r="169">
      <c r="A169" s="12"/>
      <c r="D169" s="95"/>
      <c r="E169" s="14"/>
      <c r="F169" s="96"/>
    </row>
    <row r="170">
      <c r="A170" s="12"/>
      <c r="D170" s="95"/>
      <c r="E170" s="14"/>
      <c r="F170" s="96"/>
    </row>
    <row r="171">
      <c r="A171" s="12"/>
      <c r="D171" s="95"/>
      <c r="E171" s="14"/>
      <c r="F171" s="96"/>
    </row>
    <row r="172">
      <c r="A172" s="12"/>
      <c r="D172" s="95"/>
      <c r="E172" s="14"/>
      <c r="F172" s="96"/>
    </row>
    <row r="173">
      <c r="A173" s="12"/>
      <c r="D173" s="95"/>
      <c r="E173" s="14"/>
      <c r="F173" s="96"/>
    </row>
    <row r="174">
      <c r="A174" s="12"/>
      <c r="D174" s="95"/>
      <c r="E174" s="14"/>
      <c r="F174" s="96"/>
    </row>
    <row r="175">
      <c r="A175" s="12"/>
      <c r="D175" s="95"/>
      <c r="E175" s="14"/>
      <c r="F175" s="96"/>
    </row>
    <row r="176">
      <c r="A176" s="12"/>
      <c r="D176" s="95"/>
      <c r="E176" s="14"/>
      <c r="F176" s="96"/>
    </row>
    <row r="177">
      <c r="A177" s="12"/>
      <c r="D177" s="95"/>
      <c r="E177" s="14"/>
      <c r="F177" s="96"/>
    </row>
    <row r="178">
      <c r="A178" s="12"/>
      <c r="D178" s="95"/>
      <c r="E178" s="14"/>
      <c r="F178" s="96"/>
    </row>
    <row r="179">
      <c r="A179" s="12"/>
      <c r="D179" s="95"/>
      <c r="E179" s="14"/>
      <c r="F179" s="96"/>
    </row>
    <row r="180">
      <c r="A180" s="12"/>
      <c r="D180" s="95"/>
      <c r="E180" s="14"/>
      <c r="F180" s="96"/>
    </row>
    <row r="181">
      <c r="A181" s="12"/>
      <c r="D181" s="95"/>
      <c r="E181" s="14"/>
      <c r="F181" s="96"/>
    </row>
    <row r="182">
      <c r="A182" s="12"/>
      <c r="D182" s="95"/>
      <c r="E182" s="14"/>
      <c r="F182" s="96"/>
    </row>
    <row r="183">
      <c r="A183" s="12"/>
      <c r="D183" s="95"/>
      <c r="E183" s="14"/>
      <c r="F183" s="96"/>
    </row>
    <row r="184">
      <c r="A184" s="12"/>
      <c r="D184" s="95"/>
      <c r="E184" s="14"/>
      <c r="F184" s="96"/>
    </row>
    <row r="185">
      <c r="A185" s="12"/>
      <c r="D185" s="95"/>
      <c r="E185" s="14"/>
      <c r="F185" s="96"/>
    </row>
    <row r="186">
      <c r="A186" s="12"/>
      <c r="D186" s="95"/>
      <c r="E186" s="14"/>
      <c r="F186" s="96"/>
    </row>
    <row r="187">
      <c r="A187" s="12"/>
      <c r="D187" s="95"/>
      <c r="E187" s="14"/>
      <c r="F187" s="96"/>
    </row>
    <row r="188">
      <c r="A188" s="12"/>
      <c r="D188" s="95"/>
      <c r="E188" s="14"/>
      <c r="F188" s="96"/>
    </row>
    <row r="189">
      <c r="A189" s="12"/>
      <c r="D189" s="95"/>
      <c r="E189" s="14"/>
      <c r="F189" s="96"/>
    </row>
    <row r="190">
      <c r="A190" s="12"/>
      <c r="D190" s="95"/>
      <c r="E190" s="14"/>
      <c r="F190" s="96"/>
    </row>
    <row r="191">
      <c r="A191" s="12"/>
      <c r="D191" s="95"/>
      <c r="E191" s="14"/>
      <c r="F191" s="96"/>
    </row>
    <row r="192">
      <c r="A192" s="12"/>
      <c r="D192" s="95"/>
      <c r="E192" s="14"/>
      <c r="F192" s="96"/>
    </row>
    <row r="193">
      <c r="A193" s="12"/>
      <c r="D193" s="95"/>
      <c r="E193" s="14"/>
      <c r="F193" s="96"/>
    </row>
    <row r="194">
      <c r="A194" s="12"/>
      <c r="D194" s="95"/>
      <c r="E194" s="14"/>
      <c r="F194" s="96"/>
    </row>
    <row r="195">
      <c r="A195" s="12"/>
      <c r="D195" s="95"/>
      <c r="E195" s="14"/>
      <c r="F195" s="96"/>
    </row>
    <row r="196">
      <c r="A196" s="12"/>
      <c r="D196" s="95"/>
      <c r="E196" s="14"/>
      <c r="F196" s="96"/>
    </row>
    <row r="197">
      <c r="A197" s="12"/>
      <c r="D197" s="95"/>
      <c r="E197" s="14"/>
      <c r="F197" s="96"/>
    </row>
    <row r="198">
      <c r="A198" s="12"/>
      <c r="D198" s="95"/>
      <c r="E198" s="14"/>
      <c r="F198" s="96"/>
    </row>
    <row r="199">
      <c r="A199" s="12"/>
      <c r="D199" s="95"/>
      <c r="E199" s="14"/>
      <c r="F199" s="96"/>
    </row>
    <row r="200">
      <c r="A200" s="12"/>
      <c r="D200" s="95"/>
      <c r="E200" s="14"/>
      <c r="F200" s="96"/>
    </row>
    <row r="201">
      <c r="A201" s="12"/>
      <c r="D201" s="95"/>
      <c r="E201" s="14"/>
      <c r="F201" s="96"/>
    </row>
    <row r="202">
      <c r="A202" s="12"/>
      <c r="D202" s="95"/>
      <c r="E202" s="14"/>
      <c r="F202" s="96"/>
    </row>
    <row r="203">
      <c r="A203" s="12"/>
      <c r="D203" s="95"/>
      <c r="E203" s="14"/>
      <c r="F203" s="96"/>
    </row>
    <row r="204">
      <c r="A204" s="12"/>
      <c r="D204" s="95"/>
      <c r="E204" s="14"/>
      <c r="F204" s="96"/>
    </row>
    <row r="205">
      <c r="A205" s="12"/>
      <c r="D205" s="95"/>
      <c r="E205" s="14"/>
      <c r="F205" s="96"/>
    </row>
    <row r="206">
      <c r="A206" s="12"/>
      <c r="D206" s="95"/>
      <c r="E206" s="14"/>
      <c r="F206" s="96"/>
    </row>
    <row r="207">
      <c r="A207" s="12"/>
      <c r="D207" s="95"/>
      <c r="E207" s="14"/>
      <c r="F207" s="96"/>
    </row>
    <row r="208">
      <c r="A208" s="12"/>
      <c r="D208" s="95"/>
      <c r="E208" s="14"/>
      <c r="F208" s="96"/>
    </row>
    <row r="209">
      <c r="A209" s="12"/>
      <c r="D209" s="95"/>
      <c r="E209" s="14"/>
      <c r="F209" s="96"/>
    </row>
    <row r="210">
      <c r="A210" s="12"/>
      <c r="D210" s="95"/>
      <c r="E210" s="14"/>
      <c r="F210" s="96"/>
    </row>
    <row r="211">
      <c r="A211" s="12"/>
      <c r="D211" s="95"/>
      <c r="E211" s="14"/>
      <c r="F211" s="96"/>
    </row>
    <row r="212">
      <c r="A212" s="12"/>
      <c r="D212" s="95"/>
      <c r="E212" s="14"/>
      <c r="F212" s="96"/>
    </row>
    <row r="213">
      <c r="A213" s="12"/>
      <c r="D213" s="95"/>
      <c r="E213" s="14"/>
      <c r="F213" s="96"/>
    </row>
    <row r="214">
      <c r="A214" s="12"/>
      <c r="D214" s="95"/>
      <c r="E214" s="14"/>
      <c r="F214" s="96"/>
    </row>
    <row r="215">
      <c r="A215" s="12"/>
      <c r="D215" s="95"/>
      <c r="E215" s="14"/>
      <c r="F215" s="96"/>
    </row>
    <row r="216">
      <c r="A216" s="12"/>
      <c r="D216" s="95"/>
      <c r="E216" s="14"/>
      <c r="F216" s="96"/>
    </row>
    <row r="217">
      <c r="A217" s="12"/>
      <c r="D217" s="95"/>
      <c r="E217" s="14"/>
      <c r="F217" s="96"/>
    </row>
    <row r="218">
      <c r="A218" s="12"/>
      <c r="D218" s="95"/>
      <c r="E218" s="14"/>
      <c r="F218" s="96"/>
    </row>
    <row r="219">
      <c r="A219" s="12"/>
      <c r="D219" s="95"/>
      <c r="E219" s="14"/>
      <c r="F219" s="96"/>
    </row>
    <row r="220">
      <c r="A220" s="12"/>
      <c r="D220" s="95"/>
      <c r="E220" s="14"/>
      <c r="F220" s="96"/>
    </row>
    <row r="221">
      <c r="A221" s="12"/>
      <c r="D221" s="95"/>
      <c r="E221" s="14"/>
      <c r="F221" s="96"/>
    </row>
    <row r="222">
      <c r="A222" s="12"/>
      <c r="D222" s="95"/>
      <c r="E222" s="14"/>
      <c r="F222" s="96"/>
    </row>
    <row r="223">
      <c r="A223" s="12"/>
      <c r="D223" s="95"/>
      <c r="E223" s="14"/>
      <c r="F223" s="96"/>
    </row>
    <row r="224">
      <c r="A224" s="12"/>
      <c r="D224" s="95"/>
      <c r="E224" s="14"/>
      <c r="F224" s="96"/>
    </row>
    <row r="225">
      <c r="A225" s="12"/>
      <c r="D225" s="95"/>
      <c r="E225" s="14"/>
      <c r="F225" s="96"/>
    </row>
    <row r="226">
      <c r="A226" s="12"/>
      <c r="D226" s="95"/>
      <c r="E226" s="14"/>
      <c r="F226" s="96"/>
    </row>
    <row r="227">
      <c r="A227" s="12"/>
      <c r="D227" s="95"/>
      <c r="E227" s="14"/>
      <c r="F227" s="96"/>
    </row>
    <row r="228">
      <c r="A228" s="12"/>
      <c r="D228" s="95"/>
      <c r="E228" s="14"/>
      <c r="F228" s="96"/>
    </row>
    <row r="229">
      <c r="A229" s="12"/>
      <c r="D229" s="95"/>
      <c r="E229" s="14"/>
      <c r="F229" s="96"/>
    </row>
    <row r="230">
      <c r="A230" s="12"/>
      <c r="D230" s="95"/>
      <c r="E230" s="14"/>
      <c r="F230" s="96"/>
    </row>
    <row r="231">
      <c r="A231" s="12"/>
      <c r="D231" s="95"/>
      <c r="E231" s="14"/>
      <c r="F231" s="96"/>
    </row>
    <row r="232">
      <c r="A232" s="12"/>
      <c r="D232" s="95"/>
      <c r="E232" s="14"/>
      <c r="F232" s="96"/>
    </row>
    <row r="233">
      <c r="A233" s="12"/>
      <c r="D233" s="95"/>
      <c r="E233" s="14"/>
      <c r="F233" s="96"/>
    </row>
    <row r="234">
      <c r="A234" s="12"/>
      <c r="D234" s="95"/>
      <c r="E234" s="14"/>
      <c r="F234" s="96"/>
    </row>
    <row r="235">
      <c r="A235" s="12"/>
      <c r="D235" s="95"/>
      <c r="E235" s="14"/>
      <c r="F235" s="96"/>
    </row>
    <row r="236">
      <c r="A236" s="12"/>
      <c r="D236" s="95"/>
      <c r="E236" s="14"/>
      <c r="F236" s="96"/>
    </row>
    <row r="237">
      <c r="A237" s="12"/>
      <c r="D237" s="95"/>
      <c r="E237" s="14"/>
      <c r="F237" s="96"/>
    </row>
    <row r="238">
      <c r="A238" s="12"/>
      <c r="D238" s="95"/>
      <c r="E238" s="14"/>
      <c r="F238" s="96"/>
    </row>
    <row r="239">
      <c r="A239" s="12"/>
      <c r="D239" s="95"/>
      <c r="E239" s="14"/>
      <c r="F239" s="96"/>
    </row>
    <row r="240">
      <c r="A240" s="12"/>
      <c r="D240" s="95"/>
      <c r="E240" s="14"/>
      <c r="F240" s="96"/>
    </row>
    <row r="241">
      <c r="A241" s="12"/>
      <c r="D241" s="95"/>
      <c r="E241" s="14"/>
      <c r="F241" s="96"/>
    </row>
    <row r="242">
      <c r="A242" s="12"/>
      <c r="D242" s="95"/>
      <c r="E242" s="14"/>
      <c r="F242" s="96"/>
    </row>
    <row r="243">
      <c r="A243" s="12"/>
      <c r="D243" s="95"/>
      <c r="E243" s="14"/>
      <c r="F243" s="96"/>
    </row>
    <row r="244">
      <c r="A244" s="12"/>
      <c r="D244" s="95"/>
      <c r="E244" s="14"/>
      <c r="F244" s="96"/>
    </row>
    <row r="245">
      <c r="A245" s="12"/>
      <c r="D245" s="95"/>
      <c r="E245" s="14"/>
      <c r="F245" s="96"/>
    </row>
    <row r="246">
      <c r="A246" s="12"/>
      <c r="D246" s="95"/>
      <c r="E246" s="14"/>
      <c r="F246" s="96"/>
    </row>
    <row r="247">
      <c r="A247" s="12"/>
      <c r="D247" s="95"/>
      <c r="E247" s="14"/>
      <c r="F247" s="96"/>
    </row>
    <row r="248">
      <c r="A248" s="12"/>
      <c r="D248" s="95"/>
      <c r="E248" s="14"/>
      <c r="F248" s="96"/>
    </row>
    <row r="249">
      <c r="A249" s="12"/>
      <c r="D249" s="95"/>
      <c r="E249" s="14"/>
      <c r="F249" s="96"/>
    </row>
    <row r="250">
      <c r="A250" s="12"/>
      <c r="D250" s="95"/>
      <c r="E250" s="14"/>
      <c r="F250" s="96"/>
    </row>
    <row r="251">
      <c r="A251" s="12"/>
      <c r="D251" s="95"/>
      <c r="E251" s="14"/>
      <c r="F251" s="96"/>
    </row>
    <row r="252">
      <c r="A252" s="12"/>
      <c r="D252" s="95"/>
      <c r="E252" s="14"/>
      <c r="F252" s="96"/>
    </row>
    <row r="253">
      <c r="A253" s="12"/>
      <c r="D253" s="95"/>
      <c r="E253" s="14"/>
      <c r="F253" s="96"/>
    </row>
    <row r="254">
      <c r="A254" s="12"/>
      <c r="D254" s="95"/>
      <c r="E254" s="14"/>
      <c r="F254" s="96"/>
    </row>
    <row r="255">
      <c r="A255" s="12"/>
      <c r="D255" s="95"/>
      <c r="E255" s="14"/>
      <c r="F255" s="96"/>
    </row>
    <row r="256">
      <c r="A256" s="12"/>
      <c r="D256" s="95"/>
      <c r="E256" s="14"/>
      <c r="F256" s="96"/>
    </row>
    <row r="257">
      <c r="A257" s="12"/>
      <c r="D257" s="95"/>
      <c r="E257" s="14"/>
      <c r="F257" s="96"/>
    </row>
    <row r="258">
      <c r="A258" s="12"/>
      <c r="D258" s="95"/>
      <c r="E258" s="14"/>
      <c r="F258" s="96"/>
    </row>
    <row r="259">
      <c r="A259" s="12"/>
      <c r="D259" s="95"/>
      <c r="E259" s="14"/>
      <c r="F259" s="96"/>
    </row>
    <row r="260">
      <c r="A260" s="12"/>
      <c r="D260" s="95"/>
      <c r="E260" s="14"/>
      <c r="F260" s="96"/>
    </row>
    <row r="261">
      <c r="A261" s="12"/>
      <c r="D261" s="95"/>
      <c r="E261" s="14"/>
      <c r="F261" s="96"/>
    </row>
    <row r="262">
      <c r="A262" s="12"/>
      <c r="D262" s="95"/>
      <c r="E262" s="14"/>
      <c r="F262" s="96"/>
    </row>
    <row r="263">
      <c r="A263" s="12"/>
      <c r="D263" s="95"/>
      <c r="E263" s="14"/>
      <c r="F263" s="96"/>
    </row>
    <row r="264">
      <c r="A264" s="12"/>
      <c r="D264" s="95"/>
      <c r="E264" s="14"/>
      <c r="F264" s="96"/>
    </row>
    <row r="265">
      <c r="A265" s="12"/>
      <c r="D265" s="95"/>
      <c r="E265" s="14"/>
      <c r="F265" s="96"/>
    </row>
    <row r="266">
      <c r="A266" s="12"/>
      <c r="D266" s="95"/>
      <c r="E266" s="14"/>
      <c r="F266" s="96"/>
    </row>
    <row r="267">
      <c r="A267" s="12"/>
      <c r="D267" s="95"/>
      <c r="E267" s="14"/>
      <c r="F267" s="96"/>
    </row>
    <row r="268">
      <c r="A268" s="12"/>
      <c r="D268" s="95"/>
      <c r="E268" s="14"/>
      <c r="F268" s="96"/>
    </row>
    <row r="269">
      <c r="A269" s="12"/>
      <c r="D269" s="95"/>
      <c r="E269" s="14"/>
      <c r="F269" s="96"/>
    </row>
    <row r="270">
      <c r="A270" s="12"/>
      <c r="D270" s="95"/>
      <c r="E270" s="14"/>
      <c r="F270" s="96"/>
    </row>
    <row r="271">
      <c r="A271" s="12"/>
      <c r="D271" s="95"/>
      <c r="E271" s="14"/>
      <c r="F271" s="96"/>
    </row>
    <row r="272">
      <c r="A272" s="12"/>
      <c r="D272" s="95"/>
      <c r="E272" s="14"/>
      <c r="F272" s="96"/>
    </row>
    <row r="273">
      <c r="A273" s="12"/>
      <c r="D273" s="95"/>
      <c r="E273" s="14"/>
      <c r="F273" s="96"/>
    </row>
    <row r="274">
      <c r="A274" s="12"/>
      <c r="D274" s="95"/>
      <c r="E274" s="14"/>
      <c r="F274" s="96"/>
    </row>
    <row r="275">
      <c r="A275" s="12"/>
      <c r="D275" s="95"/>
      <c r="E275" s="14"/>
      <c r="F275" s="96"/>
    </row>
    <row r="276">
      <c r="A276" s="12"/>
      <c r="D276" s="95"/>
      <c r="E276" s="14"/>
      <c r="F276" s="96"/>
    </row>
    <row r="277">
      <c r="A277" s="12"/>
      <c r="D277" s="95"/>
      <c r="E277" s="14"/>
      <c r="F277" s="96"/>
    </row>
    <row r="278">
      <c r="A278" s="12"/>
      <c r="D278" s="95"/>
      <c r="E278" s="14"/>
      <c r="F278" s="96"/>
    </row>
    <row r="279">
      <c r="A279" s="12"/>
      <c r="D279" s="95"/>
      <c r="E279" s="14"/>
      <c r="F279" s="96"/>
    </row>
    <row r="280">
      <c r="A280" s="12"/>
      <c r="D280" s="95"/>
      <c r="E280" s="14"/>
      <c r="F280" s="96"/>
    </row>
    <row r="281">
      <c r="A281" s="12"/>
      <c r="D281" s="95"/>
      <c r="E281" s="14"/>
      <c r="F281" s="96"/>
    </row>
    <row r="282">
      <c r="A282" s="12"/>
      <c r="D282" s="95"/>
      <c r="E282" s="14"/>
      <c r="F282" s="96"/>
    </row>
    <row r="283">
      <c r="A283" s="12"/>
      <c r="D283" s="95"/>
      <c r="E283" s="14"/>
      <c r="F283" s="96"/>
    </row>
    <row r="284">
      <c r="A284" s="12"/>
      <c r="D284" s="95"/>
      <c r="E284" s="14"/>
      <c r="F284" s="96"/>
    </row>
    <row r="285">
      <c r="A285" s="12"/>
      <c r="D285" s="95"/>
      <c r="E285" s="14"/>
      <c r="F285" s="96"/>
    </row>
    <row r="286">
      <c r="A286" s="12"/>
      <c r="D286" s="95"/>
      <c r="E286" s="14"/>
      <c r="F286" s="96"/>
    </row>
    <row r="287">
      <c r="A287" s="12"/>
      <c r="D287" s="95"/>
      <c r="E287" s="14"/>
      <c r="F287" s="96"/>
    </row>
    <row r="288">
      <c r="A288" s="12"/>
      <c r="D288" s="95"/>
      <c r="E288" s="14"/>
      <c r="F288" s="96"/>
    </row>
    <row r="289">
      <c r="A289" s="12"/>
      <c r="D289" s="95"/>
      <c r="E289" s="14"/>
      <c r="F289" s="96"/>
    </row>
    <row r="290">
      <c r="A290" s="12"/>
      <c r="D290" s="95"/>
      <c r="E290" s="14"/>
      <c r="F290" s="96"/>
    </row>
    <row r="291">
      <c r="A291" s="12"/>
      <c r="D291" s="95"/>
      <c r="E291" s="14"/>
      <c r="F291" s="96"/>
    </row>
    <row r="292">
      <c r="A292" s="12"/>
      <c r="D292" s="95"/>
      <c r="E292" s="14"/>
      <c r="F292" s="96"/>
    </row>
    <row r="293">
      <c r="A293" s="12"/>
      <c r="D293" s="95"/>
      <c r="E293" s="14"/>
      <c r="F293" s="96"/>
    </row>
    <row r="294">
      <c r="A294" s="12"/>
      <c r="D294" s="95"/>
      <c r="E294" s="14"/>
      <c r="F294" s="96"/>
    </row>
    <row r="295">
      <c r="A295" s="12"/>
      <c r="D295" s="95"/>
      <c r="E295" s="14"/>
      <c r="F295" s="96"/>
    </row>
    <row r="296">
      <c r="A296" s="12"/>
      <c r="D296" s="95"/>
      <c r="E296" s="14"/>
      <c r="F296" s="96"/>
    </row>
    <row r="297">
      <c r="A297" s="12"/>
      <c r="D297" s="95"/>
      <c r="E297" s="14"/>
      <c r="F297" s="96"/>
    </row>
    <row r="298">
      <c r="A298" s="12"/>
      <c r="D298" s="95"/>
      <c r="E298" s="14"/>
      <c r="F298" s="96"/>
    </row>
    <row r="299">
      <c r="A299" s="12"/>
      <c r="D299" s="95"/>
      <c r="E299" s="14"/>
      <c r="F299" s="96"/>
    </row>
    <row r="300">
      <c r="A300" s="12"/>
      <c r="D300" s="95"/>
      <c r="E300" s="14"/>
      <c r="F300" s="96"/>
    </row>
    <row r="301">
      <c r="A301" s="12"/>
      <c r="D301" s="95"/>
      <c r="E301" s="14"/>
      <c r="F301" s="96"/>
    </row>
    <row r="302">
      <c r="A302" s="12"/>
      <c r="D302" s="95"/>
      <c r="E302" s="14"/>
      <c r="F302" s="96"/>
    </row>
    <row r="303">
      <c r="A303" s="12"/>
      <c r="D303" s="95"/>
      <c r="E303" s="14"/>
      <c r="F303" s="96"/>
    </row>
    <row r="304">
      <c r="A304" s="12"/>
      <c r="D304" s="95"/>
      <c r="E304" s="14"/>
      <c r="F304" s="96"/>
    </row>
    <row r="305">
      <c r="A305" s="12"/>
      <c r="D305" s="95"/>
      <c r="E305" s="14"/>
      <c r="F305" s="96"/>
    </row>
    <row r="306">
      <c r="A306" s="12"/>
      <c r="D306" s="95"/>
      <c r="E306" s="14"/>
      <c r="F306" s="96"/>
    </row>
    <row r="307">
      <c r="A307" s="12"/>
      <c r="D307" s="95"/>
      <c r="E307" s="14"/>
      <c r="F307" s="96"/>
    </row>
    <row r="308">
      <c r="A308" s="12"/>
      <c r="D308" s="95"/>
      <c r="E308" s="14"/>
      <c r="F308" s="96"/>
    </row>
    <row r="309">
      <c r="A309" s="12"/>
      <c r="D309" s="95"/>
      <c r="E309" s="14"/>
      <c r="F309" s="96"/>
    </row>
    <row r="310">
      <c r="A310" s="12"/>
      <c r="D310" s="95"/>
      <c r="E310" s="14"/>
      <c r="F310" s="96"/>
    </row>
    <row r="311">
      <c r="A311" s="12"/>
      <c r="D311" s="95"/>
      <c r="E311" s="14"/>
      <c r="F311" s="96"/>
    </row>
    <row r="312">
      <c r="A312" s="12"/>
      <c r="D312" s="95"/>
      <c r="E312" s="14"/>
      <c r="F312" s="96"/>
    </row>
    <row r="313">
      <c r="A313" s="12"/>
      <c r="D313" s="95"/>
      <c r="E313" s="14"/>
      <c r="F313" s="96"/>
    </row>
    <row r="314">
      <c r="A314" s="12"/>
      <c r="D314" s="95"/>
      <c r="E314" s="14"/>
      <c r="F314" s="96"/>
    </row>
    <row r="315">
      <c r="A315" s="12"/>
      <c r="D315" s="95"/>
      <c r="E315" s="14"/>
      <c r="F315" s="96"/>
    </row>
    <row r="316">
      <c r="A316" s="12"/>
      <c r="D316" s="95"/>
      <c r="E316" s="14"/>
      <c r="F316" s="96"/>
    </row>
    <row r="317">
      <c r="A317" s="12"/>
      <c r="D317" s="95"/>
      <c r="E317" s="14"/>
      <c r="F317" s="96"/>
    </row>
    <row r="318">
      <c r="A318" s="12"/>
      <c r="D318" s="95"/>
      <c r="E318" s="14"/>
      <c r="F318" s="96"/>
    </row>
    <row r="319">
      <c r="A319" s="12"/>
      <c r="D319" s="95"/>
      <c r="E319" s="14"/>
      <c r="F319" s="96"/>
    </row>
    <row r="320">
      <c r="A320" s="12"/>
      <c r="D320" s="95"/>
      <c r="E320" s="14"/>
      <c r="F320" s="96"/>
    </row>
    <row r="321">
      <c r="A321" s="12"/>
      <c r="D321" s="95"/>
      <c r="E321" s="14"/>
      <c r="F321" s="96"/>
    </row>
    <row r="322">
      <c r="A322" s="12"/>
      <c r="D322" s="95"/>
      <c r="E322" s="14"/>
      <c r="F322" s="96"/>
    </row>
    <row r="323">
      <c r="A323" s="12"/>
      <c r="D323" s="95"/>
      <c r="E323" s="14"/>
      <c r="F323" s="96"/>
    </row>
    <row r="324">
      <c r="A324" s="12"/>
      <c r="D324" s="95"/>
      <c r="E324" s="14"/>
      <c r="F324" s="96"/>
    </row>
    <row r="325">
      <c r="A325" s="12"/>
      <c r="D325" s="95"/>
      <c r="E325" s="14"/>
      <c r="F325" s="96"/>
    </row>
    <row r="326">
      <c r="A326" s="12"/>
      <c r="D326" s="95"/>
      <c r="E326" s="14"/>
      <c r="F326" s="96"/>
    </row>
    <row r="327">
      <c r="A327" s="12"/>
      <c r="D327" s="95"/>
      <c r="E327" s="14"/>
      <c r="F327" s="96"/>
    </row>
    <row r="328">
      <c r="A328" s="12"/>
      <c r="D328" s="95"/>
      <c r="E328" s="14"/>
      <c r="F328" s="96"/>
    </row>
    <row r="329">
      <c r="A329" s="12"/>
      <c r="D329" s="95"/>
      <c r="E329" s="14"/>
      <c r="F329" s="96"/>
    </row>
    <row r="330">
      <c r="A330" s="12"/>
      <c r="D330" s="95"/>
      <c r="E330" s="14"/>
      <c r="F330" s="96"/>
    </row>
    <row r="331">
      <c r="A331" s="12"/>
      <c r="D331" s="95"/>
      <c r="E331" s="14"/>
      <c r="F331" s="96"/>
    </row>
    <row r="332">
      <c r="A332" s="12"/>
      <c r="D332" s="95"/>
      <c r="E332" s="14"/>
      <c r="F332" s="96"/>
    </row>
    <row r="333">
      <c r="A333" s="12"/>
      <c r="D333" s="95"/>
      <c r="E333" s="14"/>
      <c r="F333" s="96"/>
    </row>
    <row r="334">
      <c r="A334" s="12"/>
      <c r="D334" s="95"/>
      <c r="E334" s="14"/>
      <c r="F334" s="96"/>
    </row>
    <row r="335">
      <c r="A335" s="12"/>
      <c r="D335" s="95"/>
      <c r="E335" s="14"/>
      <c r="F335" s="96"/>
    </row>
    <row r="336">
      <c r="A336" s="12"/>
      <c r="D336" s="95"/>
      <c r="E336" s="14"/>
      <c r="F336" s="96"/>
    </row>
    <row r="337">
      <c r="A337" s="12"/>
      <c r="D337" s="95"/>
      <c r="E337" s="14"/>
      <c r="F337" s="96"/>
    </row>
    <row r="338">
      <c r="A338" s="12"/>
      <c r="D338" s="95"/>
      <c r="E338" s="14"/>
      <c r="F338" s="96"/>
    </row>
    <row r="339">
      <c r="A339" s="12"/>
      <c r="D339" s="95"/>
      <c r="E339" s="14"/>
      <c r="F339" s="96"/>
    </row>
    <row r="340">
      <c r="A340" s="12"/>
      <c r="D340" s="95"/>
      <c r="E340" s="14"/>
      <c r="F340" s="96"/>
    </row>
    <row r="341">
      <c r="A341" s="12"/>
      <c r="D341" s="95"/>
      <c r="E341" s="14"/>
      <c r="F341" s="96"/>
    </row>
    <row r="342">
      <c r="A342" s="12"/>
      <c r="D342" s="95"/>
      <c r="E342" s="14"/>
      <c r="F342" s="96"/>
    </row>
    <row r="343">
      <c r="A343" s="12"/>
      <c r="D343" s="95"/>
      <c r="E343" s="14"/>
      <c r="F343" s="96"/>
    </row>
    <row r="344">
      <c r="A344" s="12"/>
      <c r="D344" s="95"/>
      <c r="E344" s="14"/>
      <c r="F344" s="96"/>
    </row>
    <row r="345">
      <c r="A345" s="12"/>
      <c r="D345" s="95"/>
      <c r="E345" s="14"/>
      <c r="F345" s="96"/>
    </row>
    <row r="346">
      <c r="A346" s="12"/>
      <c r="D346" s="95"/>
      <c r="E346" s="14"/>
      <c r="F346" s="96"/>
    </row>
    <row r="347">
      <c r="A347" s="12"/>
      <c r="D347" s="95"/>
      <c r="E347" s="14"/>
      <c r="F347" s="96"/>
    </row>
    <row r="348">
      <c r="A348" s="12"/>
      <c r="D348" s="95"/>
      <c r="E348" s="14"/>
      <c r="F348" s="96"/>
    </row>
    <row r="349">
      <c r="A349" s="12"/>
      <c r="D349" s="95"/>
      <c r="E349" s="14"/>
      <c r="F349" s="96"/>
    </row>
    <row r="350">
      <c r="A350" s="12"/>
      <c r="D350" s="95"/>
      <c r="E350" s="14"/>
      <c r="F350" s="96"/>
    </row>
    <row r="351">
      <c r="A351" s="12"/>
      <c r="D351" s="95"/>
      <c r="E351" s="14"/>
      <c r="F351" s="96"/>
    </row>
    <row r="352">
      <c r="A352" s="12"/>
      <c r="D352" s="95"/>
      <c r="E352" s="14"/>
      <c r="F352" s="96"/>
    </row>
    <row r="353">
      <c r="A353" s="12"/>
      <c r="D353" s="95"/>
      <c r="E353" s="14"/>
      <c r="F353" s="96"/>
    </row>
    <row r="354">
      <c r="A354" s="12"/>
      <c r="D354" s="95"/>
      <c r="E354" s="14"/>
      <c r="F354" s="96"/>
    </row>
    <row r="355">
      <c r="A355" s="12"/>
      <c r="D355" s="95"/>
      <c r="E355" s="14"/>
      <c r="F355" s="96"/>
    </row>
    <row r="356">
      <c r="A356" s="12"/>
      <c r="D356" s="95"/>
      <c r="E356" s="14"/>
      <c r="F356" s="96"/>
    </row>
    <row r="357">
      <c r="A357" s="12"/>
      <c r="D357" s="95"/>
      <c r="E357" s="14"/>
      <c r="F357" s="96"/>
    </row>
    <row r="358">
      <c r="A358" s="12"/>
      <c r="D358" s="95"/>
      <c r="E358" s="14"/>
      <c r="F358" s="96"/>
    </row>
    <row r="359">
      <c r="A359" s="12"/>
      <c r="D359" s="95"/>
      <c r="E359" s="14"/>
      <c r="F359" s="96"/>
    </row>
    <row r="360">
      <c r="A360" s="12"/>
      <c r="D360" s="95"/>
      <c r="E360" s="14"/>
      <c r="F360" s="96"/>
    </row>
    <row r="361">
      <c r="A361" s="12"/>
      <c r="D361" s="95"/>
      <c r="E361" s="14"/>
      <c r="F361" s="96"/>
    </row>
    <row r="362">
      <c r="A362" s="12"/>
      <c r="D362" s="95"/>
      <c r="E362" s="14"/>
      <c r="F362" s="96"/>
    </row>
    <row r="363">
      <c r="A363" s="12"/>
      <c r="D363" s="95"/>
      <c r="E363" s="14"/>
      <c r="F363" s="96"/>
    </row>
    <row r="364">
      <c r="A364" s="12"/>
      <c r="D364" s="95"/>
      <c r="E364" s="14"/>
      <c r="F364" s="96"/>
    </row>
    <row r="365">
      <c r="A365" s="12"/>
      <c r="D365" s="95"/>
      <c r="E365" s="14"/>
      <c r="F365" s="96"/>
    </row>
    <row r="366">
      <c r="A366" s="12"/>
      <c r="D366" s="95"/>
      <c r="E366" s="14"/>
      <c r="F366" s="96"/>
    </row>
    <row r="367">
      <c r="A367" s="12"/>
      <c r="D367" s="95"/>
      <c r="E367" s="14"/>
      <c r="F367" s="96"/>
    </row>
    <row r="368">
      <c r="A368" s="12"/>
      <c r="D368" s="95"/>
      <c r="E368" s="14"/>
      <c r="F368" s="96"/>
    </row>
    <row r="369">
      <c r="A369" s="12"/>
      <c r="D369" s="95"/>
      <c r="E369" s="14"/>
      <c r="F369" s="96"/>
    </row>
    <row r="370">
      <c r="A370" s="12"/>
      <c r="D370" s="95"/>
      <c r="E370" s="14"/>
      <c r="F370" s="96"/>
    </row>
    <row r="371">
      <c r="A371" s="12"/>
      <c r="D371" s="95"/>
      <c r="E371" s="14"/>
      <c r="F371" s="96"/>
    </row>
    <row r="372">
      <c r="A372" s="12"/>
      <c r="D372" s="95"/>
      <c r="E372" s="14"/>
      <c r="F372" s="96"/>
    </row>
    <row r="373">
      <c r="A373" s="12"/>
      <c r="D373" s="95"/>
      <c r="E373" s="14"/>
      <c r="F373" s="96"/>
    </row>
    <row r="374">
      <c r="A374" s="12"/>
      <c r="D374" s="95"/>
      <c r="E374" s="14"/>
      <c r="F374" s="96"/>
    </row>
    <row r="375">
      <c r="A375" s="12"/>
      <c r="D375" s="95"/>
      <c r="E375" s="14"/>
      <c r="F375" s="96"/>
    </row>
    <row r="376">
      <c r="A376" s="12"/>
      <c r="D376" s="95"/>
      <c r="E376" s="14"/>
      <c r="F376" s="96"/>
    </row>
    <row r="377">
      <c r="A377" s="12"/>
      <c r="D377" s="95"/>
      <c r="E377" s="14"/>
      <c r="F377" s="96"/>
    </row>
    <row r="378">
      <c r="A378" s="12"/>
      <c r="D378" s="95"/>
      <c r="E378" s="14"/>
      <c r="F378" s="96"/>
    </row>
    <row r="379">
      <c r="A379" s="12"/>
      <c r="D379" s="95"/>
      <c r="E379" s="14"/>
      <c r="F379" s="96"/>
    </row>
    <row r="380">
      <c r="A380" s="12"/>
      <c r="D380" s="95"/>
      <c r="E380" s="14"/>
      <c r="F380" s="96"/>
    </row>
    <row r="381">
      <c r="A381" s="12"/>
      <c r="D381" s="95"/>
      <c r="E381" s="14"/>
      <c r="F381" s="96"/>
    </row>
    <row r="382">
      <c r="A382" s="12"/>
      <c r="D382" s="95"/>
      <c r="E382" s="14"/>
      <c r="F382" s="96"/>
    </row>
    <row r="383">
      <c r="A383" s="12"/>
      <c r="D383" s="95"/>
      <c r="E383" s="14"/>
      <c r="F383" s="96"/>
    </row>
    <row r="384">
      <c r="A384" s="12"/>
      <c r="D384" s="95"/>
      <c r="E384" s="14"/>
      <c r="F384" s="96"/>
    </row>
    <row r="385">
      <c r="A385" s="12"/>
      <c r="D385" s="95"/>
      <c r="E385" s="14"/>
      <c r="F385" s="96"/>
    </row>
    <row r="386">
      <c r="A386" s="12"/>
      <c r="D386" s="95"/>
      <c r="E386" s="14"/>
      <c r="F386" s="96"/>
    </row>
    <row r="387">
      <c r="A387" s="12"/>
      <c r="D387" s="95"/>
      <c r="E387" s="14"/>
      <c r="F387" s="96"/>
    </row>
    <row r="388">
      <c r="A388" s="12"/>
      <c r="D388" s="95"/>
      <c r="E388" s="14"/>
      <c r="F388" s="96"/>
    </row>
    <row r="389">
      <c r="A389" s="12"/>
      <c r="D389" s="95"/>
      <c r="E389" s="14"/>
      <c r="F389" s="96"/>
    </row>
    <row r="390">
      <c r="A390" s="12"/>
      <c r="D390" s="95"/>
      <c r="E390" s="14"/>
      <c r="F390" s="96"/>
    </row>
    <row r="391">
      <c r="A391" s="12"/>
      <c r="D391" s="95"/>
      <c r="E391" s="14"/>
      <c r="F391" s="96"/>
    </row>
    <row r="392">
      <c r="A392" s="12"/>
      <c r="D392" s="95"/>
      <c r="E392" s="14"/>
      <c r="F392" s="96"/>
    </row>
    <row r="393">
      <c r="A393" s="12"/>
      <c r="D393" s="95"/>
      <c r="E393" s="14"/>
      <c r="F393" s="96"/>
    </row>
    <row r="394">
      <c r="A394" s="12"/>
      <c r="D394" s="95"/>
      <c r="E394" s="14"/>
      <c r="F394" s="96"/>
    </row>
    <row r="395">
      <c r="A395" s="12"/>
      <c r="D395" s="95"/>
      <c r="E395" s="14"/>
      <c r="F395" s="96"/>
    </row>
    <row r="396">
      <c r="A396" s="12"/>
      <c r="D396" s="95"/>
      <c r="E396" s="14"/>
      <c r="F396" s="96"/>
    </row>
    <row r="397">
      <c r="A397" s="12"/>
      <c r="D397" s="95"/>
      <c r="E397" s="14"/>
      <c r="F397" s="96"/>
    </row>
    <row r="398">
      <c r="A398" s="12"/>
      <c r="D398" s="95"/>
      <c r="E398" s="14"/>
      <c r="F398" s="96"/>
    </row>
    <row r="399">
      <c r="A399" s="12"/>
      <c r="D399" s="95"/>
      <c r="E399" s="14"/>
      <c r="F399" s="96"/>
    </row>
    <row r="400">
      <c r="A400" s="12"/>
      <c r="D400" s="95"/>
      <c r="E400" s="14"/>
      <c r="F400" s="96"/>
    </row>
    <row r="401">
      <c r="A401" s="12"/>
      <c r="D401" s="95"/>
      <c r="E401" s="14"/>
      <c r="F401" s="96"/>
    </row>
    <row r="402">
      <c r="A402" s="12"/>
      <c r="D402" s="95"/>
      <c r="E402" s="14"/>
      <c r="F402" s="96"/>
    </row>
    <row r="403">
      <c r="A403" s="12"/>
      <c r="D403" s="95"/>
      <c r="E403" s="14"/>
      <c r="F403" s="96"/>
    </row>
    <row r="404">
      <c r="A404" s="12"/>
      <c r="D404" s="95"/>
      <c r="E404" s="14"/>
      <c r="F404" s="96"/>
    </row>
    <row r="405">
      <c r="A405" s="12"/>
      <c r="D405" s="95"/>
      <c r="E405" s="14"/>
      <c r="F405" s="96"/>
    </row>
    <row r="406">
      <c r="A406" s="12"/>
      <c r="D406" s="95"/>
      <c r="E406" s="14"/>
      <c r="F406" s="96"/>
    </row>
    <row r="407">
      <c r="A407" s="12"/>
      <c r="D407" s="95"/>
      <c r="E407" s="14"/>
      <c r="F407" s="96"/>
    </row>
    <row r="408">
      <c r="A408" s="12"/>
      <c r="D408" s="95"/>
      <c r="E408" s="14"/>
      <c r="F408" s="96"/>
    </row>
    <row r="409">
      <c r="A409" s="12"/>
      <c r="D409" s="95"/>
      <c r="E409" s="14"/>
      <c r="F409" s="96"/>
    </row>
    <row r="410">
      <c r="A410" s="12"/>
      <c r="D410" s="95"/>
      <c r="E410" s="14"/>
      <c r="F410" s="96"/>
    </row>
    <row r="411">
      <c r="A411" s="12"/>
      <c r="D411" s="95"/>
      <c r="E411" s="14"/>
      <c r="F411" s="96"/>
    </row>
    <row r="412">
      <c r="A412" s="12"/>
      <c r="D412" s="95"/>
      <c r="E412" s="14"/>
      <c r="F412" s="96"/>
    </row>
    <row r="413">
      <c r="A413" s="12"/>
      <c r="D413" s="95"/>
      <c r="E413" s="14"/>
      <c r="F413" s="96"/>
    </row>
    <row r="414">
      <c r="A414" s="12"/>
      <c r="D414" s="95"/>
      <c r="E414" s="14"/>
      <c r="F414" s="96"/>
    </row>
    <row r="415">
      <c r="A415" s="12"/>
      <c r="D415" s="95"/>
      <c r="E415" s="14"/>
      <c r="F415" s="96"/>
    </row>
    <row r="416">
      <c r="A416" s="12"/>
      <c r="D416" s="95"/>
      <c r="E416" s="14"/>
      <c r="F416" s="96"/>
    </row>
    <row r="417">
      <c r="A417" s="12"/>
      <c r="D417" s="95"/>
      <c r="E417" s="14"/>
      <c r="F417" s="96"/>
    </row>
    <row r="418">
      <c r="A418" s="12"/>
      <c r="D418" s="95"/>
      <c r="E418" s="14"/>
      <c r="F418" s="96"/>
    </row>
    <row r="419">
      <c r="A419" s="12"/>
      <c r="D419" s="95"/>
      <c r="E419" s="14"/>
      <c r="F419" s="96"/>
    </row>
    <row r="420">
      <c r="A420" s="12"/>
      <c r="D420" s="95"/>
      <c r="E420" s="14"/>
      <c r="F420" s="96"/>
    </row>
    <row r="421">
      <c r="A421" s="12"/>
      <c r="D421" s="95"/>
      <c r="E421" s="14"/>
      <c r="F421" s="96"/>
    </row>
    <row r="422">
      <c r="A422" s="12"/>
      <c r="D422" s="95"/>
      <c r="E422" s="14"/>
      <c r="F422" s="96"/>
    </row>
    <row r="423">
      <c r="A423" s="12"/>
      <c r="D423" s="95"/>
      <c r="E423" s="14"/>
      <c r="F423" s="96"/>
    </row>
    <row r="424">
      <c r="A424" s="12"/>
      <c r="D424" s="95"/>
      <c r="E424" s="14"/>
      <c r="F424" s="96"/>
    </row>
    <row r="425">
      <c r="A425" s="12"/>
      <c r="D425" s="95"/>
      <c r="E425" s="14"/>
      <c r="F425" s="96"/>
    </row>
    <row r="426">
      <c r="A426" s="12"/>
      <c r="D426" s="95"/>
      <c r="E426" s="14"/>
      <c r="F426" s="96"/>
    </row>
    <row r="427">
      <c r="A427" s="12"/>
      <c r="D427" s="95"/>
      <c r="E427" s="14"/>
      <c r="F427" s="96"/>
    </row>
    <row r="428">
      <c r="A428" s="12"/>
      <c r="D428" s="95"/>
      <c r="E428" s="14"/>
      <c r="F428" s="96"/>
    </row>
    <row r="429">
      <c r="A429" s="12"/>
      <c r="D429" s="95"/>
      <c r="E429" s="14"/>
      <c r="F429" s="96"/>
    </row>
    <row r="430">
      <c r="A430" s="12"/>
      <c r="D430" s="95"/>
      <c r="E430" s="14"/>
      <c r="F430" s="96"/>
    </row>
    <row r="431">
      <c r="A431" s="12"/>
      <c r="D431" s="95"/>
      <c r="E431" s="14"/>
      <c r="F431" s="96"/>
    </row>
    <row r="432">
      <c r="A432" s="12"/>
      <c r="D432" s="95"/>
      <c r="E432" s="14"/>
      <c r="F432" s="96"/>
    </row>
    <row r="433">
      <c r="A433" s="12"/>
      <c r="D433" s="95"/>
      <c r="E433" s="14"/>
      <c r="F433" s="96"/>
    </row>
    <row r="434">
      <c r="A434" s="12"/>
      <c r="D434" s="95"/>
      <c r="E434" s="14"/>
      <c r="F434" s="96"/>
    </row>
    <row r="435">
      <c r="A435" s="12"/>
      <c r="D435" s="95"/>
      <c r="E435" s="14"/>
      <c r="F435" s="96"/>
    </row>
    <row r="436">
      <c r="A436" s="12"/>
      <c r="D436" s="95"/>
      <c r="E436" s="14"/>
      <c r="F436" s="96"/>
    </row>
    <row r="437">
      <c r="A437" s="12"/>
      <c r="D437" s="95"/>
      <c r="E437" s="14"/>
      <c r="F437" s="96"/>
    </row>
    <row r="438">
      <c r="A438" s="12"/>
      <c r="D438" s="95"/>
      <c r="E438" s="14"/>
      <c r="F438" s="96"/>
    </row>
    <row r="439">
      <c r="A439" s="12"/>
      <c r="D439" s="95"/>
      <c r="E439" s="14"/>
      <c r="F439" s="96"/>
    </row>
    <row r="440">
      <c r="A440" s="12"/>
      <c r="D440" s="95"/>
      <c r="E440" s="14"/>
      <c r="F440" s="96"/>
    </row>
    <row r="441">
      <c r="A441" s="12"/>
      <c r="D441" s="95"/>
      <c r="E441" s="14"/>
      <c r="F441" s="96"/>
    </row>
    <row r="442">
      <c r="A442" s="12"/>
      <c r="D442" s="95"/>
      <c r="E442" s="14"/>
      <c r="F442" s="96"/>
    </row>
    <row r="443">
      <c r="A443" s="12"/>
      <c r="D443" s="95"/>
      <c r="E443" s="14"/>
      <c r="F443" s="96"/>
    </row>
    <row r="444">
      <c r="A444" s="12"/>
      <c r="D444" s="95"/>
      <c r="E444" s="14"/>
      <c r="F444" s="96"/>
    </row>
    <row r="445">
      <c r="A445" s="12"/>
      <c r="D445" s="95"/>
      <c r="E445" s="14"/>
      <c r="F445" s="96"/>
    </row>
    <row r="446">
      <c r="A446" s="12"/>
      <c r="D446" s="95"/>
      <c r="E446" s="14"/>
      <c r="F446" s="96"/>
    </row>
    <row r="447">
      <c r="A447" s="12"/>
      <c r="D447" s="95"/>
      <c r="E447" s="14"/>
      <c r="F447" s="96"/>
    </row>
    <row r="448">
      <c r="A448" s="12"/>
      <c r="D448" s="95"/>
      <c r="E448" s="14"/>
      <c r="F448" s="96"/>
    </row>
    <row r="449">
      <c r="A449" s="12"/>
      <c r="D449" s="95"/>
      <c r="E449" s="14"/>
      <c r="F449" s="96"/>
    </row>
    <row r="450">
      <c r="A450" s="12"/>
      <c r="D450" s="95"/>
      <c r="E450" s="14"/>
      <c r="F450" s="96"/>
    </row>
    <row r="451">
      <c r="A451" s="12"/>
      <c r="D451" s="95"/>
      <c r="E451" s="14"/>
      <c r="F451" s="96"/>
    </row>
    <row r="452">
      <c r="A452" s="12"/>
      <c r="D452" s="95"/>
      <c r="E452" s="14"/>
      <c r="F452" s="96"/>
    </row>
    <row r="453">
      <c r="A453" s="12"/>
      <c r="D453" s="95"/>
      <c r="E453" s="14"/>
      <c r="F453" s="96"/>
    </row>
    <row r="454">
      <c r="A454" s="12"/>
      <c r="D454" s="95"/>
      <c r="E454" s="14"/>
      <c r="F454" s="96"/>
    </row>
    <row r="455">
      <c r="A455" s="12"/>
      <c r="D455" s="95"/>
      <c r="E455" s="14"/>
      <c r="F455" s="96"/>
    </row>
    <row r="456">
      <c r="A456" s="12"/>
      <c r="D456" s="95"/>
      <c r="E456" s="14"/>
      <c r="F456" s="96"/>
    </row>
    <row r="457">
      <c r="A457" s="12"/>
      <c r="D457" s="95"/>
      <c r="E457" s="14"/>
      <c r="F457" s="96"/>
    </row>
    <row r="458">
      <c r="A458" s="12"/>
      <c r="D458" s="95"/>
      <c r="E458" s="14"/>
      <c r="F458" s="96"/>
    </row>
    <row r="459">
      <c r="A459" s="12"/>
      <c r="D459" s="95"/>
      <c r="E459" s="14"/>
      <c r="F459" s="96"/>
    </row>
    <row r="460">
      <c r="A460" s="12"/>
      <c r="D460" s="95"/>
      <c r="E460" s="14"/>
      <c r="F460" s="96"/>
    </row>
    <row r="461">
      <c r="A461" s="12"/>
      <c r="D461" s="95"/>
      <c r="E461" s="14"/>
      <c r="F461" s="96"/>
    </row>
    <row r="462">
      <c r="A462" s="12"/>
      <c r="D462" s="95"/>
      <c r="E462" s="14"/>
      <c r="F462" s="96"/>
    </row>
    <row r="463">
      <c r="A463" s="12"/>
      <c r="D463" s="95"/>
      <c r="E463" s="14"/>
      <c r="F463" s="96"/>
    </row>
    <row r="464">
      <c r="A464" s="12"/>
      <c r="D464" s="95"/>
      <c r="E464" s="14"/>
      <c r="F464" s="96"/>
    </row>
    <row r="465">
      <c r="A465" s="12"/>
      <c r="D465" s="95"/>
      <c r="E465" s="14"/>
      <c r="F465" s="96"/>
    </row>
    <row r="466">
      <c r="A466" s="12"/>
      <c r="D466" s="95"/>
      <c r="E466" s="14"/>
      <c r="F466" s="96"/>
    </row>
    <row r="467">
      <c r="A467" s="12"/>
      <c r="D467" s="95"/>
      <c r="E467" s="14"/>
      <c r="F467" s="96"/>
    </row>
    <row r="468">
      <c r="A468" s="12"/>
      <c r="D468" s="95"/>
      <c r="E468" s="14"/>
      <c r="F468" s="96"/>
    </row>
    <row r="469">
      <c r="A469" s="12"/>
      <c r="D469" s="95"/>
      <c r="E469" s="14"/>
      <c r="F469" s="96"/>
    </row>
    <row r="470">
      <c r="A470" s="12"/>
      <c r="D470" s="95"/>
      <c r="E470" s="14"/>
      <c r="F470" s="96"/>
    </row>
    <row r="471">
      <c r="A471" s="12"/>
      <c r="D471" s="95"/>
      <c r="E471" s="14"/>
      <c r="F471" s="96"/>
    </row>
    <row r="472">
      <c r="A472" s="12"/>
      <c r="D472" s="95"/>
      <c r="E472" s="14"/>
      <c r="F472" s="96"/>
    </row>
    <row r="473">
      <c r="A473" s="12"/>
      <c r="D473" s="95"/>
      <c r="E473" s="14"/>
      <c r="F473" s="96"/>
    </row>
    <row r="474">
      <c r="A474" s="12"/>
      <c r="D474" s="95"/>
      <c r="E474" s="14"/>
      <c r="F474" s="96"/>
    </row>
    <row r="475">
      <c r="A475" s="12"/>
      <c r="D475" s="95"/>
      <c r="E475" s="14"/>
      <c r="F475" s="96"/>
    </row>
    <row r="476">
      <c r="A476" s="12"/>
      <c r="D476" s="95"/>
      <c r="E476" s="14"/>
      <c r="F476" s="96"/>
    </row>
    <row r="477">
      <c r="A477" s="12"/>
      <c r="D477" s="95"/>
      <c r="E477" s="14"/>
      <c r="F477" s="96"/>
    </row>
    <row r="478">
      <c r="A478" s="12"/>
      <c r="D478" s="95"/>
      <c r="E478" s="14"/>
      <c r="F478" s="96"/>
    </row>
    <row r="479">
      <c r="A479" s="12"/>
      <c r="D479" s="95"/>
      <c r="E479" s="14"/>
      <c r="F479" s="96"/>
    </row>
    <row r="480">
      <c r="A480" s="12"/>
      <c r="D480" s="95"/>
      <c r="E480" s="14"/>
      <c r="F480" s="96"/>
    </row>
    <row r="481">
      <c r="A481" s="12"/>
      <c r="D481" s="95"/>
      <c r="E481" s="14"/>
      <c r="F481" s="96"/>
    </row>
    <row r="482">
      <c r="A482" s="12"/>
      <c r="D482" s="95"/>
      <c r="E482" s="14"/>
      <c r="F482" s="96"/>
    </row>
    <row r="483">
      <c r="A483" s="12"/>
      <c r="D483" s="95"/>
      <c r="E483" s="14"/>
      <c r="F483" s="96"/>
    </row>
    <row r="484">
      <c r="A484" s="12"/>
      <c r="D484" s="95"/>
      <c r="E484" s="14"/>
      <c r="F484" s="96"/>
    </row>
    <row r="485">
      <c r="A485" s="12"/>
      <c r="D485" s="95"/>
      <c r="E485" s="14"/>
      <c r="F485" s="96"/>
    </row>
    <row r="486">
      <c r="A486" s="12"/>
      <c r="D486" s="95"/>
      <c r="E486" s="14"/>
      <c r="F486" s="96"/>
    </row>
    <row r="487">
      <c r="A487" s="12"/>
      <c r="D487" s="95"/>
      <c r="E487" s="14"/>
      <c r="F487" s="96"/>
    </row>
    <row r="488">
      <c r="A488" s="12"/>
      <c r="D488" s="95"/>
      <c r="E488" s="14"/>
      <c r="F488" s="96"/>
    </row>
    <row r="489">
      <c r="A489" s="12"/>
      <c r="D489" s="95"/>
      <c r="E489" s="14"/>
      <c r="F489" s="96"/>
    </row>
    <row r="490">
      <c r="A490" s="12"/>
      <c r="D490" s="95"/>
      <c r="E490" s="14"/>
      <c r="F490" s="96"/>
    </row>
    <row r="491">
      <c r="A491" s="12"/>
      <c r="D491" s="95"/>
      <c r="E491" s="14"/>
      <c r="F491" s="96"/>
    </row>
    <row r="492">
      <c r="A492" s="12"/>
      <c r="D492" s="95"/>
      <c r="E492" s="14"/>
      <c r="F492" s="96"/>
    </row>
    <row r="493">
      <c r="A493" s="12"/>
      <c r="D493" s="95"/>
      <c r="E493" s="14"/>
      <c r="F493" s="96"/>
    </row>
    <row r="494">
      <c r="A494" s="12"/>
      <c r="D494" s="95"/>
      <c r="E494" s="14"/>
      <c r="F494" s="96"/>
    </row>
    <row r="495">
      <c r="A495" s="12"/>
      <c r="D495" s="95"/>
      <c r="E495" s="14"/>
      <c r="F495" s="96"/>
    </row>
    <row r="496">
      <c r="A496" s="12"/>
      <c r="D496" s="95"/>
      <c r="E496" s="14"/>
      <c r="F496" s="96"/>
    </row>
    <row r="497">
      <c r="A497" s="12"/>
      <c r="D497" s="95"/>
      <c r="E497" s="14"/>
      <c r="F497" s="96"/>
    </row>
    <row r="498">
      <c r="A498" s="12"/>
      <c r="D498" s="95"/>
      <c r="E498" s="14"/>
      <c r="F498" s="96"/>
    </row>
    <row r="499">
      <c r="A499" s="12"/>
      <c r="D499" s="95"/>
      <c r="E499" s="14"/>
      <c r="F499" s="96"/>
    </row>
    <row r="500">
      <c r="A500" s="12"/>
      <c r="D500" s="95"/>
      <c r="E500" s="14"/>
      <c r="F500" s="96"/>
    </row>
    <row r="501">
      <c r="A501" s="12"/>
      <c r="D501" s="95"/>
      <c r="E501" s="14"/>
      <c r="F501" s="96"/>
    </row>
    <row r="502">
      <c r="A502" s="12"/>
      <c r="D502" s="95"/>
      <c r="E502" s="14"/>
      <c r="F502" s="96"/>
    </row>
    <row r="503">
      <c r="A503" s="12"/>
      <c r="D503" s="95"/>
      <c r="E503" s="14"/>
      <c r="F503" s="96"/>
    </row>
    <row r="504">
      <c r="A504" s="12"/>
      <c r="D504" s="95"/>
      <c r="E504" s="14"/>
      <c r="F504" s="96"/>
    </row>
    <row r="505">
      <c r="A505" s="12"/>
      <c r="D505" s="95"/>
      <c r="E505" s="14"/>
      <c r="F505" s="96"/>
    </row>
    <row r="506">
      <c r="A506" s="12"/>
      <c r="D506" s="95"/>
      <c r="E506" s="14"/>
      <c r="F506" s="96"/>
    </row>
    <row r="507">
      <c r="A507" s="12"/>
      <c r="D507" s="95"/>
      <c r="E507" s="14"/>
      <c r="F507" s="96"/>
    </row>
    <row r="508">
      <c r="A508" s="12"/>
      <c r="D508" s="95"/>
      <c r="E508" s="14"/>
      <c r="F508" s="96"/>
    </row>
    <row r="509">
      <c r="A509" s="12"/>
      <c r="D509" s="95"/>
      <c r="E509" s="14"/>
      <c r="F509" s="96"/>
    </row>
    <row r="510">
      <c r="A510" s="12"/>
      <c r="D510" s="95"/>
      <c r="E510" s="14"/>
      <c r="F510" s="96"/>
    </row>
    <row r="511">
      <c r="A511" s="12"/>
      <c r="D511" s="95"/>
      <c r="E511" s="14"/>
      <c r="F511" s="96"/>
    </row>
    <row r="512">
      <c r="A512" s="12"/>
      <c r="D512" s="95"/>
      <c r="E512" s="14"/>
      <c r="F512" s="96"/>
    </row>
    <row r="513">
      <c r="A513" s="12"/>
      <c r="D513" s="95"/>
      <c r="E513" s="14"/>
      <c r="F513" s="96"/>
    </row>
    <row r="514">
      <c r="A514" s="12"/>
      <c r="D514" s="95"/>
      <c r="E514" s="14"/>
      <c r="F514" s="96"/>
    </row>
    <row r="515">
      <c r="A515" s="12"/>
      <c r="D515" s="95"/>
      <c r="E515" s="14"/>
      <c r="F515" s="96"/>
    </row>
    <row r="516">
      <c r="A516" s="12"/>
      <c r="D516" s="95"/>
      <c r="E516" s="14"/>
      <c r="F516" s="96"/>
    </row>
    <row r="517">
      <c r="A517" s="12"/>
      <c r="D517" s="95"/>
      <c r="E517" s="14"/>
      <c r="F517" s="96"/>
    </row>
    <row r="518">
      <c r="A518" s="12"/>
      <c r="D518" s="95"/>
      <c r="E518" s="14"/>
      <c r="F518" s="96"/>
    </row>
    <row r="519">
      <c r="A519" s="12"/>
      <c r="D519" s="95"/>
      <c r="E519" s="14"/>
      <c r="F519" s="96"/>
    </row>
    <row r="520">
      <c r="A520" s="12"/>
      <c r="D520" s="95"/>
      <c r="E520" s="14"/>
      <c r="F520" s="96"/>
    </row>
    <row r="521">
      <c r="A521" s="12"/>
      <c r="D521" s="95"/>
      <c r="E521" s="14"/>
      <c r="F521" s="96"/>
    </row>
    <row r="522">
      <c r="A522" s="12"/>
      <c r="D522" s="95"/>
      <c r="E522" s="14"/>
      <c r="F522" s="96"/>
    </row>
    <row r="523">
      <c r="A523" s="12"/>
      <c r="D523" s="95"/>
      <c r="E523" s="14"/>
      <c r="F523" s="96"/>
    </row>
    <row r="524">
      <c r="A524" s="12"/>
      <c r="D524" s="95"/>
      <c r="E524" s="14"/>
      <c r="F524" s="96"/>
    </row>
    <row r="525">
      <c r="A525" s="12"/>
      <c r="D525" s="95"/>
      <c r="E525" s="14"/>
      <c r="F525" s="96"/>
    </row>
    <row r="526">
      <c r="A526" s="12"/>
      <c r="D526" s="95"/>
      <c r="E526" s="14"/>
      <c r="F526" s="96"/>
    </row>
    <row r="527">
      <c r="A527" s="12"/>
      <c r="D527" s="95"/>
      <c r="E527" s="14"/>
      <c r="F527" s="96"/>
    </row>
    <row r="528">
      <c r="A528" s="12"/>
      <c r="D528" s="95"/>
      <c r="E528" s="14"/>
      <c r="F528" s="96"/>
    </row>
    <row r="529">
      <c r="A529" s="12"/>
      <c r="D529" s="95"/>
      <c r="E529" s="14"/>
      <c r="F529" s="96"/>
    </row>
    <row r="530">
      <c r="A530" s="12"/>
      <c r="D530" s="95"/>
      <c r="E530" s="14"/>
      <c r="F530" s="96"/>
    </row>
    <row r="531">
      <c r="A531" s="12"/>
      <c r="D531" s="95"/>
      <c r="E531" s="14"/>
      <c r="F531" s="96"/>
    </row>
    <row r="532">
      <c r="A532" s="12"/>
      <c r="D532" s="95"/>
      <c r="E532" s="14"/>
      <c r="F532" s="96"/>
    </row>
    <row r="533">
      <c r="A533" s="12"/>
      <c r="D533" s="95"/>
      <c r="E533" s="14"/>
      <c r="F533" s="96"/>
    </row>
    <row r="534">
      <c r="A534" s="12"/>
      <c r="D534" s="95"/>
      <c r="E534" s="14"/>
      <c r="F534" s="96"/>
    </row>
    <row r="535">
      <c r="A535" s="12"/>
      <c r="D535" s="95"/>
      <c r="E535" s="14"/>
      <c r="F535" s="96"/>
    </row>
    <row r="536">
      <c r="A536" s="12"/>
      <c r="D536" s="95"/>
      <c r="E536" s="14"/>
      <c r="F536" s="96"/>
    </row>
    <row r="537">
      <c r="A537" s="12"/>
      <c r="D537" s="95"/>
      <c r="E537" s="14"/>
      <c r="F537" s="96"/>
    </row>
    <row r="538">
      <c r="A538" s="12"/>
      <c r="D538" s="95"/>
      <c r="E538" s="14"/>
      <c r="F538" s="96"/>
    </row>
    <row r="539">
      <c r="A539" s="12"/>
      <c r="D539" s="95"/>
      <c r="E539" s="14"/>
      <c r="F539" s="96"/>
    </row>
    <row r="540">
      <c r="A540" s="12"/>
      <c r="D540" s="95"/>
      <c r="E540" s="14"/>
      <c r="F540" s="96"/>
    </row>
    <row r="541">
      <c r="A541" s="12"/>
      <c r="D541" s="95"/>
      <c r="E541" s="14"/>
      <c r="F541" s="96"/>
    </row>
    <row r="542">
      <c r="A542" s="12"/>
      <c r="D542" s="95"/>
      <c r="E542" s="14"/>
      <c r="F542" s="96"/>
    </row>
    <row r="543">
      <c r="A543" s="12"/>
      <c r="D543" s="95"/>
      <c r="E543" s="14"/>
      <c r="F543" s="96"/>
    </row>
    <row r="544">
      <c r="A544" s="12"/>
      <c r="D544" s="95"/>
      <c r="E544" s="14"/>
      <c r="F544" s="96"/>
    </row>
    <row r="545">
      <c r="A545" s="12"/>
      <c r="D545" s="95"/>
      <c r="E545" s="14"/>
      <c r="F545" s="96"/>
    </row>
    <row r="546">
      <c r="A546" s="12"/>
      <c r="D546" s="95"/>
      <c r="E546" s="14"/>
      <c r="F546" s="96"/>
    </row>
    <row r="547">
      <c r="A547" s="12"/>
      <c r="D547" s="95"/>
      <c r="E547" s="14"/>
      <c r="F547" s="96"/>
    </row>
    <row r="548">
      <c r="A548" s="12"/>
      <c r="D548" s="95"/>
      <c r="E548" s="14"/>
      <c r="F548" s="96"/>
    </row>
    <row r="549">
      <c r="A549" s="12"/>
      <c r="D549" s="95"/>
      <c r="E549" s="14"/>
      <c r="F549" s="96"/>
    </row>
    <row r="550">
      <c r="A550" s="12"/>
      <c r="D550" s="95"/>
      <c r="E550" s="14"/>
      <c r="F550" s="96"/>
    </row>
    <row r="551">
      <c r="A551" s="12"/>
      <c r="D551" s="95"/>
      <c r="E551" s="14"/>
      <c r="F551" s="96"/>
    </row>
    <row r="552">
      <c r="A552" s="12"/>
      <c r="D552" s="95"/>
      <c r="E552" s="14"/>
      <c r="F552" s="96"/>
    </row>
    <row r="553">
      <c r="A553" s="12"/>
      <c r="D553" s="95"/>
      <c r="E553" s="14"/>
      <c r="F553" s="96"/>
    </row>
    <row r="554">
      <c r="A554" s="12"/>
      <c r="D554" s="95"/>
      <c r="E554" s="14"/>
      <c r="F554" s="96"/>
    </row>
    <row r="555">
      <c r="A555" s="12"/>
      <c r="D555" s="95"/>
      <c r="E555" s="14"/>
      <c r="F555" s="96"/>
    </row>
    <row r="556">
      <c r="A556" s="12"/>
      <c r="D556" s="95"/>
      <c r="E556" s="14"/>
      <c r="F556" s="96"/>
    </row>
    <row r="557">
      <c r="A557" s="12"/>
      <c r="D557" s="95"/>
      <c r="E557" s="14"/>
      <c r="F557" s="96"/>
    </row>
    <row r="558">
      <c r="A558" s="12"/>
      <c r="D558" s="95"/>
      <c r="E558" s="14"/>
      <c r="F558" s="96"/>
    </row>
    <row r="559">
      <c r="A559" s="12"/>
      <c r="D559" s="95"/>
      <c r="E559" s="14"/>
      <c r="F559" s="96"/>
    </row>
    <row r="560">
      <c r="A560" s="12"/>
      <c r="D560" s="95"/>
      <c r="E560" s="14"/>
      <c r="F560" s="96"/>
    </row>
    <row r="561">
      <c r="A561" s="12"/>
      <c r="D561" s="95"/>
      <c r="E561" s="14"/>
      <c r="F561" s="96"/>
    </row>
    <row r="562">
      <c r="A562" s="12"/>
      <c r="D562" s="95"/>
      <c r="E562" s="14"/>
      <c r="F562" s="96"/>
    </row>
    <row r="563">
      <c r="A563" s="12"/>
      <c r="D563" s="95"/>
      <c r="E563" s="14"/>
      <c r="F563" s="96"/>
    </row>
    <row r="564">
      <c r="A564" s="12"/>
      <c r="D564" s="95"/>
      <c r="E564" s="14"/>
      <c r="F564" s="96"/>
    </row>
    <row r="565">
      <c r="A565" s="12"/>
      <c r="D565" s="95"/>
      <c r="E565" s="14"/>
      <c r="F565" s="96"/>
    </row>
    <row r="566">
      <c r="A566" s="12"/>
      <c r="D566" s="95"/>
      <c r="E566" s="14"/>
      <c r="F566" s="96"/>
    </row>
    <row r="567">
      <c r="A567" s="12"/>
      <c r="D567" s="95"/>
      <c r="E567" s="14"/>
      <c r="F567" s="96"/>
    </row>
    <row r="568">
      <c r="A568" s="12"/>
      <c r="D568" s="95"/>
      <c r="E568" s="14"/>
      <c r="F568" s="96"/>
    </row>
    <row r="569">
      <c r="A569" s="12"/>
      <c r="D569" s="95"/>
      <c r="E569" s="14"/>
      <c r="F569" s="96"/>
    </row>
    <row r="570">
      <c r="A570" s="12"/>
      <c r="D570" s="95"/>
      <c r="E570" s="14"/>
      <c r="F570" s="96"/>
    </row>
    <row r="571">
      <c r="A571" s="12"/>
      <c r="D571" s="95"/>
      <c r="E571" s="14"/>
      <c r="F571" s="96"/>
    </row>
    <row r="572">
      <c r="A572" s="12"/>
      <c r="D572" s="95"/>
      <c r="E572" s="14"/>
      <c r="F572" s="96"/>
    </row>
    <row r="573">
      <c r="A573" s="12"/>
      <c r="D573" s="95"/>
      <c r="E573" s="14"/>
      <c r="F573" s="96"/>
    </row>
    <row r="574">
      <c r="A574" s="12"/>
      <c r="D574" s="95"/>
      <c r="E574" s="14"/>
      <c r="F574" s="96"/>
    </row>
    <row r="575">
      <c r="A575" s="12"/>
      <c r="D575" s="95"/>
      <c r="E575" s="14"/>
      <c r="F575" s="96"/>
    </row>
    <row r="576">
      <c r="A576" s="12"/>
      <c r="D576" s="95"/>
      <c r="E576" s="14"/>
      <c r="F576" s="96"/>
    </row>
    <row r="577">
      <c r="A577" s="12"/>
      <c r="D577" s="95"/>
      <c r="E577" s="14"/>
      <c r="F577" s="96"/>
    </row>
    <row r="578">
      <c r="A578" s="12"/>
      <c r="D578" s="95"/>
      <c r="E578" s="14"/>
      <c r="F578" s="96"/>
    </row>
    <row r="579">
      <c r="A579" s="12"/>
      <c r="D579" s="95"/>
      <c r="E579" s="14"/>
      <c r="F579" s="96"/>
    </row>
    <row r="580">
      <c r="A580" s="12"/>
      <c r="D580" s="95"/>
      <c r="E580" s="14"/>
      <c r="F580" s="96"/>
    </row>
    <row r="581">
      <c r="A581" s="12"/>
      <c r="D581" s="95"/>
      <c r="E581" s="14"/>
      <c r="F581" s="96"/>
    </row>
    <row r="582">
      <c r="A582" s="12"/>
      <c r="D582" s="95"/>
      <c r="E582" s="14"/>
      <c r="F582" s="96"/>
    </row>
    <row r="583">
      <c r="A583" s="12"/>
      <c r="D583" s="95"/>
      <c r="E583" s="14"/>
      <c r="F583" s="96"/>
    </row>
    <row r="584">
      <c r="A584" s="12"/>
      <c r="D584" s="95"/>
      <c r="E584" s="14"/>
      <c r="F584" s="96"/>
    </row>
    <row r="585">
      <c r="A585" s="12"/>
      <c r="D585" s="95"/>
      <c r="E585" s="14"/>
      <c r="F585" s="96"/>
    </row>
    <row r="586">
      <c r="A586" s="12"/>
      <c r="D586" s="95"/>
      <c r="E586" s="14"/>
      <c r="F586" s="96"/>
    </row>
    <row r="587">
      <c r="A587" s="12"/>
      <c r="D587" s="95"/>
      <c r="E587" s="14"/>
      <c r="F587" s="96"/>
    </row>
    <row r="588">
      <c r="A588" s="12"/>
      <c r="D588" s="95"/>
      <c r="E588" s="14"/>
      <c r="F588" s="96"/>
    </row>
    <row r="589">
      <c r="A589" s="12"/>
      <c r="D589" s="95"/>
      <c r="E589" s="14"/>
      <c r="F589" s="96"/>
    </row>
    <row r="590">
      <c r="A590" s="12"/>
      <c r="D590" s="95"/>
      <c r="E590" s="14"/>
      <c r="F590" s="96"/>
    </row>
    <row r="591">
      <c r="A591" s="12"/>
      <c r="D591" s="95"/>
      <c r="E591" s="14"/>
      <c r="F591" s="96"/>
    </row>
    <row r="592">
      <c r="A592" s="12"/>
      <c r="D592" s="95"/>
      <c r="E592" s="14"/>
      <c r="F592" s="96"/>
    </row>
    <row r="593">
      <c r="A593" s="12"/>
      <c r="D593" s="95"/>
      <c r="E593" s="14"/>
      <c r="F593" s="96"/>
    </row>
    <row r="594">
      <c r="A594" s="12"/>
      <c r="D594" s="95"/>
      <c r="E594" s="14"/>
      <c r="F594" s="96"/>
    </row>
    <row r="595">
      <c r="A595" s="12"/>
      <c r="D595" s="95"/>
      <c r="E595" s="14"/>
      <c r="F595" s="96"/>
    </row>
    <row r="596">
      <c r="A596" s="12"/>
      <c r="D596" s="95"/>
      <c r="E596" s="14"/>
      <c r="F596" s="96"/>
    </row>
    <row r="597">
      <c r="A597" s="12"/>
      <c r="D597" s="95"/>
      <c r="E597" s="14"/>
      <c r="F597" s="96"/>
    </row>
    <row r="598">
      <c r="A598" s="12"/>
      <c r="D598" s="95"/>
      <c r="E598" s="14"/>
      <c r="F598" s="96"/>
    </row>
    <row r="599">
      <c r="A599" s="12"/>
      <c r="D599" s="95"/>
      <c r="E599" s="14"/>
      <c r="F599" s="96"/>
    </row>
    <row r="600">
      <c r="A600" s="12"/>
      <c r="D600" s="95"/>
      <c r="E600" s="14"/>
      <c r="F600" s="96"/>
    </row>
    <row r="601">
      <c r="A601" s="12"/>
      <c r="D601" s="95"/>
      <c r="E601" s="14"/>
      <c r="F601" s="96"/>
    </row>
    <row r="602">
      <c r="A602" s="12"/>
      <c r="D602" s="95"/>
      <c r="E602" s="14"/>
      <c r="F602" s="96"/>
    </row>
    <row r="603">
      <c r="A603" s="12"/>
      <c r="D603" s="95"/>
      <c r="E603" s="14"/>
      <c r="F603" s="96"/>
    </row>
    <row r="604">
      <c r="A604" s="12"/>
      <c r="D604" s="95"/>
      <c r="E604" s="14"/>
      <c r="F604" s="96"/>
    </row>
    <row r="605">
      <c r="A605" s="12"/>
      <c r="D605" s="95"/>
      <c r="E605" s="14"/>
      <c r="F605" s="96"/>
    </row>
    <row r="606">
      <c r="A606" s="12"/>
      <c r="D606" s="95"/>
      <c r="E606" s="14"/>
      <c r="F606" s="96"/>
    </row>
    <row r="607">
      <c r="A607" s="12"/>
      <c r="D607" s="95"/>
      <c r="E607" s="14"/>
      <c r="F607" s="96"/>
    </row>
    <row r="608">
      <c r="A608" s="12"/>
      <c r="D608" s="95"/>
      <c r="E608" s="14"/>
      <c r="F608" s="96"/>
    </row>
    <row r="609">
      <c r="A609" s="12"/>
      <c r="D609" s="95"/>
      <c r="E609" s="14"/>
      <c r="F609" s="96"/>
    </row>
    <row r="610">
      <c r="A610" s="12"/>
      <c r="D610" s="95"/>
      <c r="E610" s="14"/>
      <c r="F610" s="96"/>
    </row>
    <row r="611">
      <c r="A611" s="12"/>
      <c r="D611" s="95"/>
      <c r="E611" s="14"/>
      <c r="F611" s="96"/>
    </row>
    <row r="612">
      <c r="A612" s="12"/>
      <c r="D612" s="95"/>
      <c r="E612" s="14"/>
      <c r="F612" s="96"/>
    </row>
    <row r="613">
      <c r="A613" s="12"/>
      <c r="D613" s="95"/>
      <c r="E613" s="14"/>
      <c r="F613" s="96"/>
    </row>
    <row r="614">
      <c r="A614" s="12"/>
      <c r="D614" s="95"/>
      <c r="E614" s="14"/>
      <c r="F614" s="96"/>
    </row>
    <row r="615">
      <c r="A615" s="12"/>
      <c r="D615" s="95"/>
      <c r="E615" s="14"/>
      <c r="F615" s="96"/>
    </row>
    <row r="616">
      <c r="A616" s="12"/>
      <c r="D616" s="95"/>
      <c r="E616" s="14"/>
      <c r="F616" s="96"/>
    </row>
    <row r="617">
      <c r="A617" s="12"/>
      <c r="D617" s="95"/>
      <c r="E617" s="14"/>
      <c r="F617" s="96"/>
    </row>
    <row r="618">
      <c r="A618" s="12"/>
      <c r="D618" s="95"/>
      <c r="E618" s="14"/>
      <c r="F618" s="96"/>
    </row>
    <row r="619">
      <c r="A619" s="12"/>
      <c r="D619" s="95"/>
      <c r="E619" s="14"/>
      <c r="F619" s="96"/>
    </row>
    <row r="620">
      <c r="A620" s="12"/>
      <c r="D620" s="95"/>
      <c r="E620" s="14"/>
      <c r="F620" s="96"/>
    </row>
    <row r="621">
      <c r="A621" s="12"/>
      <c r="D621" s="95"/>
      <c r="E621" s="14"/>
      <c r="F621" s="96"/>
    </row>
    <row r="622">
      <c r="A622" s="12"/>
      <c r="D622" s="95"/>
      <c r="E622" s="14"/>
      <c r="F622" s="96"/>
    </row>
    <row r="623">
      <c r="A623" s="12"/>
      <c r="D623" s="95"/>
      <c r="E623" s="14"/>
      <c r="F623" s="96"/>
    </row>
    <row r="624">
      <c r="A624" s="12"/>
      <c r="D624" s="95"/>
      <c r="E624" s="14"/>
      <c r="F624" s="96"/>
    </row>
    <row r="625">
      <c r="A625" s="12"/>
      <c r="D625" s="95"/>
      <c r="E625" s="14"/>
      <c r="F625" s="96"/>
    </row>
    <row r="626">
      <c r="A626" s="12"/>
      <c r="D626" s="95"/>
      <c r="E626" s="14"/>
      <c r="F626" s="96"/>
    </row>
    <row r="627">
      <c r="A627" s="12"/>
      <c r="D627" s="95"/>
      <c r="E627" s="14"/>
      <c r="F627" s="96"/>
    </row>
    <row r="628">
      <c r="A628" s="12"/>
      <c r="D628" s="95"/>
      <c r="E628" s="14"/>
      <c r="F628" s="96"/>
    </row>
    <row r="629">
      <c r="A629" s="12"/>
      <c r="D629" s="95"/>
      <c r="E629" s="14"/>
      <c r="F629" s="96"/>
    </row>
    <row r="630">
      <c r="A630" s="12"/>
      <c r="D630" s="95"/>
      <c r="E630" s="14"/>
      <c r="F630" s="96"/>
    </row>
    <row r="631">
      <c r="A631" s="12"/>
      <c r="D631" s="95"/>
      <c r="E631" s="14"/>
      <c r="F631" s="96"/>
    </row>
    <row r="632">
      <c r="A632" s="12"/>
      <c r="D632" s="95"/>
      <c r="E632" s="14"/>
      <c r="F632" s="96"/>
    </row>
    <row r="633">
      <c r="A633" s="12"/>
      <c r="D633" s="95"/>
      <c r="E633" s="14"/>
      <c r="F633" s="96"/>
    </row>
    <row r="634">
      <c r="A634" s="12"/>
      <c r="D634" s="95"/>
      <c r="E634" s="14"/>
      <c r="F634" s="96"/>
    </row>
    <row r="635">
      <c r="A635" s="12"/>
      <c r="D635" s="95"/>
      <c r="E635" s="14"/>
      <c r="F635" s="96"/>
    </row>
    <row r="636">
      <c r="A636" s="12"/>
      <c r="D636" s="95"/>
      <c r="E636" s="14"/>
      <c r="F636" s="96"/>
    </row>
    <row r="637">
      <c r="A637" s="12"/>
      <c r="D637" s="95"/>
      <c r="E637" s="14"/>
      <c r="F637" s="96"/>
    </row>
    <row r="638">
      <c r="A638" s="12"/>
      <c r="D638" s="95"/>
      <c r="E638" s="14"/>
      <c r="F638" s="96"/>
    </row>
    <row r="639">
      <c r="A639" s="12"/>
      <c r="D639" s="95"/>
      <c r="E639" s="14"/>
      <c r="F639" s="96"/>
    </row>
    <row r="640">
      <c r="A640" s="12"/>
      <c r="D640" s="95"/>
      <c r="E640" s="14"/>
      <c r="F640" s="96"/>
    </row>
    <row r="641">
      <c r="A641" s="12"/>
      <c r="D641" s="95"/>
      <c r="E641" s="14"/>
      <c r="F641" s="96"/>
    </row>
    <row r="642">
      <c r="A642" s="12"/>
      <c r="D642" s="95"/>
      <c r="E642" s="14"/>
      <c r="F642" s="96"/>
    </row>
    <row r="643">
      <c r="A643" s="12"/>
      <c r="D643" s="95"/>
      <c r="E643" s="14"/>
      <c r="F643" s="96"/>
    </row>
    <row r="644">
      <c r="A644" s="12"/>
      <c r="D644" s="95"/>
      <c r="E644" s="14"/>
      <c r="F644" s="96"/>
    </row>
    <row r="645">
      <c r="A645" s="12"/>
      <c r="D645" s="95"/>
      <c r="E645" s="14"/>
      <c r="F645" s="96"/>
    </row>
    <row r="646">
      <c r="A646" s="12"/>
      <c r="D646" s="95"/>
      <c r="E646" s="14"/>
      <c r="F646" s="96"/>
    </row>
    <row r="647">
      <c r="A647" s="12"/>
      <c r="D647" s="95"/>
      <c r="E647" s="14"/>
      <c r="F647" s="96"/>
    </row>
    <row r="648">
      <c r="A648" s="12"/>
      <c r="D648" s="95"/>
      <c r="E648" s="14"/>
      <c r="F648" s="96"/>
    </row>
    <row r="649">
      <c r="A649" s="12"/>
      <c r="D649" s="95"/>
      <c r="E649" s="14"/>
      <c r="F649" s="96"/>
    </row>
    <row r="650">
      <c r="A650" s="12"/>
      <c r="D650" s="95"/>
      <c r="E650" s="14"/>
      <c r="F650" s="96"/>
    </row>
    <row r="651">
      <c r="A651" s="12"/>
      <c r="D651" s="95"/>
      <c r="E651" s="14"/>
      <c r="F651" s="96"/>
    </row>
    <row r="652">
      <c r="A652" s="12"/>
      <c r="D652" s="95"/>
      <c r="E652" s="14"/>
      <c r="F652" s="96"/>
    </row>
    <row r="653">
      <c r="A653" s="12"/>
      <c r="D653" s="95"/>
      <c r="E653" s="14"/>
      <c r="F653" s="96"/>
    </row>
    <row r="654">
      <c r="A654" s="12"/>
      <c r="D654" s="95"/>
      <c r="E654" s="14"/>
      <c r="F654" s="96"/>
    </row>
    <row r="655">
      <c r="A655" s="12"/>
      <c r="D655" s="95"/>
      <c r="E655" s="14"/>
      <c r="F655" s="96"/>
    </row>
    <row r="656">
      <c r="A656" s="12"/>
      <c r="D656" s="95"/>
      <c r="E656" s="14"/>
      <c r="F656" s="96"/>
    </row>
    <row r="657">
      <c r="A657" s="12"/>
      <c r="D657" s="95"/>
      <c r="E657" s="14"/>
      <c r="F657" s="96"/>
    </row>
    <row r="658">
      <c r="A658" s="12"/>
      <c r="D658" s="95"/>
      <c r="E658" s="14"/>
      <c r="F658" s="96"/>
    </row>
    <row r="659">
      <c r="A659" s="12"/>
      <c r="D659" s="95"/>
      <c r="E659" s="14"/>
      <c r="F659" s="96"/>
    </row>
    <row r="660">
      <c r="A660" s="12"/>
      <c r="D660" s="95"/>
      <c r="E660" s="14"/>
      <c r="F660" s="96"/>
    </row>
    <row r="661">
      <c r="A661" s="12"/>
      <c r="D661" s="95"/>
      <c r="E661" s="14"/>
      <c r="F661" s="96"/>
    </row>
    <row r="662">
      <c r="A662" s="12"/>
      <c r="D662" s="95"/>
      <c r="E662" s="14"/>
      <c r="F662" s="96"/>
    </row>
    <row r="663">
      <c r="A663" s="12"/>
      <c r="D663" s="95"/>
      <c r="E663" s="14"/>
      <c r="F663" s="96"/>
    </row>
    <row r="664">
      <c r="A664" s="12"/>
      <c r="D664" s="95"/>
      <c r="E664" s="14"/>
      <c r="F664" s="96"/>
    </row>
    <row r="665">
      <c r="A665" s="12"/>
      <c r="D665" s="95"/>
      <c r="E665" s="14"/>
      <c r="F665" s="96"/>
    </row>
    <row r="666">
      <c r="A666" s="12"/>
      <c r="D666" s="95"/>
      <c r="E666" s="14"/>
      <c r="F666" s="96"/>
    </row>
    <row r="667">
      <c r="A667" s="12"/>
      <c r="D667" s="95"/>
      <c r="E667" s="14"/>
      <c r="F667" s="96"/>
    </row>
    <row r="668">
      <c r="A668" s="12"/>
      <c r="D668" s="95"/>
      <c r="E668" s="14"/>
      <c r="F668" s="96"/>
    </row>
    <row r="669">
      <c r="A669" s="12"/>
      <c r="D669" s="95"/>
      <c r="E669" s="14"/>
      <c r="F669" s="96"/>
    </row>
    <row r="670">
      <c r="A670" s="12"/>
      <c r="D670" s="95"/>
      <c r="E670" s="14"/>
      <c r="F670" s="96"/>
    </row>
    <row r="671">
      <c r="A671" s="12"/>
      <c r="D671" s="95"/>
      <c r="E671" s="14"/>
      <c r="F671" s="96"/>
    </row>
    <row r="672">
      <c r="A672" s="12"/>
      <c r="D672" s="95"/>
      <c r="E672" s="14"/>
      <c r="F672" s="96"/>
    </row>
    <row r="673">
      <c r="A673" s="12"/>
      <c r="D673" s="95"/>
      <c r="E673" s="14"/>
      <c r="F673" s="96"/>
    </row>
    <row r="674">
      <c r="A674" s="12"/>
      <c r="D674" s="95"/>
      <c r="E674" s="14"/>
      <c r="F674" s="96"/>
    </row>
    <row r="675">
      <c r="A675" s="12"/>
      <c r="D675" s="95"/>
      <c r="E675" s="14"/>
      <c r="F675" s="96"/>
    </row>
    <row r="676">
      <c r="A676" s="12"/>
      <c r="D676" s="95"/>
      <c r="E676" s="14"/>
      <c r="F676" s="96"/>
    </row>
    <row r="677">
      <c r="A677" s="12"/>
      <c r="D677" s="95"/>
      <c r="E677" s="14"/>
      <c r="F677" s="96"/>
    </row>
    <row r="678">
      <c r="A678" s="12"/>
      <c r="D678" s="95"/>
      <c r="E678" s="14"/>
      <c r="F678" s="96"/>
    </row>
    <row r="679">
      <c r="A679" s="12"/>
      <c r="D679" s="95"/>
      <c r="E679" s="14"/>
      <c r="F679" s="96"/>
    </row>
    <row r="680">
      <c r="A680" s="12"/>
      <c r="D680" s="95"/>
      <c r="E680" s="14"/>
      <c r="F680" s="96"/>
    </row>
    <row r="681">
      <c r="A681" s="12"/>
      <c r="D681" s="95"/>
      <c r="E681" s="14"/>
      <c r="F681" s="96"/>
    </row>
    <row r="682">
      <c r="A682" s="12"/>
      <c r="D682" s="95"/>
      <c r="E682" s="14"/>
      <c r="F682" s="96"/>
    </row>
    <row r="683">
      <c r="A683" s="12"/>
      <c r="D683" s="95"/>
      <c r="E683" s="14"/>
      <c r="F683" s="96"/>
    </row>
    <row r="684">
      <c r="A684" s="12"/>
      <c r="D684" s="95"/>
      <c r="E684" s="14"/>
      <c r="F684" s="96"/>
    </row>
    <row r="685">
      <c r="A685" s="12"/>
      <c r="D685" s="95"/>
      <c r="E685" s="14"/>
      <c r="F685" s="96"/>
    </row>
    <row r="686">
      <c r="A686" s="12"/>
      <c r="D686" s="95"/>
      <c r="E686" s="14"/>
      <c r="F686" s="96"/>
    </row>
    <row r="687">
      <c r="A687" s="12"/>
      <c r="D687" s="95"/>
      <c r="E687" s="14"/>
      <c r="F687" s="96"/>
    </row>
    <row r="688">
      <c r="A688" s="12"/>
      <c r="D688" s="95"/>
      <c r="E688" s="14"/>
      <c r="F688" s="96"/>
    </row>
    <row r="689">
      <c r="A689" s="12"/>
      <c r="D689" s="95"/>
      <c r="E689" s="14"/>
      <c r="F689" s="96"/>
    </row>
    <row r="690">
      <c r="A690" s="12"/>
      <c r="D690" s="95"/>
      <c r="E690" s="14"/>
      <c r="F690" s="96"/>
    </row>
    <row r="691">
      <c r="A691" s="12"/>
      <c r="D691" s="95"/>
      <c r="E691" s="14"/>
      <c r="F691" s="96"/>
    </row>
    <row r="692">
      <c r="A692" s="12"/>
      <c r="D692" s="95"/>
      <c r="E692" s="14"/>
      <c r="F692" s="96"/>
    </row>
    <row r="693">
      <c r="A693" s="12"/>
      <c r="D693" s="95"/>
      <c r="E693" s="14"/>
      <c r="F693" s="96"/>
    </row>
    <row r="694">
      <c r="A694" s="12"/>
      <c r="D694" s="95"/>
      <c r="E694" s="14"/>
      <c r="F694" s="96"/>
    </row>
    <row r="695">
      <c r="A695" s="12"/>
      <c r="D695" s="95"/>
      <c r="E695" s="14"/>
      <c r="F695" s="96"/>
    </row>
    <row r="696">
      <c r="A696" s="12"/>
      <c r="D696" s="95"/>
      <c r="E696" s="14"/>
      <c r="F696" s="96"/>
    </row>
    <row r="697">
      <c r="A697" s="12"/>
      <c r="D697" s="95"/>
      <c r="E697" s="14"/>
      <c r="F697" s="96"/>
    </row>
    <row r="698">
      <c r="A698" s="12"/>
      <c r="D698" s="95"/>
      <c r="E698" s="14"/>
      <c r="F698" s="96"/>
    </row>
    <row r="699">
      <c r="A699" s="12"/>
      <c r="D699" s="95"/>
      <c r="E699" s="14"/>
      <c r="F699" s="96"/>
    </row>
    <row r="700">
      <c r="A700" s="12"/>
      <c r="D700" s="95"/>
      <c r="E700" s="14"/>
      <c r="F700" s="96"/>
    </row>
    <row r="701">
      <c r="A701" s="12"/>
      <c r="D701" s="95"/>
      <c r="E701" s="14"/>
      <c r="F701" s="96"/>
    </row>
    <row r="702">
      <c r="A702" s="12"/>
      <c r="D702" s="95"/>
      <c r="E702" s="14"/>
      <c r="F702" s="96"/>
    </row>
    <row r="703">
      <c r="A703" s="12"/>
      <c r="D703" s="95"/>
      <c r="E703" s="14"/>
      <c r="F703" s="96"/>
    </row>
    <row r="704">
      <c r="A704" s="12"/>
      <c r="D704" s="95"/>
      <c r="E704" s="14"/>
      <c r="F704" s="96"/>
    </row>
    <row r="705">
      <c r="A705" s="12"/>
      <c r="D705" s="95"/>
      <c r="E705" s="14"/>
      <c r="F705" s="96"/>
    </row>
    <row r="706">
      <c r="A706" s="12"/>
      <c r="D706" s="95"/>
      <c r="E706" s="14"/>
      <c r="F706" s="96"/>
    </row>
    <row r="707">
      <c r="A707" s="12"/>
      <c r="D707" s="95"/>
      <c r="E707" s="14"/>
      <c r="F707" s="96"/>
    </row>
    <row r="708">
      <c r="A708" s="12"/>
      <c r="D708" s="95"/>
      <c r="E708" s="14"/>
      <c r="F708" s="96"/>
    </row>
    <row r="709">
      <c r="A709" s="12"/>
      <c r="D709" s="95"/>
      <c r="E709" s="14"/>
      <c r="F709" s="96"/>
    </row>
    <row r="710">
      <c r="A710" s="12"/>
      <c r="D710" s="95"/>
      <c r="E710" s="14"/>
      <c r="F710" s="96"/>
    </row>
    <row r="711">
      <c r="A711" s="12"/>
      <c r="D711" s="95"/>
      <c r="E711" s="14"/>
      <c r="F711" s="96"/>
    </row>
    <row r="712">
      <c r="A712" s="12"/>
      <c r="D712" s="95"/>
      <c r="E712" s="14"/>
      <c r="F712" s="96"/>
    </row>
    <row r="713">
      <c r="A713" s="12"/>
      <c r="D713" s="95"/>
      <c r="E713" s="14"/>
      <c r="F713" s="96"/>
    </row>
    <row r="714">
      <c r="A714" s="12"/>
      <c r="D714" s="95"/>
      <c r="E714" s="14"/>
      <c r="F714" s="96"/>
    </row>
    <row r="715">
      <c r="A715" s="12"/>
      <c r="D715" s="95"/>
      <c r="E715" s="14"/>
      <c r="F715" s="96"/>
    </row>
    <row r="716">
      <c r="A716" s="12"/>
      <c r="D716" s="95"/>
      <c r="E716" s="14"/>
      <c r="F716" s="96"/>
    </row>
    <row r="717">
      <c r="A717" s="12"/>
      <c r="D717" s="95"/>
      <c r="E717" s="14"/>
      <c r="F717" s="96"/>
    </row>
    <row r="718">
      <c r="A718" s="12"/>
      <c r="D718" s="95"/>
      <c r="E718" s="14"/>
      <c r="F718" s="96"/>
    </row>
    <row r="719">
      <c r="A719" s="12"/>
      <c r="D719" s="95"/>
      <c r="E719" s="14"/>
      <c r="F719" s="96"/>
    </row>
    <row r="720">
      <c r="A720" s="12"/>
      <c r="D720" s="95"/>
      <c r="E720" s="14"/>
      <c r="F720" s="96"/>
    </row>
    <row r="721">
      <c r="A721" s="12"/>
      <c r="D721" s="95"/>
      <c r="E721" s="14"/>
      <c r="F721" s="96"/>
    </row>
    <row r="722">
      <c r="A722" s="12"/>
      <c r="D722" s="95"/>
      <c r="E722" s="14"/>
      <c r="F722" s="96"/>
    </row>
    <row r="723">
      <c r="A723" s="12"/>
      <c r="D723" s="95"/>
      <c r="E723" s="14"/>
      <c r="F723" s="96"/>
    </row>
    <row r="724">
      <c r="A724" s="12"/>
      <c r="D724" s="95"/>
      <c r="E724" s="14"/>
      <c r="F724" s="96"/>
    </row>
    <row r="725">
      <c r="A725" s="12"/>
      <c r="D725" s="95"/>
      <c r="E725" s="14"/>
      <c r="F725" s="96"/>
    </row>
    <row r="726">
      <c r="A726" s="12"/>
      <c r="D726" s="95"/>
      <c r="E726" s="14"/>
      <c r="F726" s="96"/>
    </row>
    <row r="727">
      <c r="A727" s="12"/>
      <c r="D727" s="95"/>
      <c r="E727" s="14"/>
      <c r="F727" s="96"/>
    </row>
    <row r="728">
      <c r="A728" s="12"/>
      <c r="D728" s="95"/>
      <c r="E728" s="14"/>
      <c r="F728" s="96"/>
    </row>
    <row r="729">
      <c r="A729" s="12"/>
      <c r="D729" s="95"/>
      <c r="E729" s="14"/>
      <c r="F729" s="96"/>
    </row>
    <row r="730">
      <c r="A730" s="12"/>
      <c r="D730" s="95"/>
      <c r="E730" s="14"/>
      <c r="F730" s="96"/>
    </row>
    <row r="731">
      <c r="A731" s="12"/>
      <c r="D731" s="95"/>
      <c r="E731" s="14"/>
      <c r="F731" s="96"/>
    </row>
    <row r="732">
      <c r="A732" s="12"/>
      <c r="D732" s="95"/>
      <c r="E732" s="14"/>
      <c r="F732" s="96"/>
    </row>
    <row r="733">
      <c r="A733" s="12"/>
      <c r="D733" s="95"/>
      <c r="E733" s="14"/>
      <c r="F733" s="96"/>
    </row>
    <row r="734">
      <c r="A734" s="12"/>
      <c r="D734" s="95"/>
      <c r="E734" s="14"/>
      <c r="F734" s="96"/>
    </row>
    <row r="735">
      <c r="A735" s="12"/>
      <c r="D735" s="95"/>
      <c r="E735" s="14"/>
      <c r="F735" s="96"/>
    </row>
    <row r="736">
      <c r="A736" s="12"/>
      <c r="D736" s="95"/>
      <c r="E736" s="14"/>
      <c r="F736" s="96"/>
    </row>
    <row r="737">
      <c r="A737" s="12"/>
      <c r="D737" s="95"/>
      <c r="E737" s="14"/>
      <c r="F737" s="96"/>
    </row>
    <row r="738">
      <c r="A738" s="12"/>
      <c r="D738" s="95"/>
      <c r="E738" s="14"/>
      <c r="F738" s="96"/>
    </row>
    <row r="739">
      <c r="A739" s="12"/>
      <c r="D739" s="95"/>
      <c r="E739" s="14"/>
      <c r="F739" s="96"/>
    </row>
    <row r="740">
      <c r="A740" s="12"/>
      <c r="D740" s="95"/>
      <c r="E740" s="14"/>
      <c r="F740" s="96"/>
    </row>
    <row r="741">
      <c r="A741" s="12"/>
      <c r="D741" s="95"/>
      <c r="E741" s="14"/>
      <c r="F741" s="96"/>
    </row>
    <row r="742">
      <c r="A742" s="12"/>
      <c r="D742" s="95"/>
      <c r="E742" s="14"/>
      <c r="F742" s="96"/>
    </row>
    <row r="743">
      <c r="A743" s="12"/>
      <c r="D743" s="95"/>
      <c r="E743" s="14"/>
      <c r="F743" s="96"/>
    </row>
    <row r="744">
      <c r="A744" s="12"/>
      <c r="D744" s="95"/>
      <c r="E744" s="14"/>
      <c r="F744" s="96"/>
    </row>
    <row r="745">
      <c r="A745" s="12"/>
      <c r="D745" s="95"/>
      <c r="E745" s="14"/>
      <c r="F745" s="96"/>
    </row>
    <row r="746">
      <c r="A746" s="12"/>
      <c r="D746" s="95"/>
      <c r="E746" s="14"/>
      <c r="F746" s="96"/>
    </row>
    <row r="747">
      <c r="A747" s="12"/>
      <c r="D747" s="95"/>
      <c r="E747" s="14"/>
      <c r="F747" s="96"/>
    </row>
    <row r="748">
      <c r="A748" s="12"/>
      <c r="D748" s="95"/>
      <c r="E748" s="14"/>
      <c r="F748" s="96"/>
    </row>
    <row r="749">
      <c r="A749" s="12"/>
      <c r="D749" s="95"/>
      <c r="E749" s="14"/>
      <c r="F749" s="96"/>
    </row>
    <row r="750">
      <c r="A750" s="12"/>
      <c r="D750" s="95"/>
      <c r="E750" s="14"/>
      <c r="F750" s="96"/>
    </row>
    <row r="751">
      <c r="A751" s="12"/>
      <c r="D751" s="95"/>
      <c r="E751" s="14"/>
      <c r="F751" s="96"/>
    </row>
    <row r="752">
      <c r="A752" s="12"/>
      <c r="D752" s="95"/>
      <c r="E752" s="14"/>
      <c r="F752" s="96"/>
    </row>
    <row r="753">
      <c r="A753" s="12"/>
      <c r="D753" s="95"/>
      <c r="E753" s="14"/>
      <c r="F753" s="96"/>
    </row>
    <row r="754">
      <c r="A754" s="12"/>
      <c r="D754" s="95"/>
      <c r="E754" s="14"/>
      <c r="F754" s="96"/>
    </row>
    <row r="755">
      <c r="A755" s="12"/>
      <c r="D755" s="95"/>
      <c r="E755" s="14"/>
      <c r="F755" s="96"/>
    </row>
    <row r="756">
      <c r="A756" s="12"/>
      <c r="D756" s="95"/>
      <c r="E756" s="14"/>
      <c r="F756" s="96"/>
    </row>
    <row r="757">
      <c r="A757" s="12"/>
      <c r="D757" s="95"/>
      <c r="E757" s="14"/>
      <c r="F757" s="96"/>
    </row>
    <row r="758">
      <c r="A758" s="12"/>
      <c r="D758" s="95"/>
      <c r="E758" s="14"/>
      <c r="F758" s="96"/>
    </row>
    <row r="759">
      <c r="A759" s="12"/>
      <c r="D759" s="95"/>
      <c r="E759" s="14"/>
      <c r="F759" s="96"/>
    </row>
    <row r="760">
      <c r="A760" s="12"/>
      <c r="D760" s="95"/>
      <c r="E760" s="14"/>
      <c r="F760" s="96"/>
    </row>
    <row r="761">
      <c r="A761" s="12"/>
      <c r="D761" s="95"/>
      <c r="E761" s="14"/>
      <c r="F761" s="96"/>
    </row>
    <row r="762">
      <c r="A762" s="12"/>
      <c r="D762" s="95"/>
      <c r="E762" s="14"/>
      <c r="F762" s="96"/>
    </row>
    <row r="763">
      <c r="A763" s="12"/>
      <c r="D763" s="95"/>
      <c r="E763" s="14"/>
      <c r="F763" s="96"/>
    </row>
    <row r="764">
      <c r="A764" s="12"/>
      <c r="D764" s="95"/>
      <c r="E764" s="14"/>
      <c r="F764" s="96"/>
    </row>
    <row r="765">
      <c r="A765" s="12"/>
      <c r="D765" s="95"/>
      <c r="E765" s="14"/>
      <c r="F765" s="96"/>
    </row>
    <row r="766">
      <c r="A766" s="12"/>
      <c r="D766" s="95"/>
      <c r="E766" s="14"/>
      <c r="F766" s="96"/>
    </row>
    <row r="767">
      <c r="A767" s="12"/>
      <c r="D767" s="95"/>
      <c r="E767" s="14"/>
      <c r="F767" s="96"/>
    </row>
    <row r="768">
      <c r="A768" s="12"/>
      <c r="D768" s="95"/>
      <c r="E768" s="14"/>
      <c r="F768" s="96"/>
    </row>
    <row r="769">
      <c r="A769" s="12"/>
      <c r="D769" s="95"/>
      <c r="E769" s="14"/>
      <c r="F769" s="96"/>
    </row>
    <row r="770">
      <c r="A770" s="12"/>
      <c r="D770" s="95"/>
      <c r="E770" s="14"/>
      <c r="F770" s="96"/>
    </row>
    <row r="771">
      <c r="A771" s="12"/>
      <c r="D771" s="95"/>
      <c r="E771" s="14"/>
      <c r="F771" s="96"/>
    </row>
    <row r="772">
      <c r="A772" s="12"/>
      <c r="D772" s="95"/>
      <c r="E772" s="14"/>
      <c r="F772" s="96"/>
    </row>
    <row r="773">
      <c r="A773" s="12"/>
      <c r="D773" s="95"/>
      <c r="E773" s="14"/>
      <c r="F773" s="96"/>
    </row>
    <row r="774">
      <c r="A774" s="12"/>
      <c r="D774" s="95"/>
      <c r="E774" s="14"/>
      <c r="F774" s="96"/>
    </row>
    <row r="775">
      <c r="A775" s="12"/>
      <c r="D775" s="95"/>
      <c r="E775" s="14"/>
      <c r="F775" s="96"/>
    </row>
    <row r="776">
      <c r="A776" s="12"/>
      <c r="D776" s="95"/>
      <c r="E776" s="14"/>
      <c r="F776" s="96"/>
    </row>
    <row r="777">
      <c r="A777" s="12"/>
      <c r="D777" s="95"/>
      <c r="E777" s="14"/>
      <c r="F777" s="96"/>
    </row>
    <row r="778">
      <c r="A778" s="12"/>
      <c r="D778" s="95"/>
      <c r="E778" s="14"/>
      <c r="F778" s="96"/>
    </row>
    <row r="779">
      <c r="A779" s="12"/>
      <c r="D779" s="95"/>
      <c r="E779" s="14"/>
      <c r="F779" s="96"/>
    </row>
    <row r="780">
      <c r="A780" s="12"/>
      <c r="D780" s="95"/>
      <c r="E780" s="14"/>
      <c r="F780" s="96"/>
    </row>
    <row r="781">
      <c r="A781" s="12"/>
      <c r="D781" s="95"/>
      <c r="E781" s="14"/>
      <c r="F781" s="96"/>
    </row>
    <row r="782">
      <c r="A782" s="12"/>
      <c r="D782" s="95"/>
      <c r="E782" s="14"/>
      <c r="F782" s="96"/>
    </row>
    <row r="783">
      <c r="A783" s="12"/>
      <c r="D783" s="95"/>
      <c r="E783" s="14"/>
      <c r="F783" s="96"/>
    </row>
    <row r="784">
      <c r="A784" s="12"/>
      <c r="D784" s="95"/>
      <c r="E784" s="14"/>
      <c r="F784" s="96"/>
    </row>
    <row r="785">
      <c r="A785" s="12"/>
      <c r="D785" s="95"/>
      <c r="E785" s="14"/>
      <c r="F785" s="96"/>
    </row>
    <row r="786">
      <c r="A786" s="12"/>
      <c r="D786" s="95"/>
      <c r="E786" s="14"/>
      <c r="F786" s="96"/>
    </row>
    <row r="787">
      <c r="A787" s="12"/>
      <c r="D787" s="95"/>
      <c r="E787" s="14"/>
      <c r="F787" s="96"/>
    </row>
    <row r="788">
      <c r="A788" s="12"/>
      <c r="D788" s="95"/>
      <c r="E788" s="14"/>
      <c r="F788" s="96"/>
    </row>
    <row r="789">
      <c r="A789" s="12"/>
      <c r="D789" s="95"/>
      <c r="E789" s="14"/>
      <c r="F789" s="96"/>
    </row>
    <row r="790">
      <c r="A790" s="12"/>
      <c r="D790" s="95"/>
      <c r="E790" s="14"/>
      <c r="F790" s="96"/>
    </row>
    <row r="791">
      <c r="A791" s="12"/>
      <c r="D791" s="95"/>
      <c r="E791" s="14"/>
      <c r="F791" s="96"/>
    </row>
    <row r="792">
      <c r="A792" s="12"/>
      <c r="D792" s="95"/>
      <c r="E792" s="14"/>
      <c r="F792" s="96"/>
    </row>
    <row r="793">
      <c r="A793" s="12"/>
      <c r="D793" s="95"/>
      <c r="E793" s="14"/>
      <c r="F793" s="96"/>
    </row>
    <row r="794">
      <c r="A794" s="12"/>
      <c r="D794" s="95"/>
      <c r="E794" s="14"/>
      <c r="F794" s="96"/>
    </row>
    <row r="795">
      <c r="A795" s="12"/>
      <c r="D795" s="95"/>
      <c r="E795" s="14"/>
      <c r="F795" s="96"/>
    </row>
    <row r="796">
      <c r="A796" s="12"/>
      <c r="D796" s="95"/>
      <c r="E796" s="14"/>
      <c r="F796" s="96"/>
    </row>
    <row r="797">
      <c r="A797" s="12"/>
      <c r="D797" s="95"/>
      <c r="E797" s="14"/>
      <c r="F797" s="96"/>
    </row>
    <row r="798">
      <c r="A798" s="12"/>
      <c r="D798" s="95"/>
      <c r="E798" s="14"/>
      <c r="F798" s="96"/>
    </row>
    <row r="799">
      <c r="A799" s="12"/>
      <c r="D799" s="95"/>
      <c r="E799" s="14"/>
      <c r="F799" s="96"/>
    </row>
    <row r="800">
      <c r="A800" s="12"/>
      <c r="D800" s="95"/>
      <c r="E800" s="14"/>
      <c r="F800" s="96"/>
    </row>
    <row r="801">
      <c r="A801" s="12"/>
      <c r="D801" s="95"/>
      <c r="E801" s="14"/>
      <c r="F801" s="96"/>
    </row>
    <row r="802">
      <c r="A802" s="12"/>
      <c r="D802" s="95"/>
      <c r="E802" s="14"/>
      <c r="F802" s="96"/>
    </row>
    <row r="803">
      <c r="A803" s="12"/>
      <c r="D803" s="95"/>
      <c r="E803" s="14"/>
      <c r="F803" s="96"/>
    </row>
    <row r="804">
      <c r="A804" s="12"/>
      <c r="D804" s="95"/>
      <c r="E804" s="14"/>
      <c r="F804" s="96"/>
    </row>
    <row r="805">
      <c r="A805" s="12"/>
      <c r="D805" s="95"/>
      <c r="E805" s="14"/>
      <c r="F805" s="96"/>
    </row>
    <row r="806">
      <c r="A806" s="12"/>
      <c r="D806" s="95"/>
      <c r="E806" s="14"/>
      <c r="F806" s="96"/>
    </row>
    <row r="807">
      <c r="A807" s="12"/>
      <c r="D807" s="95"/>
      <c r="E807" s="14"/>
      <c r="F807" s="96"/>
    </row>
    <row r="808">
      <c r="A808" s="12"/>
      <c r="D808" s="95"/>
      <c r="E808" s="14"/>
      <c r="F808" s="96"/>
    </row>
    <row r="809">
      <c r="A809" s="12"/>
      <c r="D809" s="95"/>
      <c r="E809" s="14"/>
      <c r="F809" s="96"/>
    </row>
    <row r="810">
      <c r="A810" s="12"/>
      <c r="D810" s="95"/>
      <c r="E810" s="14"/>
      <c r="F810" s="96"/>
    </row>
    <row r="811">
      <c r="A811" s="12"/>
      <c r="D811" s="95"/>
      <c r="E811" s="14"/>
      <c r="F811" s="96"/>
    </row>
    <row r="812">
      <c r="A812" s="12"/>
      <c r="D812" s="95"/>
      <c r="E812" s="14"/>
      <c r="F812" s="96"/>
    </row>
    <row r="813">
      <c r="A813" s="12"/>
      <c r="D813" s="95"/>
      <c r="E813" s="14"/>
      <c r="F813" s="96"/>
    </row>
    <row r="814">
      <c r="A814" s="12"/>
      <c r="D814" s="95"/>
      <c r="E814" s="14"/>
      <c r="F814" s="96"/>
    </row>
    <row r="815">
      <c r="A815" s="12"/>
      <c r="D815" s="95"/>
      <c r="E815" s="14"/>
      <c r="F815" s="96"/>
    </row>
    <row r="816">
      <c r="A816" s="12"/>
      <c r="D816" s="95"/>
      <c r="E816" s="14"/>
      <c r="F816" s="96"/>
    </row>
    <row r="817">
      <c r="A817" s="12"/>
      <c r="D817" s="95"/>
      <c r="E817" s="14"/>
      <c r="F817" s="96"/>
    </row>
    <row r="818">
      <c r="A818" s="12"/>
      <c r="D818" s="95"/>
      <c r="E818" s="14"/>
      <c r="F818" s="96"/>
    </row>
    <row r="819">
      <c r="A819" s="12"/>
      <c r="D819" s="95"/>
      <c r="E819" s="14"/>
      <c r="F819" s="96"/>
    </row>
    <row r="820">
      <c r="A820" s="12"/>
      <c r="D820" s="95"/>
      <c r="E820" s="14"/>
      <c r="F820" s="96"/>
    </row>
    <row r="821">
      <c r="A821" s="12"/>
      <c r="D821" s="95"/>
      <c r="E821" s="14"/>
      <c r="F821" s="96"/>
    </row>
    <row r="822">
      <c r="A822" s="12"/>
      <c r="D822" s="95"/>
      <c r="E822" s="14"/>
      <c r="F822" s="96"/>
    </row>
    <row r="823">
      <c r="A823" s="12"/>
      <c r="D823" s="95"/>
      <c r="E823" s="14"/>
      <c r="F823" s="96"/>
    </row>
    <row r="824">
      <c r="A824" s="12"/>
      <c r="D824" s="95"/>
      <c r="E824" s="14"/>
      <c r="F824" s="96"/>
    </row>
    <row r="825">
      <c r="A825" s="12"/>
      <c r="D825" s="95"/>
      <c r="E825" s="14"/>
      <c r="F825" s="96"/>
    </row>
    <row r="826">
      <c r="A826" s="12"/>
      <c r="D826" s="95"/>
      <c r="E826" s="14"/>
      <c r="F826" s="96"/>
    </row>
    <row r="827">
      <c r="A827" s="12"/>
      <c r="D827" s="95"/>
      <c r="E827" s="14"/>
      <c r="F827" s="96"/>
    </row>
    <row r="828">
      <c r="A828" s="12"/>
      <c r="D828" s="95"/>
      <c r="E828" s="14"/>
      <c r="F828" s="96"/>
    </row>
    <row r="829">
      <c r="A829" s="12"/>
      <c r="D829" s="95"/>
      <c r="E829" s="14"/>
      <c r="F829" s="96"/>
    </row>
    <row r="830">
      <c r="A830" s="12"/>
      <c r="D830" s="95"/>
      <c r="E830" s="14"/>
      <c r="F830" s="96"/>
    </row>
    <row r="831">
      <c r="A831" s="12"/>
      <c r="D831" s="95"/>
      <c r="E831" s="14"/>
      <c r="F831" s="96"/>
    </row>
    <row r="832">
      <c r="A832" s="12"/>
      <c r="D832" s="95"/>
      <c r="E832" s="14"/>
      <c r="F832" s="96"/>
    </row>
    <row r="833">
      <c r="A833" s="12"/>
      <c r="D833" s="95"/>
      <c r="E833" s="14"/>
      <c r="F833" s="96"/>
    </row>
    <row r="834">
      <c r="A834" s="12"/>
      <c r="D834" s="95"/>
      <c r="E834" s="14"/>
      <c r="F834" s="96"/>
    </row>
    <row r="835">
      <c r="A835" s="12"/>
      <c r="D835" s="95"/>
      <c r="E835" s="14"/>
      <c r="F835" s="96"/>
    </row>
    <row r="836">
      <c r="A836" s="12"/>
      <c r="D836" s="95"/>
      <c r="E836" s="14"/>
      <c r="F836" s="96"/>
    </row>
    <row r="837">
      <c r="A837" s="12"/>
      <c r="D837" s="95"/>
      <c r="E837" s="14"/>
      <c r="F837" s="96"/>
    </row>
    <row r="838">
      <c r="A838" s="12"/>
      <c r="D838" s="95"/>
      <c r="E838" s="14"/>
      <c r="F838" s="96"/>
    </row>
    <row r="839">
      <c r="A839" s="12"/>
      <c r="D839" s="95"/>
      <c r="E839" s="14"/>
      <c r="F839" s="96"/>
    </row>
    <row r="840">
      <c r="A840" s="12"/>
      <c r="D840" s="95"/>
      <c r="E840" s="14"/>
      <c r="F840" s="96"/>
    </row>
    <row r="841">
      <c r="A841" s="12"/>
      <c r="D841" s="95"/>
      <c r="E841" s="14"/>
      <c r="F841" s="96"/>
    </row>
    <row r="842">
      <c r="A842" s="12"/>
      <c r="D842" s="95"/>
      <c r="E842" s="14"/>
      <c r="F842" s="96"/>
    </row>
    <row r="843">
      <c r="A843" s="12"/>
      <c r="D843" s="95"/>
      <c r="E843" s="14"/>
      <c r="F843" s="96"/>
    </row>
    <row r="844">
      <c r="A844" s="12"/>
      <c r="D844" s="95"/>
      <c r="E844" s="14"/>
      <c r="F844" s="96"/>
    </row>
    <row r="845">
      <c r="A845" s="12"/>
      <c r="D845" s="95"/>
      <c r="E845" s="14"/>
      <c r="F845" s="96"/>
    </row>
    <row r="846">
      <c r="A846" s="12"/>
      <c r="D846" s="95"/>
      <c r="E846" s="14"/>
      <c r="F846" s="96"/>
    </row>
    <row r="847">
      <c r="A847" s="12"/>
      <c r="D847" s="95"/>
      <c r="E847" s="14"/>
      <c r="F847" s="96"/>
    </row>
    <row r="848">
      <c r="A848" s="12"/>
      <c r="D848" s="95"/>
      <c r="E848" s="14"/>
      <c r="F848" s="96"/>
    </row>
    <row r="849">
      <c r="A849" s="12"/>
      <c r="D849" s="95"/>
      <c r="E849" s="14"/>
      <c r="F849" s="96"/>
    </row>
    <row r="850">
      <c r="A850" s="12"/>
      <c r="D850" s="95"/>
      <c r="E850" s="14"/>
      <c r="F850" s="96"/>
    </row>
    <row r="851">
      <c r="A851" s="12"/>
      <c r="D851" s="95"/>
      <c r="E851" s="14"/>
      <c r="F851" s="96"/>
    </row>
    <row r="852">
      <c r="A852" s="12"/>
      <c r="D852" s="95"/>
      <c r="E852" s="14"/>
      <c r="F852" s="96"/>
    </row>
    <row r="853">
      <c r="A853" s="12"/>
      <c r="D853" s="95"/>
      <c r="E853" s="14"/>
      <c r="F853" s="96"/>
    </row>
    <row r="854">
      <c r="A854" s="12"/>
      <c r="D854" s="95"/>
      <c r="E854" s="14"/>
      <c r="F854" s="96"/>
    </row>
    <row r="855">
      <c r="A855" s="12"/>
      <c r="D855" s="95"/>
      <c r="E855" s="14"/>
      <c r="F855" s="96"/>
    </row>
    <row r="856">
      <c r="A856" s="12"/>
      <c r="D856" s="95"/>
      <c r="E856" s="14"/>
      <c r="F856" s="96"/>
    </row>
    <row r="857">
      <c r="A857" s="12"/>
      <c r="D857" s="95"/>
      <c r="E857" s="14"/>
      <c r="F857" s="96"/>
    </row>
    <row r="858">
      <c r="A858" s="12"/>
      <c r="D858" s="95"/>
      <c r="E858" s="14"/>
      <c r="F858" s="96"/>
    </row>
    <row r="859">
      <c r="A859" s="12"/>
      <c r="D859" s="95"/>
      <c r="E859" s="14"/>
      <c r="F859" s="96"/>
    </row>
    <row r="860">
      <c r="A860" s="12"/>
      <c r="D860" s="95"/>
      <c r="E860" s="14"/>
      <c r="F860" s="96"/>
    </row>
    <row r="861">
      <c r="A861" s="12"/>
      <c r="D861" s="95"/>
      <c r="E861" s="14"/>
      <c r="F861" s="96"/>
    </row>
    <row r="862">
      <c r="A862" s="12"/>
      <c r="D862" s="95"/>
      <c r="E862" s="14"/>
      <c r="F862" s="96"/>
    </row>
    <row r="863">
      <c r="A863" s="12"/>
      <c r="D863" s="95"/>
      <c r="E863" s="14"/>
      <c r="F863" s="96"/>
    </row>
    <row r="864">
      <c r="A864" s="12"/>
      <c r="D864" s="95"/>
      <c r="E864" s="14"/>
      <c r="F864" s="96"/>
    </row>
    <row r="865">
      <c r="A865" s="12"/>
      <c r="D865" s="95"/>
      <c r="E865" s="14"/>
      <c r="F865" s="96"/>
    </row>
    <row r="866">
      <c r="A866" s="12"/>
      <c r="D866" s="95"/>
      <c r="E866" s="14"/>
      <c r="F866" s="96"/>
    </row>
    <row r="867">
      <c r="A867" s="12"/>
      <c r="D867" s="95"/>
      <c r="E867" s="14"/>
      <c r="F867" s="96"/>
    </row>
    <row r="868">
      <c r="A868" s="12"/>
      <c r="D868" s="95"/>
      <c r="E868" s="14"/>
      <c r="F868" s="96"/>
    </row>
    <row r="869">
      <c r="A869" s="12"/>
      <c r="D869" s="95"/>
      <c r="E869" s="14"/>
      <c r="F869" s="96"/>
    </row>
    <row r="870">
      <c r="A870" s="12"/>
      <c r="D870" s="95"/>
      <c r="E870" s="14"/>
      <c r="F870" s="96"/>
    </row>
    <row r="871">
      <c r="A871" s="12"/>
      <c r="D871" s="95"/>
      <c r="E871" s="14"/>
      <c r="F871" s="96"/>
    </row>
    <row r="872">
      <c r="A872" s="12"/>
      <c r="D872" s="95"/>
      <c r="E872" s="14"/>
      <c r="F872" s="96"/>
    </row>
    <row r="873">
      <c r="A873" s="12"/>
      <c r="D873" s="95"/>
      <c r="E873" s="14"/>
      <c r="F873" s="96"/>
    </row>
    <row r="874">
      <c r="A874" s="12"/>
      <c r="D874" s="95"/>
      <c r="E874" s="14"/>
      <c r="F874" s="96"/>
    </row>
    <row r="875">
      <c r="A875" s="12"/>
      <c r="D875" s="95"/>
      <c r="E875" s="14"/>
      <c r="F875" s="96"/>
    </row>
    <row r="876">
      <c r="A876" s="12"/>
      <c r="D876" s="95"/>
      <c r="E876" s="14"/>
      <c r="F876" s="96"/>
    </row>
    <row r="877">
      <c r="A877" s="12"/>
      <c r="D877" s="95"/>
      <c r="E877" s="14"/>
      <c r="F877" s="96"/>
    </row>
    <row r="878">
      <c r="A878" s="12"/>
      <c r="D878" s="95"/>
      <c r="E878" s="14"/>
      <c r="F878" s="96"/>
    </row>
    <row r="879">
      <c r="A879" s="12"/>
      <c r="D879" s="95"/>
      <c r="E879" s="14"/>
      <c r="F879" s="96"/>
    </row>
    <row r="880">
      <c r="A880" s="12"/>
      <c r="D880" s="95"/>
      <c r="E880" s="14"/>
      <c r="F880" s="96"/>
    </row>
    <row r="881">
      <c r="A881" s="12"/>
      <c r="D881" s="95"/>
      <c r="E881" s="14"/>
      <c r="F881" s="96"/>
    </row>
    <row r="882">
      <c r="A882" s="12"/>
      <c r="D882" s="95"/>
      <c r="E882" s="14"/>
      <c r="F882" s="96"/>
    </row>
    <row r="883">
      <c r="A883" s="12"/>
      <c r="D883" s="95"/>
      <c r="E883" s="14"/>
      <c r="F883" s="96"/>
    </row>
    <row r="884">
      <c r="A884" s="12"/>
      <c r="D884" s="95"/>
      <c r="E884" s="14"/>
      <c r="F884" s="96"/>
    </row>
    <row r="885">
      <c r="A885" s="12"/>
      <c r="D885" s="95"/>
      <c r="E885" s="14"/>
      <c r="F885" s="96"/>
    </row>
    <row r="886">
      <c r="A886" s="12"/>
      <c r="D886" s="95"/>
      <c r="E886" s="14"/>
      <c r="F886" s="96"/>
    </row>
    <row r="887">
      <c r="A887" s="12"/>
      <c r="D887" s="95"/>
      <c r="E887" s="14"/>
      <c r="F887" s="96"/>
    </row>
    <row r="888">
      <c r="A888" s="12"/>
      <c r="D888" s="95"/>
      <c r="E888" s="14"/>
      <c r="F888" s="96"/>
    </row>
    <row r="889">
      <c r="A889" s="12"/>
      <c r="D889" s="95"/>
      <c r="E889" s="14"/>
      <c r="F889" s="96"/>
    </row>
    <row r="890">
      <c r="A890" s="12"/>
      <c r="D890" s="95"/>
      <c r="E890" s="14"/>
      <c r="F890" s="96"/>
    </row>
    <row r="891">
      <c r="A891" s="12"/>
      <c r="D891" s="95"/>
      <c r="E891" s="14"/>
      <c r="F891" s="96"/>
    </row>
    <row r="892">
      <c r="A892" s="12"/>
      <c r="D892" s="95"/>
      <c r="E892" s="14"/>
      <c r="F892" s="96"/>
    </row>
    <row r="893">
      <c r="A893" s="12"/>
      <c r="D893" s="95"/>
      <c r="E893" s="14"/>
      <c r="F893" s="96"/>
    </row>
    <row r="894">
      <c r="A894" s="12"/>
      <c r="D894" s="95"/>
      <c r="E894" s="14"/>
      <c r="F894" s="96"/>
    </row>
    <row r="895">
      <c r="A895" s="12"/>
      <c r="D895" s="95"/>
      <c r="E895" s="14"/>
      <c r="F895" s="96"/>
    </row>
    <row r="896">
      <c r="A896" s="12"/>
      <c r="D896" s="95"/>
      <c r="E896" s="14"/>
      <c r="F896" s="96"/>
    </row>
    <row r="897">
      <c r="A897" s="12"/>
      <c r="D897" s="95"/>
      <c r="E897" s="14"/>
      <c r="F897" s="96"/>
    </row>
    <row r="898">
      <c r="A898" s="12"/>
      <c r="D898" s="95"/>
      <c r="E898" s="14"/>
      <c r="F898" s="96"/>
    </row>
    <row r="899">
      <c r="A899" s="12"/>
      <c r="D899" s="95"/>
      <c r="E899" s="14"/>
      <c r="F899" s="96"/>
    </row>
    <row r="900">
      <c r="A900" s="12"/>
      <c r="D900" s="95"/>
      <c r="E900" s="14"/>
      <c r="F900" s="96"/>
    </row>
    <row r="901">
      <c r="A901" s="12"/>
      <c r="D901" s="95"/>
      <c r="E901" s="14"/>
      <c r="F901" s="96"/>
    </row>
    <row r="902">
      <c r="A902" s="12"/>
      <c r="D902" s="95"/>
      <c r="E902" s="14"/>
      <c r="F902" s="96"/>
    </row>
    <row r="903">
      <c r="A903" s="12"/>
      <c r="D903" s="95"/>
      <c r="E903" s="14"/>
      <c r="F903" s="96"/>
    </row>
    <row r="904">
      <c r="A904" s="12"/>
      <c r="D904" s="95"/>
      <c r="E904" s="14"/>
      <c r="F904" s="96"/>
    </row>
    <row r="905">
      <c r="A905" s="12"/>
      <c r="D905" s="95"/>
      <c r="E905" s="14"/>
      <c r="F905" s="96"/>
    </row>
    <row r="906">
      <c r="A906" s="12"/>
      <c r="D906" s="95"/>
      <c r="E906" s="14"/>
      <c r="F906" s="96"/>
    </row>
    <row r="907">
      <c r="A907" s="12"/>
      <c r="D907" s="95"/>
      <c r="E907" s="14"/>
      <c r="F907" s="96"/>
    </row>
    <row r="908">
      <c r="A908" s="12"/>
      <c r="D908" s="95"/>
      <c r="E908" s="14"/>
      <c r="F908" s="96"/>
    </row>
    <row r="909">
      <c r="A909" s="12"/>
      <c r="D909" s="95"/>
      <c r="E909" s="14"/>
      <c r="F909" s="96"/>
    </row>
    <row r="910">
      <c r="A910" s="12"/>
      <c r="D910" s="95"/>
      <c r="E910" s="14"/>
      <c r="F910" s="96"/>
    </row>
    <row r="911">
      <c r="A911" s="12"/>
      <c r="D911" s="95"/>
      <c r="E911" s="14"/>
      <c r="F911" s="96"/>
    </row>
    <row r="912">
      <c r="A912" s="12"/>
      <c r="D912" s="95"/>
      <c r="E912" s="14"/>
      <c r="F912" s="96"/>
    </row>
    <row r="913">
      <c r="A913" s="12"/>
      <c r="D913" s="95"/>
      <c r="E913" s="14"/>
      <c r="F913" s="96"/>
    </row>
    <row r="914">
      <c r="A914" s="12"/>
      <c r="D914" s="95"/>
      <c r="E914" s="14"/>
      <c r="F914" s="96"/>
    </row>
    <row r="915">
      <c r="A915" s="12"/>
      <c r="D915" s="95"/>
      <c r="E915" s="14"/>
      <c r="F915" s="96"/>
    </row>
    <row r="916">
      <c r="A916" s="12"/>
      <c r="D916" s="95"/>
      <c r="E916" s="14"/>
      <c r="F916" s="96"/>
    </row>
    <row r="917">
      <c r="A917" s="12"/>
      <c r="D917" s="95"/>
      <c r="E917" s="14"/>
      <c r="F917" s="96"/>
    </row>
    <row r="918">
      <c r="A918" s="12"/>
      <c r="D918" s="95"/>
      <c r="E918" s="14"/>
      <c r="F918" s="96"/>
    </row>
    <row r="919">
      <c r="A919" s="12"/>
      <c r="D919" s="95"/>
      <c r="E919" s="14"/>
      <c r="F919" s="96"/>
    </row>
    <row r="920">
      <c r="A920" s="12"/>
      <c r="D920" s="95"/>
      <c r="E920" s="14"/>
      <c r="F920" s="96"/>
    </row>
    <row r="921">
      <c r="A921" s="12"/>
      <c r="D921" s="95"/>
      <c r="E921" s="14"/>
      <c r="F921" s="96"/>
    </row>
    <row r="922">
      <c r="A922" s="12"/>
      <c r="D922" s="95"/>
      <c r="E922" s="14"/>
      <c r="F922" s="96"/>
    </row>
    <row r="923">
      <c r="A923" s="12"/>
      <c r="D923" s="95"/>
      <c r="E923" s="14"/>
      <c r="F923" s="96"/>
    </row>
    <row r="924">
      <c r="A924" s="12"/>
      <c r="D924" s="95"/>
      <c r="E924" s="14"/>
      <c r="F924" s="96"/>
    </row>
    <row r="925">
      <c r="A925" s="12"/>
      <c r="D925" s="95"/>
      <c r="E925" s="14"/>
      <c r="F925" s="96"/>
    </row>
    <row r="926">
      <c r="A926" s="12"/>
      <c r="D926" s="95"/>
      <c r="E926" s="14"/>
      <c r="F926" s="96"/>
    </row>
    <row r="927">
      <c r="A927" s="12"/>
      <c r="D927" s="95"/>
      <c r="E927" s="14"/>
      <c r="F927" s="96"/>
    </row>
    <row r="928">
      <c r="A928" s="12"/>
      <c r="D928" s="95"/>
      <c r="E928" s="14"/>
      <c r="F928" s="96"/>
    </row>
    <row r="929">
      <c r="A929" s="12"/>
      <c r="D929" s="95"/>
      <c r="E929" s="14"/>
      <c r="F929" s="96"/>
    </row>
    <row r="930">
      <c r="A930" s="12"/>
      <c r="D930" s="95"/>
      <c r="E930" s="14"/>
      <c r="F930" s="96"/>
    </row>
    <row r="931">
      <c r="A931" s="12"/>
      <c r="D931" s="95"/>
      <c r="E931" s="14"/>
      <c r="F931" s="96"/>
    </row>
    <row r="932">
      <c r="A932" s="12"/>
      <c r="D932" s="95"/>
      <c r="E932" s="14"/>
      <c r="F932" s="96"/>
    </row>
    <row r="933">
      <c r="A933" s="12"/>
      <c r="D933" s="95"/>
      <c r="E933" s="14"/>
      <c r="F933" s="96"/>
    </row>
    <row r="934">
      <c r="A934" s="12"/>
      <c r="D934" s="95"/>
      <c r="E934" s="14"/>
      <c r="F934" s="96"/>
    </row>
    <row r="935">
      <c r="A935" s="12"/>
      <c r="D935" s="95"/>
      <c r="E935" s="14"/>
      <c r="F935" s="96"/>
    </row>
    <row r="936">
      <c r="A936" s="12"/>
      <c r="D936" s="95"/>
      <c r="E936" s="14"/>
      <c r="F936" s="96"/>
    </row>
    <row r="937">
      <c r="A937" s="12"/>
      <c r="D937" s="95"/>
      <c r="E937" s="14"/>
      <c r="F937" s="96"/>
    </row>
    <row r="938">
      <c r="A938" s="12"/>
      <c r="D938" s="95"/>
      <c r="E938" s="14"/>
      <c r="F938" s="96"/>
    </row>
    <row r="939">
      <c r="A939" s="12"/>
      <c r="D939" s="95"/>
      <c r="E939" s="14"/>
      <c r="F939" s="96"/>
    </row>
    <row r="940">
      <c r="A940" s="12"/>
      <c r="D940" s="95"/>
      <c r="E940" s="14"/>
      <c r="F940" s="96"/>
    </row>
    <row r="941">
      <c r="A941" s="12"/>
      <c r="D941" s="95"/>
      <c r="E941" s="14"/>
      <c r="F941" s="96"/>
    </row>
    <row r="942">
      <c r="A942" s="12"/>
      <c r="D942" s="95"/>
      <c r="E942" s="14"/>
      <c r="F942" s="96"/>
    </row>
    <row r="943">
      <c r="A943" s="12"/>
      <c r="D943" s="95"/>
      <c r="E943" s="14"/>
      <c r="F943" s="96"/>
    </row>
    <row r="944">
      <c r="A944" s="12"/>
      <c r="D944" s="95"/>
      <c r="E944" s="14"/>
      <c r="F944" s="96"/>
    </row>
    <row r="945">
      <c r="A945" s="12"/>
      <c r="D945" s="95"/>
      <c r="E945" s="14"/>
      <c r="F945" s="96"/>
    </row>
    <row r="946">
      <c r="A946" s="12"/>
      <c r="D946" s="95"/>
      <c r="E946" s="14"/>
      <c r="F946" s="96"/>
    </row>
    <row r="947">
      <c r="A947" s="12"/>
      <c r="D947" s="95"/>
      <c r="E947" s="14"/>
      <c r="F947" s="96"/>
    </row>
    <row r="948">
      <c r="A948" s="12"/>
      <c r="D948" s="95"/>
      <c r="E948" s="14"/>
      <c r="F948" s="96"/>
    </row>
    <row r="949">
      <c r="A949" s="12"/>
      <c r="D949" s="95"/>
      <c r="E949" s="14"/>
      <c r="F949" s="96"/>
    </row>
    <row r="950">
      <c r="A950" s="12"/>
      <c r="D950" s="95"/>
      <c r="E950" s="14"/>
      <c r="F950" s="96"/>
    </row>
    <row r="951">
      <c r="A951" s="12"/>
      <c r="D951" s="95"/>
      <c r="E951" s="14"/>
      <c r="F951" s="96"/>
    </row>
    <row r="952">
      <c r="A952" s="12"/>
      <c r="D952" s="95"/>
      <c r="E952" s="14"/>
      <c r="F952" s="96"/>
    </row>
    <row r="953">
      <c r="A953" s="12"/>
      <c r="D953" s="95"/>
      <c r="E953" s="14"/>
      <c r="F953" s="96"/>
    </row>
    <row r="954">
      <c r="A954" s="12"/>
      <c r="D954" s="95"/>
      <c r="E954" s="14"/>
      <c r="F954" s="96"/>
    </row>
    <row r="955">
      <c r="A955" s="12"/>
      <c r="D955" s="95"/>
      <c r="E955" s="14"/>
      <c r="F955" s="96"/>
    </row>
    <row r="956">
      <c r="A956" s="12"/>
      <c r="D956" s="95"/>
      <c r="E956" s="14"/>
      <c r="F956" s="96"/>
    </row>
    <row r="957">
      <c r="A957" s="12"/>
      <c r="D957" s="95"/>
      <c r="E957" s="14"/>
      <c r="F957" s="96"/>
    </row>
    <row r="958">
      <c r="A958" s="12"/>
      <c r="D958" s="95"/>
      <c r="E958" s="14"/>
      <c r="F958" s="96"/>
    </row>
    <row r="959">
      <c r="A959" s="12"/>
      <c r="D959" s="95"/>
      <c r="E959" s="14"/>
      <c r="F959" s="96"/>
    </row>
    <row r="960">
      <c r="A960" s="12"/>
      <c r="D960" s="95"/>
      <c r="E960" s="14"/>
      <c r="F960" s="96"/>
    </row>
    <row r="961">
      <c r="A961" s="12"/>
      <c r="D961" s="95"/>
      <c r="E961" s="14"/>
      <c r="F961" s="96"/>
    </row>
    <row r="962">
      <c r="A962" s="12"/>
      <c r="D962" s="95"/>
      <c r="E962" s="14"/>
      <c r="F962" s="96"/>
    </row>
    <row r="963">
      <c r="A963" s="12"/>
      <c r="D963" s="95"/>
      <c r="E963" s="14"/>
      <c r="F963" s="96"/>
    </row>
    <row r="964">
      <c r="A964" s="12"/>
      <c r="D964" s="95"/>
      <c r="E964" s="14"/>
      <c r="F964" s="96"/>
    </row>
    <row r="965">
      <c r="A965" s="12"/>
      <c r="D965" s="95"/>
      <c r="E965" s="14"/>
      <c r="F965" s="96"/>
    </row>
    <row r="966">
      <c r="A966" s="12"/>
      <c r="D966" s="95"/>
      <c r="E966" s="14"/>
      <c r="F966" s="96"/>
    </row>
    <row r="967">
      <c r="A967" s="12"/>
      <c r="D967" s="95"/>
      <c r="E967" s="14"/>
      <c r="F967" s="96"/>
    </row>
    <row r="968">
      <c r="A968" s="12"/>
      <c r="D968" s="95"/>
      <c r="E968" s="14"/>
      <c r="F968" s="96"/>
    </row>
    <row r="969">
      <c r="A969" s="12"/>
      <c r="D969" s="95"/>
      <c r="E969" s="14"/>
      <c r="F969" s="96"/>
    </row>
    <row r="970">
      <c r="A970" s="12"/>
      <c r="D970" s="95"/>
      <c r="E970" s="14"/>
      <c r="F970" s="96"/>
    </row>
    <row r="971">
      <c r="A971" s="12"/>
      <c r="D971" s="95"/>
      <c r="E971" s="14"/>
      <c r="F971" s="96"/>
    </row>
    <row r="972">
      <c r="A972" s="12"/>
      <c r="D972" s="95"/>
      <c r="E972" s="14"/>
      <c r="F972" s="96"/>
    </row>
    <row r="973">
      <c r="A973" s="12"/>
      <c r="D973" s="95"/>
      <c r="E973" s="14"/>
      <c r="F973" s="96"/>
    </row>
    <row r="974">
      <c r="A974" s="12"/>
      <c r="D974" s="95"/>
      <c r="E974" s="14"/>
      <c r="F974" s="96"/>
    </row>
    <row r="975">
      <c r="A975" s="12"/>
      <c r="D975" s="95"/>
      <c r="E975" s="14"/>
      <c r="F975" s="96"/>
    </row>
    <row r="976">
      <c r="A976" s="12"/>
      <c r="D976" s="95"/>
      <c r="E976" s="14"/>
      <c r="F976" s="96"/>
    </row>
    <row r="977">
      <c r="A977" s="12"/>
      <c r="D977" s="95"/>
      <c r="E977" s="14"/>
      <c r="F977" s="96"/>
    </row>
    <row r="978">
      <c r="A978" s="12"/>
      <c r="D978" s="95"/>
      <c r="E978" s="14"/>
      <c r="F978" s="96"/>
    </row>
    <row r="979">
      <c r="A979" s="12"/>
      <c r="D979" s="95"/>
      <c r="E979" s="14"/>
      <c r="F979" s="96"/>
    </row>
    <row r="980">
      <c r="A980" s="12"/>
      <c r="D980" s="95"/>
      <c r="E980" s="14"/>
      <c r="F980" s="96"/>
    </row>
    <row r="981">
      <c r="A981" s="12"/>
      <c r="D981" s="95"/>
      <c r="E981" s="14"/>
      <c r="F981" s="96"/>
    </row>
    <row r="982">
      <c r="A982" s="12"/>
      <c r="D982" s="95"/>
      <c r="E982" s="14"/>
      <c r="F982" s="96"/>
    </row>
    <row r="983">
      <c r="A983" s="12"/>
      <c r="D983" s="95"/>
      <c r="E983" s="14"/>
      <c r="F983" s="96"/>
    </row>
    <row r="984">
      <c r="A984" s="12"/>
      <c r="D984" s="95"/>
      <c r="E984" s="14"/>
      <c r="F984" s="96"/>
    </row>
    <row r="985">
      <c r="A985" s="12"/>
      <c r="D985" s="95"/>
      <c r="E985" s="14"/>
      <c r="F985" s="96"/>
    </row>
    <row r="986">
      <c r="A986" s="12"/>
      <c r="D986" s="95"/>
      <c r="E986" s="14"/>
      <c r="F986" s="96"/>
    </row>
    <row r="987">
      <c r="A987" s="12"/>
      <c r="D987" s="95"/>
      <c r="E987" s="14"/>
      <c r="F987" s="96"/>
    </row>
    <row r="988">
      <c r="A988" s="12"/>
      <c r="D988" s="95"/>
      <c r="E988" s="14"/>
      <c r="F988" s="96"/>
    </row>
    <row r="989">
      <c r="A989" s="12"/>
      <c r="D989" s="95"/>
      <c r="E989" s="14"/>
      <c r="F989" s="96"/>
    </row>
    <row r="990">
      <c r="A990" s="12"/>
      <c r="D990" s="95"/>
      <c r="E990" s="14"/>
      <c r="F990" s="96"/>
    </row>
    <row r="991">
      <c r="A991" s="12"/>
      <c r="D991" s="95"/>
      <c r="E991" s="14"/>
      <c r="F991" s="96"/>
    </row>
    <row r="992">
      <c r="A992" s="12"/>
      <c r="D992" s="95"/>
      <c r="E992" s="14"/>
      <c r="F992" s="96"/>
    </row>
    <row r="993">
      <c r="A993" s="12"/>
      <c r="D993" s="95"/>
      <c r="E993" s="14"/>
      <c r="F993" s="96"/>
    </row>
    <row r="994">
      <c r="A994" s="12"/>
      <c r="D994" s="95"/>
      <c r="E994" s="14"/>
      <c r="F994" s="96"/>
    </row>
    <row r="995">
      <c r="A995" s="12"/>
      <c r="D995" s="95"/>
      <c r="E995" s="14"/>
      <c r="F995" s="96"/>
    </row>
    <row r="996">
      <c r="A996" s="12"/>
      <c r="D996" s="95"/>
      <c r="E996" s="14"/>
      <c r="F996" s="96"/>
    </row>
    <row r="997">
      <c r="A997" s="12"/>
      <c r="D997" s="95"/>
      <c r="E997" s="14"/>
      <c r="F997" s="96"/>
    </row>
    <row r="998">
      <c r="A998" s="12"/>
      <c r="D998" s="95"/>
      <c r="E998" s="14"/>
      <c r="F998" s="96"/>
    </row>
    <row r="999">
      <c r="A999" s="12"/>
      <c r="D999" s="95"/>
      <c r="E999" s="14"/>
      <c r="F999" s="96"/>
    </row>
    <row r="1000">
      <c r="A1000" s="12"/>
      <c r="D1000" s="95"/>
      <c r="E1000" s="14"/>
      <c r="F1000" s="96"/>
    </row>
    <row r="1001">
      <c r="A1001" s="12"/>
      <c r="D1001" s="95"/>
      <c r="E1001" s="14"/>
      <c r="F1001" s="96"/>
    </row>
    <row r="1002">
      <c r="A1002" s="12"/>
      <c r="D1002" s="95"/>
      <c r="E1002" s="14"/>
      <c r="F1002" s="96"/>
    </row>
  </sheetData>
  <conditionalFormatting sqref="H2:P30">
    <cfRule type="cellIs" dxfId="26" priority="1" operator="equal">
      <formula>0</formula>
    </cfRule>
  </conditionalFormatting>
  <conditionalFormatting sqref="O2:P30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30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30">
    <cfRule type="colorScale" priority="4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30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30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0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0">
    <cfRule type="colorScale" priority="8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H2:H30">
    <cfRule type="colorScale" priority="9">
      <colorScale>
        <cfvo type="min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7:C44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7:F44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3:F34">
      <formula1>OR(NOT(ISERROR(DATEVALUE(F33))), AND(ISNUMBER(F33), LEFT(CELL("format", F33))="D"))</formula1>
    </dataValidation>
    <dataValidation type="list" allowBlank="1" showDropDown="1" sqref="C2:C30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17.5"/>
    <col customWidth="1" min="3" max="3" width="16.13"/>
    <col customWidth="1" min="4" max="4" width="32.63"/>
    <col customWidth="1" min="5" max="5" width="9.25"/>
    <col customWidth="1" min="6" max="6" width="22.8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728" t="s">
        <v>48</v>
      </c>
      <c r="B1" s="729" t="s">
        <v>49</v>
      </c>
      <c r="C1" s="729" t="s">
        <v>50</v>
      </c>
      <c r="D1" s="730" t="s">
        <v>56</v>
      </c>
      <c r="E1" s="728" t="s">
        <v>57</v>
      </c>
      <c r="F1" s="731" t="s">
        <v>52</v>
      </c>
      <c r="G1" s="732" t="s">
        <v>53</v>
      </c>
      <c r="H1" s="728" t="s">
        <v>4</v>
      </c>
      <c r="I1" s="728" t="s">
        <v>58</v>
      </c>
      <c r="J1" s="728" t="s">
        <v>59</v>
      </c>
      <c r="K1" s="728" t="s">
        <v>60</v>
      </c>
      <c r="L1" s="728" t="s">
        <v>61</v>
      </c>
      <c r="M1" s="728" t="s">
        <v>62</v>
      </c>
      <c r="N1" s="728" t="s">
        <v>63</v>
      </c>
      <c r="O1" s="733" t="s">
        <v>64</v>
      </c>
      <c r="P1" s="728" t="s">
        <v>65</v>
      </c>
    </row>
    <row r="2" ht="22.5" customHeight="1">
      <c r="A2" s="734">
        <v>1.0</v>
      </c>
      <c r="B2" s="735" t="s">
        <v>1150</v>
      </c>
      <c r="C2" s="736" t="s">
        <v>67</v>
      </c>
      <c r="D2" s="737" t="s">
        <v>80</v>
      </c>
      <c r="E2" s="738" t="str">
        <f>IMAGE("https://flagcdn.com/w320/nl.png")</f>
        <v/>
      </c>
      <c r="F2" s="739">
        <v>34133.0</v>
      </c>
      <c r="G2" s="740">
        <f t="shared" ref="G2:G32" si="1">DATEDIF(F2,TODAY(),"Y")</f>
        <v>32</v>
      </c>
      <c r="H2" s="741">
        <f t="shared" ref="H2:H3" si="2">1+1+1+1+1+1</f>
        <v>6</v>
      </c>
      <c r="I2" s="741">
        <f t="shared" ref="I2:I3" si="3">90+90+90+90+90+90</f>
        <v>540</v>
      </c>
      <c r="J2" s="741"/>
      <c r="K2" s="741"/>
      <c r="L2" s="741"/>
      <c r="M2" s="741"/>
      <c r="N2" s="741">
        <f>1+1</f>
        <v>2</v>
      </c>
      <c r="O2" s="741">
        <f t="shared" ref="O2:O32" si="4">J2+K2</f>
        <v>0</v>
      </c>
      <c r="P2" s="741"/>
    </row>
    <row r="3" ht="22.5" customHeight="1">
      <c r="A3" s="734">
        <v>4.0</v>
      </c>
      <c r="B3" s="735" t="s">
        <v>1151</v>
      </c>
      <c r="C3" s="736" t="s">
        <v>70</v>
      </c>
      <c r="D3" s="737" t="s">
        <v>1152</v>
      </c>
      <c r="E3" s="738" t="str">
        <f>IMAGE("https://flagcdn.com/w320/gb-eng.png")</f>
        <v/>
      </c>
      <c r="F3" s="739">
        <v>37650.0</v>
      </c>
      <c r="G3" s="740">
        <f t="shared" si="1"/>
        <v>22</v>
      </c>
      <c r="H3" s="741">
        <f t="shared" si="2"/>
        <v>6</v>
      </c>
      <c r="I3" s="741">
        <f t="shared" si="3"/>
        <v>540</v>
      </c>
      <c r="J3" s="741"/>
      <c r="K3" s="741"/>
      <c r="L3" s="741"/>
      <c r="M3" s="741"/>
      <c r="N3" s="741"/>
      <c r="O3" s="741">
        <f t="shared" si="4"/>
        <v>0</v>
      </c>
      <c r="P3" s="741"/>
    </row>
    <row r="4" ht="22.5" customHeight="1">
      <c r="A4" s="734">
        <v>5.0</v>
      </c>
      <c r="B4" s="735" t="s">
        <v>1153</v>
      </c>
      <c r="C4" s="736" t="s">
        <v>70</v>
      </c>
      <c r="D4" s="737" t="s">
        <v>1154</v>
      </c>
      <c r="E4" s="738" t="str">
        <f>IMAGE("https://flagcdn.com/w320/fr.png")</f>
        <v/>
      </c>
      <c r="F4" s="739">
        <v>36627.0</v>
      </c>
      <c r="G4" s="740">
        <f t="shared" si="1"/>
        <v>25</v>
      </c>
      <c r="H4" s="741">
        <f>1+1+1+1+1+1+1</f>
        <v>7</v>
      </c>
      <c r="I4" s="741">
        <f>66+90+90+90+90+1+90</f>
        <v>517</v>
      </c>
      <c r="J4" s="741"/>
      <c r="K4" s="741"/>
      <c r="L4" s="741"/>
      <c r="M4" s="741"/>
      <c r="N4" s="741"/>
      <c r="O4" s="741">
        <f t="shared" si="4"/>
        <v>0</v>
      </c>
      <c r="P4" s="741"/>
    </row>
    <row r="5" ht="22.5" customHeight="1">
      <c r="A5" s="734">
        <v>6.0</v>
      </c>
      <c r="B5" s="735" t="s">
        <v>1155</v>
      </c>
      <c r="C5" s="736" t="s">
        <v>79</v>
      </c>
      <c r="D5" s="737" t="s">
        <v>1156</v>
      </c>
      <c r="E5" s="738" t="str">
        <f>IMAGE("https://flagcdn.com/w320/ar.png")</f>
        <v/>
      </c>
      <c r="F5" s="739">
        <v>37462.0</v>
      </c>
      <c r="G5" s="740">
        <f t="shared" si="1"/>
        <v>23</v>
      </c>
      <c r="H5" s="741">
        <f t="shared" ref="H5:H6" si="5">1+1+1+1</f>
        <v>4</v>
      </c>
      <c r="I5" s="741">
        <f>50+90+80+90</f>
        <v>310</v>
      </c>
      <c r="J5" s="741"/>
      <c r="K5" s="741"/>
      <c r="L5" s="741"/>
      <c r="M5" s="741"/>
      <c r="N5" s="741"/>
      <c r="O5" s="741">
        <f t="shared" si="4"/>
        <v>0</v>
      </c>
      <c r="P5" s="741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ht="22.5" customHeight="1">
      <c r="A6" s="734">
        <v>8.0</v>
      </c>
      <c r="B6" s="735" t="s">
        <v>1157</v>
      </c>
      <c r="C6" s="736" t="s">
        <v>79</v>
      </c>
      <c r="D6" s="737" t="s">
        <v>204</v>
      </c>
      <c r="E6" s="738" t="str">
        <f>IMAGE("https://flagcdn.com/w320/de.png")</f>
        <v/>
      </c>
      <c r="F6" s="739">
        <v>34599.0</v>
      </c>
      <c r="G6" s="740">
        <f t="shared" si="1"/>
        <v>31</v>
      </c>
      <c r="H6" s="741">
        <f t="shared" si="5"/>
        <v>4</v>
      </c>
      <c r="I6" s="741">
        <f>87+30+90+90</f>
        <v>297</v>
      </c>
      <c r="J6" s="741"/>
      <c r="K6" s="741"/>
      <c r="L6" s="741"/>
      <c r="M6" s="741">
        <f>1</f>
        <v>1</v>
      </c>
      <c r="N6" s="741"/>
      <c r="O6" s="741">
        <f t="shared" si="4"/>
        <v>0</v>
      </c>
      <c r="P6" s="741"/>
    </row>
    <row r="7" ht="22.5" customHeight="1">
      <c r="A7" s="734">
        <v>9.0</v>
      </c>
      <c r="B7" s="735" t="s">
        <v>1158</v>
      </c>
      <c r="C7" s="736" t="s">
        <v>82</v>
      </c>
      <c r="D7" s="737" t="s">
        <v>403</v>
      </c>
      <c r="E7" s="738" t="str">
        <f>IMAGE("https://flagcdn.com/w320/ar.png")</f>
        <v/>
      </c>
      <c r="F7" s="739">
        <v>38719.0</v>
      </c>
      <c r="G7" s="740">
        <f t="shared" si="1"/>
        <v>20</v>
      </c>
      <c r="H7" s="741">
        <f>1+1+1+1+1</f>
        <v>5</v>
      </c>
      <c r="I7" s="741">
        <f>24+11+45+56+6</f>
        <v>142</v>
      </c>
      <c r="J7" s="741"/>
      <c r="K7" s="741"/>
      <c r="L7" s="741">
        <f t="shared" ref="L7:L8" si="6">1</f>
        <v>1</v>
      </c>
      <c r="M7" s="741"/>
      <c r="N7" s="741"/>
      <c r="O7" s="741">
        <f t="shared" si="4"/>
        <v>0</v>
      </c>
      <c r="P7" s="741"/>
    </row>
    <row r="8" ht="22.5" customHeight="1">
      <c r="A8" s="734">
        <v>10.0</v>
      </c>
      <c r="B8" s="735" t="s">
        <v>1159</v>
      </c>
      <c r="C8" s="736" t="s">
        <v>79</v>
      </c>
      <c r="D8" s="737" t="s">
        <v>1160</v>
      </c>
      <c r="E8" s="738" t="str">
        <f>IMAGE("https://flagcdn.com/w320/us.png")</f>
        <v/>
      </c>
      <c r="F8" s="739">
        <v>37404.0</v>
      </c>
      <c r="G8" s="740">
        <f t="shared" si="1"/>
        <v>23</v>
      </c>
      <c r="H8" s="741">
        <f>1+1+1+1+1+1</f>
        <v>6</v>
      </c>
      <c r="I8" s="741">
        <f>50+79+34+90+84+33</f>
        <v>370</v>
      </c>
      <c r="J8" s="741"/>
      <c r="K8" s="741"/>
      <c r="L8" s="741">
        <f t="shared" si="6"/>
        <v>1</v>
      </c>
      <c r="M8" s="741"/>
      <c r="N8" s="741"/>
      <c r="O8" s="741">
        <f t="shared" si="4"/>
        <v>0</v>
      </c>
      <c r="P8" s="741"/>
    </row>
    <row r="9" ht="22.5" customHeight="1">
      <c r="A9" s="734">
        <v>12.0</v>
      </c>
      <c r="B9" s="735" t="s">
        <v>1161</v>
      </c>
      <c r="C9" s="736" t="s">
        <v>70</v>
      </c>
      <c r="D9" s="737" t="s">
        <v>1162</v>
      </c>
      <c r="E9" s="738" t="str">
        <f>IMAGE("https://flagcdn.com/w320/bf.png")</f>
        <v/>
      </c>
      <c r="F9" s="739">
        <v>36193.0</v>
      </c>
      <c r="G9" s="740">
        <f t="shared" si="1"/>
        <v>26</v>
      </c>
      <c r="H9" s="741">
        <f t="shared" ref="H9:H11" si="7">1+1+1+1+1</f>
        <v>5</v>
      </c>
      <c r="I9" s="741">
        <f>90+90+90+90+90</f>
        <v>450</v>
      </c>
      <c r="J9" s="741"/>
      <c r="K9" s="741"/>
      <c r="L9" s="741">
        <f>1+1+1</f>
        <v>3</v>
      </c>
      <c r="M9" s="741"/>
      <c r="N9" s="741"/>
      <c r="O9" s="741">
        <f t="shared" si="4"/>
        <v>0</v>
      </c>
      <c r="P9" s="741"/>
    </row>
    <row r="10" ht="22.5" customHeight="1">
      <c r="A10" s="734">
        <v>13.0</v>
      </c>
      <c r="B10" s="742" t="s">
        <v>1163</v>
      </c>
      <c r="C10" s="736" t="s">
        <v>70</v>
      </c>
      <c r="D10" s="737" t="s">
        <v>182</v>
      </c>
      <c r="E10" s="738" t="str">
        <f>IMAGE("https://flagcdn.com/w320/br.png")</f>
        <v/>
      </c>
      <c r="F10" s="739">
        <v>37697.0</v>
      </c>
      <c r="G10" s="740">
        <f t="shared" si="1"/>
        <v>22</v>
      </c>
      <c r="H10" s="743">
        <f t="shared" si="7"/>
        <v>5</v>
      </c>
      <c r="I10" s="743">
        <f>49+90+90+89+21</f>
        <v>339</v>
      </c>
      <c r="J10" s="741"/>
      <c r="K10" s="741"/>
      <c r="L10" s="741"/>
      <c r="M10" s="741"/>
      <c r="N10" s="741"/>
      <c r="O10" s="741">
        <f t="shared" si="4"/>
        <v>0</v>
      </c>
      <c r="P10" s="741"/>
    </row>
    <row r="11" ht="22.5" customHeight="1">
      <c r="A11" s="734">
        <v>14.0</v>
      </c>
      <c r="B11" s="735" t="s">
        <v>1164</v>
      </c>
      <c r="C11" s="736" t="s">
        <v>82</v>
      </c>
      <c r="D11" s="737" t="s">
        <v>68</v>
      </c>
      <c r="E11" s="738" t="str">
        <f>IMAGE("https://flagcdn.com/w320/cz.png")</f>
        <v/>
      </c>
      <c r="F11" s="739">
        <v>35088.0</v>
      </c>
      <c r="G11" s="740">
        <f t="shared" si="1"/>
        <v>30</v>
      </c>
      <c r="H11" s="741">
        <f t="shared" si="7"/>
        <v>5</v>
      </c>
      <c r="I11" s="741">
        <f>90+34+90+45+21</f>
        <v>280</v>
      </c>
      <c r="J11" s="741">
        <f>1+1</f>
        <v>2</v>
      </c>
      <c r="K11" s="741"/>
      <c r="L11" s="741"/>
      <c r="M11" s="741"/>
      <c r="N11" s="741"/>
      <c r="O11" s="741">
        <f t="shared" si="4"/>
        <v>2</v>
      </c>
      <c r="P11" s="741"/>
    </row>
    <row r="12" ht="22.5" customHeight="1">
      <c r="A12" s="734">
        <v>16.0</v>
      </c>
      <c r="B12" s="735" t="s">
        <v>1165</v>
      </c>
      <c r="C12" s="736" t="s">
        <v>70</v>
      </c>
      <c r="D12" s="737" t="s">
        <v>1166</v>
      </c>
      <c r="E12" s="738" t="str">
        <f>IMAGE("https://flagcdn.com/w320/fr.png")</f>
        <v/>
      </c>
      <c r="F12" s="739">
        <v>39304.0</v>
      </c>
      <c r="G12" s="740">
        <f t="shared" si="1"/>
        <v>18</v>
      </c>
      <c r="H12" s="743">
        <f>1</f>
        <v>1</v>
      </c>
      <c r="I12" s="743">
        <f>41</f>
        <v>41</v>
      </c>
      <c r="J12" s="741"/>
      <c r="K12" s="741"/>
      <c r="L12" s="741"/>
      <c r="M12" s="741"/>
      <c r="N12" s="741"/>
      <c r="O12" s="741">
        <f t="shared" si="4"/>
        <v>0</v>
      </c>
      <c r="P12" s="741"/>
    </row>
    <row r="13" ht="22.5" customHeight="1">
      <c r="A13" s="734">
        <v>17.0</v>
      </c>
      <c r="B13" s="735" t="s">
        <v>1167</v>
      </c>
      <c r="C13" s="736" t="s">
        <v>79</v>
      </c>
      <c r="D13" s="737" t="s">
        <v>1168</v>
      </c>
      <c r="E13" s="738" t="str">
        <f>IMAGE("https://flagcdn.com/w320/ma.png")</f>
        <v/>
      </c>
      <c r="F13" s="739">
        <v>38399.0</v>
      </c>
      <c r="G13" s="740">
        <f t="shared" si="1"/>
        <v>20</v>
      </c>
      <c r="H13" s="741">
        <f>1+1+1+1</f>
        <v>4</v>
      </c>
      <c r="I13" s="741">
        <f>66+18+28+3</f>
        <v>115</v>
      </c>
      <c r="J13" s="741"/>
      <c r="K13" s="741"/>
      <c r="L13" s="741"/>
      <c r="M13" s="741"/>
      <c r="N13" s="741"/>
      <c r="O13" s="741">
        <f t="shared" si="4"/>
        <v>0</v>
      </c>
      <c r="P13" s="741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22.5" customHeight="1">
      <c r="A14" s="734">
        <v>19.0</v>
      </c>
      <c r="B14" s="735" t="s">
        <v>1169</v>
      </c>
      <c r="C14" s="736" t="s">
        <v>82</v>
      </c>
      <c r="D14" s="737" t="s">
        <v>1170</v>
      </c>
      <c r="E14" s="738" t="str">
        <f>IMAGE("https://flagcdn.com/w320/nl.png")</f>
        <v/>
      </c>
      <c r="F14" s="739">
        <v>38014.0</v>
      </c>
      <c r="G14" s="740">
        <f t="shared" si="1"/>
        <v>22</v>
      </c>
      <c r="H14" s="741">
        <f t="shared" ref="H14:H15" si="8">1+1+1+1+1+1+1</f>
        <v>7</v>
      </c>
      <c r="I14" s="741">
        <f>24+72+62+87+90+70+80</f>
        <v>485</v>
      </c>
      <c r="J14" s="741"/>
      <c r="K14" s="741"/>
      <c r="L14" s="741">
        <f>1</f>
        <v>1</v>
      </c>
      <c r="M14" s="741"/>
      <c r="N14" s="741"/>
      <c r="O14" s="741">
        <f t="shared" si="4"/>
        <v>0</v>
      </c>
      <c r="P14" s="741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22.5" customHeight="1">
      <c r="A15" s="734">
        <v>20.0</v>
      </c>
      <c r="B15" s="735" t="s">
        <v>1171</v>
      </c>
      <c r="C15" s="736" t="s">
        <v>70</v>
      </c>
      <c r="D15" s="737" t="s">
        <v>83</v>
      </c>
      <c r="E15" s="738" t="str">
        <f t="shared" ref="E15:E16" si="10">IMAGE("https://flagcdn.com/w320/es.png")</f>
        <v/>
      </c>
      <c r="F15" s="739">
        <v>34962.0</v>
      </c>
      <c r="G15" s="740">
        <f t="shared" si="1"/>
        <v>30</v>
      </c>
      <c r="H15" s="741">
        <f t="shared" si="8"/>
        <v>7</v>
      </c>
      <c r="I15" s="741">
        <f>90+90+90+90+90+90+90</f>
        <v>630</v>
      </c>
      <c r="J15" s="741">
        <f>1+1+1</f>
        <v>3</v>
      </c>
      <c r="K15" s="741">
        <f t="shared" ref="K15:L15" si="9">1</f>
        <v>1</v>
      </c>
      <c r="L15" s="741">
        <f t="shared" si="9"/>
        <v>1</v>
      </c>
      <c r="M15" s="741"/>
      <c r="N15" s="741"/>
      <c r="O15" s="741">
        <f t="shared" si="4"/>
        <v>4</v>
      </c>
      <c r="P15" s="741"/>
    </row>
    <row r="16" ht="22.5" customHeight="1">
      <c r="A16" s="734">
        <v>21.0</v>
      </c>
      <c r="B16" s="735" t="s">
        <v>1172</v>
      </c>
      <c r="C16" s="736" t="s">
        <v>70</v>
      </c>
      <c r="D16" s="737" t="s">
        <v>83</v>
      </c>
      <c r="E16" s="738" t="str">
        <f t="shared" si="10"/>
        <v/>
      </c>
      <c r="F16" s="739">
        <v>33420.0</v>
      </c>
      <c r="G16" s="740">
        <f t="shared" si="1"/>
        <v>34</v>
      </c>
      <c r="H16" s="741">
        <f t="shared" ref="H16:H17" si="11">1+1</f>
        <v>2</v>
      </c>
      <c r="I16" s="741">
        <f>90+57</f>
        <v>147</v>
      </c>
      <c r="J16" s="741"/>
      <c r="K16" s="741"/>
      <c r="L16" s="741">
        <f>1</f>
        <v>1</v>
      </c>
      <c r="M16" s="741"/>
      <c r="N16" s="741"/>
      <c r="O16" s="741">
        <f t="shared" si="4"/>
        <v>0</v>
      </c>
      <c r="P16" s="741"/>
    </row>
    <row r="17" ht="22.5" customHeight="1">
      <c r="A17" s="734">
        <v>23.0</v>
      </c>
      <c r="B17" s="735" t="s">
        <v>1173</v>
      </c>
      <c r="C17" s="736" t="s">
        <v>82</v>
      </c>
      <c r="D17" s="737" t="s">
        <v>1174</v>
      </c>
      <c r="E17" s="738" t="str">
        <f>IMAGE("https://flagcdn.com/w320/ng.png")</f>
        <v/>
      </c>
      <c r="F17" s="739">
        <v>36346.0</v>
      </c>
      <c r="G17" s="740">
        <f t="shared" si="1"/>
        <v>26</v>
      </c>
      <c r="H17" s="741">
        <f t="shared" si="11"/>
        <v>2</v>
      </c>
      <c r="I17" s="741">
        <f>9+20</f>
        <v>29</v>
      </c>
      <c r="J17" s="741"/>
      <c r="K17" s="741"/>
      <c r="L17" s="741"/>
      <c r="M17" s="741"/>
      <c r="N17" s="741"/>
      <c r="O17" s="741">
        <f t="shared" si="4"/>
        <v>0</v>
      </c>
      <c r="P17" s="741"/>
    </row>
    <row r="18" ht="22.5" customHeight="1">
      <c r="A18" s="734">
        <v>24.0</v>
      </c>
      <c r="B18" s="735" t="s">
        <v>1175</v>
      </c>
      <c r="C18" s="736" t="s">
        <v>79</v>
      </c>
      <c r="D18" s="737" t="s">
        <v>83</v>
      </c>
      <c r="E18" s="738" t="str">
        <f>IMAGE("https://flagcdn.com/w320/es.png")</f>
        <v/>
      </c>
      <c r="F18" s="739">
        <v>35609.0</v>
      </c>
      <c r="G18" s="740">
        <f t="shared" si="1"/>
        <v>28</v>
      </c>
      <c r="H18" s="741">
        <f>1+1+1+1+1+1+1</f>
        <v>7</v>
      </c>
      <c r="I18" s="741">
        <f>40+90+90+90+90+90+90</f>
        <v>580</v>
      </c>
      <c r="J18" s="741">
        <f>2</f>
        <v>2</v>
      </c>
      <c r="K18" s="741"/>
      <c r="L18" s="741">
        <f>1</f>
        <v>1</v>
      </c>
      <c r="M18" s="741"/>
      <c r="N18" s="741"/>
      <c r="O18" s="741">
        <f t="shared" si="4"/>
        <v>2</v>
      </c>
      <c r="P18" s="741"/>
    </row>
    <row r="19" ht="22.5" customHeight="1">
      <c r="A19" s="734">
        <v>25.0</v>
      </c>
      <c r="B19" s="735" t="s">
        <v>1176</v>
      </c>
      <c r="C19" s="736" t="s">
        <v>79</v>
      </c>
      <c r="D19" s="737" t="s">
        <v>403</v>
      </c>
      <c r="E19" s="738" t="str">
        <f>IMAGE("https://flagcdn.com/w320/ar.png")</f>
        <v/>
      </c>
      <c r="F19" s="739">
        <v>36073.0</v>
      </c>
      <c r="G19" s="740">
        <f t="shared" si="1"/>
        <v>27</v>
      </c>
      <c r="H19" s="741"/>
      <c r="I19" s="741"/>
      <c r="J19" s="741"/>
      <c r="K19" s="741"/>
      <c r="L19" s="741"/>
      <c r="M19" s="741"/>
      <c r="N19" s="741"/>
      <c r="O19" s="741">
        <f t="shared" si="4"/>
        <v>0</v>
      </c>
      <c r="P19" s="741"/>
    </row>
    <row r="20" ht="22.5" customHeight="1">
      <c r="A20" s="744">
        <v>27.0</v>
      </c>
      <c r="B20" s="745" t="s">
        <v>1177</v>
      </c>
      <c r="C20" s="746" t="s">
        <v>79</v>
      </c>
      <c r="D20" s="747" t="s">
        <v>1178</v>
      </c>
      <c r="E20" s="748" t="str">
        <f t="shared" ref="E20:E21" si="12">IMAGE("https://flagcdn.com/w320/de.png")</f>
        <v/>
      </c>
      <c r="F20" s="749">
        <v>39499.0</v>
      </c>
      <c r="G20" s="750">
        <f t="shared" si="1"/>
        <v>17</v>
      </c>
      <c r="H20" s="751">
        <f t="shared" ref="H20:H21" si="13">1</f>
        <v>1</v>
      </c>
      <c r="I20" s="751">
        <f>10</f>
        <v>10</v>
      </c>
      <c r="J20" s="751"/>
      <c r="K20" s="751"/>
      <c r="L20" s="751"/>
      <c r="M20" s="751"/>
      <c r="N20" s="751"/>
      <c r="O20" s="751">
        <f t="shared" si="4"/>
        <v>0</v>
      </c>
      <c r="P20" s="751"/>
    </row>
    <row r="21" ht="22.5" customHeight="1">
      <c r="A21" s="734">
        <v>28.0</v>
      </c>
      <c r="B21" s="735" t="s">
        <v>1179</v>
      </c>
      <c r="C21" s="736" t="s">
        <v>67</v>
      </c>
      <c r="D21" s="737" t="s">
        <v>204</v>
      </c>
      <c r="E21" s="738" t="str">
        <f t="shared" si="12"/>
        <v/>
      </c>
      <c r="F21" s="739">
        <v>33360.0</v>
      </c>
      <c r="G21" s="740">
        <f t="shared" si="1"/>
        <v>34</v>
      </c>
      <c r="H21" s="743">
        <f t="shared" si="13"/>
        <v>1</v>
      </c>
      <c r="I21" s="743">
        <f>90</f>
        <v>90</v>
      </c>
      <c r="J21" s="741"/>
      <c r="K21" s="741"/>
      <c r="L21" s="741"/>
      <c r="M21" s="741"/>
      <c r="N21" s="741"/>
      <c r="O21" s="741">
        <f t="shared" si="4"/>
        <v>0</v>
      </c>
      <c r="P21" s="741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22.5" customHeight="1">
      <c r="A22" s="734">
        <v>30.0</v>
      </c>
      <c r="B22" s="735" t="s">
        <v>1180</v>
      </c>
      <c r="C22" s="736" t="s">
        <v>79</v>
      </c>
      <c r="D22" s="737" t="s">
        <v>1181</v>
      </c>
      <c r="E22" s="738" t="str">
        <f>IMAGE("https://flagcdn.com/w320/dz.png")</f>
        <v/>
      </c>
      <c r="F22" s="739">
        <v>38680.0</v>
      </c>
      <c r="G22" s="740">
        <f t="shared" si="1"/>
        <v>20</v>
      </c>
      <c r="H22" s="741">
        <f>1+1+1+1+1+1+1</f>
        <v>7</v>
      </c>
      <c r="I22" s="741">
        <f>40+11+45+90+90+90+69</f>
        <v>435</v>
      </c>
      <c r="J22" s="741"/>
      <c r="K22" s="741">
        <f>1+1</f>
        <v>2</v>
      </c>
      <c r="L22" s="741">
        <f>1</f>
        <v>1</v>
      </c>
      <c r="M22" s="741"/>
      <c r="N22" s="741"/>
      <c r="O22" s="741">
        <f t="shared" si="4"/>
        <v>2</v>
      </c>
      <c r="P22" s="741"/>
    </row>
    <row r="23" ht="22.5" customHeight="1">
      <c r="A23" s="744">
        <v>31.0</v>
      </c>
      <c r="B23" s="745" t="s">
        <v>1182</v>
      </c>
      <c r="C23" s="746" t="s">
        <v>79</v>
      </c>
      <c r="D23" s="747" t="s">
        <v>1183</v>
      </c>
      <c r="E23" s="748" t="str">
        <f>IMAGE("https://flagcdn.com/w320/de.png")</f>
        <v/>
      </c>
      <c r="F23" s="749">
        <v>39183.0</v>
      </c>
      <c r="G23" s="750">
        <f t="shared" si="1"/>
        <v>18</v>
      </c>
      <c r="H23" s="751"/>
      <c r="I23" s="751"/>
      <c r="J23" s="751"/>
      <c r="K23" s="751"/>
      <c r="L23" s="751"/>
      <c r="M23" s="751"/>
      <c r="N23" s="751"/>
      <c r="O23" s="751">
        <f t="shared" si="4"/>
        <v>0</v>
      </c>
      <c r="P23" s="751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22.5" customHeight="1">
      <c r="A24" s="734">
        <v>35.0</v>
      </c>
      <c r="B24" s="735" t="s">
        <v>1184</v>
      </c>
      <c r="C24" s="736" t="s">
        <v>82</v>
      </c>
      <c r="D24" s="737" t="s">
        <v>1185</v>
      </c>
      <c r="E24" s="738" t="str">
        <f>IMAGE("https://flagcdn.com/w320/cm.png")</f>
        <v/>
      </c>
      <c r="F24" s="739">
        <v>38924.0</v>
      </c>
      <c r="G24" s="740">
        <f t="shared" si="1"/>
        <v>19</v>
      </c>
      <c r="H24" s="741">
        <f>1+1+1+1+1+1+1</f>
        <v>7</v>
      </c>
      <c r="I24" s="741">
        <f>3+79+51+56+81+45+69</f>
        <v>384</v>
      </c>
      <c r="J24" s="741">
        <f t="shared" ref="J24:K24" si="14">1</f>
        <v>1</v>
      </c>
      <c r="K24" s="741">
        <f t="shared" si="14"/>
        <v>1</v>
      </c>
      <c r="L24" s="741">
        <f>1+1</f>
        <v>2</v>
      </c>
      <c r="M24" s="741"/>
      <c r="N24" s="741"/>
      <c r="O24" s="741">
        <f t="shared" si="4"/>
        <v>2</v>
      </c>
      <c r="P24" s="741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22.5" customHeight="1">
      <c r="A25" s="734">
        <v>36.0</v>
      </c>
      <c r="B25" s="735" t="s">
        <v>1186</v>
      </c>
      <c r="C25" s="736" t="s">
        <v>67</v>
      </c>
      <c r="D25" s="737" t="s">
        <v>204</v>
      </c>
      <c r="E25" s="738" t="str">
        <f t="shared" ref="E25:E29" si="15">IMAGE("https://flagcdn.com/w320/de.png")</f>
        <v/>
      </c>
      <c r="F25" s="739">
        <v>34178.0</v>
      </c>
      <c r="G25" s="740">
        <f t="shared" si="1"/>
        <v>32</v>
      </c>
      <c r="H25" s="743">
        <v>0.0</v>
      </c>
      <c r="I25" s="743">
        <v>0.0</v>
      </c>
      <c r="J25" s="741"/>
      <c r="K25" s="741"/>
      <c r="L25" s="741"/>
      <c r="M25" s="741"/>
      <c r="N25" s="741"/>
      <c r="O25" s="741">
        <f t="shared" si="4"/>
        <v>0</v>
      </c>
      <c r="P25" s="741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22.5" customHeight="1">
      <c r="A26" s="744">
        <v>38.0</v>
      </c>
      <c r="B26" s="745" t="s">
        <v>1187</v>
      </c>
      <c r="C26" s="746" t="s">
        <v>82</v>
      </c>
      <c r="D26" s="747" t="s">
        <v>1188</v>
      </c>
      <c r="E26" s="748" t="str">
        <f t="shared" si="15"/>
        <v/>
      </c>
      <c r="F26" s="749">
        <v>39226.0</v>
      </c>
      <c r="G26" s="750">
        <f t="shared" si="1"/>
        <v>18</v>
      </c>
      <c r="H26" s="752">
        <v>0.0</v>
      </c>
      <c r="I26" s="752">
        <v>0.0</v>
      </c>
      <c r="J26" s="751"/>
      <c r="K26" s="751"/>
      <c r="L26" s="751"/>
      <c r="M26" s="751"/>
      <c r="N26" s="751"/>
      <c r="O26" s="751">
        <f t="shared" si="4"/>
        <v>0</v>
      </c>
      <c r="P26" s="751"/>
    </row>
    <row r="27" ht="22.5" customHeight="1">
      <c r="A27" s="744">
        <v>40.0</v>
      </c>
      <c r="B27" s="745" t="s">
        <v>1189</v>
      </c>
      <c r="C27" s="746" t="s">
        <v>67</v>
      </c>
      <c r="D27" s="747" t="s">
        <v>204</v>
      </c>
      <c r="E27" s="748" t="str">
        <f t="shared" si="15"/>
        <v/>
      </c>
      <c r="F27" s="749">
        <v>39275.0</v>
      </c>
      <c r="G27" s="750">
        <f t="shared" si="1"/>
        <v>18</v>
      </c>
      <c r="H27" s="752">
        <v>0.0</v>
      </c>
      <c r="I27" s="752">
        <v>0.0</v>
      </c>
      <c r="J27" s="751"/>
      <c r="K27" s="751"/>
      <c r="L27" s="751"/>
      <c r="M27" s="751"/>
      <c r="N27" s="751"/>
      <c r="O27" s="751">
        <f t="shared" si="4"/>
        <v>0</v>
      </c>
      <c r="P27" s="751"/>
    </row>
    <row r="28" ht="22.5" customHeight="1">
      <c r="A28" s="744">
        <v>42.0</v>
      </c>
      <c r="B28" s="745" t="s">
        <v>1190</v>
      </c>
      <c r="C28" s="746" t="s">
        <v>79</v>
      </c>
      <c r="D28" s="747" t="s">
        <v>1191</v>
      </c>
      <c r="E28" s="748" t="str">
        <f t="shared" si="15"/>
        <v/>
      </c>
      <c r="F28" s="749">
        <v>39323.0</v>
      </c>
      <c r="G28" s="750">
        <f t="shared" si="1"/>
        <v>18</v>
      </c>
      <c r="H28" s="752">
        <f>1</f>
        <v>1</v>
      </c>
      <c r="I28" s="752">
        <f>10</f>
        <v>10</v>
      </c>
      <c r="J28" s="751"/>
      <c r="K28" s="751"/>
      <c r="L28" s="751"/>
      <c r="M28" s="751"/>
      <c r="N28" s="751"/>
      <c r="O28" s="751">
        <f t="shared" si="4"/>
        <v>0</v>
      </c>
      <c r="P28" s="751"/>
    </row>
    <row r="29" ht="22.5" customHeight="1">
      <c r="A29" s="744">
        <v>43.0</v>
      </c>
      <c r="B29" s="745" t="s">
        <v>1192</v>
      </c>
      <c r="C29" s="746" t="s">
        <v>70</v>
      </c>
      <c r="D29" s="747" t="s">
        <v>204</v>
      </c>
      <c r="E29" s="748" t="str">
        <f t="shared" si="15"/>
        <v/>
      </c>
      <c r="F29" s="749">
        <v>39508.0</v>
      </c>
      <c r="G29" s="750">
        <f t="shared" si="1"/>
        <v>17</v>
      </c>
      <c r="H29" s="752">
        <v>0.0</v>
      </c>
      <c r="I29" s="752">
        <v>0.0</v>
      </c>
      <c r="J29" s="751"/>
      <c r="K29" s="751"/>
      <c r="L29" s="751"/>
      <c r="M29" s="751"/>
      <c r="N29" s="751"/>
      <c r="O29" s="751">
        <f t="shared" si="4"/>
        <v>0</v>
      </c>
      <c r="P29" s="751"/>
    </row>
    <row r="30" ht="22.5" customHeight="1">
      <c r="A30" s="753">
        <v>44.0</v>
      </c>
      <c r="B30" s="754" t="s">
        <v>1193</v>
      </c>
      <c r="C30" s="755" t="s">
        <v>70</v>
      </c>
      <c r="D30" s="756" t="s">
        <v>1194</v>
      </c>
      <c r="E30" s="757" t="str">
        <f>IMAGE("https://flagcdn.com/w320/fr.png")</f>
        <v/>
      </c>
      <c r="F30" s="758">
        <v>38397.0</v>
      </c>
      <c r="G30" s="759">
        <f t="shared" si="1"/>
        <v>20</v>
      </c>
      <c r="H30" s="760">
        <f>1+1</f>
        <v>2</v>
      </c>
      <c r="I30" s="760">
        <f>39+90</f>
        <v>129</v>
      </c>
      <c r="J30" s="761"/>
      <c r="K30" s="761"/>
      <c r="L30" s="761"/>
      <c r="M30" s="761"/>
      <c r="N30" s="761"/>
      <c r="O30" s="761">
        <f t="shared" si="4"/>
        <v>0</v>
      </c>
      <c r="P30" s="761"/>
      <c r="Q30" s="590"/>
      <c r="R30" s="590"/>
      <c r="S30" s="590"/>
      <c r="T30" s="590"/>
      <c r="U30" s="590"/>
      <c r="V30" s="590"/>
      <c r="W30" s="590"/>
      <c r="X30" s="590"/>
      <c r="Y30" s="590"/>
      <c r="Z30" s="590"/>
      <c r="AA30" s="590"/>
    </row>
    <row r="31" ht="22.5" customHeight="1">
      <c r="A31" s="744">
        <v>45.0</v>
      </c>
      <c r="B31" s="745" t="s">
        <v>1195</v>
      </c>
      <c r="C31" s="746" t="s">
        <v>79</v>
      </c>
      <c r="D31" s="747" t="s">
        <v>1196</v>
      </c>
      <c r="E31" s="748" t="str">
        <f t="shared" ref="E31:E32" si="16">IMAGE("https://flagcdn.com/w320/de.png")</f>
        <v/>
      </c>
      <c r="F31" s="749">
        <v>39499.0</v>
      </c>
      <c r="G31" s="750">
        <f t="shared" si="1"/>
        <v>17</v>
      </c>
      <c r="H31" s="752">
        <v>0.0</v>
      </c>
      <c r="I31" s="752">
        <v>0.0</v>
      </c>
      <c r="J31" s="751"/>
      <c r="K31" s="751"/>
      <c r="L31" s="751"/>
      <c r="M31" s="751"/>
      <c r="N31" s="751"/>
      <c r="O31" s="751">
        <f t="shared" si="4"/>
        <v>0</v>
      </c>
      <c r="P31" s="751"/>
    </row>
    <row r="32" ht="22.5" customHeight="1">
      <c r="A32" s="744">
        <v>46.0</v>
      </c>
      <c r="B32" s="745" t="s">
        <v>1197</v>
      </c>
      <c r="C32" s="746" t="s">
        <v>70</v>
      </c>
      <c r="D32" s="747" t="s">
        <v>204</v>
      </c>
      <c r="E32" s="748" t="str">
        <f t="shared" si="16"/>
        <v/>
      </c>
      <c r="F32" s="749">
        <v>39115.0</v>
      </c>
      <c r="G32" s="750">
        <f t="shared" si="1"/>
        <v>18</v>
      </c>
      <c r="H32" s="751"/>
      <c r="I32" s="751"/>
      <c r="J32" s="751"/>
      <c r="K32" s="751"/>
      <c r="L32" s="751"/>
      <c r="M32" s="751"/>
      <c r="N32" s="751"/>
      <c r="O32" s="751">
        <f t="shared" si="4"/>
        <v>0</v>
      </c>
      <c r="P32" s="751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11"/>
      <c r="B33" s="18"/>
      <c r="C33" s="18"/>
      <c r="D33" s="64"/>
      <c r="E33" s="65"/>
      <c r="F33" s="66"/>
      <c r="G33" s="18"/>
      <c r="H33" s="11">
        <f>SUM(H2:H32)</f>
        <v>102</v>
      </c>
      <c r="I33" s="11">
        <f>SUM(I2:I32)+60</f>
        <v>6930</v>
      </c>
      <c r="J33" s="11">
        <f t="shared" ref="J33:P33" si="17">SUM(J2:J32)</f>
        <v>8</v>
      </c>
      <c r="K33" s="11">
        <f t="shared" si="17"/>
        <v>4</v>
      </c>
      <c r="L33" s="11">
        <f t="shared" si="17"/>
        <v>12</v>
      </c>
      <c r="M33" s="11">
        <f t="shared" si="17"/>
        <v>1</v>
      </c>
      <c r="N33" s="11">
        <f t="shared" si="17"/>
        <v>2</v>
      </c>
      <c r="O33" s="11">
        <f t="shared" si="17"/>
        <v>12</v>
      </c>
      <c r="P33" s="11">
        <f t="shared" si="17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22.5" customHeight="1">
      <c r="A34" s="728" t="s">
        <v>150</v>
      </c>
      <c r="B34" s="729" t="s">
        <v>49</v>
      </c>
      <c r="C34" s="729" t="s">
        <v>265</v>
      </c>
      <c r="D34" s="762" t="s">
        <v>56</v>
      </c>
      <c r="E34" s="763" t="s">
        <v>57</v>
      </c>
      <c r="F34" s="729" t="s">
        <v>52</v>
      </c>
      <c r="G34" s="729" t="s">
        <v>53</v>
      </c>
      <c r="H34" s="763" t="s">
        <v>4</v>
      </c>
      <c r="I34" s="763" t="s">
        <v>5</v>
      </c>
      <c r="J34" s="763" t="s">
        <v>6</v>
      </c>
      <c r="K34" s="763" t="s">
        <v>7</v>
      </c>
      <c r="L34" s="763" t="s">
        <v>8</v>
      </c>
      <c r="M34" s="763" t="s">
        <v>9</v>
      </c>
      <c r="N34" s="763" t="s">
        <v>10</v>
      </c>
      <c r="O34" s="12"/>
      <c r="P34" s="12"/>
    </row>
    <row r="35" ht="22.5" customHeight="1">
      <c r="A35" s="738"/>
      <c r="B35" s="735" t="s">
        <v>1198</v>
      </c>
      <c r="C35" s="735" t="s">
        <v>153</v>
      </c>
      <c r="D35" s="737" t="s">
        <v>73</v>
      </c>
      <c r="E35" s="764" t="str">
        <f>IMAGE("https://flagcdn.com/w320/dk.png")</f>
        <v/>
      </c>
      <c r="F35" s="739">
        <v>26398.0</v>
      </c>
      <c r="G35" s="740">
        <f t="shared" ref="G35:G36" si="19">DATEDIF(F35,TODAY(),"Y")</f>
        <v>53</v>
      </c>
      <c r="H35" s="765">
        <f t="shared" ref="H35:H36" si="20">L35+M35+N35</f>
        <v>6</v>
      </c>
      <c r="I35" s="765">
        <f t="shared" ref="I35:I36" si="21">(3*L35)+M35</f>
        <v>8</v>
      </c>
      <c r="J35" s="765">
        <f>2+1+2+1+2</f>
        <v>8</v>
      </c>
      <c r="K35" s="765">
        <f>2+1+7+2</f>
        <v>12</v>
      </c>
      <c r="L35" s="766">
        <f t="shared" ref="L35:N35" si="18">1+1</f>
        <v>2</v>
      </c>
      <c r="M35" s="767">
        <f t="shared" si="18"/>
        <v>2</v>
      </c>
      <c r="N35" s="768">
        <f t="shared" si="18"/>
        <v>2</v>
      </c>
      <c r="O35" s="12"/>
      <c r="P35" s="12"/>
    </row>
    <row r="36" ht="22.5" customHeight="1">
      <c r="A36" s="738"/>
      <c r="B36" s="735" t="s">
        <v>1199</v>
      </c>
      <c r="C36" s="735" t="s">
        <v>1200</v>
      </c>
      <c r="D36" s="737" t="s">
        <v>80</v>
      </c>
      <c r="E36" s="764" t="str">
        <f>IMAGE("https://flagcdn.com/w320/nl.png")</f>
        <v/>
      </c>
      <c r="F36" s="739">
        <v>29834.0</v>
      </c>
      <c r="G36" s="740">
        <f t="shared" si="19"/>
        <v>44</v>
      </c>
      <c r="H36" s="765">
        <f t="shared" si="20"/>
        <v>1</v>
      </c>
      <c r="I36" s="765">
        <f t="shared" si="21"/>
        <v>1</v>
      </c>
      <c r="J36" s="765">
        <f t="shared" ref="J36:K36" si="22">2</f>
        <v>2</v>
      </c>
      <c r="K36" s="765">
        <f t="shared" si="22"/>
        <v>2</v>
      </c>
      <c r="L36" s="766">
        <f>0</f>
        <v>0</v>
      </c>
      <c r="M36" s="767">
        <f>1</f>
        <v>1</v>
      </c>
      <c r="N36" s="768">
        <f>0</f>
        <v>0</v>
      </c>
      <c r="O36" s="12"/>
      <c r="P36" s="12"/>
    </row>
    <row r="37">
      <c r="A37" s="11"/>
      <c r="B37" s="18"/>
      <c r="C37" s="18"/>
      <c r="D37" s="64"/>
      <c r="E37" s="65"/>
      <c r="F37" s="66"/>
      <c r="G37" s="18"/>
      <c r="H37" s="11">
        <f t="shared" ref="H37:N37" si="23">SUM(H35:H36)</f>
        <v>7</v>
      </c>
      <c r="I37" s="11">
        <f t="shared" si="23"/>
        <v>9</v>
      </c>
      <c r="J37" s="11">
        <f t="shared" si="23"/>
        <v>10</v>
      </c>
      <c r="K37" s="11">
        <f t="shared" si="23"/>
        <v>14</v>
      </c>
      <c r="L37" s="11">
        <f t="shared" si="23"/>
        <v>2</v>
      </c>
      <c r="M37" s="11">
        <f t="shared" si="23"/>
        <v>3</v>
      </c>
      <c r="N37" s="11">
        <f t="shared" si="23"/>
        <v>2</v>
      </c>
      <c r="O37" s="11"/>
      <c r="P37" s="11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22.5" customHeight="1">
      <c r="A38" s="728" t="s">
        <v>156</v>
      </c>
      <c r="B38" s="728" t="s">
        <v>157</v>
      </c>
      <c r="C38" s="728" t="s">
        <v>158</v>
      </c>
      <c r="D38" s="732" t="s">
        <v>1201</v>
      </c>
      <c r="E38" s="728" t="s">
        <v>160</v>
      </c>
      <c r="F38" s="728" t="s">
        <v>161</v>
      </c>
      <c r="H38" s="12"/>
      <c r="I38" s="12"/>
      <c r="J38" s="12"/>
      <c r="K38" s="12"/>
      <c r="L38" s="12"/>
      <c r="M38" s="12"/>
      <c r="N38" s="12"/>
      <c r="O38" s="12"/>
      <c r="P38" s="12"/>
    </row>
    <row r="39" ht="22.5" customHeight="1">
      <c r="A39" s="197">
        <v>1.0</v>
      </c>
      <c r="B39" s="198" t="s">
        <v>34</v>
      </c>
      <c r="C39" s="198" t="s">
        <v>31</v>
      </c>
      <c r="D39" s="264" t="s">
        <v>1202</v>
      </c>
      <c r="E39" s="265">
        <v>45690.0</v>
      </c>
      <c r="F39" s="198" t="s">
        <v>505</v>
      </c>
      <c r="H39" s="12"/>
      <c r="I39" s="12"/>
      <c r="J39" s="12"/>
      <c r="K39" s="12"/>
      <c r="L39" s="12"/>
      <c r="M39" s="12"/>
      <c r="N39" s="12"/>
      <c r="O39" s="12"/>
      <c r="P39" s="12"/>
    </row>
    <row r="40" ht="22.5" customHeight="1">
      <c r="A40" s="197">
        <v>2.0</v>
      </c>
      <c r="B40" s="727" t="s">
        <v>31</v>
      </c>
      <c r="C40" s="198" t="s">
        <v>30</v>
      </c>
      <c r="D40" s="264" t="s">
        <v>1203</v>
      </c>
      <c r="E40" s="265">
        <v>45658.0</v>
      </c>
      <c r="F40" s="198" t="s">
        <v>1204</v>
      </c>
      <c r="H40" s="12"/>
      <c r="I40" s="12"/>
      <c r="J40" s="12"/>
      <c r="K40" s="12"/>
      <c r="L40" s="12"/>
      <c r="M40" s="12"/>
      <c r="N40" s="12"/>
      <c r="O40" s="12"/>
      <c r="P40" s="12"/>
    </row>
    <row r="41" ht="22.5" customHeight="1">
      <c r="A41" s="77">
        <v>3.0</v>
      </c>
      <c r="B41" s="78" t="s">
        <v>31</v>
      </c>
      <c r="C41" s="78" t="s">
        <v>15</v>
      </c>
      <c r="D41" s="83" t="s">
        <v>1205</v>
      </c>
      <c r="E41" s="84">
        <v>45695.0</v>
      </c>
      <c r="F41" s="78" t="s">
        <v>1204</v>
      </c>
      <c r="H41" s="12"/>
      <c r="I41" s="12"/>
      <c r="J41" s="12"/>
      <c r="K41" s="12"/>
      <c r="L41" s="12"/>
      <c r="M41" s="12"/>
      <c r="N41" s="12"/>
      <c r="O41" s="12"/>
      <c r="P41" s="12"/>
    </row>
    <row r="42" ht="22.5" customHeight="1">
      <c r="A42" s="86">
        <v>4.0</v>
      </c>
      <c r="B42" s="87" t="s">
        <v>42</v>
      </c>
      <c r="C42" s="87" t="s">
        <v>31</v>
      </c>
      <c r="D42" s="88" t="s">
        <v>1206</v>
      </c>
      <c r="E42" s="161" t="s">
        <v>333</v>
      </c>
      <c r="F42" s="87" t="s">
        <v>676</v>
      </c>
      <c r="H42" s="12"/>
      <c r="I42" s="12"/>
      <c r="J42" s="12"/>
      <c r="K42" s="12"/>
      <c r="L42" s="12"/>
      <c r="M42" s="12"/>
      <c r="N42" s="12"/>
      <c r="O42" s="12"/>
      <c r="P42" s="12"/>
    </row>
    <row r="43" ht="22.5" customHeight="1">
      <c r="A43" s="86">
        <v>5.0</v>
      </c>
      <c r="B43" s="87" t="s">
        <v>23</v>
      </c>
      <c r="C43" s="87" t="s">
        <v>31</v>
      </c>
      <c r="D43" s="88" t="s">
        <v>1207</v>
      </c>
      <c r="E43" s="161" t="s">
        <v>162</v>
      </c>
      <c r="F43" s="87" t="s">
        <v>507</v>
      </c>
      <c r="H43" s="12"/>
      <c r="I43" s="12"/>
      <c r="J43" s="12"/>
      <c r="K43" s="12"/>
      <c r="L43" s="12"/>
      <c r="M43" s="12"/>
      <c r="N43" s="12"/>
      <c r="O43" s="12"/>
      <c r="P43" s="12"/>
    </row>
    <row r="44" ht="22.5" customHeight="1">
      <c r="A44" s="197">
        <v>6.0</v>
      </c>
      <c r="B44" s="198" t="s">
        <v>31</v>
      </c>
      <c r="C44" s="198" t="s">
        <v>26</v>
      </c>
      <c r="D44" s="264" t="s">
        <v>1208</v>
      </c>
      <c r="E44" s="265">
        <v>45690.0</v>
      </c>
      <c r="F44" s="198" t="s">
        <v>1204</v>
      </c>
      <c r="H44" s="12"/>
      <c r="I44" s="12"/>
      <c r="J44" s="12"/>
      <c r="K44" s="12"/>
      <c r="L44" s="12"/>
      <c r="M44" s="12"/>
      <c r="N44" s="12"/>
      <c r="O44" s="12"/>
      <c r="P44" s="12"/>
    </row>
    <row r="45" ht="22.5" customHeight="1">
      <c r="A45" s="77">
        <v>7.0</v>
      </c>
      <c r="B45" s="78" t="s">
        <v>38</v>
      </c>
      <c r="C45" s="78" t="s">
        <v>31</v>
      </c>
      <c r="D45" s="79"/>
      <c r="E45" s="80" t="s">
        <v>271</v>
      </c>
      <c r="F45" s="78" t="s">
        <v>1209</v>
      </c>
      <c r="H45" s="12"/>
      <c r="I45" s="12"/>
      <c r="J45" s="12"/>
      <c r="K45" s="12"/>
      <c r="L45" s="12"/>
      <c r="M45" s="12"/>
      <c r="N45" s="12"/>
      <c r="O45" s="12"/>
      <c r="P45" s="12"/>
    </row>
    <row r="46" ht="22.5" customHeight="1">
      <c r="A46" s="90">
        <v>8.0</v>
      </c>
      <c r="B46" s="91" t="s">
        <v>31</v>
      </c>
      <c r="C46" s="91" t="s">
        <v>46</v>
      </c>
      <c r="D46" s="92"/>
      <c r="E46" s="93"/>
      <c r="F46" s="94" t="s">
        <v>1204</v>
      </c>
      <c r="H46" s="12"/>
      <c r="I46" s="12"/>
      <c r="J46" s="12"/>
      <c r="K46" s="12"/>
      <c r="L46" s="12"/>
      <c r="M46" s="12"/>
      <c r="N46" s="12"/>
      <c r="O46" s="12"/>
      <c r="P46" s="12"/>
    </row>
    <row r="47">
      <c r="A47" s="12"/>
      <c r="D47" s="95"/>
      <c r="E47" s="14"/>
      <c r="F47" s="96"/>
      <c r="H47" s="12"/>
      <c r="I47" s="12"/>
      <c r="J47" s="12"/>
      <c r="K47" s="12"/>
      <c r="L47" s="12"/>
      <c r="M47" s="12"/>
      <c r="N47" s="12"/>
      <c r="O47" s="12"/>
      <c r="P47" s="12"/>
    </row>
    <row r="48">
      <c r="A48" s="12"/>
      <c r="D48" s="95"/>
      <c r="E48" s="14"/>
      <c r="F48" s="96"/>
      <c r="H48" s="12"/>
      <c r="I48" s="12"/>
      <c r="J48" s="12"/>
      <c r="K48" s="12"/>
      <c r="L48" s="12"/>
      <c r="M48" s="12"/>
      <c r="N48" s="12"/>
      <c r="O48" s="12"/>
      <c r="P48" s="12"/>
    </row>
    <row r="49">
      <c r="A49" s="12"/>
      <c r="D49" s="95"/>
      <c r="E49" s="14"/>
      <c r="F49" s="96"/>
      <c r="H49" s="12"/>
      <c r="I49" s="12"/>
      <c r="J49" s="12"/>
      <c r="K49" s="12"/>
      <c r="L49" s="12"/>
      <c r="M49" s="12"/>
      <c r="N49" s="12"/>
      <c r="O49" s="12"/>
      <c r="P49" s="12"/>
    </row>
    <row r="50">
      <c r="A50" s="12"/>
      <c r="D50" s="95"/>
      <c r="E50" s="14"/>
      <c r="F50" s="96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12"/>
      <c r="D51" s="95"/>
      <c r="E51" s="14"/>
      <c r="F51" s="96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2"/>
      <c r="D52" s="95"/>
      <c r="E52" s="14"/>
      <c r="F52" s="96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2"/>
      <c r="D53" s="95"/>
      <c r="E53" s="14"/>
      <c r="F53" s="96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2"/>
      <c r="D54" s="95"/>
      <c r="E54" s="14"/>
      <c r="F54" s="96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2"/>
      <c r="D55" s="95"/>
      <c r="E55" s="14"/>
      <c r="F55" s="96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2"/>
      <c r="D56" s="95"/>
      <c r="E56" s="14"/>
      <c r="F56" s="96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12"/>
      <c r="D57" s="95"/>
      <c r="E57" s="14"/>
      <c r="F57" s="96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12"/>
      <c r="D58" s="95"/>
      <c r="E58" s="14"/>
      <c r="F58" s="96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2"/>
      <c r="D59" s="95"/>
      <c r="E59" s="14"/>
      <c r="F59" s="96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12"/>
      <c r="D60" s="95"/>
      <c r="E60" s="14"/>
      <c r="F60" s="96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12"/>
      <c r="D61" s="95"/>
      <c r="E61" s="14"/>
      <c r="F61" s="96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12"/>
      <c r="D62" s="95"/>
      <c r="E62" s="14"/>
      <c r="F62" s="96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2"/>
      <c r="D63" s="95"/>
      <c r="E63" s="14"/>
      <c r="F63" s="96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12"/>
      <c r="D64" s="95"/>
      <c r="E64" s="14"/>
      <c r="F64" s="96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12"/>
      <c r="D65" s="95"/>
      <c r="E65" s="14"/>
      <c r="F65" s="96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12"/>
      <c r="D66" s="95"/>
      <c r="E66" s="14"/>
      <c r="F66" s="96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12"/>
      <c r="D67" s="95"/>
      <c r="E67" s="14"/>
      <c r="F67" s="96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2"/>
      <c r="D68" s="95"/>
      <c r="E68" s="14"/>
      <c r="F68" s="96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2"/>
      <c r="D69" s="95"/>
      <c r="E69" s="14"/>
      <c r="F69" s="96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12"/>
      <c r="D70" s="95"/>
      <c r="E70" s="14"/>
      <c r="F70" s="96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12"/>
      <c r="D71" s="95"/>
      <c r="E71" s="14"/>
      <c r="F71" s="96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12"/>
      <c r="D72" s="95"/>
      <c r="E72" s="14"/>
      <c r="F72" s="96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12"/>
      <c r="D73" s="95"/>
      <c r="E73" s="14"/>
      <c r="F73" s="96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12"/>
      <c r="D74" s="95"/>
      <c r="E74" s="14"/>
      <c r="F74" s="96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12"/>
      <c r="D75" s="95"/>
      <c r="E75" s="14"/>
      <c r="F75" s="96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12"/>
      <c r="D76" s="95"/>
      <c r="E76" s="14"/>
      <c r="F76" s="96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2"/>
      <c r="D77" s="95"/>
      <c r="E77" s="14"/>
      <c r="F77" s="96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2"/>
      <c r="D78" s="95"/>
      <c r="E78" s="14"/>
      <c r="F78" s="96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2"/>
      <c r="D79" s="95"/>
      <c r="E79" s="14"/>
      <c r="F79" s="96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2"/>
      <c r="D80" s="95"/>
      <c r="E80" s="14"/>
      <c r="F80" s="96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2"/>
      <c r="D81" s="95"/>
      <c r="E81" s="14"/>
      <c r="F81" s="96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2"/>
      <c r="D82" s="95"/>
      <c r="E82" s="14"/>
      <c r="F82" s="96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12"/>
      <c r="D83" s="95"/>
      <c r="E83" s="14"/>
      <c r="F83" s="96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12"/>
      <c r="D84" s="95"/>
      <c r="E84" s="14"/>
      <c r="F84" s="96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2"/>
      <c r="D85" s="95"/>
      <c r="E85" s="14"/>
      <c r="F85" s="96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12"/>
      <c r="D86" s="95"/>
      <c r="E86" s="14"/>
      <c r="F86" s="96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2"/>
      <c r="D87" s="95"/>
      <c r="E87" s="14"/>
      <c r="F87" s="96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12"/>
      <c r="D88" s="95"/>
      <c r="E88" s="14"/>
      <c r="F88" s="96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12"/>
      <c r="D89" s="95"/>
      <c r="E89" s="14"/>
      <c r="F89" s="96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2"/>
      <c r="D90" s="95"/>
      <c r="E90" s="14"/>
      <c r="F90" s="96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12"/>
      <c r="D91" s="95"/>
      <c r="E91" s="14"/>
      <c r="F91" s="96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12"/>
      <c r="D92" s="95"/>
      <c r="E92" s="14"/>
      <c r="F92" s="96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12"/>
      <c r="D93" s="95"/>
      <c r="E93" s="14"/>
      <c r="F93" s="96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12"/>
      <c r="D94" s="95"/>
      <c r="E94" s="14"/>
      <c r="F94" s="96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12"/>
      <c r="D95" s="95"/>
      <c r="E95" s="14"/>
      <c r="F95" s="96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2"/>
      <c r="D96" s="95"/>
      <c r="E96" s="14"/>
      <c r="F96" s="96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12"/>
      <c r="D97" s="95"/>
      <c r="E97" s="14"/>
      <c r="F97" s="96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12"/>
      <c r="D98" s="95"/>
      <c r="E98" s="14"/>
      <c r="F98" s="96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12"/>
      <c r="D99" s="95"/>
      <c r="E99" s="14"/>
      <c r="F99" s="96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2"/>
      <c r="D100" s="95"/>
      <c r="E100" s="14"/>
      <c r="F100" s="96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A101" s="12"/>
      <c r="D101" s="95"/>
      <c r="E101" s="14"/>
      <c r="F101" s="96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A102" s="12"/>
      <c r="D102" s="95"/>
      <c r="E102" s="14"/>
      <c r="F102" s="96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2"/>
      <c r="D103" s="95"/>
      <c r="E103" s="14"/>
      <c r="F103" s="96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A104" s="12"/>
      <c r="D104" s="95"/>
      <c r="E104" s="14"/>
      <c r="F104" s="96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A105" s="12"/>
      <c r="D105" s="95"/>
      <c r="E105" s="14"/>
      <c r="F105" s="96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A106" s="12"/>
      <c r="D106" s="95"/>
      <c r="E106" s="14"/>
      <c r="F106" s="96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A107" s="12"/>
      <c r="D107" s="95"/>
      <c r="E107" s="14"/>
      <c r="F107" s="96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A108" s="12"/>
      <c r="D108" s="95"/>
      <c r="E108" s="14"/>
      <c r="F108" s="96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A109" s="12"/>
      <c r="D109" s="95"/>
      <c r="E109" s="14"/>
      <c r="F109" s="96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A110" s="12"/>
      <c r="D110" s="95"/>
      <c r="E110" s="14"/>
      <c r="F110" s="96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A111" s="12"/>
      <c r="D111" s="95"/>
      <c r="E111" s="14"/>
      <c r="F111" s="96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A112" s="12"/>
      <c r="D112" s="95"/>
      <c r="E112" s="14"/>
      <c r="F112" s="96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A113" s="12"/>
      <c r="D113" s="95"/>
      <c r="E113" s="14"/>
      <c r="F113" s="96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A114" s="12"/>
      <c r="D114" s="95"/>
      <c r="E114" s="14"/>
      <c r="F114" s="96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A115" s="12"/>
      <c r="D115" s="95"/>
      <c r="E115" s="14"/>
      <c r="F115" s="96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A116" s="12"/>
      <c r="D116" s="95"/>
      <c r="E116" s="14"/>
      <c r="F116" s="96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A117" s="12"/>
      <c r="D117" s="95"/>
      <c r="E117" s="14"/>
      <c r="F117" s="96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A118" s="12"/>
      <c r="D118" s="95"/>
      <c r="E118" s="14"/>
      <c r="F118" s="96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A119" s="12"/>
      <c r="D119" s="95"/>
      <c r="E119" s="14"/>
      <c r="F119" s="96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A120" s="12"/>
      <c r="D120" s="95"/>
      <c r="E120" s="14"/>
      <c r="F120" s="96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A121" s="12"/>
      <c r="D121" s="95"/>
      <c r="E121" s="14"/>
      <c r="F121" s="96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A122" s="12"/>
      <c r="D122" s="95"/>
      <c r="E122" s="14"/>
      <c r="F122" s="96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A123" s="12"/>
      <c r="D123" s="95"/>
      <c r="E123" s="14"/>
      <c r="F123" s="96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A124" s="12"/>
      <c r="D124" s="95"/>
      <c r="E124" s="14"/>
      <c r="F124" s="96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A125" s="12"/>
      <c r="D125" s="95"/>
      <c r="E125" s="14"/>
      <c r="F125" s="96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A126" s="12"/>
      <c r="D126" s="95"/>
      <c r="E126" s="14"/>
      <c r="F126" s="96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A127" s="12"/>
      <c r="D127" s="95"/>
      <c r="E127" s="14"/>
      <c r="F127" s="96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A128" s="12"/>
      <c r="D128" s="95"/>
      <c r="E128" s="14"/>
      <c r="F128" s="96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A129" s="12"/>
      <c r="D129" s="95"/>
      <c r="E129" s="14"/>
      <c r="F129" s="96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A130" s="12"/>
      <c r="D130" s="95"/>
      <c r="E130" s="14"/>
      <c r="F130" s="96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A131" s="12"/>
      <c r="D131" s="95"/>
      <c r="E131" s="14"/>
      <c r="F131" s="96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A132" s="12"/>
      <c r="D132" s="95"/>
      <c r="E132" s="14"/>
      <c r="F132" s="96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A133" s="12"/>
      <c r="D133" s="95"/>
      <c r="E133" s="14"/>
      <c r="F133" s="96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A134" s="12"/>
      <c r="D134" s="95"/>
      <c r="E134" s="14"/>
      <c r="F134" s="96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A135" s="12"/>
      <c r="D135" s="95"/>
      <c r="E135" s="14"/>
      <c r="F135" s="96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A136" s="12"/>
      <c r="D136" s="95"/>
      <c r="E136" s="14"/>
      <c r="F136" s="96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A137" s="12"/>
      <c r="D137" s="95"/>
      <c r="E137" s="14"/>
      <c r="F137" s="96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A138" s="12"/>
      <c r="D138" s="95"/>
      <c r="E138" s="14"/>
      <c r="F138" s="96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A139" s="12"/>
      <c r="D139" s="95"/>
      <c r="E139" s="14"/>
      <c r="F139" s="96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A140" s="12"/>
      <c r="D140" s="95"/>
      <c r="E140" s="14"/>
      <c r="F140" s="96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A141" s="12"/>
      <c r="D141" s="95"/>
      <c r="E141" s="14"/>
      <c r="F141" s="96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A142" s="12"/>
      <c r="D142" s="95"/>
      <c r="E142" s="14"/>
      <c r="F142" s="96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A143" s="12"/>
      <c r="D143" s="95"/>
      <c r="E143" s="14"/>
      <c r="F143" s="96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A144" s="12"/>
      <c r="D144" s="95"/>
      <c r="E144" s="14"/>
      <c r="F144" s="96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A145" s="12"/>
      <c r="D145" s="95"/>
      <c r="E145" s="14"/>
      <c r="F145" s="96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A146" s="12"/>
      <c r="D146" s="95"/>
      <c r="E146" s="14"/>
      <c r="F146" s="96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A147" s="12"/>
      <c r="D147" s="95"/>
      <c r="E147" s="14"/>
      <c r="F147" s="96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A148" s="12"/>
      <c r="D148" s="95"/>
      <c r="E148" s="14"/>
      <c r="F148" s="96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A149" s="12"/>
      <c r="D149" s="95"/>
      <c r="E149" s="14"/>
      <c r="F149" s="96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A150" s="12"/>
      <c r="D150" s="95"/>
      <c r="E150" s="14"/>
      <c r="F150" s="96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A151" s="12"/>
      <c r="D151" s="95"/>
      <c r="E151" s="14"/>
      <c r="F151" s="96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A152" s="12"/>
      <c r="D152" s="95"/>
      <c r="E152" s="14"/>
      <c r="F152" s="96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A153" s="12"/>
      <c r="D153" s="95"/>
      <c r="E153" s="14"/>
      <c r="F153" s="96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A154" s="12"/>
      <c r="D154" s="95"/>
      <c r="E154" s="14"/>
      <c r="F154" s="96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A155" s="12"/>
      <c r="D155" s="95"/>
      <c r="E155" s="14"/>
      <c r="F155" s="96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A156" s="12"/>
      <c r="D156" s="95"/>
      <c r="E156" s="14"/>
      <c r="F156" s="96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A157" s="12"/>
      <c r="D157" s="95"/>
      <c r="E157" s="14"/>
      <c r="F157" s="96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A158" s="12"/>
      <c r="D158" s="95"/>
      <c r="E158" s="14"/>
      <c r="F158" s="96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A159" s="12"/>
      <c r="D159" s="95"/>
      <c r="E159" s="14"/>
      <c r="F159" s="96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A160" s="12"/>
      <c r="D160" s="95"/>
      <c r="E160" s="14"/>
      <c r="F160" s="96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A161" s="12"/>
      <c r="D161" s="95"/>
      <c r="E161" s="14"/>
      <c r="F161" s="96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A162" s="12"/>
      <c r="D162" s="95"/>
      <c r="E162" s="14"/>
      <c r="F162" s="96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A163" s="12"/>
      <c r="D163" s="95"/>
      <c r="E163" s="14"/>
      <c r="F163" s="96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A164" s="12"/>
      <c r="D164" s="95"/>
      <c r="E164" s="14"/>
      <c r="F164" s="96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A165" s="12"/>
      <c r="D165" s="95"/>
      <c r="E165" s="14"/>
      <c r="F165" s="96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A166" s="12"/>
      <c r="D166" s="95"/>
      <c r="E166" s="14"/>
      <c r="F166" s="96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A167" s="12"/>
      <c r="D167" s="95"/>
      <c r="E167" s="14"/>
      <c r="F167" s="96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A168" s="12"/>
      <c r="D168" s="95"/>
      <c r="E168" s="14"/>
      <c r="F168" s="96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A169" s="12"/>
      <c r="D169" s="95"/>
      <c r="E169" s="14"/>
      <c r="F169" s="96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A170" s="12"/>
      <c r="D170" s="95"/>
      <c r="E170" s="14"/>
      <c r="F170" s="96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A171" s="12"/>
      <c r="D171" s="95"/>
      <c r="E171" s="14"/>
      <c r="F171" s="96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A172" s="12"/>
      <c r="D172" s="95"/>
      <c r="E172" s="14"/>
      <c r="F172" s="96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A173" s="12"/>
      <c r="D173" s="95"/>
      <c r="E173" s="14"/>
      <c r="F173" s="96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A174" s="12"/>
      <c r="D174" s="95"/>
      <c r="E174" s="14"/>
      <c r="F174" s="96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A175" s="12"/>
      <c r="D175" s="95"/>
      <c r="E175" s="14"/>
      <c r="F175" s="96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A176" s="12"/>
      <c r="D176" s="95"/>
      <c r="E176" s="14"/>
      <c r="F176" s="96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A177" s="12"/>
      <c r="D177" s="95"/>
      <c r="E177" s="14"/>
      <c r="F177" s="96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A178" s="12"/>
      <c r="D178" s="95"/>
      <c r="E178" s="14"/>
      <c r="F178" s="96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A179" s="12"/>
      <c r="D179" s="95"/>
      <c r="E179" s="14"/>
      <c r="F179" s="96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A180" s="12"/>
      <c r="D180" s="95"/>
      <c r="E180" s="14"/>
      <c r="F180" s="96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A181" s="12"/>
      <c r="D181" s="95"/>
      <c r="E181" s="14"/>
      <c r="F181" s="96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A182" s="12"/>
      <c r="D182" s="95"/>
      <c r="E182" s="14"/>
      <c r="F182" s="96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A183" s="12"/>
      <c r="D183" s="95"/>
      <c r="E183" s="14"/>
      <c r="F183" s="96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A184" s="12"/>
      <c r="D184" s="95"/>
      <c r="E184" s="14"/>
      <c r="F184" s="96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A185" s="12"/>
      <c r="D185" s="95"/>
      <c r="E185" s="14"/>
      <c r="F185" s="96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A186" s="12"/>
      <c r="D186" s="95"/>
      <c r="E186" s="14"/>
      <c r="F186" s="96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A187" s="12"/>
      <c r="D187" s="95"/>
      <c r="E187" s="14"/>
      <c r="F187" s="96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A188" s="12"/>
      <c r="D188" s="95"/>
      <c r="E188" s="14"/>
      <c r="F188" s="96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A189" s="12"/>
      <c r="D189" s="95"/>
      <c r="E189" s="14"/>
      <c r="F189" s="96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A190" s="12"/>
      <c r="D190" s="95"/>
      <c r="E190" s="14"/>
      <c r="F190" s="96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A191" s="12"/>
      <c r="D191" s="95"/>
      <c r="E191" s="14"/>
      <c r="F191" s="96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A192" s="12"/>
      <c r="D192" s="95"/>
      <c r="E192" s="14"/>
      <c r="F192" s="96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A193" s="12"/>
      <c r="D193" s="95"/>
      <c r="E193" s="14"/>
      <c r="F193" s="96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A194" s="12"/>
      <c r="D194" s="95"/>
      <c r="E194" s="14"/>
      <c r="F194" s="96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A195" s="12"/>
      <c r="D195" s="95"/>
      <c r="E195" s="14"/>
      <c r="F195" s="96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A196" s="12"/>
      <c r="D196" s="95"/>
      <c r="E196" s="14"/>
      <c r="F196" s="96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A197" s="12"/>
      <c r="D197" s="95"/>
      <c r="E197" s="14"/>
      <c r="F197" s="96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A198" s="12"/>
      <c r="D198" s="95"/>
      <c r="E198" s="14"/>
      <c r="F198" s="96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A199" s="12"/>
      <c r="D199" s="95"/>
      <c r="E199" s="14"/>
      <c r="F199" s="96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A200" s="12"/>
      <c r="D200" s="95"/>
      <c r="E200" s="14"/>
      <c r="F200" s="96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A201" s="12"/>
      <c r="D201" s="95"/>
      <c r="E201" s="14"/>
      <c r="F201" s="96"/>
      <c r="H201" s="12"/>
      <c r="I201" s="12"/>
      <c r="J201" s="12"/>
      <c r="K201" s="12"/>
      <c r="L201" s="12"/>
      <c r="M201" s="12"/>
      <c r="N201" s="12"/>
      <c r="O201" s="12"/>
      <c r="P201" s="12"/>
    </row>
    <row r="202">
      <c r="A202" s="12"/>
      <c r="D202" s="95"/>
      <c r="E202" s="14"/>
      <c r="F202" s="96"/>
      <c r="H202" s="12"/>
      <c r="I202" s="12"/>
      <c r="J202" s="12"/>
      <c r="K202" s="12"/>
      <c r="L202" s="12"/>
      <c r="M202" s="12"/>
      <c r="N202" s="12"/>
      <c r="O202" s="12"/>
      <c r="P202" s="12"/>
    </row>
    <row r="203">
      <c r="A203" s="12"/>
      <c r="D203" s="95"/>
      <c r="E203" s="14"/>
      <c r="F203" s="96"/>
      <c r="H203" s="12"/>
      <c r="I203" s="12"/>
      <c r="J203" s="12"/>
      <c r="K203" s="12"/>
      <c r="L203" s="12"/>
      <c r="M203" s="12"/>
      <c r="N203" s="12"/>
      <c r="O203" s="12"/>
      <c r="P203" s="12"/>
    </row>
    <row r="204">
      <c r="A204" s="12"/>
      <c r="D204" s="95"/>
      <c r="E204" s="14"/>
      <c r="F204" s="96"/>
      <c r="H204" s="12"/>
      <c r="I204" s="12"/>
      <c r="J204" s="12"/>
      <c r="K204" s="12"/>
      <c r="L204" s="12"/>
      <c r="M204" s="12"/>
      <c r="N204" s="12"/>
      <c r="O204" s="12"/>
      <c r="P204" s="12"/>
    </row>
    <row r="205">
      <c r="A205" s="12"/>
      <c r="D205" s="95"/>
      <c r="E205" s="14"/>
      <c r="F205" s="96"/>
      <c r="H205" s="12"/>
      <c r="I205" s="12"/>
      <c r="J205" s="12"/>
      <c r="K205" s="12"/>
      <c r="L205" s="12"/>
      <c r="M205" s="12"/>
      <c r="N205" s="12"/>
      <c r="O205" s="12"/>
      <c r="P205" s="12"/>
    </row>
    <row r="206">
      <c r="A206" s="12"/>
      <c r="D206" s="95"/>
      <c r="E206" s="14"/>
      <c r="F206" s="96"/>
      <c r="H206" s="12"/>
      <c r="I206" s="12"/>
      <c r="J206" s="12"/>
      <c r="K206" s="12"/>
      <c r="L206" s="12"/>
      <c r="M206" s="12"/>
      <c r="N206" s="12"/>
      <c r="O206" s="12"/>
      <c r="P206" s="12"/>
    </row>
    <row r="207">
      <c r="A207" s="12"/>
      <c r="D207" s="95"/>
      <c r="E207" s="14"/>
      <c r="F207" s="96"/>
      <c r="H207" s="12"/>
      <c r="I207" s="12"/>
      <c r="J207" s="12"/>
      <c r="K207" s="12"/>
      <c r="L207" s="12"/>
      <c r="M207" s="12"/>
      <c r="N207" s="12"/>
      <c r="O207" s="12"/>
      <c r="P207" s="12"/>
    </row>
    <row r="208">
      <c r="A208" s="12"/>
      <c r="D208" s="95"/>
      <c r="E208" s="14"/>
      <c r="F208" s="96"/>
      <c r="H208" s="12"/>
      <c r="I208" s="12"/>
      <c r="J208" s="12"/>
      <c r="K208" s="12"/>
      <c r="L208" s="12"/>
      <c r="M208" s="12"/>
      <c r="N208" s="12"/>
      <c r="O208" s="12"/>
      <c r="P208" s="12"/>
    </row>
    <row r="209">
      <c r="A209" s="12"/>
      <c r="D209" s="95"/>
      <c r="E209" s="14"/>
      <c r="F209" s="96"/>
      <c r="H209" s="12"/>
      <c r="I209" s="12"/>
      <c r="J209" s="12"/>
      <c r="K209" s="12"/>
      <c r="L209" s="12"/>
      <c r="M209" s="12"/>
      <c r="N209" s="12"/>
      <c r="O209" s="12"/>
      <c r="P209" s="12"/>
    </row>
    <row r="210">
      <c r="A210" s="12"/>
      <c r="D210" s="95"/>
      <c r="E210" s="14"/>
      <c r="F210" s="96"/>
      <c r="H210" s="12"/>
      <c r="I210" s="12"/>
      <c r="J210" s="12"/>
      <c r="K210" s="12"/>
      <c r="L210" s="12"/>
      <c r="M210" s="12"/>
      <c r="N210" s="12"/>
      <c r="O210" s="12"/>
      <c r="P210" s="12"/>
    </row>
    <row r="211">
      <c r="A211" s="12"/>
      <c r="D211" s="95"/>
      <c r="E211" s="14"/>
      <c r="F211" s="96"/>
      <c r="H211" s="12"/>
      <c r="I211" s="12"/>
      <c r="J211" s="12"/>
      <c r="K211" s="12"/>
      <c r="L211" s="12"/>
      <c r="M211" s="12"/>
      <c r="N211" s="12"/>
      <c r="O211" s="12"/>
      <c r="P211" s="12"/>
    </row>
    <row r="212">
      <c r="A212" s="12"/>
      <c r="D212" s="95"/>
      <c r="E212" s="14"/>
      <c r="F212" s="96"/>
      <c r="H212" s="12"/>
      <c r="I212" s="12"/>
      <c r="J212" s="12"/>
      <c r="K212" s="12"/>
      <c r="L212" s="12"/>
      <c r="M212" s="12"/>
      <c r="N212" s="12"/>
      <c r="O212" s="12"/>
      <c r="P212" s="12"/>
    </row>
    <row r="213">
      <c r="A213" s="12"/>
      <c r="D213" s="95"/>
      <c r="E213" s="14"/>
      <c r="F213" s="96"/>
      <c r="H213" s="12"/>
      <c r="I213" s="12"/>
      <c r="J213" s="12"/>
      <c r="K213" s="12"/>
      <c r="L213" s="12"/>
      <c r="M213" s="12"/>
      <c r="N213" s="12"/>
      <c r="O213" s="12"/>
      <c r="P213" s="12"/>
    </row>
    <row r="214">
      <c r="A214" s="12"/>
      <c r="D214" s="95"/>
      <c r="E214" s="14"/>
      <c r="F214" s="96"/>
      <c r="H214" s="12"/>
      <c r="I214" s="12"/>
      <c r="J214" s="12"/>
      <c r="K214" s="12"/>
      <c r="L214" s="12"/>
      <c r="M214" s="12"/>
      <c r="N214" s="12"/>
      <c r="O214" s="12"/>
      <c r="P214" s="12"/>
    </row>
    <row r="215">
      <c r="A215" s="12"/>
      <c r="D215" s="95"/>
      <c r="E215" s="14"/>
      <c r="F215" s="96"/>
      <c r="H215" s="12"/>
      <c r="I215" s="12"/>
      <c r="J215" s="12"/>
      <c r="K215" s="12"/>
      <c r="L215" s="12"/>
      <c r="M215" s="12"/>
      <c r="N215" s="12"/>
      <c r="O215" s="12"/>
      <c r="P215" s="12"/>
    </row>
    <row r="216">
      <c r="A216" s="12"/>
      <c r="D216" s="95"/>
      <c r="E216" s="14"/>
      <c r="F216" s="96"/>
      <c r="H216" s="12"/>
      <c r="I216" s="12"/>
      <c r="J216" s="12"/>
      <c r="K216" s="12"/>
      <c r="L216" s="12"/>
      <c r="M216" s="12"/>
      <c r="N216" s="12"/>
      <c r="O216" s="12"/>
      <c r="P216" s="12"/>
    </row>
    <row r="217">
      <c r="A217" s="12"/>
      <c r="D217" s="95"/>
      <c r="E217" s="14"/>
      <c r="F217" s="96"/>
      <c r="H217" s="12"/>
      <c r="I217" s="12"/>
      <c r="J217" s="12"/>
      <c r="K217" s="12"/>
      <c r="L217" s="12"/>
      <c r="M217" s="12"/>
      <c r="N217" s="12"/>
      <c r="O217" s="12"/>
      <c r="P217" s="12"/>
    </row>
    <row r="218">
      <c r="A218" s="12"/>
      <c r="D218" s="95"/>
      <c r="E218" s="14"/>
      <c r="F218" s="96"/>
      <c r="H218" s="12"/>
      <c r="I218" s="12"/>
      <c r="J218" s="12"/>
      <c r="K218" s="12"/>
      <c r="L218" s="12"/>
      <c r="M218" s="12"/>
      <c r="N218" s="12"/>
      <c r="O218" s="12"/>
      <c r="P218" s="12"/>
    </row>
    <row r="219">
      <c r="A219" s="12"/>
      <c r="D219" s="95"/>
      <c r="E219" s="14"/>
      <c r="F219" s="96"/>
      <c r="H219" s="12"/>
      <c r="I219" s="12"/>
      <c r="J219" s="12"/>
      <c r="K219" s="12"/>
      <c r="L219" s="12"/>
      <c r="M219" s="12"/>
      <c r="N219" s="12"/>
      <c r="O219" s="12"/>
      <c r="P219" s="12"/>
    </row>
    <row r="220">
      <c r="A220" s="12"/>
      <c r="D220" s="95"/>
      <c r="E220" s="14"/>
      <c r="F220" s="96"/>
      <c r="H220" s="12"/>
      <c r="I220" s="12"/>
      <c r="J220" s="12"/>
      <c r="K220" s="12"/>
      <c r="L220" s="12"/>
      <c r="M220" s="12"/>
      <c r="N220" s="12"/>
      <c r="O220" s="12"/>
      <c r="P220" s="12"/>
    </row>
    <row r="221">
      <c r="A221" s="12"/>
      <c r="D221" s="95"/>
      <c r="E221" s="14"/>
      <c r="F221" s="96"/>
      <c r="H221" s="12"/>
      <c r="I221" s="12"/>
      <c r="J221" s="12"/>
      <c r="K221" s="12"/>
      <c r="L221" s="12"/>
      <c r="M221" s="12"/>
      <c r="N221" s="12"/>
      <c r="O221" s="12"/>
      <c r="P221" s="12"/>
    </row>
    <row r="222">
      <c r="A222" s="12"/>
      <c r="D222" s="95"/>
      <c r="E222" s="14"/>
      <c r="F222" s="96"/>
      <c r="H222" s="12"/>
      <c r="I222" s="12"/>
      <c r="J222" s="12"/>
      <c r="K222" s="12"/>
      <c r="L222" s="12"/>
      <c r="M222" s="12"/>
      <c r="N222" s="12"/>
      <c r="O222" s="12"/>
      <c r="P222" s="12"/>
    </row>
    <row r="223">
      <c r="A223" s="12"/>
      <c r="D223" s="95"/>
      <c r="E223" s="14"/>
      <c r="F223" s="96"/>
      <c r="H223" s="12"/>
      <c r="I223" s="12"/>
      <c r="J223" s="12"/>
      <c r="K223" s="12"/>
      <c r="L223" s="12"/>
      <c r="M223" s="12"/>
      <c r="N223" s="12"/>
      <c r="O223" s="12"/>
      <c r="P223" s="12"/>
    </row>
    <row r="224">
      <c r="A224" s="12"/>
      <c r="D224" s="95"/>
      <c r="E224" s="14"/>
      <c r="F224" s="96"/>
      <c r="H224" s="12"/>
      <c r="I224" s="12"/>
      <c r="J224" s="12"/>
      <c r="K224" s="12"/>
      <c r="L224" s="12"/>
      <c r="M224" s="12"/>
      <c r="N224" s="12"/>
      <c r="O224" s="12"/>
      <c r="P224" s="12"/>
    </row>
    <row r="225">
      <c r="A225" s="12"/>
      <c r="D225" s="95"/>
      <c r="E225" s="14"/>
      <c r="F225" s="96"/>
      <c r="H225" s="12"/>
      <c r="I225" s="12"/>
      <c r="J225" s="12"/>
      <c r="K225" s="12"/>
      <c r="L225" s="12"/>
      <c r="M225" s="12"/>
      <c r="N225" s="12"/>
      <c r="O225" s="12"/>
      <c r="P225" s="12"/>
    </row>
    <row r="226">
      <c r="A226" s="12"/>
      <c r="D226" s="95"/>
      <c r="E226" s="14"/>
      <c r="F226" s="96"/>
      <c r="H226" s="12"/>
      <c r="I226" s="12"/>
      <c r="J226" s="12"/>
      <c r="K226" s="12"/>
      <c r="L226" s="12"/>
      <c r="M226" s="12"/>
      <c r="N226" s="12"/>
      <c r="O226" s="12"/>
      <c r="P226" s="12"/>
    </row>
    <row r="227">
      <c r="A227" s="12"/>
      <c r="D227" s="95"/>
      <c r="E227" s="14"/>
      <c r="F227" s="96"/>
      <c r="H227" s="12"/>
      <c r="I227" s="12"/>
      <c r="J227" s="12"/>
      <c r="K227" s="12"/>
      <c r="L227" s="12"/>
      <c r="M227" s="12"/>
      <c r="N227" s="12"/>
      <c r="O227" s="12"/>
      <c r="P227" s="12"/>
    </row>
    <row r="228">
      <c r="A228" s="12"/>
      <c r="D228" s="95"/>
      <c r="E228" s="14"/>
      <c r="F228" s="96"/>
      <c r="H228" s="12"/>
      <c r="I228" s="12"/>
      <c r="J228" s="12"/>
      <c r="K228" s="12"/>
      <c r="L228" s="12"/>
      <c r="M228" s="12"/>
      <c r="N228" s="12"/>
      <c r="O228" s="12"/>
      <c r="P228" s="12"/>
    </row>
    <row r="229">
      <c r="A229" s="12"/>
      <c r="D229" s="95"/>
      <c r="E229" s="14"/>
      <c r="F229" s="96"/>
      <c r="H229" s="12"/>
      <c r="I229" s="12"/>
      <c r="J229" s="12"/>
      <c r="K229" s="12"/>
      <c r="L229" s="12"/>
      <c r="M229" s="12"/>
      <c r="N229" s="12"/>
      <c r="O229" s="12"/>
      <c r="P229" s="12"/>
    </row>
    <row r="230">
      <c r="A230" s="12"/>
      <c r="D230" s="95"/>
      <c r="E230" s="14"/>
      <c r="F230" s="96"/>
      <c r="H230" s="12"/>
      <c r="I230" s="12"/>
      <c r="J230" s="12"/>
      <c r="K230" s="12"/>
      <c r="L230" s="12"/>
      <c r="M230" s="12"/>
      <c r="N230" s="12"/>
      <c r="O230" s="12"/>
      <c r="P230" s="12"/>
    </row>
    <row r="231">
      <c r="A231" s="12"/>
      <c r="D231" s="95"/>
      <c r="E231" s="14"/>
      <c r="F231" s="96"/>
      <c r="H231" s="12"/>
      <c r="I231" s="12"/>
      <c r="J231" s="12"/>
      <c r="K231" s="12"/>
      <c r="L231" s="12"/>
      <c r="M231" s="12"/>
      <c r="N231" s="12"/>
      <c r="O231" s="12"/>
      <c r="P231" s="12"/>
    </row>
    <row r="232">
      <c r="A232" s="12"/>
      <c r="D232" s="95"/>
      <c r="E232" s="14"/>
      <c r="F232" s="96"/>
      <c r="H232" s="12"/>
      <c r="I232" s="12"/>
      <c r="J232" s="12"/>
      <c r="K232" s="12"/>
      <c r="L232" s="12"/>
      <c r="M232" s="12"/>
      <c r="N232" s="12"/>
      <c r="O232" s="12"/>
      <c r="P232" s="12"/>
    </row>
    <row r="233">
      <c r="A233" s="12"/>
      <c r="D233" s="95"/>
      <c r="E233" s="14"/>
      <c r="F233" s="96"/>
      <c r="H233" s="12"/>
      <c r="I233" s="12"/>
      <c r="J233" s="12"/>
      <c r="K233" s="12"/>
      <c r="L233" s="12"/>
      <c r="M233" s="12"/>
      <c r="N233" s="12"/>
      <c r="O233" s="12"/>
      <c r="P233" s="12"/>
    </row>
    <row r="234">
      <c r="A234" s="12"/>
      <c r="D234" s="95"/>
      <c r="E234" s="14"/>
      <c r="F234" s="96"/>
      <c r="H234" s="12"/>
      <c r="I234" s="12"/>
      <c r="J234" s="12"/>
      <c r="K234" s="12"/>
      <c r="L234" s="12"/>
      <c r="M234" s="12"/>
      <c r="N234" s="12"/>
      <c r="O234" s="12"/>
      <c r="P234" s="12"/>
    </row>
    <row r="235">
      <c r="A235" s="12"/>
      <c r="D235" s="95"/>
      <c r="E235" s="14"/>
      <c r="F235" s="96"/>
      <c r="H235" s="12"/>
      <c r="I235" s="12"/>
      <c r="J235" s="12"/>
      <c r="K235" s="12"/>
      <c r="L235" s="12"/>
      <c r="M235" s="12"/>
      <c r="N235" s="12"/>
      <c r="O235" s="12"/>
      <c r="P235" s="12"/>
    </row>
    <row r="236">
      <c r="A236" s="12"/>
      <c r="D236" s="95"/>
      <c r="E236" s="14"/>
      <c r="F236" s="96"/>
      <c r="H236" s="12"/>
      <c r="I236" s="12"/>
      <c r="J236" s="12"/>
      <c r="K236" s="12"/>
      <c r="L236" s="12"/>
      <c r="M236" s="12"/>
      <c r="N236" s="12"/>
      <c r="O236" s="12"/>
      <c r="P236" s="12"/>
    </row>
    <row r="237">
      <c r="A237" s="12"/>
      <c r="D237" s="95"/>
      <c r="E237" s="14"/>
      <c r="F237" s="96"/>
      <c r="H237" s="12"/>
      <c r="I237" s="12"/>
      <c r="J237" s="12"/>
      <c r="K237" s="12"/>
      <c r="L237" s="12"/>
      <c r="M237" s="12"/>
      <c r="N237" s="12"/>
      <c r="O237" s="12"/>
      <c r="P237" s="12"/>
    </row>
    <row r="238">
      <c r="A238" s="12"/>
      <c r="D238" s="95"/>
      <c r="E238" s="14"/>
      <c r="F238" s="96"/>
      <c r="H238" s="12"/>
      <c r="I238" s="12"/>
      <c r="J238" s="12"/>
      <c r="K238" s="12"/>
      <c r="L238" s="12"/>
      <c r="M238" s="12"/>
      <c r="N238" s="12"/>
      <c r="O238" s="12"/>
      <c r="P238" s="12"/>
    </row>
    <row r="239">
      <c r="A239" s="12"/>
      <c r="D239" s="95"/>
      <c r="E239" s="14"/>
      <c r="F239" s="96"/>
      <c r="H239" s="12"/>
      <c r="I239" s="12"/>
      <c r="J239" s="12"/>
      <c r="K239" s="12"/>
      <c r="L239" s="12"/>
      <c r="M239" s="12"/>
      <c r="N239" s="12"/>
      <c r="O239" s="12"/>
      <c r="P239" s="12"/>
    </row>
    <row r="240">
      <c r="A240" s="12"/>
      <c r="D240" s="95"/>
      <c r="E240" s="14"/>
      <c r="F240" s="96"/>
      <c r="H240" s="12"/>
      <c r="I240" s="12"/>
      <c r="J240" s="12"/>
      <c r="K240" s="12"/>
      <c r="L240" s="12"/>
      <c r="M240" s="12"/>
      <c r="N240" s="12"/>
      <c r="O240" s="12"/>
      <c r="P240" s="12"/>
    </row>
    <row r="241">
      <c r="A241" s="12"/>
      <c r="D241" s="95"/>
      <c r="E241" s="14"/>
      <c r="F241" s="96"/>
      <c r="H241" s="12"/>
      <c r="I241" s="12"/>
      <c r="J241" s="12"/>
      <c r="K241" s="12"/>
      <c r="L241" s="12"/>
      <c r="M241" s="12"/>
      <c r="N241" s="12"/>
      <c r="O241" s="12"/>
      <c r="P241" s="12"/>
    </row>
    <row r="242">
      <c r="A242" s="12"/>
      <c r="D242" s="95"/>
      <c r="E242" s="14"/>
      <c r="F242" s="96"/>
      <c r="H242" s="12"/>
      <c r="I242" s="12"/>
      <c r="J242" s="12"/>
      <c r="K242" s="12"/>
      <c r="L242" s="12"/>
      <c r="M242" s="12"/>
      <c r="N242" s="12"/>
      <c r="O242" s="12"/>
      <c r="P242" s="12"/>
    </row>
    <row r="243">
      <c r="A243" s="12"/>
      <c r="D243" s="95"/>
      <c r="E243" s="14"/>
      <c r="F243" s="96"/>
      <c r="H243" s="12"/>
      <c r="I243" s="12"/>
      <c r="J243" s="12"/>
      <c r="K243" s="12"/>
      <c r="L243" s="12"/>
      <c r="M243" s="12"/>
      <c r="N243" s="12"/>
      <c r="O243" s="12"/>
      <c r="P243" s="12"/>
    </row>
    <row r="244">
      <c r="A244" s="12"/>
      <c r="D244" s="95"/>
      <c r="E244" s="14"/>
      <c r="F244" s="96"/>
      <c r="H244" s="12"/>
      <c r="I244" s="12"/>
      <c r="J244" s="12"/>
      <c r="K244" s="12"/>
      <c r="L244" s="12"/>
      <c r="M244" s="12"/>
      <c r="N244" s="12"/>
      <c r="O244" s="12"/>
      <c r="P244" s="12"/>
    </row>
    <row r="245">
      <c r="A245" s="12"/>
      <c r="D245" s="95"/>
      <c r="E245" s="14"/>
      <c r="F245" s="96"/>
      <c r="H245" s="12"/>
      <c r="I245" s="12"/>
      <c r="J245" s="12"/>
      <c r="K245" s="12"/>
      <c r="L245" s="12"/>
      <c r="M245" s="12"/>
      <c r="N245" s="12"/>
      <c r="O245" s="12"/>
      <c r="P245" s="12"/>
    </row>
    <row r="246">
      <c r="A246" s="12"/>
      <c r="D246" s="95"/>
      <c r="E246" s="14"/>
      <c r="F246" s="96"/>
      <c r="H246" s="12"/>
      <c r="I246" s="12"/>
      <c r="J246" s="12"/>
      <c r="K246" s="12"/>
      <c r="L246" s="12"/>
      <c r="M246" s="12"/>
      <c r="N246" s="12"/>
      <c r="O246" s="12"/>
      <c r="P246" s="12"/>
    </row>
    <row r="247">
      <c r="A247" s="12"/>
      <c r="D247" s="95"/>
      <c r="E247" s="14"/>
      <c r="F247" s="96"/>
      <c r="H247" s="12"/>
      <c r="I247" s="12"/>
      <c r="J247" s="12"/>
      <c r="K247" s="12"/>
      <c r="L247" s="12"/>
      <c r="M247" s="12"/>
      <c r="N247" s="12"/>
      <c r="O247" s="12"/>
      <c r="P247" s="12"/>
    </row>
    <row r="248">
      <c r="A248" s="12"/>
      <c r="D248" s="95"/>
      <c r="E248" s="14"/>
      <c r="F248" s="96"/>
      <c r="H248" s="12"/>
      <c r="I248" s="12"/>
      <c r="J248" s="12"/>
      <c r="K248" s="12"/>
      <c r="L248" s="12"/>
      <c r="M248" s="12"/>
      <c r="N248" s="12"/>
      <c r="O248" s="12"/>
      <c r="P248" s="12"/>
    </row>
    <row r="249">
      <c r="A249" s="12"/>
      <c r="D249" s="95"/>
      <c r="E249" s="14"/>
      <c r="F249" s="96"/>
      <c r="H249" s="12"/>
      <c r="I249" s="12"/>
      <c r="J249" s="12"/>
      <c r="K249" s="12"/>
      <c r="L249" s="12"/>
      <c r="M249" s="12"/>
      <c r="N249" s="12"/>
      <c r="O249" s="12"/>
      <c r="P249" s="12"/>
    </row>
    <row r="250">
      <c r="A250" s="12"/>
      <c r="D250" s="95"/>
      <c r="E250" s="14"/>
      <c r="F250" s="96"/>
      <c r="H250" s="12"/>
      <c r="I250" s="12"/>
      <c r="J250" s="12"/>
      <c r="K250" s="12"/>
      <c r="L250" s="12"/>
      <c r="M250" s="12"/>
      <c r="N250" s="12"/>
      <c r="O250" s="12"/>
      <c r="P250" s="12"/>
    </row>
    <row r="251">
      <c r="A251" s="12"/>
      <c r="D251" s="95"/>
      <c r="E251" s="14"/>
      <c r="F251" s="96"/>
      <c r="H251" s="12"/>
      <c r="I251" s="12"/>
      <c r="J251" s="12"/>
      <c r="K251" s="12"/>
      <c r="L251" s="12"/>
      <c r="M251" s="12"/>
      <c r="N251" s="12"/>
      <c r="O251" s="12"/>
      <c r="P251" s="12"/>
    </row>
    <row r="252">
      <c r="A252" s="12"/>
      <c r="D252" s="95"/>
      <c r="E252" s="14"/>
      <c r="F252" s="96"/>
      <c r="H252" s="12"/>
      <c r="I252" s="12"/>
      <c r="J252" s="12"/>
      <c r="K252" s="12"/>
      <c r="L252" s="12"/>
      <c r="M252" s="12"/>
      <c r="N252" s="12"/>
      <c r="O252" s="12"/>
      <c r="P252" s="12"/>
    </row>
    <row r="253">
      <c r="A253" s="12"/>
      <c r="D253" s="95"/>
      <c r="E253" s="14"/>
      <c r="F253" s="96"/>
      <c r="H253" s="12"/>
      <c r="I253" s="12"/>
      <c r="J253" s="12"/>
      <c r="K253" s="12"/>
      <c r="L253" s="12"/>
      <c r="M253" s="12"/>
      <c r="N253" s="12"/>
      <c r="O253" s="12"/>
      <c r="P253" s="12"/>
    </row>
    <row r="254">
      <c r="A254" s="12"/>
      <c r="D254" s="95"/>
      <c r="E254" s="14"/>
      <c r="F254" s="96"/>
      <c r="H254" s="12"/>
      <c r="I254" s="12"/>
      <c r="J254" s="12"/>
      <c r="K254" s="12"/>
      <c r="L254" s="12"/>
      <c r="M254" s="12"/>
      <c r="N254" s="12"/>
      <c r="O254" s="12"/>
      <c r="P254" s="12"/>
    </row>
    <row r="255">
      <c r="A255" s="12"/>
      <c r="D255" s="95"/>
      <c r="E255" s="14"/>
      <c r="F255" s="96"/>
      <c r="H255" s="12"/>
      <c r="I255" s="12"/>
      <c r="J255" s="12"/>
      <c r="K255" s="12"/>
      <c r="L255" s="12"/>
      <c r="M255" s="12"/>
      <c r="N255" s="12"/>
      <c r="O255" s="12"/>
      <c r="P255" s="12"/>
    </row>
    <row r="256">
      <c r="A256" s="12"/>
      <c r="D256" s="95"/>
      <c r="E256" s="14"/>
      <c r="F256" s="96"/>
      <c r="H256" s="12"/>
      <c r="I256" s="12"/>
      <c r="J256" s="12"/>
      <c r="K256" s="12"/>
      <c r="L256" s="12"/>
      <c r="M256" s="12"/>
      <c r="N256" s="12"/>
      <c r="O256" s="12"/>
      <c r="P256" s="12"/>
    </row>
    <row r="257">
      <c r="A257" s="12"/>
      <c r="D257" s="95"/>
      <c r="E257" s="14"/>
      <c r="F257" s="96"/>
      <c r="H257" s="12"/>
      <c r="I257" s="12"/>
      <c r="J257" s="12"/>
      <c r="K257" s="12"/>
      <c r="L257" s="12"/>
      <c r="M257" s="12"/>
      <c r="N257" s="12"/>
      <c r="O257" s="12"/>
      <c r="P257" s="12"/>
    </row>
    <row r="258">
      <c r="A258" s="12"/>
      <c r="D258" s="95"/>
      <c r="E258" s="14"/>
      <c r="F258" s="96"/>
      <c r="H258" s="12"/>
      <c r="I258" s="12"/>
      <c r="J258" s="12"/>
      <c r="K258" s="12"/>
      <c r="L258" s="12"/>
      <c r="M258" s="12"/>
      <c r="N258" s="12"/>
      <c r="O258" s="12"/>
      <c r="P258" s="12"/>
    </row>
    <row r="259">
      <c r="A259" s="12"/>
      <c r="D259" s="95"/>
      <c r="E259" s="14"/>
      <c r="F259" s="96"/>
      <c r="H259" s="12"/>
      <c r="I259" s="12"/>
      <c r="J259" s="12"/>
      <c r="K259" s="12"/>
      <c r="L259" s="12"/>
      <c r="M259" s="12"/>
      <c r="N259" s="12"/>
      <c r="O259" s="12"/>
      <c r="P259" s="12"/>
    </row>
    <row r="260">
      <c r="A260" s="12"/>
      <c r="D260" s="95"/>
      <c r="E260" s="14"/>
      <c r="F260" s="96"/>
      <c r="H260" s="12"/>
      <c r="I260" s="12"/>
      <c r="J260" s="12"/>
      <c r="K260" s="12"/>
      <c r="L260" s="12"/>
      <c r="M260" s="12"/>
      <c r="N260" s="12"/>
      <c r="O260" s="12"/>
      <c r="P260" s="12"/>
    </row>
    <row r="261">
      <c r="A261" s="12"/>
      <c r="D261" s="95"/>
      <c r="E261" s="14"/>
      <c r="F261" s="96"/>
      <c r="H261" s="12"/>
      <c r="I261" s="12"/>
      <c r="J261" s="12"/>
      <c r="K261" s="12"/>
      <c r="L261" s="12"/>
      <c r="M261" s="12"/>
      <c r="N261" s="12"/>
      <c r="O261" s="12"/>
      <c r="P261" s="12"/>
    </row>
    <row r="262">
      <c r="A262" s="12"/>
      <c r="D262" s="95"/>
      <c r="E262" s="14"/>
      <c r="F262" s="96"/>
      <c r="H262" s="12"/>
      <c r="I262" s="12"/>
      <c r="J262" s="12"/>
      <c r="K262" s="12"/>
      <c r="L262" s="12"/>
      <c r="M262" s="12"/>
      <c r="N262" s="12"/>
      <c r="O262" s="12"/>
      <c r="P262" s="12"/>
    </row>
    <row r="263">
      <c r="A263" s="12"/>
      <c r="D263" s="95"/>
      <c r="E263" s="14"/>
      <c r="F263" s="96"/>
      <c r="H263" s="12"/>
      <c r="I263" s="12"/>
      <c r="J263" s="12"/>
      <c r="K263" s="12"/>
      <c r="L263" s="12"/>
      <c r="M263" s="12"/>
      <c r="N263" s="12"/>
      <c r="O263" s="12"/>
      <c r="P263" s="12"/>
    </row>
    <row r="264">
      <c r="A264" s="12"/>
      <c r="D264" s="95"/>
      <c r="E264" s="14"/>
      <c r="F264" s="96"/>
      <c r="H264" s="12"/>
      <c r="I264" s="12"/>
      <c r="J264" s="12"/>
      <c r="K264" s="12"/>
      <c r="L264" s="12"/>
      <c r="M264" s="12"/>
      <c r="N264" s="12"/>
      <c r="O264" s="12"/>
      <c r="P264" s="12"/>
    </row>
    <row r="265">
      <c r="A265" s="12"/>
      <c r="D265" s="95"/>
      <c r="E265" s="14"/>
      <c r="F265" s="96"/>
      <c r="H265" s="12"/>
      <c r="I265" s="12"/>
      <c r="J265" s="12"/>
      <c r="K265" s="12"/>
      <c r="L265" s="12"/>
      <c r="M265" s="12"/>
      <c r="N265" s="12"/>
      <c r="O265" s="12"/>
      <c r="P265" s="12"/>
    </row>
    <row r="266">
      <c r="A266" s="12"/>
      <c r="D266" s="95"/>
      <c r="E266" s="14"/>
      <c r="F266" s="96"/>
      <c r="H266" s="12"/>
      <c r="I266" s="12"/>
      <c r="J266" s="12"/>
      <c r="K266" s="12"/>
      <c r="L266" s="12"/>
      <c r="M266" s="12"/>
      <c r="N266" s="12"/>
      <c r="O266" s="12"/>
      <c r="P266" s="12"/>
    </row>
    <row r="267">
      <c r="A267" s="12"/>
      <c r="D267" s="95"/>
      <c r="E267" s="14"/>
      <c r="F267" s="96"/>
      <c r="H267" s="12"/>
      <c r="I267" s="12"/>
      <c r="J267" s="12"/>
      <c r="K267" s="12"/>
      <c r="L267" s="12"/>
      <c r="M267" s="12"/>
      <c r="N267" s="12"/>
      <c r="O267" s="12"/>
      <c r="P267" s="12"/>
    </row>
    <row r="268">
      <c r="A268" s="12"/>
      <c r="D268" s="95"/>
      <c r="E268" s="14"/>
      <c r="F268" s="96"/>
      <c r="H268" s="12"/>
      <c r="I268" s="12"/>
      <c r="J268" s="12"/>
      <c r="K268" s="12"/>
      <c r="L268" s="12"/>
      <c r="M268" s="12"/>
      <c r="N268" s="12"/>
      <c r="O268" s="12"/>
      <c r="P268" s="12"/>
    </row>
    <row r="269">
      <c r="A269" s="12"/>
      <c r="D269" s="95"/>
      <c r="E269" s="14"/>
      <c r="F269" s="96"/>
      <c r="H269" s="12"/>
      <c r="I269" s="12"/>
      <c r="J269" s="12"/>
      <c r="K269" s="12"/>
      <c r="L269" s="12"/>
      <c r="M269" s="12"/>
      <c r="N269" s="12"/>
      <c r="O269" s="12"/>
      <c r="P269" s="12"/>
    </row>
    <row r="270">
      <c r="A270" s="12"/>
      <c r="D270" s="95"/>
      <c r="E270" s="14"/>
      <c r="F270" s="96"/>
      <c r="H270" s="12"/>
      <c r="I270" s="12"/>
      <c r="J270" s="12"/>
      <c r="K270" s="12"/>
      <c r="L270" s="12"/>
      <c r="M270" s="12"/>
      <c r="N270" s="12"/>
      <c r="O270" s="12"/>
      <c r="P270" s="12"/>
    </row>
    <row r="271">
      <c r="A271" s="12"/>
      <c r="D271" s="95"/>
      <c r="E271" s="14"/>
      <c r="F271" s="96"/>
      <c r="H271" s="12"/>
      <c r="I271" s="12"/>
      <c r="J271" s="12"/>
      <c r="K271" s="12"/>
      <c r="L271" s="12"/>
      <c r="M271" s="12"/>
      <c r="N271" s="12"/>
      <c r="O271" s="12"/>
      <c r="P271" s="12"/>
    </row>
    <row r="272">
      <c r="A272" s="12"/>
      <c r="D272" s="95"/>
      <c r="E272" s="14"/>
      <c r="F272" s="96"/>
      <c r="H272" s="12"/>
      <c r="I272" s="12"/>
      <c r="J272" s="12"/>
      <c r="K272" s="12"/>
      <c r="L272" s="12"/>
      <c r="M272" s="12"/>
      <c r="N272" s="12"/>
      <c r="O272" s="12"/>
      <c r="P272" s="12"/>
    </row>
    <row r="273">
      <c r="A273" s="12"/>
      <c r="D273" s="95"/>
      <c r="E273" s="14"/>
      <c r="F273" s="96"/>
      <c r="H273" s="12"/>
      <c r="I273" s="12"/>
      <c r="J273" s="12"/>
      <c r="K273" s="12"/>
      <c r="L273" s="12"/>
      <c r="M273" s="12"/>
      <c r="N273" s="12"/>
      <c r="O273" s="12"/>
      <c r="P273" s="12"/>
    </row>
    <row r="274">
      <c r="A274" s="12"/>
      <c r="D274" s="95"/>
      <c r="E274" s="14"/>
      <c r="F274" s="96"/>
      <c r="H274" s="12"/>
      <c r="I274" s="12"/>
      <c r="J274" s="12"/>
      <c r="K274" s="12"/>
      <c r="L274" s="12"/>
      <c r="M274" s="12"/>
      <c r="N274" s="12"/>
      <c r="O274" s="12"/>
      <c r="P274" s="12"/>
    </row>
    <row r="275">
      <c r="A275" s="12"/>
      <c r="D275" s="95"/>
      <c r="E275" s="14"/>
      <c r="F275" s="96"/>
      <c r="H275" s="12"/>
      <c r="I275" s="12"/>
      <c r="J275" s="12"/>
      <c r="K275" s="12"/>
      <c r="L275" s="12"/>
      <c r="M275" s="12"/>
      <c r="N275" s="12"/>
      <c r="O275" s="12"/>
      <c r="P275" s="12"/>
    </row>
    <row r="276">
      <c r="A276" s="12"/>
      <c r="D276" s="95"/>
      <c r="E276" s="14"/>
      <c r="F276" s="96"/>
      <c r="H276" s="12"/>
      <c r="I276" s="12"/>
      <c r="J276" s="12"/>
      <c r="K276" s="12"/>
      <c r="L276" s="12"/>
      <c r="M276" s="12"/>
      <c r="N276" s="12"/>
      <c r="O276" s="12"/>
      <c r="P276" s="12"/>
    </row>
    <row r="277">
      <c r="A277" s="12"/>
      <c r="D277" s="95"/>
      <c r="E277" s="14"/>
      <c r="F277" s="96"/>
      <c r="H277" s="12"/>
      <c r="I277" s="12"/>
      <c r="J277" s="12"/>
      <c r="K277" s="12"/>
      <c r="L277" s="12"/>
      <c r="M277" s="12"/>
      <c r="N277" s="12"/>
      <c r="O277" s="12"/>
      <c r="P277" s="12"/>
    </row>
    <row r="278">
      <c r="A278" s="12"/>
      <c r="D278" s="95"/>
      <c r="E278" s="14"/>
      <c r="F278" s="96"/>
      <c r="H278" s="12"/>
      <c r="I278" s="12"/>
      <c r="J278" s="12"/>
      <c r="K278" s="12"/>
      <c r="L278" s="12"/>
      <c r="M278" s="12"/>
      <c r="N278" s="12"/>
      <c r="O278" s="12"/>
      <c r="P278" s="12"/>
    </row>
    <row r="279">
      <c r="A279" s="12"/>
      <c r="D279" s="95"/>
      <c r="E279" s="14"/>
      <c r="F279" s="96"/>
      <c r="H279" s="12"/>
      <c r="I279" s="12"/>
      <c r="J279" s="12"/>
      <c r="K279" s="12"/>
      <c r="L279" s="12"/>
      <c r="M279" s="12"/>
      <c r="N279" s="12"/>
      <c r="O279" s="12"/>
      <c r="P279" s="12"/>
    </row>
    <row r="280">
      <c r="A280" s="12"/>
      <c r="D280" s="95"/>
      <c r="E280" s="14"/>
      <c r="F280" s="96"/>
      <c r="H280" s="12"/>
      <c r="I280" s="12"/>
      <c r="J280" s="12"/>
      <c r="K280" s="12"/>
      <c r="L280" s="12"/>
      <c r="M280" s="12"/>
      <c r="N280" s="12"/>
      <c r="O280" s="12"/>
      <c r="P280" s="12"/>
    </row>
    <row r="281">
      <c r="A281" s="12"/>
      <c r="D281" s="95"/>
      <c r="E281" s="14"/>
      <c r="F281" s="96"/>
      <c r="H281" s="12"/>
      <c r="I281" s="12"/>
      <c r="J281" s="12"/>
      <c r="K281" s="12"/>
      <c r="L281" s="12"/>
      <c r="M281" s="12"/>
      <c r="N281" s="12"/>
      <c r="O281" s="12"/>
      <c r="P281" s="12"/>
    </row>
    <row r="282">
      <c r="A282" s="12"/>
      <c r="D282" s="95"/>
      <c r="E282" s="14"/>
      <c r="F282" s="96"/>
      <c r="H282" s="12"/>
      <c r="I282" s="12"/>
      <c r="J282" s="12"/>
      <c r="K282" s="12"/>
      <c r="L282" s="12"/>
      <c r="M282" s="12"/>
      <c r="N282" s="12"/>
      <c r="O282" s="12"/>
      <c r="P282" s="12"/>
    </row>
    <row r="283">
      <c r="A283" s="12"/>
      <c r="D283" s="95"/>
      <c r="E283" s="14"/>
      <c r="F283" s="96"/>
      <c r="H283" s="12"/>
      <c r="I283" s="12"/>
      <c r="J283" s="12"/>
      <c r="K283" s="12"/>
      <c r="L283" s="12"/>
      <c r="M283" s="12"/>
      <c r="N283" s="12"/>
      <c r="O283" s="12"/>
      <c r="P283" s="12"/>
    </row>
    <row r="284">
      <c r="A284" s="12"/>
      <c r="D284" s="95"/>
      <c r="E284" s="14"/>
      <c r="F284" s="96"/>
      <c r="H284" s="12"/>
      <c r="I284" s="12"/>
      <c r="J284" s="12"/>
      <c r="K284" s="12"/>
      <c r="L284" s="12"/>
      <c r="M284" s="12"/>
      <c r="N284" s="12"/>
      <c r="O284" s="12"/>
      <c r="P284" s="12"/>
    </row>
    <row r="285">
      <c r="A285" s="12"/>
      <c r="D285" s="95"/>
      <c r="E285" s="14"/>
      <c r="F285" s="96"/>
      <c r="H285" s="12"/>
      <c r="I285" s="12"/>
      <c r="J285" s="12"/>
      <c r="K285" s="12"/>
      <c r="L285" s="12"/>
      <c r="M285" s="12"/>
      <c r="N285" s="12"/>
      <c r="O285" s="12"/>
      <c r="P285" s="12"/>
    </row>
    <row r="286">
      <c r="A286" s="12"/>
      <c r="D286" s="95"/>
      <c r="E286" s="14"/>
      <c r="F286" s="96"/>
      <c r="H286" s="12"/>
      <c r="I286" s="12"/>
      <c r="J286" s="12"/>
      <c r="K286" s="12"/>
      <c r="L286" s="12"/>
      <c r="M286" s="12"/>
      <c r="N286" s="12"/>
      <c r="O286" s="12"/>
      <c r="P286" s="12"/>
    </row>
    <row r="287">
      <c r="A287" s="12"/>
      <c r="D287" s="95"/>
      <c r="E287" s="14"/>
      <c r="F287" s="96"/>
      <c r="H287" s="12"/>
      <c r="I287" s="12"/>
      <c r="J287" s="12"/>
      <c r="K287" s="12"/>
      <c r="L287" s="12"/>
      <c r="M287" s="12"/>
      <c r="N287" s="12"/>
      <c r="O287" s="12"/>
      <c r="P287" s="12"/>
    </row>
    <row r="288">
      <c r="A288" s="12"/>
      <c r="D288" s="95"/>
      <c r="E288" s="14"/>
      <c r="F288" s="96"/>
      <c r="H288" s="12"/>
      <c r="I288" s="12"/>
      <c r="J288" s="12"/>
      <c r="K288" s="12"/>
      <c r="L288" s="12"/>
      <c r="M288" s="12"/>
      <c r="N288" s="12"/>
      <c r="O288" s="12"/>
      <c r="P288" s="12"/>
    </row>
    <row r="289">
      <c r="A289" s="12"/>
      <c r="D289" s="95"/>
      <c r="E289" s="14"/>
      <c r="F289" s="96"/>
      <c r="H289" s="12"/>
      <c r="I289" s="12"/>
      <c r="J289" s="12"/>
      <c r="K289" s="12"/>
      <c r="L289" s="12"/>
      <c r="M289" s="12"/>
      <c r="N289" s="12"/>
      <c r="O289" s="12"/>
      <c r="P289" s="12"/>
    </row>
    <row r="290">
      <c r="A290" s="12"/>
      <c r="D290" s="95"/>
      <c r="E290" s="14"/>
      <c r="F290" s="96"/>
      <c r="H290" s="12"/>
      <c r="I290" s="12"/>
      <c r="J290" s="12"/>
      <c r="K290" s="12"/>
      <c r="L290" s="12"/>
      <c r="M290" s="12"/>
      <c r="N290" s="12"/>
      <c r="O290" s="12"/>
      <c r="P290" s="12"/>
    </row>
    <row r="291">
      <c r="A291" s="12"/>
      <c r="D291" s="95"/>
      <c r="E291" s="14"/>
      <c r="F291" s="96"/>
      <c r="H291" s="12"/>
      <c r="I291" s="12"/>
      <c r="J291" s="12"/>
      <c r="K291" s="12"/>
      <c r="L291" s="12"/>
      <c r="M291" s="12"/>
      <c r="N291" s="12"/>
      <c r="O291" s="12"/>
      <c r="P291" s="12"/>
    </row>
    <row r="292">
      <c r="A292" s="12"/>
      <c r="D292" s="95"/>
      <c r="E292" s="14"/>
      <c r="F292" s="96"/>
      <c r="H292" s="12"/>
      <c r="I292" s="12"/>
      <c r="J292" s="12"/>
      <c r="K292" s="12"/>
      <c r="L292" s="12"/>
      <c r="M292" s="12"/>
      <c r="N292" s="12"/>
      <c r="O292" s="12"/>
      <c r="P292" s="12"/>
    </row>
    <row r="293">
      <c r="A293" s="12"/>
      <c r="D293" s="95"/>
      <c r="E293" s="14"/>
      <c r="F293" s="96"/>
      <c r="H293" s="12"/>
      <c r="I293" s="12"/>
      <c r="J293" s="12"/>
      <c r="K293" s="12"/>
      <c r="L293" s="12"/>
      <c r="M293" s="12"/>
      <c r="N293" s="12"/>
      <c r="O293" s="12"/>
      <c r="P293" s="12"/>
    </row>
    <row r="294">
      <c r="A294" s="12"/>
      <c r="D294" s="95"/>
      <c r="E294" s="14"/>
      <c r="F294" s="96"/>
      <c r="H294" s="12"/>
      <c r="I294" s="12"/>
      <c r="J294" s="12"/>
      <c r="K294" s="12"/>
      <c r="L294" s="12"/>
      <c r="M294" s="12"/>
      <c r="N294" s="12"/>
      <c r="O294" s="12"/>
      <c r="P294" s="12"/>
    </row>
    <row r="295">
      <c r="A295" s="12"/>
      <c r="D295" s="95"/>
      <c r="E295" s="14"/>
      <c r="F295" s="96"/>
      <c r="H295" s="12"/>
      <c r="I295" s="12"/>
      <c r="J295" s="12"/>
      <c r="K295" s="12"/>
      <c r="L295" s="12"/>
      <c r="M295" s="12"/>
      <c r="N295" s="12"/>
      <c r="O295" s="12"/>
      <c r="P295" s="12"/>
    </row>
    <row r="296">
      <c r="A296" s="12"/>
      <c r="D296" s="95"/>
      <c r="E296" s="14"/>
      <c r="F296" s="96"/>
      <c r="H296" s="12"/>
      <c r="I296" s="12"/>
      <c r="J296" s="12"/>
      <c r="K296" s="12"/>
      <c r="L296" s="12"/>
      <c r="M296" s="12"/>
      <c r="N296" s="12"/>
      <c r="O296" s="12"/>
      <c r="P296" s="12"/>
    </row>
    <row r="297">
      <c r="A297" s="12"/>
      <c r="D297" s="95"/>
      <c r="E297" s="14"/>
      <c r="F297" s="96"/>
      <c r="H297" s="12"/>
      <c r="I297" s="12"/>
      <c r="J297" s="12"/>
      <c r="K297" s="12"/>
      <c r="L297" s="12"/>
      <c r="M297" s="12"/>
      <c r="N297" s="12"/>
      <c r="O297" s="12"/>
      <c r="P297" s="12"/>
    </row>
    <row r="298">
      <c r="A298" s="12"/>
      <c r="D298" s="95"/>
      <c r="E298" s="14"/>
      <c r="F298" s="96"/>
      <c r="H298" s="12"/>
      <c r="I298" s="12"/>
      <c r="J298" s="12"/>
      <c r="K298" s="12"/>
      <c r="L298" s="12"/>
      <c r="M298" s="12"/>
      <c r="N298" s="12"/>
      <c r="O298" s="12"/>
      <c r="P298" s="12"/>
    </row>
    <row r="299">
      <c r="A299" s="12"/>
      <c r="D299" s="95"/>
      <c r="E299" s="14"/>
      <c r="F299" s="96"/>
      <c r="H299" s="12"/>
      <c r="I299" s="12"/>
      <c r="J299" s="12"/>
      <c r="K299" s="12"/>
      <c r="L299" s="12"/>
      <c r="M299" s="12"/>
      <c r="N299" s="12"/>
      <c r="O299" s="12"/>
      <c r="P299" s="12"/>
    </row>
    <row r="300">
      <c r="A300" s="12"/>
      <c r="D300" s="95"/>
      <c r="E300" s="14"/>
      <c r="F300" s="96"/>
      <c r="H300" s="12"/>
      <c r="I300" s="12"/>
      <c r="J300" s="12"/>
      <c r="K300" s="12"/>
      <c r="L300" s="12"/>
      <c r="M300" s="12"/>
      <c r="N300" s="12"/>
      <c r="O300" s="12"/>
      <c r="P300" s="12"/>
    </row>
    <row r="301">
      <c r="A301" s="12"/>
      <c r="D301" s="95"/>
      <c r="E301" s="14"/>
      <c r="F301" s="96"/>
      <c r="H301" s="12"/>
      <c r="I301" s="12"/>
      <c r="J301" s="12"/>
      <c r="K301" s="12"/>
      <c r="L301" s="12"/>
      <c r="M301" s="12"/>
      <c r="N301" s="12"/>
      <c r="O301" s="12"/>
      <c r="P301" s="12"/>
    </row>
    <row r="302">
      <c r="A302" s="12"/>
      <c r="D302" s="95"/>
      <c r="E302" s="14"/>
      <c r="F302" s="96"/>
      <c r="H302" s="12"/>
      <c r="I302" s="12"/>
      <c r="J302" s="12"/>
      <c r="K302" s="12"/>
      <c r="L302" s="12"/>
      <c r="M302" s="12"/>
      <c r="N302" s="12"/>
      <c r="O302" s="12"/>
      <c r="P302" s="12"/>
    </row>
    <row r="303">
      <c r="A303" s="12"/>
      <c r="D303" s="95"/>
      <c r="E303" s="14"/>
      <c r="F303" s="96"/>
      <c r="H303" s="12"/>
      <c r="I303" s="12"/>
      <c r="J303" s="12"/>
      <c r="K303" s="12"/>
      <c r="L303" s="12"/>
      <c r="M303" s="12"/>
      <c r="N303" s="12"/>
      <c r="O303" s="12"/>
      <c r="P303" s="12"/>
    </row>
    <row r="304">
      <c r="A304" s="12"/>
      <c r="D304" s="95"/>
      <c r="E304" s="14"/>
      <c r="F304" s="96"/>
      <c r="H304" s="12"/>
      <c r="I304" s="12"/>
      <c r="J304" s="12"/>
      <c r="K304" s="12"/>
      <c r="L304" s="12"/>
      <c r="M304" s="12"/>
      <c r="N304" s="12"/>
      <c r="O304" s="12"/>
      <c r="P304" s="12"/>
    </row>
    <row r="305">
      <c r="A305" s="12"/>
      <c r="D305" s="95"/>
      <c r="E305" s="14"/>
      <c r="F305" s="96"/>
      <c r="H305" s="12"/>
      <c r="I305" s="12"/>
      <c r="J305" s="12"/>
      <c r="K305" s="12"/>
      <c r="L305" s="12"/>
      <c r="M305" s="12"/>
      <c r="N305" s="12"/>
      <c r="O305" s="12"/>
      <c r="P305" s="12"/>
    </row>
    <row r="306">
      <c r="A306" s="12"/>
      <c r="D306" s="95"/>
      <c r="E306" s="14"/>
      <c r="F306" s="96"/>
      <c r="H306" s="12"/>
      <c r="I306" s="12"/>
      <c r="J306" s="12"/>
      <c r="K306" s="12"/>
      <c r="L306" s="12"/>
      <c r="M306" s="12"/>
      <c r="N306" s="12"/>
      <c r="O306" s="12"/>
      <c r="P306" s="12"/>
    </row>
    <row r="307">
      <c r="A307" s="12"/>
      <c r="D307" s="95"/>
      <c r="E307" s="14"/>
      <c r="F307" s="96"/>
      <c r="H307" s="12"/>
      <c r="I307" s="12"/>
      <c r="J307" s="12"/>
      <c r="K307" s="12"/>
      <c r="L307" s="12"/>
      <c r="M307" s="12"/>
      <c r="N307" s="12"/>
      <c r="O307" s="12"/>
      <c r="P307" s="12"/>
    </row>
    <row r="308">
      <c r="A308" s="12"/>
      <c r="D308" s="95"/>
      <c r="E308" s="14"/>
      <c r="F308" s="96"/>
      <c r="H308" s="12"/>
      <c r="I308" s="12"/>
      <c r="J308" s="12"/>
      <c r="K308" s="12"/>
      <c r="L308" s="12"/>
      <c r="M308" s="12"/>
      <c r="N308" s="12"/>
      <c r="O308" s="12"/>
      <c r="P308" s="12"/>
    </row>
    <row r="309">
      <c r="A309" s="12"/>
      <c r="D309" s="95"/>
      <c r="E309" s="14"/>
      <c r="F309" s="96"/>
      <c r="H309" s="12"/>
      <c r="I309" s="12"/>
      <c r="J309" s="12"/>
      <c r="K309" s="12"/>
      <c r="L309" s="12"/>
      <c r="M309" s="12"/>
      <c r="N309" s="12"/>
      <c r="O309" s="12"/>
      <c r="P309" s="12"/>
    </row>
    <row r="310">
      <c r="A310" s="12"/>
      <c r="D310" s="95"/>
      <c r="E310" s="14"/>
      <c r="F310" s="96"/>
      <c r="H310" s="12"/>
      <c r="I310" s="12"/>
      <c r="J310" s="12"/>
      <c r="K310" s="12"/>
      <c r="L310" s="12"/>
      <c r="M310" s="12"/>
      <c r="N310" s="12"/>
      <c r="O310" s="12"/>
      <c r="P310" s="12"/>
    </row>
    <row r="311">
      <c r="A311" s="12"/>
      <c r="D311" s="95"/>
      <c r="E311" s="14"/>
      <c r="F311" s="96"/>
      <c r="H311" s="12"/>
      <c r="I311" s="12"/>
      <c r="J311" s="12"/>
      <c r="K311" s="12"/>
      <c r="L311" s="12"/>
      <c r="M311" s="12"/>
      <c r="N311" s="12"/>
      <c r="O311" s="12"/>
      <c r="P311" s="12"/>
    </row>
    <row r="312">
      <c r="A312" s="12"/>
      <c r="D312" s="95"/>
      <c r="E312" s="14"/>
      <c r="F312" s="96"/>
      <c r="H312" s="12"/>
      <c r="I312" s="12"/>
      <c r="J312" s="12"/>
      <c r="K312" s="12"/>
      <c r="L312" s="12"/>
      <c r="M312" s="12"/>
      <c r="N312" s="12"/>
      <c r="O312" s="12"/>
      <c r="P312" s="12"/>
    </row>
    <row r="313">
      <c r="A313" s="12"/>
      <c r="D313" s="95"/>
      <c r="E313" s="14"/>
      <c r="F313" s="96"/>
      <c r="H313" s="12"/>
      <c r="I313" s="12"/>
      <c r="J313" s="12"/>
      <c r="K313" s="12"/>
      <c r="L313" s="12"/>
      <c r="M313" s="12"/>
      <c r="N313" s="12"/>
      <c r="O313" s="12"/>
      <c r="P313" s="12"/>
    </row>
    <row r="314">
      <c r="A314" s="12"/>
      <c r="D314" s="95"/>
      <c r="E314" s="14"/>
      <c r="F314" s="96"/>
      <c r="H314" s="12"/>
      <c r="I314" s="12"/>
      <c r="J314" s="12"/>
      <c r="K314" s="12"/>
      <c r="L314" s="12"/>
      <c r="M314" s="12"/>
      <c r="N314" s="12"/>
      <c r="O314" s="12"/>
      <c r="P314" s="12"/>
    </row>
    <row r="315">
      <c r="A315" s="12"/>
      <c r="D315" s="95"/>
      <c r="E315" s="14"/>
      <c r="F315" s="96"/>
      <c r="H315" s="12"/>
      <c r="I315" s="12"/>
      <c r="J315" s="12"/>
      <c r="K315" s="12"/>
      <c r="L315" s="12"/>
      <c r="M315" s="12"/>
      <c r="N315" s="12"/>
      <c r="O315" s="12"/>
      <c r="P315" s="12"/>
    </row>
    <row r="316">
      <c r="A316" s="12"/>
      <c r="D316" s="95"/>
      <c r="E316" s="14"/>
      <c r="F316" s="96"/>
      <c r="H316" s="12"/>
      <c r="I316" s="12"/>
      <c r="J316" s="12"/>
      <c r="K316" s="12"/>
      <c r="L316" s="12"/>
      <c r="M316" s="12"/>
      <c r="N316" s="12"/>
      <c r="O316" s="12"/>
      <c r="P316" s="12"/>
    </row>
    <row r="317">
      <c r="A317" s="12"/>
      <c r="D317" s="95"/>
      <c r="E317" s="14"/>
      <c r="F317" s="96"/>
      <c r="H317" s="12"/>
      <c r="I317" s="12"/>
      <c r="J317" s="12"/>
      <c r="K317" s="12"/>
      <c r="L317" s="12"/>
      <c r="M317" s="12"/>
      <c r="N317" s="12"/>
      <c r="O317" s="12"/>
      <c r="P317" s="12"/>
    </row>
    <row r="318">
      <c r="A318" s="12"/>
      <c r="D318" s="95"/>
      <c r="E318" s="14"/>
      <c r="F318" s="96"/>
      <c r="H318" s="12"/>
      <c r="I318" s="12"/>
      <c r="J318" s="12"/>
      <c r="K318" s="12"/>
      <c r="L318" s="12"/>
      <c r="M318" s="12"/>
      <c r="N318" s="12"/>
      <c r="O318" s="12"/>
      <c r="P318" s="12"/>
    </row>
    <row r="319">
      <c r="A319" s="12"/>
      <c r="D319" s="95"/>
      <c r="E319" s="14"/>
      <c r="F319" s="96"/>
      <c r="H319" s="12"/>
      <c r="I319" s="12"/>
      <c r="J319" s="12"/>
      <c r="K319" s="12"/>
      <c r="L319" s="12"/>
      <c r="M319" s="12"/>
      <c r="N319" s="12"/>
      <c r="O319" s="12"/>
      <c r="P319" s="12"/>
    </row>
    <row r="320">
      <c r="A320" s="12"/>
      <c r="D320" s="95"/>
      <c r="E320" s="14"/>
      <c r="F320" s="96"/>
      <c r="H320" s="12"/>
      <c r="I320" s="12"/>
      <c r="J320" s="12"/>
      <c r="K320" s="12"/>
      <c r="L320" s="12"/>
      <c r="M320" s="12"/>
      <c r="N320" s="12"/>
      <c r="O320" s="12"/>
      <c r="P320" s="12"/>
    </row>
    <row r="321">
      <c r="A321" s="12"/>
      <c r="D321" s="95"/>
      <c r="E321" s="14"/>
      <c r="F321" s="96"/>
      <c r="H321" s="12"/>
      <c r="I321" s="12"/>
      <c r="J321" s="12"/>
      <c r="K321" s="12"/>
      <c r="L321" s="12"/>
      <c r="M321" s="12"/>
      <c r="N321" s="12"/>
      <c r="O321" s="12"/>
      <c r="P321" s="12"/>
    </row>
    <row r="322">
      <c r="A322" s="12"/>
      <c r="D322" s="95"/>
      <c r="E322" s="14"/>
      <c r="F322" s="96"/>
      <c r="H322" s="12"/>
      <c r="I322" s="12"/>
      <c r="J322" s="12"/>
      <c r="K322" s="12"/>
      <c r="L322" s="12"/>
      <c r="M322" s="12"/>
      <c r="N322" s="12"/>
      <c r="O322" s="12"/>
      <c r="P322" s="12"/>
    </row>
    <row r="323">
      <c r="A323" s="12"/>
      <c r="D323" s="95"/>
      <c r="E323" s="14"/>
      <c r="F323" s="96"/>
      <c r="H323" s="12"/>
      <c r="I323" s="12"/>
      <c r="J323" s="12"/>
      <c r="K323" s="12"/>
      <c r="L323" s="12"/>
      <c r="M323" s="12"/>
      <c r="N323" s="12"/>
      <c r="O323" s="12"/>
      <c r="P323" s="12"/>
    </row>
    <row r="324">
      <c r="A324" s="12"/>
      <c r="D324" s="95"/>
      <c r="E324" s="14"/>
      <c r="F324" s="96"/>
      <c r="H324" s="12"/>
      <c r="I324" s="12"/>
      <c r="J324" s="12"/>
      <c r="K324" s="12"/>
      <c r="L324" s="12"/>
      <c r="M324" s="12"/>
      <c r="N324" s="12"/>
      <c r="O324" s="12"/>
      <c r="P324" s="12"/>
    </row>
    <row r="325">
      <c r="A325" s="12"/>
      <c r="D325" s="95"/>
      <c r="E325" s="14"/>
      <c r="F325" s="96"/>
      <c r="H325" s="12"/>
      <c r="I325" s="12"/>
      <c r="J325" s="12"/>
      <c r="K325" s="12"/>
      <c r="L325" s="12"/>
      <c r="M325" s="12"/>
      <c r="N325" s="12"/>
      <c r="O325" s="12"/>
      <c r="P325" s="12"/>
    </row>
    <row r="326">
      <c r="A326" s="12"/>
      <c r="D326" s="95"/>
      <c r="E326" s="14"/>
      <c r="F326" s="96"/>
      <c r="H326" s="12"/>
      <c r="I326" s="12"/>
      <c r="J326" s="12"/>
      <c r="K326" s="12"/>
      <c r="L326" s="12"/>
      <c r="M326" s="12"/>
      <c r="N326" s="12"/>
      <c r="O326" s="12"/>
      <c r="P326" s="12"/>
    </row>
    <row r="327">
      <c r="A327" s="12"/>
      <c r="D327" s="95"/>
      <c r="E327" s="14"/>
      <c r="F327" s="96"/>
      <c r="H327" s="12"/>
      <c r="I327" s="12"/>
      <c r="J327" s="12"/>
      <c r="K327" s="12"/>
      <c r="L327" s="12"/>
      <c r="M327" s="12"/>
      <c r="N327" s="12"/>
      <c r="O327" s="12"/>
      <c r="P327" s="12"/>
    </row>
    <row r="328">
      <c r="A328" s="12"/>
      <c r="D328" s="95"/>
      <c r="E328" s="14"/>
      <c r="F328" s="96"/>
      <c r="H328" s="12"/>
      <c r="I328" s="12"/>
      <c r="J328" s="12"/>
      <c r="K328" s="12"/>
      <c r="L328" s="12"/>
      <c r="M328" s="12"/>
      <c r="N328" s="12"/>
      <c r="O328" s="12"/>
      <c r="P328" s="12"/>
    </row>
    <row r="329">
      <c r="A329" s="12"/>
      <c r="D329" s="95"/>
      <c r="E329" s="14"/>
      <c r="F329" s="96"/>
      <c r="H329" s="12"/>
      <c r="I329" s="12"/>
      <c r="J329" s="12"/>
      <c r="K329" s="12"/>
      <c r="L329" s="12"/>
      <c r="M329" s="12"/>
      <c r="N329" s="12"/>
      <c r="O329" s="12"/>
      <c r="P329" s="12"/>
    </row>
    <row r="330">
      <c r="A330" s="12"/>
      <c r="D330" s="95"/>
      <c r="E330" s="14"/>
      <c r="F330" s="96"/>
      <c r="H330" s="12"/>
      <c r="I330" s="12"/>
      <c r="J330" s="12"/>
      <c r="K330" s="12"/>
      <c r="L330" s="12"/>
      <c r="M330" s="12"/>
      <c r="N330" s="12"/>
      <c r="O330" s="12"/>
      <c r="P330" s="12"/>
    </row>
    <row r="331">
      <c r="A331" s="12"/>
      <c r="D331" s="95"/>
      <c r="E331" s="14"/>
      <c r="F331" s="96"/>
      <c r="H331" s="12"/>
      <c r="I331" s="12"/>
      <c r="J331" s="12"/>
      <c r="K331" s="12"/>
      <c r="L331" s="12"/>
      <c r="M331" s="12"/>
      <c r="N331" s="12"/>
      <c r="O331" s="12"/>
      <c r="P331" s="12"/>
    </row>
    <row r="332">
      <c r="A332" s="12"/>
      <c r="D332" s="95"/>
      <c r="E332" s="14"/>
      <c r="F332" s="96"/>
      <c r="H332" s="12"/>
      <c r="I332" s="12"/>
      <c r="J332" s="12"/>
      <c r="K332" s="12"/>
      <c r="L332" s="12"/>
      <c r="M332" s="12"/>
      <c r="N332" s="12"/>
      <c r="O332" s="12"/>
      <c r="P332" s="12"/>
    </row>
    <row r="333">
      <c r="A333" s="12"/>
      <c r="D333" s="95"/>
      <c r="E333" s="14"/>
      <c r="F333" s="96"/>
      <c r="H333" s="12"/>
      <c r="I333" s="12"/>
      <c r="J333" s="12"/>
      <c r="K333" s="12"/>
      <c r="L333" s="12"/>
      <c r="M333" s="12"/>
      <c r="N333" s="12"/>
      <c r="O333" s="12"/>
      <c r="P333" s="12"/>
    </row>
    <row r="334">
      <c r="A334" s="12"/>
      <c r="D334" s="95"/>
      <c r="E334" s="14"/>
      <c r="F334" s="96"/>
      <c r="H334" s="12"/>
      <c r="I334" s="12"/>
      <c r="J334" s="12"/>
      <c r="K334" s="12"/>
      <c r="L334" s="12"/>
      <c r="M334" s="12"/>
      <c r="N334" s="12"/>
      <c r="O334" s="12"/>
      <c r="P334" s="12"/>
    </row>
    <row r="335">
      <c r="A335" s="12"/>
      <c r="D335" s="95"/>
      <c r="E335" s="14"/>
      <c r="F335" s="96"/>
      <c r="H335" s="12"/>
      <c r="I335" s="12"/>
      <c r="J335" s="12"/>
      <c r="K335" s="12"/>
      <c r="L335" s="12"/>
      <c r="M335" s="12"/>
      <c r="N335" s="12"/>
      <c r="O335" s="12"/>
      <c r="P335" s="12"/>
    </row>
    <row r="336">
      <c r="A336" s="12"/>
      <c r="D336" s="95"/>
      <c r="E336" s="14"/>
      <c r="F336" s="96"/>
      <c r="H336" s="12"/>
      <c r="I336" s="12"/>
      <c r="J336" s="12"/>
      <c r="K336" s="12"/>
      <c r="L336" s="12"/>
      <c r="M336" s="12"/>
      <c r="N336" s="12"/>
      <c r="O336" s="12"/>
      <c r="P336" s="12"/>
    </row>
    <row r="337">
      <c r="A337" s="12"/>
      <c r="D337" s="95"/>
      <c r="E337" s="14"/>
      <c r="F337" s="96"/>
      <c r="H337" s="12"/>
      <c r="I337" s="12"/>
      <c r="J337" s="12"/>
      <c r="K337" s="12"/>
      <c r="L337" s="12"/>
      <c r="M337" s="12"/>
      <c r="N337" s="12"/>
      <c r="O337" s="12"/>
      <c r="P337" s="12"/>
    </row>
    <row r="338">
      <c r="A338" s="12"/>
      <c r="D338" s="95"/>
      <c r="E338" s="14"/>
      <c r="F338" s="96"/>
      <c r="H338" s="12"/>
      <c r="I338" s="12"/>
      <c r="J338" s="12"/>
      <c r="K338" s="12"/>
      <c r="L338" s="12"/>
      <c r="M338" s="12"/>
      <c r="N338" s="12"/>
      <c r="O338" s="12"/>
      <c r="P338" s="12"/>
    </row>
    <row r="339">
      <c r="A339" s="12"/>
      <c r="D339" s="95"/>
      <c r="E339" s="14"/>
      <c r="F339" s="96"/>
      <c r="H339" s="12"/>
      <c r="I339" s="12"/>
      <c r="J339" s="12"/>
      <c r="K339" s="12"/>
      <c r="L339" s="12"/>
      <c r="M339" s="12"/>
      <c r="N339" s="12"/>
      <c r="O339" s="12"/>
      <c r="P339" s="12"/>
    </row>
    <row r="340">
      <c r="A340" s="12"/>
      <c r="D340" s="95"/>
      <c r="E340" s="14"/>
      <c r="F340" s="96"/>
      <c r="H340" s="12"/>
      <c r="I340" s="12"/>
      <c r="J340" s="12"/>
      <c r="K340" s="12"/>
      <c r="L340" s="12"/>
      <c r="M340" s="12"/>
      <c r="N340" s="12"/>
      <c r="O340" s="12"/>
      <c r="P340" s="12"/>
    </row>
    <row r="341">
      <c r="A341" s="12"/>
      <c r="D341" s="95"/>
      <c r="E341" s="14"/>
      <c r="F341" s="96"/>
      <c r="H341" s="12"/>
      <c r="I341" s="12"/>
      <c r="J341" s="12"/>
      <c r="K341" s="12"/>
      <c r="L341" s="12"/>
      <c r="M341" s="12"/>
      <c r="N341" s="12"/>
      <c r="O341" s="12"/>
      <c r="P341" s="12"/>
    </row>
    <row r="342">
      <c r="A342" s="12"/>
      <c r="D342" s="95"/>
      <c r="E342" s="14"/>
      <c r="F342" s="96"/>
      <c r="H342" s="12"/>
      <c r="I342" s="12"/>
      <c r="J342" s="12"/>
      <c r="K342" s="12"/>
      <c r="L342" s="12"/>
      <c r="M342" s="12"/>
      <c r="N342" s="12"/>
      <c r="O342" s="12"/>
      <c r="P342" s="12"/>
    </row>
    <row r="343">
      <c r="A343" s="12"/>
      <c r="D343" s="95"/>
      <c r="E343" s="14"/>
      <c r="F343" s="96"/>
      <c r="H343" s="12"/>
      <c r="I343" s="12"/>
      <c r="J343" s="12"/>
      <c r="K343" s="12"/>
      <c r="L343" s="12"/>
      <c r="M343" s="12"/>
      <c r="N343" s="12"/>
      <c r="O343" s="12"/>
      <c r="P343" s="12"/>
    </row>
    <row r="344">
      <c r="A344" s="12"/>
      <c r="D344" s="95"/>
      <c r="E344" s="14"/>
      <c r="F344" s="96"/>
      <c r="H344" s="12"/>
      <c r="I344" s="12"/>
      <c r="J344" s="12"/>
      <c r="K344" s="12"/>
      <c r="L344" s="12"/>
      <c r="M344" s="12"/>
      <c r="N344" s="12"/>
      <c r="O344" s="12"/>
      <c r="P344" s="12"/>
    </row>
    <row r="345">
      <c r="A345" s="12"/>
      <c r="D345" s="95"/>
      <c r="E345" s="14"/>
      <c r="F345" s="96"/>
      <c r="H345" s="12"/>
      <c r="I345" s="12"/>
      <c r="J345" s="12"/>
      <c r="K345" s="12"/>
      <c r="L345" s="12"/>
      <c r="M345" s="12"/>
      <c r="N345" s="12"/>
      <c r="O345" s="12"/>
      <c r="P345" s="12"/>
    </row>
    <row r="346">
      <c r="A346" s="12"/>
      <c r="D346" s="95"/>
      <c r="E346" s="14"/>
      <c r="F346" s="96"/>
      <c r="H346" s="12"/>
      <c r="I346" s="12"/>
      <c r="J346" s="12"/>
      <c r="K346" s="12"/>
      <c r="L346" s="12"/>
      <c r="M346" s="12"/>
      <c r="N346" s="12"/>
      <c r="O346" s="12"/>
      <c r="P346" s="12"/>
    </row>
    <row r="347">
      <c r="A347" s="12"/>
      <c r="D347" s="95"/>
      <c r="E347" s="14"/>
      <c r="F347" s="96"/>
      <c r="H347" s="12"/>
      <c r="I347" s="12"/>
      <c r="J347" s="12"/>
      <c r="K347" s="12"/>
      <c r="L347" s="12"/>
      <c r="M347" s="12"/>
      <c r="N347" s="12"/>
      <c r="O347" s="12"/>
      <c r="P347" s="12"/>
    </row>
    <row r="348">
      <c r="A348" s="12"/>
      <c r="D348" s="95"/>
      <c r="E348" s="14"/>
      <c r="F348" s="96"/>
      <c r="H348" s="12"/>
      <c r="I348" s="12"/>
      <c r="J348" s="12"/>
      <c r="K348" s="12"/>
      <c r="L348" s="12"/>
      <c r="M348" s="12"/>
      <c r="N348" s="12"/>
      <c r="O348" s="12"/>
      <c r="P348" s="12"/>
    </row>
    <row r="349">
      <c r="A349" s="12"/>
      <c r="D349" s="95"/>
      <c r="E349" s="14"/>
      <c r="F349" s="96"/>
      <c r="H349" s="12"/>
      <c r="I349" s="12"/>
      <c r="J349" s="12"/>
      <c r="K349" s="12"/>
      <c r="L349" s="12"/>
      <c r="M349" s="12"/>
      <c r="N349" s="12"/>
      <c r="O349" s="12"/>
      <c r="P349" s="12"/>
    </row>
    <row r="350">
      <c r="A350" s="12"/>
      <c r="D350" s="95"/>
      <c r="E350" s="14"/>
      <c r="F350" s="96"/>
      <c r="H350" s="12"/>
      <c r="I350" s="12"/>
      <c r="J350" s="12"/>
      <c r="K350" s="12"/>
      <c r="L350" s="12"/>
      <c r="M350" s="12"/>
      <c r="N350" s="12"/>
      <c r="O350" s="12"/>
      <c r="P350" s="12"/>
    </row>
    <row r="351">
      <c r="A351" s="12"/>
      <c r="D351" s="95"/>
      <c r="E351" s="14"/>
      <c r="F351" s="96"/>
      <c r="H351" s="12"/>
      <c r="I351" s="12"/>
      <c r="J351" s="12"/>
      <c r="K351" s="12"/>
      <c r="L351" s="12"/>
      <c r="M351" s="12"/>
      <c r="N351" s="12"/>
      <c r="O351" s="12"/>
      <c r="P351" s="12"/>
    </row>
    <row r="352">
      <c r="A352" s="12"/>
      <c r="D352" s="95"/>
      <c r="E352" s="14"/>
      <c r="F352" s="96"/>
      <c r="H352" s="12"/>
      <c r="I352" s="12"/>
      <c r="J352" s="12"/>
      <c r="K352" s="12"/>
      <c r="L352" s="12"/>
      <c r="M352" s="12"/>
      <c r="N352" s="12"/>
      <c r="O352" s="12"/>
      <c r="P352" s="12"/>
    </row>
    <row r="353">
      <c r="A353" s="12"/>
      <c r="D353" s="95"/>
      <c r="E353" s="14"/>
      <c r="F353" s="96"/>
      <c r="H353" s="12"/>
      <c r="I353" s="12"/>
      <c r="J353" s="12"/>
      <c r="K353" s="12"/>
      <c r="L353" s="12"/>
      <c r="M353" s="12"/>
      <c r="N353" s="12"/>
      <c r="O353" s="12"/>
      <c r="P353" s="12"/>
    </row>
    <row r="354">
      <c r="A354" s="12"/>
      <c r="D354" s="95"/>
      <c r="E354" s="14"/>
      <c r="F354" s="96"/>
      <c r="H354" s="12"/>
      <c r="I354" s="12"/>
      <c r="J354" s="12"/>
      <c r="K354" s="12"/>
      <c r="L354" s="12"/>
      <c r="M354" s="12"/>
      <c r="N354" s="12"/>
      <c r="O354" s="12"/>
      <c r="P354" s="12"/>
    </row>
    <row r="355">
      <c r="A355" s="12"/>
      <c r="D355" s="95"/>
      <c r="E355" s="14"/>
      <c r="F355" s="96"/>
      <c r="H355" s="12"/>
      <c r="I355" s="12"/>
      <c r="J355" s="12"/>
      <c r="K355" s="12"/>
      <c r="L355" s="12"/>
      <c r="M355" s="12"/>
      <c r="N355" s="12"/>
      <c r="O355" s="12"/>
      <c r="P355" s="12"/>
    </row>
    <row r="356">
      <c r="A356" s="12"/>
      <c r="D356" s="95"/>
      <c r="E356" s="14"/>
      <c r="F356" s="96"/>
      <c r="H356" s="12"/>
      <c r="I356" s="12"/>
      <c r="J356" s="12"/>
      <c r="K356" s="12"/>
      <c r="L356" s="12"/>
      <c r="M356" s="12"/>
      <c r="N356" s="12"/>
      <c r="O356" s="12"/>
      <c r="P356" s="12"/>
    </row>
    <row r="357">
      <c r="A357" s="12"/>
      <c r="D357" s="95"/>
      <c r="E357" s="14"/>
      <c r="F357" s="96"/>
      <c r="H357" s="12"/>
      <c r="I357" s="12"/>
      <c r="J357" s="12"/>
      <c r="K357" s="12"/>
      <c r="L357" s="12"/>
      <c r="M357" s="12"/>
      <c r="N357" s="12"/>
      <c r="O357" s="12"/>
      <c r="P357" s="12"/>
    </row>
    <row r="358">
      <c r="A358" s="12"/>
      <c r="D358" s="95"/>
      <c r="E358" s="14"/>
      <c r="F358" s="96"/>
      <c r="H358" s="12"/>
      <c r="I358" s="12"/>
      <c r="J358" s="12"/>
      <c r="K358" s="12"/>
      <c r="L358" s="12"/>
      <c r="M358" s="12"/>
      <c r="N358" s="12"/>
      <c r="O358" s="12"/>
      <c r="P358" s="12"/>
    </row>
    <row r="359">
      <c r="A359" s="12"/>
      <c r="D359" s="95"/>
      <c r="E359" s="14"/>
      <c r="F359" s="96"/>
      <c r="H359" s="12"/>
      <c r="I359" s="12"/>
      <c r="J359" s="12"/>
      <c r="K359" s="12"/>
      <c r="L359" s="12"/>
      <c r="M359" s="12"/>
      <c r="N359" s="12"/>
      <c r="O359" s="12"/>
      <c r="P359" s="12"/>
    </row>
    <row r="360">
      <c r="A360" s="12"/>
      <c r="D360" s="95"/>
      <c r="E360" s="14"/>
      <c r="F360" s="96"/>
      <c r="H360" s="12"/>
      <c r="I360" s="12"/>
      <c r="J360" s="12"/>
      <c r="K360" s="12"/>
      <c r="L360" s="12"/>
      <c r="M360" s="12"/>
      <c r="N360" s="12"/>
      <c r="O360" s="12"/>
      <c r="P360" s="12"/>
    </row>
    <row r="361">
      <c r="A361" s="12"/>
      <c r="D361" s="95"/>
      <c r="E361" s="14"/>
      <c r="F361" s="96"/>
      <c r="H361" s="12"/>
      <c r="I361" s="12"/>
      <c r="J361" s="12"/>
      <c r="K361" s="12"/>
      <c r="L361" s="12"/>
      <c r="M361" s="12"/>
      <c r="N361" s="12"/>
      <c r="O361" s="12"/>
      <c r="P361" s="12"/>
    </row>
    <row r="362">
      <c r="A362" s="12"/>
      <c r="D362" s="95"/>
      <c r="E362" s="14"/>
      <c r="F362" s="96"/>
      <c r="H362" s="12"/>
      <c r="I362" s="12"/>
      <c r="J362" s="12"/>
      <c r="K362" s="12"/>
      <c r="L362" s="12"/>
      <c r="M362" s="12"/>
      <c r="N362" s="12"/>
      <c r="O362" s="12"/>
      <c r="P362" s="12"/>
    </row>
    <row r="363">
      <c r="A363" s="12"/>
      <c r="D363" s="95"/>
      <c r="E363" s="14"/>
      <c r="F363" s="96"/>
      <c r="H363" s="12"/>
      <c r="I363" s="12"/>
      <c r="J363" s="12"/>
      <c r="K363" s="12"/>
      <c r="L363" s="12"/>
      <c r="M363" s="12"/>
      <c r="N363" s="12"/>
      <c r="O363" s="12"/>
      <c r="P363" s="12"/>
    </row>
    <row r="364">
      <c r="A364" s="12"/>
      <c r="D364" s="95"/>
      <c r="E364" s="14"/>
      <c r="F364" s="96"/>
      <c r="H364" s="12"/>
      <c r="I364" s="12"/>
      <c r="J364" s="12"/>
      <c r="K364" s="12"/>
      <c r="L364" s="12"/>
      <c r="M364" s="12"/>
      <c r="N364" s="12"/>
      <c r="O364" s="12"/>
      <c r="P364" s="12"/>
    </row>
    <row r="365">
      <c r="A365" s="12"/>
      <c r="D365" s="95"/>
      <c r="E365" s="14"/>
      <c r="F365" s="96"/>
      <c r="H365" s="12"/>
      <c r="I365" s="12"/>
      <c r="J365" s="12"/>
      <c r="K365" s="12"/>
      <c r="L365" s="12"/>
      <c r="M365" s="12"/>
      <c r="N365" s="12"/>
      <c r="O365" s="12"/>
      <c r="P365" s="12"/>
    </row>
    <row r="366">
      <c r="A366" s="12"/>
      <c r="D366" s="95"/>
      <c r="E366" s="14"/>
      <c r="F366" s="96"/>
      <c r="H366" s="12"/>
      <c r="I366" s="12"/>
      <c r="J366" s="12"/>
      <c r="K366" s="12"/>
      <c r="L366" s="12"/>
      <c r="M366" s="12"/>
      <c r="N366" s="12"/>
      <c r="O366" s="12"/>
      <c r="P366" s="12"/>
    </row>
    <row r="367">
      <c r="A367" s="12"/>
      <c r="D367" s="95"/>
      <c r="E367" s="14"/>
      <c r="F367" s="96"/>
      <c r="H367" s="12"/>
      <c r="I367" s="12"/>
      <c r="J367" s="12"/>
      <c r="K367" s="12"/>
      <c r="L367" s="12"/>
      <c r="M367" s="12"/>
      <c r="N367" s="12"/>
      <c r="O367" s="12"/>
      <c r="P367" s="12"/>
    </row>
    <row r="368">
      <c r="A368" s="12"/>
      <c r="D368" s="95"/>
      <c r="E368" s="14"/>
      <c r="F368" s="96"/>
      <c r="H368" s="12"/>
      <c r="I368" s="12"/>
      <c r="J368" s="12"/>
      <c r="K368" s="12"/>
      <c r="L368" s="12"/>
      <c r="M368" s="12"/>
      <c r="N368" s="12"/>
      <c r="O368" s="12"/>
      <c r="P368" s="12"/>
    </row>
    <row r="369">
      <c r="A369" s="12"/>
      <c r="D369" s="95"/>
      <c r="E369" s="14"/>
      <c r="F369" s="96"/>
      <c r="H369" s="12"/>
      <c r="I369" s="12"/>
      <c r="J369" s="12"/>
      <c r="K369" s="12"/>
      <c r="L369" s="12"/>
      <c r="M369" s="12"/>
      <c r="N369" s="12"/>
      <c r="O369" s="12"/>
      <c r="P369" s="12"/>
    </row>
    <row r="370">
      <c r="A370" s="12"/>
      <c r="D370" s="95"/>
      <c r="E370" s="14"/>
      <c r="F370" s="96"/>
      <c r="H370" s="12"/>
      <c r="I370" s="12"/>
      <c r="J370" s="12"/>
      <c r="K370" s="12"/>
      <c r="L370" s="12"/>
      <c r="M370" s="12"/>
      <c r="N370" s="12"/>
      <c r="O370" s="12"/>
      <c r="P370" s="12"/>
    </row>
    <row r="371">
      <c r="A371" s="12"/>
      <c r="D371" s="95"/>
      <c r="E371" s="14"/>
      <c r="F371" s="96"/>
      <c r="H371" s="12"/>
      <c r="I371" s="12"/>
      <c r="J371" s="12"/>
      <c r="K371" s="12"/>
      <c r="L371" s="12"/>
      <c r="M371" s="12"/>
      <c r="N371" s="12"/>
      <c r="O371" s="12"/>
      <c r="P371" s="12"/>
    </row>
    <row r="372">
      <c r="A372" s="12"/>
      <c r="D372" s="95"/>
      <c r="E372" s="14"/>
      <c r="F372" s="96"/>
      <c r="H372" s="12"/>
      <c r="I372" s="12"/>
      <c r="J372" s="12"/>
      <c r="K372" s="12"/>
      <c r="L372" s="12"/>
      <c r="M372" s="12"/>
      <c r="N372" s="12"/>
      <c r="O372" s="12"/>
      <c r="P372" s="12"/>
    </row>
    <row r="373">
      <c r="A373" s="12"/>
      <c r="D373" s="95"/>
      <c r="E373" s="14"/>
      <c r="F373" s="96"/>
      <c r="H373" s="12"/>
      <c r="I373" s="12"/>
      <c r="J373" s="12"/>
      <c r="K373" s="12"/>
      <c r="L373" s="12"/>
      <c r="M373" s="12"/>
      <c r="N373" s="12"/>
      <c r="O373" s="12"/>
      <c r="P373" s="12"/>
    </row>
    <row r="374">
      <c r="A374" s="12"/>
      <c r="D374" s="95"/>
      <c r="E374" s="14"/>
      <c r="F374" s="96"/>
      <c r="H374" s="12"/>
      <c r="I374" s="12"/>
      <c r="J374" s="12"/>
      <c r="K374" s="12"/>
      <c r="L374" s="12"/>
      <c r="M374" s="12"/>
      <c r="N374" s="12"/>
      <c r="O374" s="12"/>
      <c r="P374" s="12"/>
    </row>
    <row r="375">
      <c r="A375" s="12"/>
      <c r="D375" s="95"/>
      <c r="E375" s="14"/>
      <c r="F375" s="96"/>
      <c r="H375" s="12"/>
      <c r="I375" s="12"/>
      <c r="J375" s="12"/>
      <c r="K375" s="12"/>
      <c r="L375" s="12"/>
      <c r="M375" s="12"/>
      <c r="N375" s="12"/>
      <c r="O375" s="12"/>
      <c r="P375" s="12"/>
    </row>
    <row r="376">
      <c r="A376" s="12"/>
      <c r="D376" s="95"/>
      <c r="E376" s="14"/>
      <c r="F376" s="96"/>
      <c r="H376" s="12"/>
      <c r="I376" s="12"/>
      <c r="J376" s="12"/>
      <c r="K376" s="12"/>
      <c r="L376" s="12"/>
      <c r="M376" s="12"/>
      <c r="N376" s="12"/>
      <c r="O376" s="12"/>
      <c r="P376" s="12"/>
    </row>
    <row r="377">
      <c r="A377" s="12"/>
      <c r="D377" s="95"/>
      <c r="E377" s="14"/>
      <c r="F377" s="96"/>
      <c r="H377" s="12"/>
      <c r="I377" s="12"/>
      <c r="J377" s="12"/>
      <c r="K377" s="12"/>
      <c r="L377" s="12"/>
      <c r="M377" s="12"/>
      <c r="N377" s="12"/>
      <c r="O377" s="12"/>
      <c r="P377" s="12"/>
    </row>
    <row r="378">
      <c r="A378" s="12"/>
      <c r="D378" s="95"/>
      <c r="E378" s="14"/>
      <c r="F378" s="96"/>
      <c r="H378" s="12"/>
      <c r="I378" s="12"/>
      <c r="J378" s="12"/>
      <c r="K378" s="12"/>
      <c r="L378" s="12"/>
      <c r="M378" s="12"/>
      <c r="N378" s="12"/>
      <c r="O378" s="12"/>
      <c r="P378" s="12"/>
    </row>
    <row r="379">
      <c r="A379" s="12"/>
      <c r="D379" s="95"/>
      <c r="E379" s="14"/>
      <c r="F379" s="96"/>
      <c r="H379" s="12"/>
      <c r="I379" s="12"/>
      <c r="J379" s="12"/>
      <c r="K379" s="12"/>
      <c r="L379" s="12"/>
      <c r="M379" s="12"/>
      <c r="N379" s="12"/>
      <c r="O379" s="12"/>
      <c r="P379" s="12"/>
    </row>
    <row r="380">
      <c r="A380" s="12"/>
      <c r="D380" s="95"/>
      <c r="E380" s="14"/>
      <c r="F380" s="96"/>
      <c r="H380" s="12"/>
      <c r="I380" s="12"/>
      <c r="J380" s="12"/>
      <c r="K380" s="12"/>
      <c r="L380" s="12"/>
      <c r="M380" s="12"/>
      <c r="N380" s="12"/>
      <c r="O380" s="12"/>
      <c r="P380" s="12"/>
    </row>
    <row r="381">
      <c r="A381" s="12"/>
      <c r="D381" s="95"/>
      <c r="E381" s="14"/>
      <c r="F381" s="96"/>
      <c r="H381" s="12"/>
      <c r="I381" s="12"/>
      <c r="J381" s="12"/>
      <c r="K381" s="12"/>
      <c r="L381" s="12"/>
      <c r="M381" s="12"/>
      <c r="N381" s="12"/>
      <c r="O381" s="12"/>
      <c r="P381" s="12"/>
    </row>
    <row r="382">
      <c r="A382" s="12"/>
      <c r="D382" s="95"/>
      <c r="E382" s="14"/>
      <c r="F382" s="96"/>
      <c r="H382" s="12"/>
      <c r="I382" s="12"/>
      <c r="J382" s="12"/>
      <c r="K382" s="12"/>
      <c r="L382" s="12"/>
      <c r="M382" s="12"/>
      <c r="N382" s="12"/>
      <c r="O382" s="12"/>
      <c r="P382" s="12"/>
    </row>
    <row r="383">
      <c r="A383" s="12"/>
      <c r="D383" s="95"/>
      <c r="E383" s="14"/>
      <c r="F383" s="96"/>
      <c r="H383" s="12"/>
      <c r="I383" s="12"/>
      <c r="J383" s="12"/>
      <c r="K383" s="12"/>
      <c r="L383" s="12"/>
      <c r="M383" s="12"/>
      <c r="N383" s="12"/>
      <c r="O383" s="12"/>
      <c r="P383" s="12"/>
    </row>
    <row r="384">
      <c r="A384" s="12"/>
      <c r="D384" s="95"/>
      <c r="E384" s="14"/>
      <c r="F384" s="96"/>
      <c r="H384" s="12"/>
      <c r="I384" s="12"/>
      <c r="J384" s="12"/>
      <c r="K384" s="12"/>
      <c r="L384" s="12"/>
      <c r="M384" s="12"/>
      <c r="N384" s="12"/>
      <c r="O384" s="12"/>
      <c r="P384" s="12"/>
    </row>
    <row r="385">
      <c r="A385" s="12"/>
      <c r="D385" s="95"/>
      <c r="E385" s="14"/>
      <c r="F385" s="96"/>
      <c r="H385" s="12"/>
      <c r="I385" s="12"/>
      <c r="J385" s="12"/>
      <c r="K385" s="12"/>
      <c r="L385" s="12"/>
      <c r="M385" s="12"/>
      <c r="N385" s="12"/>
      <c r="O385" s="12"/>
      <c r="P385" s="12"/>
    </row>
    <row r="386">
      <c r="A386" s="12"/>
      <c r="D386" s="95"/>
      <c r="E386" s="14"/>
      <c r="F386" s="96"/>
      <c r="H386" s="12"/>
      <c r="I386" s="12"/>
      <c r="J386" s="12"/>
      <c r="K386" s="12"/>
      <c r="L386" s="12"/>
      <c r="M386" s="12"/>
      <c r="N386" s="12"/>
      <c r="O386" s="12"/>
      <c r="P386" s="12"/>
    </row>
    <row r="387">
      <c r="A387" s="12"/>
      <c r="D387" s="95"/>
      <c r="E387" s="14"/>
      <c r="F387" s="96"/>
      <c r="H387" s="12"/>
      <c r="I387" s="12"/>
      <c r="J387" s="12"/>
      <c r="K387" s="12"/>
      <c r="L387" s="12"/>
      <c r="M387" s="12"/>
      <c r="N387" s="12"/>
      <c r="O387" s="12"/>
      <c r="P387" s="12"/>
    </row>
    <row r="388">
      <c r="A388" s="12"/>
      <c r="D388" s="95"/>
      <c r="E388" s="14"/>
      <c r="F388" s="96"/>
      <c r="H388" s="12"/>
      <c r="I388" s="12"/>
      <c r="J388" s="12"/>
      <c r="K388" s="12"/>
      <c r="L388" s="12"/>
      <c r="M388" s="12"/>
      <c r="N388" s="12"/>
      <c r="O388" s="12"/>
      <c r="P388" s="12"/>
    </row>
    <row r="389">
      <c r="A389" s="12"/>
      <c r="D389" s="95"/>
      <c r="E389" s="14"/>
      <c r="F389" s="96"/>
      <c r="H389" s="12"/>
      <c r="I389" s="12"/>
      <c r="J389" s="12"/>
      <c r="K389" s="12"/>
      <c r="L389" s="12"/>
      <c r="M389" s="12"/>
      <c r="N389" s="12"/>
      <c r="O389" s="12"/>
      <c r="P389" s="12"/>
    </row>
    <row r="390">
      <c r="A390" s="12"/>
      <c r="D390" s="95"/>
      <c r="E390" s="14"/>
      <c r="F390" s="96"/>
      <c r="H390" s="12"/>
      <c r="I390" s="12"/>
      <c r="J390" s="12"/>
      <c r="K390" s="12"/>
      <c r="L390" s="12"/>
      <c r="M390" s="12"/>
      <c r="N390" s="12"/>
      <c r="O390" s="12"/>
      <c r="P390" s="12"/>
    </row>
    <row r="391">
      <c r="A391" s="12"/>
      <c r="D391" s="95"/>
      <c r="E391" s="14"/>
      <c r="F391" s="96"/>
      <c r="H391" s="12"/>
      <c r="I391" s="12"/>
      <c r="J391" s="12"/>
      <c r="K391" s="12"/>
      <c r="L391" s="12"/>
      <c r="M391" s="12"/>
      <c r="N391" s="12"/>
      <c r="O391" s="12"/>
      <c r="P391" s="12"/>
    </row>
    <row r="392">
      <c r="A392" s="12"/>
      <c r="D392" s="95"/>
      <c r="E392" s="14"/>
      <c r="F392" s="96"/>
      <c r="H392" s="12"/>
      <c r="I392" s="12"/>
      <c r="J392" s="12"/>
      <c r="K392" s="12"/>
      <c r="L392" s="12"/>
      <c r="M392" s="12"/>
      <c r="N392" s="12"/>
      <c r="O392" s="12"/>
      <c r="P392" s="12"/>
    </row>
    <row r="393">
      <c r="A393" s="12"/>
      <c r="D393" s="95"/>
      <c r="E393" s="14"/>
      <c r="F393" s="96"/>
      <c r="H393" s="12"/>
      <c r="I393" s="12"/>
      <c r="J393" s="12"/>
      <c r="K393" s="12"/>
      <c r="L393" s="12"/>
      <c r="M393" s="12"/>
      <c r="N393" s="12"/>
      <c r="O393" s="12"/>
      <c r="P393" s="12"/>
    </row>
    <row r="394">
      <c r="A394" s="12"/>
      <c r="D394" s="95"/>
      <c r="E394" s="14"/>
      <c r="F394" s="96"/>
      <c r="H394" s="12"/>
      <c r="I394" s="12"/>
      <c r="J394" s="12"/>
      <c r="K394" s="12"/>
      <c r="L394" s="12"/>
      <c r="M394" s="12"/>
      <c r="N394" s="12"/>
      <c r="O394" s="12"/>
      <c r="P394" s="12"/>
    </row>
    <row r="395">
      <c r="A395" s="12"/>
      <c r="D395" s="95"/>
      <c r="E395" s="14"/>
      <c r="F395" s="96"/>
      <c r="H395" s="12"/>
      <c r="I395" s="12"/>
      <c r="J395" s="12"/>
      <c r="K395" s="12"/>
      <c r="L395" s="12"/>
      <c r="M395" s="12"/>
      <c r="N395" s="12"/>
      <c r="O395" s="12"/>
      <c r="P395" s="12"/>
    </row>
    <row r="396">
      <c r="A396" s="12"/>
      <c r="D396" s="95"/>
      <c r="E396" s="14"/>
      <c r="F396" s="96"/>
      <c r="H396" s="12"/>
      <c r="I396" s="12"/>
      <c r="J396" s="12"/>
      <c r="K396" s="12"/>
      <c r="L396" s="12"/>
      <c r="M396" s="12"/>
      <c r="N396" s="12"/>
      <c r="O396" s="12"/>
      <c r="P396" s="12"/>
    </row>
    <row r="397">
      <c r="A397" s="12"/>
      <c r="D397" s="95"/>
      <c r="E397" s="14"/>
      <c r="F397" s="96"/>
      <c r="H397" s="12"/>
      <c r="I397" s="12"/>
      <c r="J397" s="12"/>
      <c r="K397" s="12"/>
      <c r="L397" s="12"/>
      <c r="M397" s="12"/>
      <c r="N397" s="12"/>
      <c r="O397" s="12"/>
      <c r="P397" s="12"/>
    </row>
    <row r="398">
      <c r="A398" s="12"/>
      <c r="D398" s="95"/>
      <c r="E398" s="14"/>
      <c r="F398" s="96"/>
      <c r="H398" s="12"/>
      <c r="I398" s="12"/>
      <c r="J398" s="12"/>
      <c r="K398" s="12"/>
      <c r="L398" s="12"/>
      <c r="M398" s="12"/>
      <c r="N398" s="12"/>
      <c r="O398" s="12"/>
      <c r="P398" s="12"/>
    </row>
    <row r="399">
      <c r="A399" s="12"/>
      <c r="D399" s="95"/>
      <c r="E399" s="14"/>
      <c r="F399" s="96"/>
      <c r="H399" s="12"/>
      <c r="I399" s="12"/>
      <c r="J399" s="12"/>
      <c r="K399" s="12"/>
      <c r="L399" s="12"/>
      <c r="M399" s="12"/>
      <c r="N399" s="12"/>
      <c r="O399" s="12"/>
      <c r="P399" s="12"/>
    </row>
    <row r="400">
      <c r="A400" s="12"/>
      <c r="D400" s="95"/>
      <c r="E400" s="14"/>
      <c r="F400" s="96"/>
      <c r="H400" s="12"/>
      <c r="I400" s="12"/>
      <c r="J400" s="12"/>
      <c r="K400" s="12"/>
      <c r="L400" s="12"/>
      <c r="M400" s="12"/>
      <c r="N400" s="12"/>
      <c r="O400" s="12"/>
      <c r="P400" s="12"/>
    </row>
    <row r="401">
      <c r="A401" s="12"/>
      <c r="D401" s="95"/>
      <c r="E401" s="14"/>
      <c r="F401" s="96"/>
      <c r="H401" s="12"/>
      <c r="I401" s="12"/>
      <c r="J401" s="12"/>
      <c r="K401" s="12"/>
      <c r="L401" s="12"/>
      <c r="M401" s="12"/>
      <c r="N401" s="12"/>
      <c r="O401" s="12"/>
      <c r="P401" s="12"/>
    </row>
    <row r="402">
      <c r="A402" s="12"/>
      <c r="D402" s="95"/>
      <c r="E402" s="14"/>
      <c r="F402" s="96"/>
      <c r="H402" s="12"/>
      <c r="I402" s="12"/>
      <c r="J402" s="12"/>
      <c r="K402" s="12"/>
      <c r="L402" s="12"/>
      <c r="M402" s="12"/>
      <c r="N402" s="12"/>
      <c r="O402" s="12"/>
      <c r="P402" s="12"/>
    </row>
    <row r="403">
      <c r="A403" s="12"/>
      <c r="D403" s="95"/>
      <c r="E403" s="14"/>
      <c r="F403" s="96"/>
      <c r="H403" s="12"/>
      <c r="I403" s="12"/>
      <c r="J403" s="12"/>
      <c r="K403" s="12"/>
      <c r="L403" s="12"/>
      <c r="M403" s="12"/>
      <c r="N403" s="12"/>
      <c r="O403" s="12"/>
      <c r="P403" s="12"/>
    </row>
    <row r="404">
      <c r="A404" s="12"/>
      <c r="D404" s="95"/>
      <c r="E404" s="14"/>
      <c r="F404" s="96"/>
      <c r="H404" s="12"/>
      <c r="I404" s="12"/>
      <c r="J404" s="12"/>
      <c r="K404" s="12"/>
      <c r="L404" s="12"/>
      <c r="M404" s="12"/>
      <c r="N404" s="12"/>
      <c r="O404" s="12"/>
      <c r="P404" s="12"/>
    </row>
    <row r="405">
      <c r="A405" s="12"/>
      <c r="D405" s="95"/>
      <c r="E405" s="14"/>
      <c r="F405" s="96"/>
      <c r="H405" s="12"/>
      <c r="I405" s="12"/>
      <c r="J405" s="12"/>
      <c r="K405" s="12"/>
      <c r="L405" s="12"/>
      <c r="M405" s="12"/>
      <c r="N405" s="12"/>
      <c r="O405" s="12"/>
      <c r="P405" s="12"/>
    </row>
    <row r="406">
      <c r="A406" s="12"/>
      <c r="D406" s="95"/>
      <c r="E406" s="14"/>
      <c r="F406" s="96"/>
      <c r="H406" s="12"/>
      <c r="I406" s="12"/>
      <c r="J406" s="12"/>
      <c r="K406" s="12"/>
      <c r="L406" s="12"/>
      <c r="M406" s="12"/>
      <c r="N406" s="12"/>
      <c r="O406" s="12"/>
      <c r="P406" s="12"/>
    </row>
    <row r="407">
      <c r="A407" s="12"/>
      <c r="D407" s="95"/>
      <c r="E407" s="14"/>
      <c r="F407" s="96"/>
      <c r="H407" s="12"/>
      <c r="I407" s="12"/>
      <c r="J407" s="12"/>
      <c r="K407" s="12"/>
      <c r="L407" s="12"/>
      <c r="M407" s="12"/>
      <c r="N407" s="12"/>
      <c r="O407" s="12"/>
      <c r="P407" s="12"/>
    </row>
    <row r="408">
      <c r="A408" s="12"/>
      <c r="D408" s="95"/>
      <c r="E408" s="14"/>
      <c r="F408" s="96"/>
      <c r="H408" s="12"/>
      <c r="I408" s="12"/>
      <c r="J408" s="12"/>
      <c r="K408" s="12"/>
      <c r="L408" s="12"/>
      <c r="M408" s="12"/>
      <c r="N408" s="12"/>
      <c r="O408" s="12"/>
      <c r="P408" s="12"/>
    </row>
    <row r="409">
      <c r="A409" s="12"/>
      <c r="D409" s="95"/>
      <c r="E409" s="14"/>
      <c r="F409" s="96"/>
      <c r="H409" s="12"/>
      <c r="I409" s="12"/>
      <c r="J409" s="12"/>
      <c r="K409" s="12"/>
      <c r="L409" s="12"/>
      <c r="M409" s="12"/>
      <c r="N409" s="12"/>
      <c r="O409" s="12"/>
      <c r="P409" s="12"/>
    </row>
    <row r="410">
      <c r="A410" s="12"/>
      <c r="D410" s="95"/>
      <c r="E410" s="14"/>
      <c r="F410" s="96"/>
      <c r="H410" s="12"/>
      <c r="I410" s="12"/>
      <c r="J410" s="12"/>
      <c r="K410" s="12"/>
      <c r="L410" s="12"/>
      <c r="M410" s="12"/>
      <c r="N410" s="12"/>
      <c r="O410" s="12"/>
      <c r="P410" s="12"/>
    </row>
    <row r="411">
      <c r="A411" s="12"/>
      <c r="D411" s="95"/>
      <c r="E411" s="14"/>
      <c r="F411" s="96"/>
      <c r="H411" s="12"/>
      <c r="I411" s="12"/>
      <c r="J411" s="12"/>
      <c r="K411" s="12"/>
      <c r="L411" s="12"/>
      <c r="M411" s="12"/>
      <c r="N411" s="12"/>
      <c r="O411" s="12"/>
      <c r="P411" s="12"/>
    </row>
    <row r="412">
      <c r="A412" s="12"/>
      <c r="D412" s="95"/>
      <c r="E412" s="14"/>
      <c r="F412" s="96"/>
      <c r="H412" s="12"/>
      <c r="I412" s="12"/>
      <c r="J412" s="12"/>
      <c r="K412" s="12"/>
      <c r="L412" s="12"/>
      <c r="M412" s="12"/>
      <c r="N412" s="12"/>
      <c r="O412" s="12"/>
      <c r="P412" s="12"/>
    </row>
    <row r="413">
      <c r="A413" s="12"/>
      <c r="D413" s="95"/>
      <c r="E413" s="14"/>
      <c r="F413" s="96"/>
      <c r="H413" s="12"/>
      <c r="I413" s="12"/>
      <c r="J413" s="12"/>
      <c r="K413" s="12"/>
      <c r="L413" s="12"/>
      <c r="M413" s="12"/>
      <c r="N413" s="12"/>
      <c r="O413" s="12"/>
      <c r="P413" s="12"/>
    </row>
    <row r="414">
      <c r="A414" s="12"/>
      <c r="D414" s="95"/>
      <c r="E414" s="14"/>
      <c r="F414" s="96"/>
      <c r="H414" s="12"/>
      <c r="I414" s="12"/>
      <c r="J414" s="12"/>
      <c r="K414" s="12"/>
      <c r="L414" s="12"/>
      <c r="M414" s="12"/>
      <c r="N414" s="12"/>
      <c r="O414" s="12"/>
      <c r="P414" s="12"/>
    </row>
    <row r="415">
      <c r="A415" s="12"/>
      <c r="D415" s="95"/>
      <c r="E415" s="14"/>
      <c r="F415" s="96"/>
      <c r="H415" s="12"/>
      <c r="I415" s="12"/>
      <c r="J415" s="12"/>
      <c r="K415" s="12"/>
      <c r="L415" s="12"/>
      <c r="M415" s="12"/>
      <c r="N415" s="12"/>
      <c r="O415" s="12"/>
      <c r="P415" s="12"/>
    </row>
    <row r="416">
      <c r="A416" s="12"/>
      <c r="D416" s="95"/>
      <c r="E416" s="14"/>
      <c r="F416" s="96"/>
      <c r="H416" s="12"/>
      <c r="I416" s="12"/>
      <c r="J416" s="12"/>
      <c r="K416" s="12"/>
      <c r="L416" s="12"/>
      <c r="M416" s="12"/>
      <c r="N416" s="12"/>
      <c r="O416" s="12"/>
      <c r="P416" s="12"/>
    </row>
    <row r="417">
      <c r="A417" s="12"/>
      <c r="D417" s="95"/>
      <c r="E417" s="14"/>
      <c r="F417" s="96"/>
      <c r="H417" s="12"/>
      <c r="I417" s="12"/>
      <c r="J417" s="12"/>
      <c r="K417" s="12"/>
      <c r="L417" s="12"/>
      <c r="M417" s="12"/>
      <c r="N417" s="12"/>
      <c r="O417" s="12"/>
      <c r="P417" s="12"/>
    </row>
    <row r="418">
      <c r="A418" s="12"/>
      <c r="D418" s="95"/>
      <c r="E418" s="14"/>
      <c r="F418" s="96"/>
      <c r="H418" s="12"/>
      <c r="I418" s="12"/>
      <c r="J418" s="12"/>
      <c r="K418" s="12"/>
      <c r="L418" s="12"/>
      <c r="M418" s="12"/>
      <c r="N418" s="12"/>
      <c r="O418" s="12"/>
      <c r="P418" s="12"/>
    </row>
    <row r="419">
      <c r="A419" s="12"/>
      <c r="D419" s="95"/>
      <c r="E419" s="14"/>
      <c r="F419" s="96"/>
      <c r="H419" s="12"/>
      <c r="I419" s="12"/>
      <c r="J419" s="12"/>
      <c r="K419" s="12"/>
      <c r="L419" s="12"/>
      <c r="M419" s="12"/>
      <c r="N419" s="12"/>
      <c r="O419" s="12"/>
      <c r="P419" s="12"/>
    </row>
    <row r="420">
      <c r="A420" s="12"/>
      <c r="D420" s="95"/>
      <c r="E420" s="14"/>
      <c r="F420" s="96"/>
      <c r="H420" s="12"/>
      <c r="I420" s="12"/>
      <c r="J420" s="12"/>
      <c r="K420" s="12"/>
      <c r="L420" s="12"/>
      <c r="M420" s="12"/>
      <c r="N420" s="12"/>
      <c r="O420" s="12"/>
      <c r="P420" s="12"/>
    </row>
    <row r="421">
      <c r="A421" s="12"/>
      <c r="D421" s="95"/>
      <c r="E421" s="14"/>
      <c r="F421" s="96"/>
      <c r="H421" s="12"/>
      <c r="I421" s="12"/>
      <c r="J421" s="12"/>
      <c r="K421" s="12"/>
      <c r="L421" s="12"/>
      <c r="M421" s="12"/>
      <c r="N421" s="12"/>
      <c r="O421" s="12"/>
      <c r="P421" s="12"/>
    </row>
    <row r="422">
      <c r="A422" s="12"/>
      <c r="D422" s="95"/>
      <c r="E422" s="14"/>
      <c r="F422" s="96"/>
      <c r="H422" s="12"/>
      <c r="I422" s="12"/>
      <c r="J422" s="12"/>
      <c r="K422" s="12"/>
      <c r="L422" s="12"/>
      <c r="M422" s="12"/>
      <c r="N422" s="12"/>
      <c r="O422" s="12"/>
      <c r="P422" s="12"/>
    </row>
    <row r="423">
      <c r="A423" s="12"/>
      <c r="D423" s="95"/>
      <c r="E423" s="14"/>
      <c r="F423" s="96"/>
      <c r="H423" s="12"/>
      <c r="I423" s="12"/>
      <c r="J423" s="12"/>
      <c r="K423" s="12"/>
      <c r="L423" s="12"/>
      <c r="M423" s="12"/>
      <c r="N423" s="12"/>
      <c r="O423" s="12"/>
      <c r="P423" s="12"/>
    </row>
    <row r="424">
      <c r="A424" s="12"/>
      <c r="D424" s="95"/>
      <c r="E424" s="14"/>
      <c r="F424" s="96"/>
      <c r="H424" s="12"/>
      <c r="I424" s="12"/>
      <c r="J424" s="12"/>
      <c r="K424" s="12"/>
      <c r="L424" s="12"/>
      <c r="M424" s="12"/>
      <c r="N424" s="12"/>
      <c r="O424" s="12"/>
      <c r="P424" s="12"/>
    </row>
    <row r="425">
      <c r="A425" s="12"/>
      <c r="D425" s="95"/>
      <c r="E425" s="14"/>
      <c r="F425" s="96"/>
      <c r="H425" s="12"/>
      <c r="I425" s="12"/>
      <c r="J425" s="12"/>
      <c r="K425" s="12"/>
      <c r="L425" s="12"/>
      <c r="M425" s="12"/>
      <c r="N425" s="12"/>
      <c r="O425" s="12"/>
      <c r="P425" s="12"/>
    </row>
    <row r="426">
      <c r="A426" s="12"/>
      <c r="D426" s="95"/>
      <c r="E426" s="14"/>
      <c r="F426" s="96"/>
      <c r="H426" s="12"/>
      <c r="I426" s="12"/>
      <c r="J426" s="12"/>
      <c r="K426" s="12"/>
      <c r="L426" s="12"/>
      <c r="M426" s="12"/>
      <c r="N426" s="12"/>
      <c r="O426" s="12"/>
      <c r="P426" s="12"/>
    </row>
    <row r="427">
      <c r="A427" s="12"/>
      <c r="D427" s="95"/>
      <c r="E427" s="14"/>
      <c r="F427" s="96"/>
      <c r="H427" s="12"/>
      <c r="I427" s="12"/>
      <c r="J427" s="12"/>
      <c r="K427" s="12"/>
      <c r="L427" s="12"/>
      <c r="M427" s="12"/>
      <c r="N427" s="12"/>
      <c r="O427" s="12"/>
      <c r="P427" s="12"/>
    </row>
    <row r="428">
      <c r="A428" s="12"/>
      <c r="D428" s="95"/>
      <c r="E428" s="14"/>
      <c r="F428" s="96"/>
      <c r="H428" s="12"/>
      <c r="I428" s="12"/>
      <c r="J428" s="12"/>
      <c r="K428" s="12"/>
      <c r="L428" s="12"/>
      <c r="M428" s="12"/>
      <c r="N428" s="12"/>
      <c r="O428" s="12"/>
      <c r="P428" s="12"/>
    </row>
    <row r="429">
      <c r="A429" s="12"/>
      <c r="D429" s="95"/>
      <c r="E429" s="14"/>
      <c r="F429" s="96"/>
      <c r="H429" s="12"/>
      <c r="I429" s="12"/>
      <c r="J429" s="12"/>
      <c r="K429" s="12"/>
      <c r="L429" s="12"/>
      <c r="M429" s="12"/>
      <c r="N429" s="12"/>
      <c r="O429" s="12"/>
      <c r="P429" s="12"/>
    </row>
    <row r="430">
      <c r="A430" s="12"/>
      <c r="D430" s="95"/>
      <c r="E430" s="14"/>
      <c r="F430" s="96"/>
      <c r="H430" s="12"/>
      <c r="I430" s="12"/>
      <c r="J430" s="12"/>
      <c r="K430" s="12"/>
      <c r="L430" s="12"/>
      <c r="M430" s="12"/>
      <c r="N430" s="12"/>
      <c r="O430" s="12"/>
      <c r="P430" s="12"/>
    </row>
    <row r="431">
      <c r="A431" s="12"/>
      <c r="D431" s="95"/>
      <c r="E431" s="14"/>
      <c r="F431" s="96"/>
      <c r="H431" s="12"/>
      <c r="I431" s="12"/>
      <c r="J431" s="12"/>
      <c r="K431" s="12"/>
      <c r="L431" s="12"/>
      <c r="M431" s="12"/>
      <c r="N431" s="12"/>
      <c r="O431" s="12"/>
      <c r="P431" s="12"/>
    </row>
    <row r="432">
      <c r="A432" s="12"/>
      <c r="D432" s="95"/>
      <c r="E432" s="14"/>
      <c r="F432" s="96"/>
      <c r="H432" s="12"/>
      <c r="I432" s="12"/>
      <c r="J432" s="12"/>
      <c r="K432" s="12"/>
      <c r="L432" s="12"/>
      <c r="M432" s="12"/>
      <c r="N432" s="12"/>
      <c r="O432" s="12"/>
      <c r="P432" s="12"/>
    </row>
    <row r="433">
      <c r="A433" s="12"/>
      <c r="D433" s="95"/>
      <c r="E433" s="14"/>
      <c r="F433" s="96"/>
      <c r="H433" s="12"/>
      <c r="I433" s="12"/>
      <c r="J433" s="12"/>
      <c r="K433" s="12"/>
      <c r="L433" s="12"/>
      <c r="M433" s="12"/>
      <c r="N433" s="12"/>
      <c r="O433" s="12"/>
      <c r="P433" s="12"/>
    </row>
    <row r="434">
      <c r="A434" s="12"/>
      <c r="D434" s="95"/>
      <c r="E434" s="14"/>
      <c r="F434" s="96"/>
      <c r="H434" s="12"/>
      <c r="I434" s="12"/>
      <c r="J434" s="12"/>
      <c r="K434" s="12"/>
      <c r="L434" s="12"/>
      <c r="M434" s="12"/>
      <c r="N434" s="12"/>
      <c r="O434" s="12"/>
      <c r="P434" s="12"/>
    </row>
    <row r="435">
      <c r="A435" s="12"/>
      <c r="D435" s="95"/>
      <c r="E435" s="14"/>
      <c r="F435" s="96"/>
      <c r="H435" s="12"/>
      <c r="I435" s="12"/>
      <c r="J435" s="12"/>
      <c r="K435" s="12"/>
      <c r="L435" s="12"/>
      <c r="M435" s="12"/>
      <c r="N435" s="12"/>
      <c r="O435" s="12"/>
      <c r="P435" s="12"/>
    </row>
    <row r="436">
      <c r="A436" s="12"/>
      <c r="D436" s="95"/>
      <c r="E436" s="14"/>
      <c r="F436" s="96"/>
      <c r="H436" s="12"/>
      <c r="I436" s="12"/>
      <c r="J436" s="12"/>
      <c r="K436" s="12"/>
      <c r="L436" s="12"/>
      <c r="M436" s="12"/>
      <c r="N436" s="12"/>
      <c r="O436" s="12"/>
      <c r="P436" s="12"/>
    </row>
    <row r="437">
      <c r="A437" s="12"/>
      <c r="D437" s="95"/>
      <c r="E437" s="14"/>
      <c r="F437" s="96"/>
      <c r="H437" s="12"/>
      <c r="I437" s="12"/>
      <c r="J437" s="12"/>
      <c r="K437" s="12"/>
      <c r="L437" s="12"/>
      <c r="M437" s="12"/>
      <c r="N437" s="12"/>
      <c r="O437" s="12"/>
      <c r="P437" s="12"/>
    </row>
    <row r="438">
      <c r="A438" s="12"/>
      <c r="D438" s="95"/>
      <c r="E438" s="14"/>
      <c r="F438" s="96"/>
      <c r="H438" s="12"/>
      <c r="I438" s="12"/>
      <c r="J438" s="12"/>
      <c r="K438" s="12"/>
      <c r="L438" s="12"/>
      <c r="M438" s="12"/>
      <c r="N438" s="12"/>
      <c r="O438" s="12"/>
      <c r="P438" s="12"/>
    </row>
    <row r="439">
      <c r="A439" s="12"/>
      <c r="D439" s="95"/>
      <c r="E439" s="14"/>
      <c r="F439" s="96"/>
      <c r="H439" s="12"/>
      <c r="I439" s="12"/>
      <c r="J439" s="12"/>
      <c r="K439" s="12"/>
      <c r="L439" s="12"/>
      <c r="M439" s="12"/>
      <c r="N439" s="12"/>
      <c r="O439" s="12"/>
      <c r="P439" s="12"/>
    </row>
    <row r="440">
      <c r="A440" s="12"/>
      <c r="D440" s="95"/>
      <c r="E440" s="14"/>
      <c r="F440" s="96"/>
      <c r="H440" s="12"/>
      <c r="I440" s="12"/>
      <c r="J440" s="12"/>
      <c r="K440" s="12"/>
      <c r="L440" s="12"/>
      <c r="M440" s="12"/>
      <c r="N440" s="12"/>
      <c r="O440" s="12"/>
      <c r="P440" s="12"/>
    </row>
    <row r="441">
      <c r="A441" s="12"/>
      <c r="D441" s="95"/>
      <c r="E441" s="14"/>
      <c r="F441" s="96"/>
      <c r="H441" s="12"/>
      <c r="I441" s="12"/>
      <c r="J441" s="12"/>
      <c r="K441" s="12"/>
      <c r="L441" s="12"/>
      <c r="M441" s="12"/>
      <c r="N441" s="12"/>
      <c r="O441" s="12"/>
      <c r="P441" s="12"/>
    </row>
    <row r="442">
      <c r="A442" s="12"/>
      <c r="D442" s="95"/>
      <c r="E442" s="14"/>
      <c r="F442" s="96"/>
      <c r="H442" s="12"/>
      <c r="I442" s="12"/>
      <c r="J442" s="12"/>
      <c r="K442" s="12"/>
      <c r="L442" s="12"/>
      <c r="M442" s="12"/>
      <c r="N442" s="12"/>
      <c r="O442" s="12"/>
      <c r="P442" s="12"/>
    </row>
    <row r="443">
      <c r="A443" s="12"/>
      <c r="D443" s="95"/>
      <c r="E443" s="14"/>
      <c r="F443" s="96"/>
      <c r="H443" s="12"/>
      <c r="I443" s="12"/>
      <c r="J443" s="12"/>
      <c r="K443" s="12"/>
      <c r="L443" s="12"/>
      <c r="M443" s="12"/>
      <c r="N443" s="12"/>
      <c r="O443" s="12"/>
      <c r="P443" s="12"/>
    </row>
    <row r="444">
      <c r="A444" s="12"/>
      <c r="D444" s="95"/>
      <c r="E444" s="14"/>
      <c r="F444" s="96"/>
      <c r="H444" s="12"/>
      <c r="I444" s="12"/>
      <c r="J444" s="12"/>
      <c r="K444" s="12"/>
      <c r="L444" s="12"/>
      <c r="M444" s="12"/>
      <c r="N444" s="12"/>
      <c r="O444" s="12"/>
      <c r="P444" s="12"/>
    </row>
    <row r="445">
      <c r="A445" s="12"/>
      <c r="D445" s="95"/>
      <c r="E445" s="14"/>
      <c r="F445" s="96"/>
      <c r="H445" s="12"/>
      <c r="I445" s="12"/>
      <c r="J445" s="12"/>
      <c r="K445" s="12"/>
      <c r="L445" s="12"/>
      <c r="M445" s="12"/>
      <c r="N445" s="12"/>
      <c r="O445" s="12"/>
      <c r="P445" s="12"/>
    </row>
    <row r="446">
      <c r="A446" s="12"/>
      <c r="D446" s="95"/>
      <c r="E446" s="14"/>
      <c r="F446" s="96"/>
      <c r="H446" s="12"/>
      <c r="I446" s="12"/>
      <c r="J446" s="12"/>
      <c r="K446" s="12"/>
      <c r="L446" s="12"/>
      <c r="M446" s="12"/>
      <c r="N446" s="12"/>
      <c r="O446" s="12"/>
      <c r="P446" s="12"/>
    </row>
    <row r="447">
      <c r="A447" s="12"/>
      <c r="D447" s="95"/>
      <c r="E447" s="14"/>
      <c r="F447" s="96"/>
      <c r="H447" s="12"/>
      <c r="I447" s="12"/>
      <c r="J447" s="12"/>
      <c r="K447" s="12"/>
      <c r="L447" s="12"/>
      <c r="M447" s="12"/>
      <c r="N447" s="12"/>
      <c r="O447" s="12"/>
      <c r="P447" s="12"/>
    </row>
    <row r="448">
      <c r="A448" s="12"/>
      <c r="D448" s="95"/>
      <c r="E448" s="14"/>
      <c r="F448" s="96"/>
      <c r="H448" s="12"/>
      <c r="I448" s="12"/>
      <c r="J448" s="12"/>
      <c r="K448" s="12"/>
      <c r="L448" s="12"/>
      <c r="M448" s="12"/>
      <c r="N448" s="12"/>
      <c r="O448" s="12"/>
      <c r="P448" s="12"/>
    </row>
    <row r="449">
      <c r="A449" s="12"/>
      <c r="D449" s="95"/>
      <c r="E449" s="14"/>
      <c r="F449" s="96"/>
      <c r="H449" s="12"/>
      <c r="I449" s="12"/>
      <c r="J449" s="12"/>
      <c r="K449" s="12"/>
      <c r="L449" s="12"/>
      <c r="M449" s="12"/>
      <c r="N449" s="12"/>
      <c r="O449" s="12"/>
      <c r="P449" s="12"/>
    </row>
    <row r="450">
      <c r="A450" s="12"/>
      <c r="D450" s="95"/>
      <c r="E450" s="14"/>
      <c r="F450" s="96"/>
      <c r="H450" s="12"/>
      <c r="I450" s="12"/>
      <c r="J450" s="12"/>
      <c r="K450" s="12"/>
      <c r="L450" s="12"/>
      <c r="M450" s="12"/>
      <c r="N450" s="12"/>
      <c r="O450" s="12"/>
      <c r="P450" s="12"/>
    </row>
    <row r="451">
      <c r="A451" s="12"/>
      <c r="D451" s="95"/>
      <c r="E451" s="14"/>
      <c r="F451" s="96"/>
      <c r="H451" s="12"/>
      <c r="I451" s="12"/>
      <c r="J451" s="12"/>
      <c r="K451" s="12"/>
      <c r="L451" s="12"/>
      <c r="M451" s="12"/>
      <c r="N451" s="12"/>
      <c r="O451" s="12"/>
      <c r="P451" s="12"/>
    </row>
    <row r="452">
      <c r="A452" s="12"/>
      <c r="D452" s="95"/>
      <c r="E452" s="14"/>
      <c r="F452" s="96"/>
      <c r="H452" s="12"/>
      <c r="I452" s="12"/>
      <c r="J452" s="12"/>
      <c r="K452" s="12"/>
      <c r="L452" s="12"/>
      <c r="M452" s="12"/>
      <c r="N452" s="12"/>
      <c r="O452" s="12"/>
      <c r="P452" s="12"/>
    </row>
    <row r="453">
      <c r="A453" s="12"/>
      <c r="D453" s="95"/>
      <c r="E453" s="14"/>
      <c r="F453" s="96"/>
      <c r="H453" s="12"/>
      <c r="I453" s="12"/>
      <c r="J453" s="12"/>
      <c r="K453" s="12"/>
      <c r="L453" s="12"/>
      <c r="M453" s="12"/>
      <c r="N453" s="12"/>
      <c r="O453" s="12"/>
      <c r="P453" s="12"/>
    </row>
    <row r="454">
      <c r="A454" s="12"/>
      <c r="D454" s="95"/>
      <c r="E454" s="14"/>
      <c r="F454" s="96"/>
      <c r="H454" s="12"/>
      <c r="I454" s="12"/>
      <c r="J454" s="12"/>
      <c r="K454" s="12"/>
      <c r="L454" s="12"/>
      <c r="M454" s="12"/>
      <c r="N454" s="12"/>
      <c r="O454" s="12"/>
      <c r="P454" s="12"/>
    </row>
    <row r="455">
      <c r="A455" s="12"/>
      <c r="D455" s="95"/>
      <c r="E455" s="14"/>
      <c r="F455" s="96"/>
      <c r="H455" s="12"/>
      <c r="I455" s="12"/>
      <c r="J455" s="12"/>
      <c r="K455" s="12"/>
      <c r="L455" s="12"/>
      <c r="M455" s="12"/>
      <c r="N455" s="12"/>
      <c r="O455" s="12"/>
      <c r="P455" s="12"/>
    </row>
    <row r="456">
      <c r="A456" s="12"/>
      <c r="D456" s="95"/>
      <c r="E456" s="14"/>
      <c r="F456" s="96"/>
      <c r="H456" s="12"/>
      <c r="I456" s="12"/>
      <c r="J456" s="12"/>
      <c r="K456" s="12"/>
      <c r="L456" s="12"/>
      <c r="M456" s="12"/>
      <c r="N456" s="12"/>
      <c r="O456" s="12"/>
      <c r="P456" s="12"/>
    </row>
    <row r="457">
      <c r="A457" s="12"/>
      <c r="D457" s="95"/>
      <c r="E457" s="14"/>
      <c r="F457" s="96"/>
      <c r="H457" s="12"/>
      <c r="I457" s="12"/>
      <c r="J457" s="12"/>
      <c r="K457" s="12"/>
      <c r="L457" s="12"/>
      <c r="M457" s="12"/>
      <c r="N457" s="12"/>
      <c r="O457" s="12"/>
      <c r="P457" s="12"/>
    </row>
    <row r="458">
      <c r="A458" s="12"/>
      <c r="D458" s="95"/>
      <c r="E458" s="14"/>
      <c r="F458" s="96"/>
      <c r="H458" s="12"/>
      <c r="I458" s="12"/>
      <c r="J458" s="12"/>
      <c r="K458" s="12"/>
      <c r="L458" s="12"/>
      <c r="M458" s="12"/>
      <c r="N458" s="12"/>
      <c r="O458" s="12"/>
      <c r="P458" s="12"/>
    </row>
    <row r="459">
      <c r="A459" s="12"/>
      <c r="D459" s="95"/>
      <c r="E459" s="14"/>
      <c r="F459" s="96"/>
      <c r="H459" s="12"/>
      <c r="I459" s="12"/>
      <c r="J459" s="12"/>
      <c r="K459" s="12"/>
      <c r="L459" s="12"/>
      <c r="M459" s="12"/>
      <c r="N459" s="12"/>
      <c r="O459" s="12"/>
      <c r="P459" s="12"/>
    </row>
    <row r="460">
      <c r="A460" s="12"/>
      <c r="D460" s="95"/>
      <c r="E460" s="14"/>
      <c r="F460" s="96"/>
      <c r="H460" s="12"/>
      <c r="I460" s="12"/>
      <c r="J460" s="12"/>
      <c r="K460" s="12"/>
      <c r="L460" s="12"/>
      <c r="M460" s="12"/>
      <c r="N460" s="12"/>
      <c r="O460" s="12"/>
      <c r="P460" s="12"/>
    </row>
    <row r="461">
      <c r="A461" s="12"/>
      <c r="D461" s="95"/>
      <c r="E461" s="14"/>
      <c r="F461" s="96"/>
      <c r="H461" s="12"/>
      <c r="I461" s="12"/>
      <c r="J461" s="12"/>
      <c r="K461" s="12"/>
      <c r="L461" s="12"/>
      <c r="M461" s="12"/>
      <c r="N461" s="12"/>
      <c r="O461" s="12"/>
      <c r="P461" s="12"/>
    </row>
    <row r="462">
      <c r="A462" s="12"/>
      <c r="D462" s="95"/>
      <c r="E462" s="14"/>
      <c r="F462" s="96"/>
      <c r="H462" s="12"/>
      <c r="I462" s="12"/>
      <c r="J462" s="12"/>
      <c r="K462" s="12"/>
      <c r="L462" s="12"/>
      <c r="M462" s="12"/>
      <c r="N462" s="12"/>
      <c r="O462" s="12"/>
      <c r="P462" s="12"/>
    </row>
    <row r="463">
      <c r="A463" s="12"/>
      <c r="D463" s="95"/>
      <c r="E463" s="14"/>
      <c r="F463" s="96"/>
      <c r="H463" s="12"/>
      <c r="I463" s="12"/>
      <c r="J463" s="12"/>
      <c r="K463" s="12"/>
      <c r="L463" s="12"/>
      <c r="M463" s="12"/>
      <c r="N463" s="12"/>
      <c r="O463" s="12"/>
      <c r="P463" s="12"/>
    </row>
    <row r="464">
      <c r="A464" s="12"/>
      <c r="D464" s="95"/>
      <c r="E464" s="14"/>
      <c r="F464" s="96"/>
      <c r="H464" s="12"/>
      <c r="I464" s="12"/>
      <c r="J464" s="12"/>
      <c r="K464" s="12"/>
      <c r="L464" s="12"/>
      <c r="M464" s="12"/>
      <c r="N464" s="12"/>
      <c r="O464" s="12"/>
      <c r="P464" s="12"/>
    </row>
    <row r="465">
      <c r="A465" s="12"/>
      <c r="D465" s="95"/>
      <c r="E465" s="14"/>
      <c r="F465" s="96"/>
      <c r="H465" s="12"/>
      <c r="I465" s="12"/>
      <c r="J465" s="12"/>
      <c r="K465" s="12"/>
      <c r="L465" s="12"/>
      <c r="M465" s="12"/>
      <c r="N465" s="12"/>
      <c r="O465" s="12"/>
      <c r="P465" s="12"/>
    </row>
    <row r="466">
      <c r="A466" s="12"/>
      <c r="D466" s="95"/>
      <c r="E466" s="14"/>
      <c r="F466" s="96"/>
      <c r="H466" s="12"/>
      <c r="I466" s="12"/>
      <c r="J466" s="12"/>
      <c r="K466" s="12"/>
      <c r="L466" s="12"/>
      <c r="M466" s="12"/>
      <c r="N466" s="12"/>
      <c r="O466" s="12"/>
      <c r="P466" s="12"/>
    </row>
    <row r="467">
      <c r="A467" s="12"/>
      <c r="D467" s="95"/>
      <c r="E467" s="14"/>
      <c r="F467" s="96"/>
      <c r="H467" s="12"/>
      <c r="I467" s="12"/>
      <c r="J467" s="12"/>
      <c r="K467" s="12"/>
      <c r="L467" s="12"/>
      <c r="M467" s="12"/>
      <c r="N467" s="12"/>
      <c r="O467" s="12"/>
      <c r="P467" s="12"/>
    </row>
    <row r="468">
      <c r="A468" s="12"/>
      <c r="D468" s="95"/>
      <c r="E468" s="14"/>
      <c r="F468" s="96"/>
      <c r="H468" s="12"/>
      <c r="I468" s="12"/>
      <c r="J468" s="12"/>
      <c r="K468" s="12"/>
      <c r="L468" s="12"/>
      <c r="M468" s="12"/>
      <c r="N468" s="12"/>
      <c r="O468" s="12"/>
      <c r="P468" s="12"/>
    </row>
    <row r="469">
      <c r="A469" s="12"/>
      <c r="D469" s="95"/>
      <c r="E469" s="14"/>
      <c r="F469" s="96"/>
      <c r="H469" s="12"/>
      <c r="I469" s="12"/>
      <c r="J469" s="12"/>
      <c r="K469" s="12"/>
      <c r="L469" s="12"/>
      <c r="M469" s="12"/>
      <c r="N469" s="12"/>
      <c r="O469" s="12"/>
      <c r="P469" s="12"/>
    </row>
    <row r="470">
      <c r="A470" s="12"/>
      <c r="D470" s="95"/>
      <c r="E470" s="14"/>
      <c r="F470" s="96"/>
      <c r="H470" s="12"/>
      <c r="I470" s="12"/>
      <c r="J470" s="12"/>
      <c r="K470" s="12"/>
      <c r="L470" s="12"/>
      <c r="M470" s="12"/>
      <c r="N470" s="12"/>
      <c r="O470" s="12"/>
      <c r="P470" s="12"/>
    </row>
    <row r="471">
      <c r="A471" s="12"/>
      <c r="D471" s="95"/>
      <c r="E471" s="14"/>
      <c r="F471" s="96"/>
      <c r="H471" s="12"/>
      <c r="I471" s="12"/>
      <c r="J471" s="12"/>
      <c r="K471" s="12"/>
      <c r="L471" s="12"/>
      <c r="M471" s="12"/>
      <c r="N471" s="12"/>
      <c r="O471" s="12"/>
      <c r="P471" s="12"/>
    </row>
    <row r="472">
      <c r="A472" s="12"/>
      <c r="D472" s="95"/>
      <c r="E472" s="14"/>
      <c r="F472" s="96"/>
      <c r="H472" s="12"/>
      <c r="I472" s="12"/>
      <c r="J472" s="12"/>
      <c r="K472" s="12"/>
      <c r="L472" s="12"/>
      <c r="M472" s="12"/>
      <c r="N472" s="12"/>
      <c r="O472" s="12"/>
      <c r="P472" s="12"/>
    </row>
    <row r="473">
      <c r="A473" s="12"/>
      <c r="D473" s="95"/>
      <c r="E473" s="14"/>
      <c r="F473" s="96"/>
      <c r="H473" s="12"/>
      <c r="I473" s="12"/>
      <c r="J473" s="12"/>
      <c r="K473" s="12"/>
      <c r="L473" s="12"/>
      <c r="M473" s="12"/>
      <c r="N473" s="12"/>
      <c r="O473" s="12"/>
      <c r="P473" s="12"/>
    </row>
    <row r="474">
      <c r="A474" s="12"/>
      <c r="D474" s="95"/>
      <c r="E474" s="14"/>
      <c r="F474" s="96"/>
      <c r="H474" s="12"/>
      <c r="I474" s="12"/>
      <c r="J474" s="12"/>
      <c r="K474" s="12"/>
      <c r="L474" s="12"/>
      <c r="M474" s="12"/>
      <c r="N474" s="12"/>
      <c r="O474" s="12"/>
      <c r="P474" s="12"/>
    </row>
    <row r="475">
      <c r="A475" s="12"/>
      <c r="D475" s="95"/>
      <c r="E475" s="14"/>
      <c r="F475" s="96"/>
      <c r="H475" s="12"/>
      <c r="I475" s="12"/>
      <c r="J475" s="12"/>
      <c r="K475" s="12"/>
      <c r="L475" s="12"/>
      <c r="M475" s="12"/>
      <c r="N475" s="12"/>
      <c r="O475" s="12"/>
      <c r="P475" s="12"/>
    </row>
    <row r="476">
      <c r="A476" s="12"/>
      <c r="D476" s="95"/>
      <c r="E476" s="14"/>
      <c r="F476" s="96"/>
      <c r="H476" s="12"/>
      <c r="I476" s="12"/>
      <c r="J476" s="12"/>
      <c r="K476" s="12"/>
      <c r="L476" s="12"/>
      <c r="M476" s="12"/>
      <c r="N476" s="12"/>
      <c r="O476" s="12"/>
      <c r="P476" s="12"/>
    </row>
    <row r="477">
      <c r="A477" s="12"/>
      <c r="D477" s="95"/>
      <c r="E477" s="14"/>
      <c r="F477" s="96"/>
      <c r="H477" s="12"/>
      <c r="I477" s="12"/>
      <c r="J477" s="12"/>
      <c r="K477" s="12"/>
      <c r="L477" s="12"/>
      <c r="M477" s="12"/>
      <c r="N477" s="12"/>
      <c r="O477" s="12"/>
      <c r="P477" s="12"/>
    </row>
    <row r="478">
      <c r="A478" s="12"/>
      <c r="D478" s="95"/>
      <c r="E478" s="14"/>
      <c r="F478" s="96"/>
      <c r="H478" s="12"/>
      <c r="I478" s="12"/>
      <c r="J478" s="12"/>
      <c r="K478" s="12"/>
      <c r="L478" s="12"/>
      <c r="M478" s="12"/>
      <c r="N478" s="12"/>
      <c r="O478" s="12"/>
      <c r="P478" s="12"/>
    </row>
    <row r="479">
      <c r="A479" s="12"/>
      <c r="D479" s="95"/>
      <c r="E479" s="14"/>
      <c r="F479" s="96"/>
      <c r="H479" s="12"/>
      <c r="I479" s="12"/>
      <c r="J479" s="12"/>
      <c r="K479" s="12"/>
      <c r="L479" s="12"/>
      <c r="M479" s="12"/>
      <c r="N479" s="12"/>
      <c r="O479" s="12"/>
      <c r="P479" s="12"/>
    </row>
    <row r="480">
      <c r="A480" s="12"/>
      <c r="D480" s="95"/>
      <c r="E480" s="14"/>
      <c r="F480" s="96"/>
      <c r="H480" s="12"/>
      <c r="I480" s="12"/>
      <c r="J480" s="12"/>
      <c r="K480" s="12"/>
      <c r="L480" s="12"/>
      <c r="M480" s="12"/>
      <c r="N480" s="12"/>
      <c r="O480" s="12"/>
      <c r="P480" s="12"/>
    </row>
    <row r="481">
      <c r="A481" s="12"/>
      <c r="D481" s="95"/>
      <c r="E481" s="14"/>
      <c r="F481" s="96"/>
      <c r="H481" s="12"/>
      <c r="I481" s="12"/>
      <c r="J481" s="12"/>
      <c r="K481" s="12"/>
      <c r="L481" s="12"/>
      <c r="M481" s="12"/>
      <c r="N481" s="12"/>
      <c r="O481" s="12"/>
      <c r="P481" s="12"/>
    </row>
    <row r="482">
      <c r="A482" s="12"/>
      <c r="D482" s="95"/>
      <c r="E482" s="14"/>
      <c r="F482" s="96"/>
      <c r="H482" s="12"/>
      <c r="I482" s="12"/>
      <c r="J482" s="12"/>
      <c r="K482" s="12"/>
      <c r="L482" s="12"/>
      <c r="M482" s="12"/>
      <c r="N482" s="12"/>
      <c r="O482" s="12"/>
      <c r="P482" s="12"/>
    </row>
    <row r="483">
      <c r="A483" s="12"/>
      <c r="D483" s="95"/>
      <c r="E483" s="14"/>
      <c r="F483" s="96"/>
      <c r="H483" s="12"/>
      <c r="I483" s="12"/>
      <c r="J483" s="12"/>
      <c r="K483" s="12"/>
      <c r="L483" s="12"/>
      <c r="M483" s="12"/>
      <c r="N483" s="12"/>
      <c r="O483" s="12"/>
      <c r="P483" s="12"/>
    </row>
    <row r="484">
      <c r="A484" s="12"/>
      <c r="D484" s="95"/>
      <c r="E484" s="14"/>
      <c r="F484" s="96"/>
      <c r="H484" s="12"/>
      <c r="I484" s="12"/>
      <c r="J484" s="12"/>
      <c r="K484" s="12"/>
      <c r="L484" s="12"/>
      <c r="M484" s="12"/>
      <c r="N484" s="12"/>
      <c r="O484" s="12"/>
      <c r="P484" s="12"/>
    </row>
    <row r="485">
      <c r="A485" s="12"/>
      <c r="D485" s="95"/>
      <c r="E485" s="14"/>
      <c r="F485" s="96"/>
      <c r="H485" s="12"/>
      <c r="I485" s="12"/>
      <c r="J485" s="12"/>
      <c r="K485" s="12"/>
      <c r="L485" s="12"/>
      <c r="M485" s="12"/>
      <c r="N485" s="12"/>
      <c r="O485" s="12"/>
      <c r="P485" s="12"/>
    </row>
    <row r="486">
      <c r="A486" s="12"/>
      <c r="D486" s="95"/>
      <c r="E486" s="14"/>
      <c r="F486" s="96"/>
      <c r="H486" s="12"/>
      <c r="I486" s="12"/>
      <c r="J486" s="12"/>
      <c r="K486" s="12"/>
      <c r="L486" s="12"/>
      <c r="M486" s="12"/>
      <c r="N486" s="12"/>
      <c r="O486" s="12"/>
      <c r="P486" s="12"/>
    </row>
    <row r="487">
      <c r="A487" s="12"/>
      <c r="D487" s="95"/>
      <c r="E487" s="14"/>
      <c r="F487" s="96"/>
      <c r="H487" s="12"/>
      <c r="I487" s="12"/>
      <c r="J487" s="12"/>
      <c r="K487" s="12"/>
      <c r="L487" s="12"/>
      <c r="M487" s="12"/>
      <c r="N487" s="12"/>
      <c r="O487" s="12"/>
      <c r="P487" s="12"/>
    </row>
    <row r="488">
      <c r="A488" s="12"/>
      <c r="D488" s="95"/>
      <c r="E488" s="14"/>
      <c r="F488" s="96"/>
      <c r="H488" s="12"/>
      <c r="I488" s="12"/>
      <c r="J488" s="12"/>
      <c r="K488" s="12"/>
      <c r="L488" s="12"/>
      <c r="M488" s="12"/>
      <c r="N488" s="12"/>
      <c r="O488" s="12"/>
      <c r="P488" s="12"/>
    </row>
    <row r="489">
      <c r="A489" s="12"/>
      <c r="D489" s="95"/>
      <c r="E489" s="14"/>
      <c r="F489" s="96"/>
      <c r="H489" s="12"/>
      <c r="I489" s="12"/>
      <c r="J489" s="12"/>
      <c r="K489" s="12"/>
      <c r="L489" s="12"/>
      <c r="M489" s="12"/>
      <c r="N489" s="12"/>
      <c r="O489" s="12"/>
      <c r="P489" s="12"/>
    </row>
    <row r="490">
      <c r="A490" s="12"/>
      <c r="D490" s="95"/>
      <c r="E490" s="14"/>
      <c r="F490" s="96"/>
      <c r="H490" s="12"/>
      <c r="I490" s="12"/>
      <c r="J490" s="12"/>
      <c r="K490" s="12"/>
      <c r="L490" s="12"/>
      <c r="M490" s="12"/>
      <c r="N490" s="12"/>
      <c r="O490" s="12"/>
      <c r="P490" s="12"/>
    </row>
    <row r="491">
      <c r="A491" s="12"/>
      <c r="D491" s="95"/>
      <c r="E491" s="14"/>
      <c r="F491" s="96"/>
      <c r="H491" s="12"/>
      <c r="I491" s="12"/>
      <c r="J491" s="12"/>
      <c r="K491" s="12"/>
      <c r="L491" s="12"/>
      <c r="M491" s="12"/>
      <c r="N491" s="12"/>
      <c r="O491" s="12"/>
      <c r="P491" s="12"/>
    </row>
    <row r="492">
      <c r="A492" s="12"/>
      <c r="D492" s="95"/>
      <c r="E492" s="14"/>
      <c r="F492" s="96"/>
      <c r="H492" s="12"/>
      <c r="I492" s="12"/>
      <c r="J492" s="12"/>
      <c r="K492" s="12"/>
      <c r="L492" s="12"/>
      <c r="M492" s="12"/>
      <c r="N492" s="12"/>
      <c r="O492" s="12"/>
      <c r="P492" s="12"/>
    </row>
    <row r="493">
      <c r="A493" s="12"/>
      <c r="D493" s="95"/>
      <c r="E493" s="14"/>
      <c r="F493" s="96"/>
      <c r="H493" s="12"/>
      <c r="I493" s="12"/>
      <c r="J493" s="12"/>
      <c r="K493" s="12"/>
      <c r="L493" s="12"/>
      <c r="M493" s="12"/>
      <c r="N493" s="12"/>
      <c r="O493" s="12"/>
      <c r="P493" s="12"/>
    </row>
    <row r="494">
      <c r="A494" s="12"/>
      <c r="D494" s="95"/>
      <c r="E494" s="14"/>
      <c r="F494" s="96"/>
      <c r="H494" s="12"/>
      <c r="I494" s="12"/>
      <c r="J494" s="12"/>
      <c r="K494" s="12"/>
      <c r="L494" s="12"/>
      <c r="M494" s="12"/>
      <c r="N494" s="12"/>
      <c r="O494" s="12"/>
      <c r="P494" s="12"/>
    </row>
    <row r="495">
      <c r="A495" s="12"/>
      <c r="D495" s="95"/>
      <c r="E495" s="14"/>
      <c r="F495" s="96"/>
      <c r="H495" s="12"/>
      <c r="I495" s="12"/>
      <c r="J495" s="12"/>
      <c r="K495" s="12"/>
      <c r="L495" s="12"/>
      <c r="M495" s="12"/>
      <c r="N495" s="12"/>
      <c r="O495" s="12"/>
      <c r="P495" s="12"/>
    </row>
    <row r="496">
      <c r="A496" s="12"/>
      <c r="D496" s="95"/>
      <c r="E496" s="14"/>
      <c r="F496" s="96"/>
      <c r="H496" s="12"/>
      <c r="I496" s="12"/>
      <c r="J496" s="12"/>
      <c r="K496" s="12"/>
      <c r="L496" s="12"/>
      <c r="M496" s="12"/>
      <c r="N496" s="12"/>
      <c r="O496" s="12"/>
      <c r="P496" s="12"/>
    </row>
    <row r="497">
      <c r="A497" s="12"/>
      <c r="D497" s="95"/>
      <c r="E497" s="14"/>
      <c r="F497" s="96"/>
      <c r="H497" s="12"/>
      <c r="I497" s="12"/>
      <c r="J497" s="12"/>
      <c r="K497" s="12"/>
      <c r="L497" s="12"/>
      <c r="M497" s="12"/>
      <c r="N497" s="12"/>
      <c r="O497" s="12"/>
      <c r="P497" s="12"/>
    </row>
    <row r="498">
      <c r="A498" s="12"/>
      <c r="D498" s="95"/>
      <c r="E498" s="14"/>
      <c r="F498" s="96"/>
      <c r="H498" s="12"/>
      <c r="I498" s="12"/>
      <c r="J498" s="12"/>
      <c r="K498" s="12"/>
      <c r="L498" s="12"/>
      <c r="M498" s="12"/>
      <c r="N498" s="12"/>
      <c r="O498" s="12"/>
      <c r="P498" s="12"/>
    </row>
    <row r="499">
      <c r="A499" s="12"/>
      <c r="D499" s="95"/>
      <c r="E499" s="14"/>
      <c r="F499" s="96"/>
      <c r="H499" s="12"/>
      <c r="I499" s="12"/>
      <c r="J499" s="12"/>
      <c r="K499" s="12"/>
      <c r="L499" s="12"/>
      <c r="M499" s="12"/>
      <c r="N499" s="12"/>
      <c r="O499" s="12"/>
      <c r="P499" s="12"/>
    </row>
    <row r="500">
      <c r="A500" s="12"/>
      <c r="D500" s="95"/>
      <c r="E500" s="14"/>
      <c r="F500" s="96"/>
      <c r="H500" s="12"/>
      <c r="I500" s="12"/>
      <c r="J500" s="12"/>
      <c r="K500" s="12"/>
      <c r="L500" s="12"/>
      <c r="M500" s="12"/>
      <c r="N500" s="12"/>
      <c r="O500" s="12"/>
      <c r="P500" s="12"/>
    </row>
    <row r="501">
      <c r="A501" s="12"/>
      <c r="D501" s="95"/>
      <c r="E501" s="14"/>
      <c r="F501" s="96"/>
      <c r="H501" s="12"/>
      <c r="I501" s="12"/>
      <c r="J501" s="12"/>
      <c r="K501" s="12"/>
      <c r="L501" s="12"/>
      <c r="M501" s="12"/>
      <c r="N501" s="12"/>
      <c r="O501" s="12"/>
      <c r="P501" s="12"/>
    </row>
    <row r="502">
      <c r="A502" s="12"/>
      <c r="D502" s="95"/>
      <c r="E502" s="14"/>
      <c r="F502" s="96"/>
      <c r="H502" s="12"/>
      <c r="I502" s="12"/>
      <c r="J502" s="12"/>
      <c r="K502" s="12"/>
      <c r="L502" s="12"/>
      <c r="M502" s="12"/>
      <c r="N502" s="12"/>
      <c r="O502" s="12"/>
      <c r="P502" s="12"/>
    </row>
    <row r="503">
      <c r="A503" s="12"/>
      <c r="D503" s="95"/>
      <c r="E503" s="14"/>
      <c r="F503" s="96"/>
      <c r="H503" s="12"/>
      <c r="I503" s="12"/>
      <c r="J503" s="12"/>
      <c r="K503" s="12"/>
      <c r="L503" s="12"/>
      <c r="M503" s="12"/>
      <c r="N503" s="12"/>
      <c r="O503" s="12"/>
      <c r="P503" s="12"/>
    </row>
    <row r="504">
      <c r="A504" s="12"/>
      <c r="D504" s="95"/>
      <c r="E504" s="14"/>
      <c r="F504" s="96"/>
      <c r="H504" s="12"/>
      <c r="I504" s="12"/>
      <c r="J504" s="12"/>
      <c r="K504" s="12"/>
      <c r="L504" s="12"/>
      <c r="M504" s="12"/>
      <c r="N504" s="12"/>
      <c r="O504" s="12"/>
      <c r="P504" s="12"/>
    </row>
    <row r="505">
      <c r="A505" s="12"/>
      <c r="D505" s="95"/>
      <c r="E505" s="14"/>
      <c r="F505" s="96"/>
      <c r="H505" s="12"/>
      <c r="I505" s="12"/>
      <c r="J505" s="12"/>
      <c r="K505" s="12"/>
      <c r="L505" s="12"/>
      <c r="M505" s="12"/>
      <c r="N505" s="12"/>
      <c r="O505" s="12"/>
      <c r="P505" s="12"/>
    </row>
    <row r="506">
      <c r="A506" s="12"/>
      <c r="D506" s="95"/>
      <c r="E506" s="14"/>
      <c r="F506" s="96"/>
      <c r="H506" s="12"/>
      <c r="I506" s="12"/>
      <c r="J506" s="12"/>
      <c r="K506" s="12"/>
      <c r="L506" s="12"/>
      <c r="M506" s="12"/>
      <c r="N506" s="12"/>
      <c r="O506" s="12"/>
      <c r="P506" s="12"/>
    </row>
    <row r="507">
      <c r="A507" s="12"/>
      <c r="D507" s="95"/>
      <c r="E507" s="14"/>
      <c r="F507" s="96"/>
      <c r="H507" s="12"/>
      <c r="I507" s="12"/>
      <c r="J507" s="12"/>
      <c r="K507" s="12"/>
      <c r="L507" s="12"/>
      <c r="M507" s="12"/>
      <c r="N507" s="12"/>
      <c r="O507" s="12"/>
      <c r="P507" s="12"/>
    </row>
    <row r="508">
      <c r="A508" s="12"/>
      <c r="D508" s="95"/>
      <c r="E508" s="14"/>
      <c r="F508" s="96"/>
      <c r="H508" s="12"/>
      <c r="I508" s="12"/>
      <c r="J508" s="12"/>
      <c r="K508" s="12"/>
      <c r="L508" s="12"/>
      <c r="M508" s="12"/>
      <c r="N508" s="12"/>
      <c r="O508" s="12"/>
      <c r="P508" s="12"/>
    </row>
    <row r="509">
      <c r="A509" s="12"/>
      <c r="D509" s="95"/>
      <c r="E509" s="14"/>
      <c r="F509" s="96"/>
      <c r="H509" s="12"/>
      <c r="I509" s="12"/>
      <c r="J509" s="12"/>
      <c r="K509" s="12"/>
      <c r="L509" s="12"/>
      <c r="M509" s="12"/>
      <c r="N509" s="12"/>
      <c r="O509" s="12"/>
      <c r="P509" s="12"/>
    </row>
    <row r="510">
      <c r="A510" s="12"/>
      <c r="D510" s="95"/>
      <c r="E510" s="14"/>
      <c r="F510" s="96"/>
      <c r="H510" s="12"/>
      <c r="I510" s="12"/>
      <c r="J510" s="12"/>
      <c r="K510" s="12"/>
      <c r="L510" s="12"/>
      <c r="M510" s="12"/>
      <c r="N510" s="12"/>
      <c r="O510" s="12"/>
      <c r="P510" s="12"/>
    </row>
    <row r="511">
      <c r="A511" s="12"/>
      <c r="D511" s="95"/>
      <c r="E511" s="14"/>
      <c r="F511" s="96"/>
      <c r="H511" s="12"/>
      <c r="I511" s="12"/>
      <c r="J511" s="12"/>
      <c r="K511" s="12"/>
      <c r="L511" s="12"/>
      <c r="M511" s="12"/>
      <c r="N511" s="12"/>
      <c r="O511" s="12"/>
      <c r="P511" s="12"/>
    </row>
    <row r="512">
      <c r="A512" s="12"/>
      <c r="D512" s="95"/>
      <c r="E512" s="14"/>
      <c r="F512" s="96"/>
      <c r="H512" s="12"/>
      <c r="I512" s="12"/>
      <c r="J512" s="12"/>
      <c r="K512" s="12"/>
      <c r="L512" s="12"/>
      <c r="M512" s="12"/>
      <c r="N512" s="12"/>
      <c r="O512" s="12"/>
      <c r="P512" s="12"/>
    </row>
    <row r="513">
      <c r="A513" s="12"/>
      <c r="D513" s="95"/>
      <c r="E513" s="14"/>
      <c r="F513" s="96"/>
      <c r="H513" s="12"/>
      <c r="I513" s="12"/>
      <c r="J513" s="12"/>
      <c r="K513" s="12"/>
      <c r="L513" s="12"/>
      <c r="M513" s="12"/>
      <c r="N513" s="12"/>
      <c r="O513" s="12"/>
      <c r="P513" s="12"/>
    </row>
    <row r="514">
      <c r="A514" s="12"/>
      <c r="D514" s="95"/>
      <c r="E514" s="14"/>
      <c r="F514" s="96"/>
      <c r="H514" s="12"/>
      <c r="I514" s="12"/>
      <c r="J514" s="12"/>
      <c r="K514" s="12"/>
      <c r="L514" s="12"/>
      <c r="M514" s="12"/>
      <c r="N514" s="12"/>
      <c r="O514" s="12"/>
      <c r="P514" s="12"/>
    </row>
    <row r="515">
      <c r="A515" s="12"/>
      <c r="D515" s="95"/>
      <c r="E515" s="14"/>
      <c r="F515" s="96"/>
      <c r="H515" s="12"/>
      <c r="I515" s="12"/>
      <c r="J515" s="12"/>
      <c r="K515" s="12"/>
      <c r="L515" s="12"/>
      <c r="M515" s="12"/>
      <c r="N515" s="12"/>
      <c r="O515" s="12"/>
      <c r="P515" s="12"/>
    </row>
    <row r="516">
      <c r="A516" s="12"/>
      <c r="D516" s="95"/>
      <c r="E516" s="14"/>
      <c r="F516" s="96"/>
      <c r="H516" s="12"/>
      <c r="I516" s="12"/>
      <c r="J516" s="12"/>
      <c r="K516" s="12"/>
      <c r="L516" s="12"/>
      <c r="M516" s="12"/>
      <c r="N516" s="12"/>
      <c r="O516" s="12"/>
      <c r="P516" s="12"/>
    </row>
    <row r="517">
      <c r="A517" s="12"/>
      <c r="D517" s="95"/>
      <c r="E517" s="14"/>
      <c r="F517" s="96"/>
      <c r="H517" s="12"/>
      <c r="I517" s="12"/>
      <c r="J517" s="12"/>
      <c r="K517" s="12"/>
      <c r="L517" s="12"/>
      <c r="M517" s="12"/>
      <c r="N517" s="12"/>
      <c r="O517" s="12"/>
      <c r="P517" s="12"/>
    </row>
    <row r="518">
      <c r="A518" s="12"/>
      <c r="D518" s="95"/>
      <c r="E518" s="14"/>
      <c r="F518" s="96"/>
      <c r="H518" s="12"/>
      <c r="I518" s="12"/>
      <c r="J518" s="12"/>
      <c r="K518" s="12"/>
      <c r="L518" s="12"/>
      <c r="M518" s="12"/>
      <c r="N518" s="12"/>
      <c r="O518" s="12"/>
      <c r="P518" s="12"/>
    </row>
    <row r="519">
      <c r="A519" s="12"/>
      <c r="D519" s="95"/>
      <c r="E519" s="14"/>
      <c r="F519" s="96"/>
      <c r="H519" s="12"/>
      <c r="I519" s="12"/>
      <c r="J519" s="12"/>
      <c r="K519" s="12"/>
      <c r="L519" s="12"/>
      <c r="M519" s="12"/>
      <c r="N519" s="12"/>
      <c r="O519" s="12"/>
      <c r="P519" s="12"/>
    </row>
    <row r="520">
      <c r="A520" s="12"/>
      <c r="D520" s="95"/>
      <c r="E520" s="14"/>
      <c r="F520" s="96"/>
      <c r="H520" s="12"/>
      <c r="I520" s="12"/>
      <c r="J520" s="12"/>
      <c r="K520" s="12"/>
      <c r="L520" s="12"/>
      <c r="M520" s="12"/>
      <c r="N520" s="12"/>
      <c r="O520" s="12"/>
      <c r="P520" s="12"/>
    </row>
    <row r="521">
      <c r="A521" s="12"/>
      <c r="D521" s="95"/>
      <c r="E521" s="14"/>
      <c r="F521" s="96"/>
      <c r="H521" s="12"/>
      <c r="I521" s="12"/>
      <c r="J521" s="12"/>
      <c r="K521" s="12"/>
      <c r="L521" s="12"/>
      <c r="M521" s="12"/>
      <c r="N521" s="12"/>
      <c r="O521" s="12"/>
      <c r="P521" s="12"/>
    </row>
    <row r="522">
      <c r="A522" s="12"/>
      <c r="D522" s="95"/>
      <c r="E522" s="14"/>
      <c r="F522" s="96"/>
      <c r="H522" s="12"/>
      <c r="I522" s="12"/>
      <c r="J522" s="12"/>
      <c r="K522" s="12"/>
      <c r="L522" s="12"/>
      <c r="M522" s="12"/>
      <c r="N522" s="12"/>
      <c r="O522" s="12"/>
      <c r="P522" s="12"/>
    </row>
    <row r="523">
      <c r="A523" s="12"/>
      <c r="D523" s="95"/>
      <c r="E523" s="14"/>
      <c r="F523" s="96"/>
      <c r="H523" s="12"/>
      <c r="I523" s="12"/>
      <c r="J523" s="12"/>
      <c r="K523" s="12"/>
      <c r="L523" s="12"/>
      <c r="M523" s="12"/>
      <c r="N523" s="12"/>
      <c r="O523" s="12"/>
      <c r="P523" s="12"/>
    </row>
    <row r="524">
      <c r="A524" s="12"/>
      <c r="D524" s="95"/>
      <c r="E524" s="14"/>
      <c r="F524" s="96"/>
      <c r="H524" s="12"/>
      <c r="I524" s="12"/>
      <c r="J524" s="12"/>
      <c r="K524" s="12"/>
      <c r="L524" s="12"/>
      <c r="M524" s="12"/>
      <c r="N524" s="12"/>
      <c r="O524" s="12"/>
      <c r="P524" s="12"/>
    </row>
    <row r="525">
      <c r="A525" s="12"/>
      <c r="D525" s="95"/>
      <c r="E525" s="14"/>
      <c r="F525" s="96"/>
      <c r="H525" s="12"/>
      <c r="I525" s="12"/>
      <c r="J525" s="12"/>
      <c r="K525" s="12"/>
      <c r="L525" s="12"/>
      <c r="M525" s="12"/>
      <c r="N525" s="12"/>
      <c r="O525" s="12"/>
      <c r="P525" s="12"/>
    </row>
    <row r="526">
      <c r="A526" s="12"/>
      <c r="D526" s="95"/>
      <c r="E526" s="14"/>
      <c r="F526" s="96"/>
      <c r="H526" s="12"/>
      <c r="I526" s="12"/>
      <c r="J526" s="12"/>
      <c r="K526" s="12"/>
      <c r="L526" s="12"/>
      <c r="M526" s="12"/>
      <c r="N526" s="12"/>
      <c r="O526" s="12"/>
      <c r="P526" s="12"/>
    </row>
    <row r="527">
      <c r="A527" s="12"/>
      <c r="D527" s="95"/>
      <c r="E527" s="14"/>
      <c r="F527" s="96"/>
      <c r="H527" s="12"/>
      <c r="I527" s="12"/>
      <c r="J527" s="12"/>
      <c r="K527" s="12"/>
      <c r="L527" s="12"/>
      <c r="M527" s="12"/>
      <c r="N527" s="12"/>
      <c r="O527" s="12"/>
      <c r="P527" s="12"/>
    </row>
    <row r="528">
      <c r="A528" s="12"/>
      <c r="D528" s="95"/>
      <c r="E528" s="14"/>
      <c r="F528" s="96"/>
      <c r="H528" s="12"/>
      <c r="I528" s="12"/>
      <c r="J528" s="12"/>
      <c r="K528" s="12"/>
      <c r="L528" s="12"/>
      <c r="M528" s="12"/>
      <c r="N528" s="12"/>
      <c r="O528" s="12"/>
      <c r="P528" s="12"/>
    </row>
    <row r="529">
      <c r="A529" s="12"/>
      <c r="D529" s="95"/>
      <c r="E529" s="14"/>
      <c r="F529" s="96"/>
      <c r="H529" s="12"/>
      <c r="I529" s="12"/>
      <c r="J529" s="12"/>
      <c r="K529" s="12"/>
      <c r="L529" s="12"/>
      <c r="M529" s="12"/>
      <c r="N529" s="12"/>
      <c r="O529" s="12"/>
      <c r="P529" s="12"/>
    </row>
    <row r="530">
      <c r="A530" s="12"/>
      <c r="D530" s="95"/>
      <c r="E530" s="14"/>
      <c r="F530" s="96"/>
      <c r="H530" s="12"/>
      <c r="I530" s="12"/>
      <c r="J530" s="12"/>
      <c r="K530" s="12"/>
      <c r="L530" s="12"/>
      <c r="M530" s="12"/>
      <c r="N530" s="12"/>
      <c r="O530" s="12"/>
      <c r="P530" s="12"/>
    </row>
    <row r="531">
      <c r="A531" s="12"/>
      <c r="D531" s="95"/>
      <c r="E531" s="14"/>
      <c r="F531" s="96"/>
      <c r="H531" s="12"/>
      <c r="I531" s="12"/>
      <c r="J531" s="12"/>
      <c r="K531" s="12"/>
      <c r="L531" s="12"/>
      <c r="M531" s="12"/>
      <c r="N531" s="12"/>
      <c r="O531" s="12"/>
      <c r="P531" s="12"/>
    </row>
    <row r="532">
      <c r="A532" s="12"/>
      <c r="D532" s="95"/>
      <c r="E532" s="14"/>
      <c r="F532" s="96"/>
      <c r="H532" s="12"/>
      <c r="I532" s="12"/>
      <c r="J532" s="12"/>
      <c r="K532" s="12"/>
      <c r="L532" s="12"/>
      <c r="M532" s="12"/>
      <c r="N532" s="12"/>
      <c r="O532" s="12"/>
      <c r="P532" s="12"/>
    </row>
    <row r="533">
      <c r="A533" s="12"/>
      <c r="D533" s="95"/>
      <c r="E533" s="14"/>
      <c r="F533" s="96"/>
      <c r="H533" s="12"/>
      <c r="I533" s="12"/>
      <c r="J533" s="12"/>
      <c r="K533" s="12"/>
      <c r="L533" s="12"/>
      <c r="M533" s="12"/>
      <c r="N533" s="12"/>
      <c r="O533" s="12"/>
      <c r="P533" s="12"/>
    </row>
    <row r="534">
      <c r="A534" s="12"/>
      <c r="D534" s="95"/>
      <c r="E534" s="14"/>
      <c r="F534" s="96"/>
      <c r="H534" s="12"/>
      <c r="I534" s="12"/>
      <c r="J534" s="12"/>
      <c r="K534" s="12"/>
      <c r="L534" s="12"/>
      <c r="M534" s="12"/>
      <c r="N534" s="12"/>
      <c r="O534" s="12"/>
      <c r="P534" s="12"/>
    </row>
    <row r="535">
      <c r="A535" s="12"/>
      <c r="D535" s="95"/>
      <c r="E535" s="14"/>
      <c r="F535" s="96"/>
      <c r="H535" s="12"/>
      <c r="I535" s="12"/>
      <c r="J535" s="12"/>
      <c r="K535" s="12"/>
      <c r="L535" s="12"/>
      <c r="M535" s="12"/>
      <c r="N535" s="12"/>
      <c r="O535" s="12"/>
      <c r="P535" s="12"/>
    </row>
    <row r="536">
      <c r="A536" s="12"/>
      <c r="D536" s="95"/>
      <c r="E536" s="14"/>
      <c r="F536" s="96"/>
      <c r="H536" s="12"/>
      <c r="I536" s="12"/>
      <c r="J536" s="12"/>
      <c r="K536" s="12"/>
      <c r="L536" s="12"/>
      <c r="M536" s="12"/>
      <c r="N536" s="12"/>
      <c r="O536" s="12"/>
      <c r="P536" s="12"/>
    </row>
    <row r="537">
      <c r="A537" s="12"/>
      <c r="D537" s="95"/>
      <c r="E537" s="14"/>
      <c r="F537" s="96"/>
      <c r="H537" s="12"/>
      <c r="I537" s="12"/>
      <c r="J537" s="12"/>
      <c r="K537" s="12"/>
      <c r="L537" s="12"/>
      <c r="M537" s="12"/>
      <c r="N537" s="12"/>
      <c r="O537" s="12"/>
      <c r="P537" s="12"/>
    </row>
    <row r="538">
      <c r="A538" s="12"/>
      <c r="D538" s="95"/>
      <c r="E538" s="14"/>
      <c r="F538" s="96"/>
      <c r="H538" s="12"/>
      <c r="I538" s="12"/>
      <c r="J538" s="12"/>
      <c r="K538" s="12"/>
      <c r="L538" s="12"/>
      <c r="M538" s="12"/>
      <c r="N538" s="12"/>
      <c r="O538" s="12"/>
      <c r="P538" s="12"/>
    </row>
    <row r="539">
      <c r="A539" s="12"/>
      <c r="D539" s="95"/>
      <c r="E539" s="14"/>
      <c r="F539" s="96"/>
      <c r="H539" s="12"/>
      <c r="I539" s="12"/>
      <c r="J539" s="12"/>
      <c r="K539" s="12"/>
      <c r="L539" s="12"/>
      <c r="M539" s="12"/>
      <c r="N539" s="12"/>
      <c r="O539" s="12"/>
      <c r="P539" s="12"/>
    </row>
    <row r="540">
      <c r="A540" s="12"/>
      <c r="D540" s="95"/>
      <c r="E540" s="14"/>
      <c r="F540" s="96"/>
      <c r="H540" s="12"/>
      <c r="I540" s="12"/>
      <c r="J540" s="12"/>
      <c r="K540" s="12"/>
      <c r="L540" s="12"/>
      <c r="M540" s="12"/>
      <c r="N540" s="12"/>
      <c r="O540" s="12"/>
      <c r="P540" s="12"/>
    </row>
    <row r="541">
      <c r="A541" s="12"/>
      <c r="D541" s="95"/>
      <c r="E541" s="14"/>
      <c r="F541" s="96"/>
      <c r="H541" s="12"/>
      <c r="I541" s="12"/>
      <c r="J541" s="12"/>
      <c r="K541" s="12"/>
      <c r="L541" s="12"/>
      <c r="M541" s="12"/>
      <c r="N541" s="12"/>
      <c r="O541" s="12"/>
      <c r="P541" s="12"/>
    </row>
    <row r="542">
      <c r="A542" s="12"/>
      <c r="D542" s="95"/>
      <c r="E542" s="14"/>
      <c r="F542" s="96"/>
      <c r="H542" s="12"/>
      <c r="I542" s="12"/>
      <c r="J542" s="12"/>
      <c r="K542" s="12"/>
      <c r="L542" s="12"/>
      <c r="M542" s="12"/>
      <c r="N542" s="12"/>
      <c r="O542" s="12"/>
      <c r="P542" s="12"/>
    </row>
    <row r="543">
      <c r="A543" s="12"/>
      <c r="D543" s="95"/>
      <c r="E543" s="14"/>
      <c r="F543" s="96"/>
      <c r="H543" s="12"/>
      <c r="I543" s="12"/>
      <c r="J543" s="12"/>
      <c r="K543" s="12"/>
      <c r="L543" s="12"/>
      <c r="M543" s="12"/>
      <c r="N543" s="12"/>
      <c r="O543" s="12"/>
      <c r="P543" s="12"/>
    </row>
    <row r="544">
      <c r="A544" s="12"/>
      <c r="D544" s="95"/>
      <c r="E544" s="14"/>
      <c r="F544" s="96"/>
      <c r="H544" s="12"/>
      <c r="I544" s="12"/>
      <c r="J544" s="12"/>
      <c r="K544" s="12"/>
      <c r="L544" s="12"/>
      <c r="M544" s="12"/>
      <c r="N544" s="12"/>
      <c r="O544" s="12"/>
      <c r="P544" s="12"/>
    </row>
    <row r="545">
      <c r="A545" s="12"/>
      <c r="D545" s="95"/>
      <c r="E545" s="14"/>
      <c r="F545" s="96"/>
      <c r="H545" s="12"/>
      <c r="I545" s="12"/>
      <c r="J545" s="12"/>
      <c r="K545" s="12"/>
      <c r="L545" s="12"/>
      <c r="M545" s="12"/>
      <c r="N545" s="12"/>
      <c r="O545" s="12"/>
      <c r="P545" s="12"/>
    </row>
    <row r="546">
      <c r="A546" s="12"/>
      <c r="D546" s="95"/>
      <c r="E546" s="14"/>
      <c r="F546" s="96"/>
      <c r="H546" s="12"/>
      <c r="I546" s="12"/>
      <c r="J546" s="12"/>
      <c r="K546" s="12"/>
      <c r="L546" s="12"/>
      <c r="M546" s="12"/>
      <c r="N546" s="12"/>
      <c r="O546" s="12"/>
      <c r="P546" s="12"/>
    </row>
    <row r="547">
      <c r="A547" s="12"/>
      <c r="D547" s="95"/>
      <c r="E547" s="14"/>
      <c r="F547" s="96"/>
      <c r="H547" s="12"/>
      <c r="I547" s="12"/>
      <c r="J547" s="12"/>
      <c r="K547" s="12"/>
      <c r="L547" s="12"/>
      <c r="M547" s="12"/>
      <c r="N547" s="12"/>
      <c r="O547" s="12"/>
      <c r="P547" s="12"/>
    </row>
    <row r="548">
      <c r="A548" s="12"/>
      <c r="D548" s="95"/>
      <c r="E548" s="14"/>
      <c r="F548" s="96"/>
      <c r="H548" s="12"/>
      <c r="I548" s="12"/>
      <c r="J548" s="12"/>
      <c r="K548" s="12"/>
      <c r="L548" s="12"/>
      <c r="M548" s="12"/>
      <c r="N548" s="12"/>
      <c r="O548" s="12"/>
      <c r="P548" s="12"/>
    </row>
    <row r="549">
      <c r="A549" s="12"/>
      <c r="D549" s="95"/>
      <c r="E549" s="14"/>
      <c r="F549" s="96"/>
      <c r="H549" s="12"/>
      <c r="I549" s="12"/>
      <c r="J549" s="12"/>
      <c r="K549" s="12"/>
      <c r="L549" s="12"/>
      <c r="M549" s="12"/>
      <c r="N549" s="12"/>
      <c r="O549" s="12"/>
      <c r="P549" s="12"/>
    </row>
    <row r="550">
      <c r="A550" s="12"/>
      <c r="D550" s="95"/>
      <c r="E550" s="14"/>
      <c r="F550" s="96"/>
      <c r="H550" s="12"/>
      <c r="I550" s="12"/>
      <c r="J550" s="12"/>
      <c r="K550" s="12"/>
      <c r="L550" s="12"/>
      <c r="M550" s="12"/>
      <c r="N550" s="12"/>
      <c r="O550" s="12"/>
      <c r="P550" s="12"/>
    </row>
    <row r="551">
      <c r="A551" s="12"/>
      <c r="D551" s="95"/>
      <c r="E551" s="14"/>
      <c r="F551" s="96"/>
      <c r="H551" s="12"/>
      <c r="I551" s="12"/>
      <c r="J551" s="12"/>
      <c r="K551" s="12"/>
      <c r="L551" s="12"/>
      <c r="M551" s="12"/>
      <c r="N551" s="12"/>
      <c r="O551" s="12"/>
      <c r="P551" s="12"/>
    </row>
    <row r="552">
      <c r="A552" s="12"/>
      <c r="D552" s="95"/>
      <c r="E552" s="14"/>
      <c r="F552" s="96"/>
      <c r="H552" s="12"/>
      <c r="I552" s="12"/>
      <c r="J552" s="12"/>
      <c r="K552" s="12"/>
      <c r="L552" s="12"/>
      <c r="M552" s="12"/>
      <c r="N552" s="12"/>
      <c r="O552" s="12"/>
      <c r="P552" s="12"/>
    </row>
    <row r="553">
      <c r="A553" s="12"/>
      <c r="D553" s="95"/>
      <c r="E553" s="14"/>
      <c r="F553" s="96"/>
      <c r="H553" s="12"/>
      <c r="I553" s="12"/>
      <c r="J553" s="12"/>
      <c r="K553" s="12"/>
      <c r="L553" s="12"/>
      <c r="M553" s="12"/>
      <c r="N553" s="12"/>
      <c r="O553" s="12"/>
      <c r="P553" s="12"/>
    </row>
    <row r="554">
      <c r="A554" s="12"/>
      <c r="D554" s="95"/>
      <c r="E554" s="14"/>
      <c r="F554" s="96"/>
      <c r="H554" s="12"/>
      <c r="I554" s="12"/>
      <c r="J554" s="12"/>
      <c r="K554" s="12"/>
      <c r="L554" s="12"/>
      <c r="M554" s="12"/>
      <c r="N554" s="12"/>
      <c r="O554" s="12"/>
      <c r="P554" s="12"/>
    </row>
    <row r="555">
      <c r="A555" s="12"/>
      <c r="D555" s="95"/>
      <c r="E555" s="14"/>
      <c r="F555" s="96"/>
      <c r="H555" s="12"/>
      <c r="I555" s="12"/>
      <c r="J555" s="12"/>
      <c r="K555" s="12"/>
      <c r="L555" s="12"/>
      <c r="M555" s="12"/>
      <c r="N555" s="12"/>
      <c r="O555" s="12"/>
      <c r="P555" s="12"/>
    </row>
    <row r="556">
      <c r="A556" s="12"/>
      <c r="D556" s="95"/>
      <c r="E556" s="14"/>
      <c r="F556" s="96"/>
      <c r="H556" s="12"/>
      <c r="I556" s="12"/>
      <c r="J556" s="12"/>
      <c r="K556" s="12"/>
      <c r="L556" s="12"/>
      <c r="M556" s="12"/>
      <c r="N556" s="12"/>
      <c r="O556" s="12"/>
      <c r="P556" s="12"/>
    </row>
    <row r="557">
      <c r="A557" s="12"/>
      <c r="D557" s="95"/>
      <c r="E557" s="14"/>
      <c r="F557" s="96"/>
      <c r="H557" s="12"/>
      <c r="I557" s="12"/>
      <c r="J557" s="12"/>
      <c r="K557" s="12"/>
      <c r="L557" s="12"/>
      <c r="M557" s="12"/>
      <c r="N557" s="12"/>
      <c r="O557" s="12"/>
      <c r="P557" s="12"/>
    </row>
    <row r="558">
      <c r="A558" s="12"/>
      <c r="D558" s="95"/>
      <c r="E558" s="14"/>
      <c r="F558" s="96"/>
      <c r="H558" s="12"/>
      <c r="I558" s="12"/>
      <c r="J558" s="12"/>
      <c r="K558" s="12"/>
      <c r="L558" s="12"/>
      <c r="M558" s="12"/>
      <c r="N558" s="12"/>
      <c r="O558" s="12"/>
      <c r="P558" s="12"/>
    </row>
    <row r="559">
      <c r="A559" s="12"/>
      <c r="D559" s="95"/>
      <c r="E559" s="14"/>
      <c r="F559" s="96"/>
      <c r="H559" s="12"/>
      <c r="I559" s="12"/>
      <c r="J559" s="12"/>
      <c r="K559" s="12"/>
      <c r="L559" s="12"/>
      <c r="M559" s="12"/>
      <c r="N559" s="12"/>
      <c r="O559" s="12"/>
      <c r="P559" s="12"/>
    </row>
    <row r="560">
      <c r="A560" s="12"/>
      <c r="D560" s="95"/>
      <c r="E560" s="14"/>
      <c r="F560" s="96"/>
      <c r="H560" s="12"/>
      <c r="I560" s="12"/>
      <c r="J560" s="12"/>
      <c r="K560" s="12"/>
      <c r="L560" s="12"/>
      <c r="M560" s="12"/>
      <c r="N560" s="12"/>
      <c r="O560" s="12"/>
      <c r="P560" s="12"/>
    </row>
    <row r="561">
      <c r="A561" s="12"/>
      <c r="D561" s="95"/>
      <c r="E561" s="14"/>
      <c r="F561" s="96"/>
      <c r="H561" s="12"/>
      <c r="I561" s="12"/>
      <c r="J561" s="12"/>
      <c r="K561" s="12"/>
      <c r="L561" s="12"/>
      <c r="M561" s="12"/>
      <c r="N561" s="12"/>
      <c r="O561" s="12"/>
      <c r="P561" s="12"/>
    </row>
    <row r="562">
      <c r="A562" s="12"/>
      <c r="D562" s="95"/>
      <c r="E562" s="14"/>
      <c r="F562" s="96"/>
      <c r="H562" s="12"/>
      <c r="I562" s="12"/>
      <c r="J562" s="12"/>
      <c r="K562" s="12"/>
      <c r="L562" s="12"/>
      <c r="M562" s="12"/>
      <c r="N562" s="12"/>
      <c r="O562" s="12"/>
      <c r="P562" s="12"/>
    </row>
    <row r="563">
      <c r="A563" s="12"/>
      <c r="D563" s="95"/>
      <c r="E563" s="14"/>
      <c r="F563" s="96"/>
      <c r="H563" s="12"/>
      <c r="I563" s="12"/>
      <c r="J563" s="12"/>
      <c r="K563" s="12"/>
      <c r="L563" s="12"/>
      <c r="M563" s="12"/>
      <c r="N563" s="12"/>
      <c r="O563" s="12"/>
      <c r="P563" s="12"/>
    </row>
    <row r="564">
      <c r="A564" s="12"/>
      <c r="D564" s="95"/>
      <c r="E564" s="14"/>
      <c r="F564" s="96"/>
      <c r="H564" s="12"/>
      <c r="I564" s="12"/>
      <c r="J564" s="12"/>
      <c r="K564" s="12"/>
      <c r="L564" s="12"/>
      <c r="M564" s="12"/>
      <c r="N564" s="12"/>
      <c r="O564" s="12"/>
      <c r="P564" s="12"/>
    </row>
    <row r="565">
      <c r="A565" s="12"/>
      <c r="D565" s="95"/>
      <c r="E565" s="14"/>
      <c r="F565" s="96"/>
      <c r="H565" s="12"/>
      <c r="I565" s="12"/>
      <c r="J565" s="12"/>
      <c r="K565" s="12"/>
      <c r="L565" s="12"/>
      <c r="M565" s="12"/>
      <c r="N565" s="12"/>
      <c r="O565" s="12"/>
      <c r="P565" s="12"/>
    </row>
    <row r="566">
      <c r="A566" s="12"/>
      <c r="D566" s="95"/>
      <c r="E566" s="14"/>
      <c r="F566" s="96"/>
      <c r="H566" s="12"/>
      <c r="I566" s="12"/>
      <c r="J566" s="12"/>
      <c r="K566" s="12"/>
      <c r="L566" s="12"/>
      <c r="M566" s="12"/>
      <c r="N566" s="12"/>
      <c r="O566" s="12"/>
      <c r="P566" s="12"/>
    </row>
    <row r="567">
      <c r="A567" s="12"/>
      <c r="D567" s="95"/>
      <c r="E567" s="14"/>
      <c r="F567" s="96"/>
      <c r="H567" s="12"/>
      <c r="I567" s="12"/>
      <c r="J567" s="12"/>
      <c r="K567" s="12"/>
      <c r="L567" s="12"/>
      <c r="M567" s="12"/>
      <c r="N567" s="12"/>
      <c r="O567" s="12"/>
      <c r="P567" s="12"/>
    </row>
    <row r="568">
      <c r="A568" s="12"/>
      <c r="D568" s="95"/>
      <c r="E568" s="14"/>
      <c r="F568" s="96"/>
      <c r="H568" s="12"/>
      <c r="I568" s="12"/>
      <c r="J568" s="12"/>
      <c r="K568" s="12"/>
      <c r="L568" s="12"/>
      <c r="M568" s="12"/>
      <c r="N568" s="12"/>
      <c r="O568" s="12"/>
      <c r="P568" s="12"/>
    </row>
    <row r="569">
      <c r="A569" s="12"/>
      <c r="D569" s="95"/>
      <c r="E569" s="14"/>
      <c r="F569" s="96"/>
      <c r="H569" s="12"/>
      <c r="I569" s="12"/>
      <c r="J569" s="12"/>
      <c r="K569" s="12"/>
      <c r="L569" s="12"/>
      <c r="M569" s="12"/>
      <c r="N569" s="12"/>
      <c r="O569" s="12"/>
      <c r="P569" s="12"/>
    </row>
    <row r="570">
      <c r="A570" s="12"/>
      <c r="D570" s="95"/>
      <c r="E570" s="14"/>
      <c r="F570" s="96"/>
      <c r="H570" s="12"/>
      <c r="I570" s="12"/>
      <c r="J570" s="12"/>
      <c r="K570" s="12"/>
      <c r="L570" s="12"/>
      <c r="M570" s="12"/>
      <c r="N570" s="12"/>
      <c r="O570" s="12"/>
      <c r="P570" s="12"/>
    </row>
    <row r="571">
      <c r="A571" s="12"/>
      <c r="D571" s="95"/>
      <c r="E571" s="14"/>
      <c r="F571" s="96"/>
      <c r="H571" s="12"/>
      <c r="I571" s="12"/>
      <c r="J571" s="12"/>
      <c r="K571" s="12"/>
      <c r="L571" s="12"/>
      <c r="M571" s="12"/>
      <c r="N571" s="12"/>
      <c r="O571" s="12"/>
      <c r="P571" s="12"/>
    </row>
    <row r="572">
      <c r="A572" s="12"/>
      <c r="D572" s="95"/>
      <c r="E572" s="14"/>
      <c r="F572" s="96"/>
      <c r="H572" s="12"/>
      <c r="I572" s="12"/>
      <c r="J572" s="12"/>
      <c r="K572" s="12"/>
      <c r="L572" s="12"/>
      <c r="M572" s="12"/>
      <c r="N572" s="12"/>
      <c r="O572" s="12"/>
      <c r="P572" s="12"/>
    </row>
    <row r="573">
      <c r="A573" s="12"/>
      <c r="D573" s="95"/>
      <c r="E573" s="14"/>
      <c r="F573" s="96"/>
      <c r="H573" s="12"/>
      <c r="I573" s="12"/>
      <c r="J573" s="12"/>
      <c r="K573" s="12"/>
      <c r="L573" s="12"/>
      <c r="M573" s="12"/>
      <c r="N573" s="12"/>
      <c r="O573" s="12"/>
      <c r="P573" s="12"/>
    </row>
    <row r="574">
      <c r="A574" s="12"/>
      <c r="D574" s="95"/>
      <c r="E574" s="14"/>
      <c r="F574" s="96"/>
      <c r="H574" s="12"/>
      <c r="I574" s="12"/>
      <c r="J574" s="12"/>
      <c r="K574" s="12"/>
      <c r="L574" s="12"/>
      <c r="M574" s="12"/>
      <c r="N574" s="12"/>
      <c r="O574" s="12"/>
      <c r="P574" s="12"/>
    </row>
    <row r="575">
      <c r="A575" s="12"/>
      <c r="D575" s="95"/>
      <c r="E575" s="14"/>
      <c r="F575" s="96"/>
      <c r="H575" s="12"/>
      <c r="I575" s="12"/>
      <c r="J575" s="12"/>
      <c r="K575" s="12"/>
      <c r="L575" s="12"/>
      <c r="M575" s="12"/>
      <c r="N575" s="12"/>
      <c r="O575" s="12"/>
      <c r="P575" s="12"/>
    </row>
    <row r="576">
      <c r="A576" s="12"/>
      <c r="D576" s="95"/>
      <c r="E576" s="14"/>
      <c r="F576" s="96"/>
      <c r="H576" s="12"/>
      <c r="I576" s="12"/>
      <c r="J576" s="12"/>
      <c r="K576" s="12"/>
      <c r="L576" s="12"/>
      <c r="M576" s="12"/>
      <c r="N576" s="12"/>
      <c r="O576" s="12"/>
      <c r="P576" s="12"/>
    </row>
    <row r="577">
      <c r="A577" s="12"/>
      <c r="D577" s="95"/>
      <c r="E577" s="14"/>
      <c r="F577" s="96"/>
      <c r="H577" s="12"/>
      <c r="I577" s="12"/>
      <c r="J577" s="12"/>
      <c r="K577" s="12"/>
      <c r="L577" s="12"/>
      <c r="M577" s="12"/>
      <c r="N577" s="12"/>
      <c r="O577" s="12"/>
      <c r="P577" s="12"/>
    </row>
    <row r="578">
      <c r="A578" s="12"/>
      <c r="D578" s="95"/>
      <c r="E578" s="14"/>
      <c r="F578" s="96"/>
      <c r="H578" s="12"/>
      <c r="I578" s="12"/>
      <c r="J578" s="12"/>
      <c r="K578" s="12"/>
      <c r="L578" s="12"/>
      <c r="M578" s="12"/>
      <c r="N578" s="12"/>
      <c r="O578" s="12"/>
      <c r="P578" s="12"/>
    </row>
    <row r="579">
      <c r="A579" s="12"/>
      <c r="D579" s="95"/>
      <c r="E579" s="14"/>
      <c r="F579" s="96"/>
      <c r="H579" s="12"/>
      <c r="I579" s="12"/>
      <c r="J579" s="12"/>
      <c r="K579" s="12"/>
      <c r="L579" s="12"/>
      <c r="M579" s="12"/>
      <c r="N579" s="12"/>
      <c r="O579" s="12"/>
      <c r="P579" s="12"/>
    </row>
    <row r="580">
      <c r="A580" s="12"/>
      <c r="D580" s="95"/>
      <c r="E580" s="14"/>
      <c r="F580" s="96"/>
      <c r="H580" s="12"/>
      <c r="I580" s="12"/>
      <c r="J580" s="12"/>
      <c r="K580" s="12"/>
      <c r="L580" s="12"/>
      <c r="M580" s="12"/>
      <c r="N580" s="12"/>
      <c r="O580" s="12"/>
      <c r="P580" s="12"/>
    </row>
    <row r="581">
      <c r="A581" s="12"/>
      <c r="D581" s="95"/>
      <c r="E581" s="14"/>
      <c r="F581" s="96"/>
      <c r="H581" s="12"/>
      <c r="I581" s="12"/>
      <c r="J581" s="12"/>
      <c r="K581" s="12"/>
      <c r="L581" s="12"/>
      <c r="M581" s="12"/>
      <c r="N581" s="12"/>
      <c r="O581" s="12"/>
      <c r="P581" s="12"/>
    </row>
    <row r="582">
      <c r="A582" s="12"/>
      <c r="D582" s="95"/>
      <c r="E582" s="14"/>
      <c r="F582" s="96"/>
      <c r="H582" s="12"/>
      <c r="I582" s="12"/>
      <c r="J582" s="12"/>
      <c r="K582" s="12"/>
      <c r="L582" s="12"/>
      <c r="M582" s="12"/>
      <c r="N582" s="12"/>
      <c r="O582" s="12"/>
      <c r="P582" s="12"/>
    </row>
    <row r="583">
      <c r="A583" s="12"/>
      <c r="D583" s="95"/>
      <c r="E583" s="14"/>
      <c r="F583" s="96"/>
      <c r="H583" s="12"/>
      <c r="I583" s="12"/>
      <c r="J583" s="12"/>
      <c r="K583" s="12"/>
      <c r="L583" s="12"/>
      <c r="M583" s="12"/>
      <c r="N583" s="12"/>
      <c r="O583" s="12"/>
      <c r="P583" s="12"/>
    </row>
    <row r="584">
      <c r="A584" s="12"/>
      <c r="D584" s="95"/>
      <c r="E584" s="14"/>
      <c r="F584" s="96"/>
      <c r="H584" s="12"/>
      <c r="I584" s="12"/>
      <c r="J584" s="12"/>
      <c r="K584" s="12"/>
      <c r="L584" s="12"/>
      <c r="M584" s="12"/>
      <c r="N584" s="12"/>
      <c r="O584" s="12"/>
      <c r="P584" s="12"/>
    </row>
    <row r="585">
      <c r="A585" s="12"/>
      <c r="D585" s="95"/>
      <c r="E585" s="14"/>
      <c r="F585" s="96"/>
      <c r="H585" s="12"/>
      <c r="I585" s="12"/>
      <c r="J585" s="12"/>
      <c r="K585" s="12"/>
      <c r="L585" s="12"/>
      <c r="M585" s="12"/>
      <c r="N585" s="12"/>
      <c r="O585" s="12"/>
      <c r="P585" s="12"/>
    </row>
    <row r="586">
      <c r="A586" s="12"/>
      <c r="D586" s="95"/>
      <c r="E586" s="14"/>
      <c r="F586" s="96"/>
      <c r="H586" s="12"/>
      <c r="I586" s="12"/>
      <c r="J586" s="12"/>
      <c r="K586" s="12"/>
      <c r="L586" s="12"/>
      <c r="M586" s="12"/>
      <c r="N586" s="12"/>
      <c r="O586" s="12"/>
      <c r="P586" s="12"/>
    </row>
    <row r="587">
      <c r="A587" s="12"/>
      <c r="D587" s="95"/>
      <c r="E587" s="14"/>
      <c r="F587" s="96"/>
      <c r="H587" s="12"/>
      <c r="I587" s="12"/>
      <c r="J587" s="12"/>
      <c r="K587" s="12"/>
      <c r="L587" s="12"/>
      <c r="M587" s="12"/>
      <c r="N587" s="12"/>
      <c r="O587" s="12"/>
      <c r="P587" s="12"/>
    </row>
    <row r="588">
      <c r="A588" s="12"/>
      <c r="D588" s="95"/>
      <c r="E588" s="14"/>
      <c r="F588" s="96"/>
      <c r="H588" s="12"/>
      <c r="I588" s="12"/>
      <c r="J588" s="12"/>
      <c r="K588" s="12"/>
      <c r="L588" s="12"/>
      <c r="M588" s="12"/>
      <c r="N588" s="12"/>
      <c r="O588" s="12"/>
      <c r="P588" s="12"/>
    </row>
    <row r="589">
      <c r="A589" s="12"/>
      <c r="D589" s="95"/>
      <c r="E589" s="14"/>
      <c r="F589" s="96"/>
      <c r="H589" s="12"/>
      <c r="I589" s="12"/>
      <c r="J589" s="12"/>
      <c r="K589" s="12"/>
      <c r="L589" s="12"/>
      <c r="M589" s="12"/>
      <c r="N589" s="12"/>
      <c r="O589" s="12"/>
      <c r="P589" s="12"/>
    </row>
    <row r="590">
      <c r="A590" s="12"/>
      <c r="D590" s="95"/>
      <c r="E590" s="14"/>
      <c r="F590" s="96"/>
      <c r="H590" s="12"/>
      <c r="I590" s="12"/>
      <c r="J590" s="12"/>
      <c r="K590" s="12"/>
      <c r="L590" s="12"/>
      <c r="M590" s="12"/>
      <c r="N590" s="12"/>
      <c r="O590" s="12"/>
      <c r="P590" s="12"/>
    </row>
    <row r="591">
      <c r="A591" s="12"/>
      <c r="D591" s="95"/>
      <c r="E591" s="14"/>
      <c r="F591" s="96"/>
      <c r="H591" s="12"/>
      <c r="I591" s="12"/>
      <c r="J591" s="12"/>
      <c r="K591" s="12"/>
      <c r="L591" s="12"/>
      <c r="M591" s="12"/>
      <c r="N591" s="12"/>
      <c r="O591" s="12"/>
      <c r="P591" s="12"/>
    </row>
    <row r="592">
      <c r="A592" s="12"/>
      <c r="D592" s="95"/>
      <c r="E592" s="14"/>
      <c r="F592" s="96"/>
      <c r="H592" s="12"/>
      <c r="I592" s="12"/>
      <c r="J592" s="12"/>
      <c r="K592" s="12"/>
      <c r="L592" s="12"/>
      <c r="M592" s="12"/>
      <c r="N592" s="12"/>
      <c r="O592" s="12"/>
      <c r="P592" s="12"/>
    </row>
    <row r="593">
      <c r="A593" s="12"/>
      <c r="D593" s="95"/>
      <c r="E593" s="14"/>
      <c r="F593" s="96"/>
      <c r="H593" s="12"/>
      <c r="I593" s="12"/>
      <c r="J593" s="12"/>
      <c r="K593" s="12"/>
      <c r="L593" s="12"/>
      <c r="M593" s="12"/>
      <c r="N593" s="12"/>
      <c r="O593" s="12"/>
      <c r="P593" s="12"/>
    </row>
    <row r="594">
      <c r="A594" s="12"/>
      <c r="D594" s="95"/>
      <c r="E594" s="14"/>
      <c r="F594" s="96"/>
      <c r="H594" s="12"/>
      <c r="I594" s="12"/>
      <c r="J594" s="12"/>
      <c r="K594" s="12"/>
      <c r="L594" s="12"/>
      <c r="M594" s="12"/>
      <c r="N594" s="12"/>
      <c r="O594" s="12"/>
      <c r="P594" s="12"/>
    </row>
    <row r="595">
      <c r="A595" s="12"/>
      <c r="D595" s="95"/>
      <c r="E595" s="14"/>
      <c r="F595" s="96"/>
      <c r="H595" s="12"/>
      <c r="I595" s="12"/>
      <c r="J595" s="12"/>
      <c r="K595" s="12"/>
      <c r="L595" s="12"/>
      <c r="M595" s="12"/>
      <c r="N595" s="12"/>
      <c r="O595" s="12"/>
      <c r="P595" s="12"/>
    </row>
    <row r="596">
      <c r="A596" s="12"/>
      <c r="D596" s="95"/>
      <c r="E596" s="14"/>
      <c r="F596" s="96"/>
      <c r="H596" s="12"/>
      <c r="I596" s="12"/>
      <c r="J596" s="12"/>
      <c r="K596" s="12"/>
      <c r="L596" s="12"/>
      <c r="M596" s="12"/>
      <c r="N596" s="12"/>
      <c r="O596" s="12"/>
      <c r="P596" s="12"/>
    </row>
    <row r="597">
      <c r="A597" s="12"/>
      <c r="D597" s="95"/>
      <c r="E597" s="14"/>
      <c r="F597" s="96"/>
      <c r="H597" s="12"/>
      <c r="I597" s="12"/>
      <c r="J597" s="12"/>
      <c r="K597" s="12"/>
      <c r="L597" s="12"/>
      <c r="M597" s="12"/>
      <c r="N597" s="12"/>
      <c r="O597" s="12"/>
      <c r="P597" s="12"/>
    </row>
    <row r="598">
      <c r="A598" s="12"/>
      <c r="D598" s="95"/>
      <c r="E598" s="14"/>
      <c r="F598" s="96"/>
      <c r="H598" s="12"/>
      <c r="I598" s="12"/>
      <c r="J598" s="12"/>
      <c r="K598" s="12"/>
      <c r="L598" s="12"/>
      <c r="M598" s="12"/>
      <c r="N598" s="12"/>
      <c r="O598" s="12"/>
      <c r="P598" s="12"/>
    </row>
    <row r="599">
      <c r="A599" s="12"/>
      <c r="D599" s="95"/>
      <c r="E599" s="14"/>
      <c r="F599" s="96"/>
      <c r="H599" s="12"/>
      <c r="I599" s="12"/>
      <c r="J599" s="12"/>
      <c r="K599" s="12"/>
      <c r="L599" s="12"/>
      <c r="M599" s="12"/>
      <c r="N599" s="12"/>
      <c r="O599" s="12"/>
      <c r="P599" s="12"/>
    </row>
    <row r="600">
      <c r="A600" s="12"/>
      <c r="D600" s="95"/>
      <c r="E600" s="14"/>
      <c r="F600" s="96"/>
      <c r="H600" s="12"/>
      <c r="I600" s="12"/>
      <c r="J600" s="12"/>
      <c r="K600" s="12"/>
      <c r="L600" s="12"/>
      <c r="M600" s="12"/>
      <c r="N600" s="12"/>
      <c r="O600" s="12"/>
      <c r="P600" s="12"/>
    </row>
    <row r="601">
      <c r="A601" s="12"/>
      <c r="D601" s="95"/>
      <c r="E601" s="14"/>
      <c r="F601" s="96"/>
      <c r="H601" s="12"/>
      <c r="I601" s="12"/>
      <c r="J601" s="12"/>
      <c r="K601" s="12"/>
      <c r="L601" s="12"/>
      <c r="M601" s="12"/>
      <c r="N601" s="12"/>
      <c r="O601" s="12"/>
      <c r="P601" s="12"/>
    </row>
    <row r="602">
      <c r="A602" s="12"/>
      <c r="D602" s="95"/>
      <c r="E602" s="14"/>
      <c r="F602" s="96"/>
      <c r="H602" s="12"/>
      <c r="I602" s="12"/>
      <c r="J602" s="12"/>
      <c r="K602" s="12"/>
      <c r="L602" s="12"/>
      <c r="M602" s="12"/>
      <c r="N602" s="12"/>
      <c r="O602" s="12"/>
      <c r="P602" s="12"/>
    </row>
    <row r="603">
      <c r="A603" s="12"/>
      <c r="D603" s="95"/>
      <c r="E603" s="14"/>
      <c r="F603" s="96"/>
      <c r="H603" s="12"/>
      <c r="I603" s="12"/>
      <c r="J603" s="12"/>
      <c r="K603" s="12"/>
      <c r="L603" s="12"/>
      <c r="M603" s="12"/>
      <c r="N603" s="12"/>
      <c r="O603" s="12"/>
      <c r="P603" s="12"/>
    </row>
    <row r="604">
      <c r="A604" s="12"/>
      <c r="D604" s="95"/>
      <c r="E604" s="14"/>
      <c r="F604" s="96"/>
      <c r="H604" s="12"/>
      <c r="I604" s="12"/>
      <c r="J604" s="12"/>
      <c r="K604" s="12"/>
      <c r="L604" s="12"/>
      <c r="M604" s="12"/>
      <c r="N604" s="12"/>
      <c r="O604" s="12"/>
      <c r="P604" s="12"/>
    </row>
    <row r="605">
      <c r="A605" s="12"/>
      <c r="D605" s="95"/>
      <c r="E605" s="14"/>
      <c r="F605" s="96"/>
      <c r="H605" s="12"/>
      <c r="I605" s="12"/>
      <c r="J605" s="12"/>
      <c r="K605" s="12"/>
      <c r="L605" s="12"/>
      <c r="M605" s="12"/>
      <c r="N605" s="12"/>
      <c r="O605" s="12"/>
      <c r="P605" s="12"/>
    </row>
    <row r="606">
      <c r="A606" s="12"/>
      <c r="D606" s="95"/>
      <c r="E606" s="14"/>
      <c r="F606" s="96"/>
      <c r="H606" s="12"/>
      <c r="I606" s="12"/>
      <c r="J606" s="12"/>
      <c r="K606" s="12"/>
      <c r="L606" s="12"/>
      <c r="M606" s="12"/>
      <c r="N606" s="12"/>
      <c r="O606" s="12"/>
      <c r="P606" s="12"/>
    </row>
    <row r="607">
      <c r="A607" s="12"/>
      <c r="D607" s="95"/>
      <c r="E607" s="14"/>
      <c r="F607" s="96"/>
      <c r="H607" s="12"/>
      <c r="I607" s="12"/>
      <c r="J607" s="12"/>
      <c r="K607" s="12"/>
      <c r="L607" s="12"/>
      <c r="M607" s="12"/>
      <c r="N607" s="12"/>
      <c r="O607" s="12"/>
      <c r="P607" s="12"/>
    </row>
    <row r="608">
      <c r="A608" s="12"/>
      <c r="D608" s="95"/>
      <c r="E608" s="14"/>
      <c r="F608" s="96"/>
      <c r="H608" s="12"/>
      <c r="I608" s="12"/>
      <c r="J608" s="12"/>
      <c r="K608" s="12"/>
      <c r="L608" s="12"/>
      <c r="M608" s="12"/>
      <c r="N608" s="12"/>
      <c r="O608" s="12"/>
      <c r="P608" s="12"/>
    </row>
    <row r="609">
      <c r="A609" s="12"/>
      <c r="D609" s="95"/>
      <c r="E609" s="14"/>
      <c r="F609" s="96"/>
      <c r="H609" s="12"/>
      <c r="I609" s="12"/>
      <c r="J609" s="12"/>
      <c r="K609" s="12"/>
      <c r="L609" s="12"/>
      <c r="M609" s="12"/>
      <c r="N609" s="12"/>
      <c r="O609" s="12"/>
      <c r="P609" s="12"/>
    </row>
    <row r="610">
      <c r="A610" s="12"/>
      <c r="D610" s="95"/>
      <c r="E610" s="14"/>
      <c r="F610" s="96"/>
      <c r="H610" s="12"/>
      <c r="I610" s="12"/>
      <c r="J610" s="12"/>
      <c r="K610" s="12"/>
      <c r="L610" s="12"/>
      <c r="M610" s="12"/>
      <c r="N610" s="12"/>
      <c r="O610" s="12"/>
      <c r="P610" s="12"/>
    </row>
    <row r="611">
      <c r="A611" s="12"/>
      <c r="D611" s="95"/>
      <c r="E611" s="14"/>
      <c r="F611" s="96"/>
      <c r="H611" s="12"/>
      <c r="I611" s="12"/>
      <c r="J611" s="12"/>
      <c r="K611" s="12"/>
      <c r="L611" s="12"/>
      <c r="M611" s="12"/>
      <c r="N611" s="12"/>
      <c r="O611" s="12"/>
      <c r="P611" s="12"/>
    </row>
    <row r="612">
      <c r="A612" s="12"/>
      <c r="D612" s="95"/>
      <c r="E612" s="14"/>
      <c r="F612" s="96"/>
      <c r="H612" s="12"/>
      <c r="I612" s="12"/>
      <c r="J612" s="12"/>
      <c r="K612" s="12"/>
      <c r="L612" s="12"/>
      <c r="M612" s="12"/>
      <c r="N612" s="12"/>
      <c r="O612" s="12"/>
      <c r="P612" s="12"/>
    </row>
    <row r="613">
      <c r="A613" s="12"/>
      <c r="D613" s="95"/>
      <c r="E613" s="14"/>
      <c r="F613" s="96"/>
      <c r="H613" s="12"/>
      <c r="I613" s="12"/>
      <c r="J613" s="12"/>
      <c r="K613" s="12"/>
      <c r="L613" s="12"/>
      <c r="M613" s="12"/>
      <c r="N613" s="12"/>
      <c r="O613" s="12"/>
      <c r="P613" s="12"/>
    </row>
    <row r="614">
      <c r="A614" s="12"/>
      <c r="D614" s="95"/>
      <c r="E614" s="14"/>
      <c r="F614" s="96"/>
      <c r="H614" s="12"/>
      <c r="I614" s="12"/>
      <c r="J614" s="12"/>
      <c r="K614" s="12"/>
      <c r="L614" s="12"/>
      <c r="M614" s="12"/>
      <c r="N614" s="12"/>
      <c r="O614" s="12"/>
      <c r="P614" s="12"/>
    </row>
    <row r="615">
      <c r="A615" s="12"/>
      <c r="D615" s="95"/>
      <c r="E615" s="14"/>
      <c r="F615" s="96"/>
      <c r="H615" s="12"/>
      <c r="I615" s="12"/>
      <c r="J615" s="12"/>
      <c r="K615" s="12"/>
      <c r="L615" s="12"/>
      <c r="M615" s="12"/>
      <c r="N615" s="12"/>
      <c r="O615" s="12"/>
      <c r="P615" s="12"/>
    </row>
    <row r="616">
      <c r="A616" s="12"/>
      <c r="D616" s="95"/>
      <c r="E616" s="14"/>
      <c r="F616" s="96"/>
      <c r="H616" s="12"/>
      <c r="I616" s="12"/>
      <c r="J616" s="12"/>
      <c r="K616" s="12"/>
      <c r="L616" s="12"/>
      <c r="M616" s="12"/>
      <c r="N616" s="12"/>
      <c r="O616" s="12"/>
      <c r="P616" s="12"/>
    </row>
    <row r="617">
      <c r="A617" s="12"/>
      <c r="D617" s="95"/>
      <c r="E617" s="14"/>
      <c r="F617" s="96"/>
      <c r="H617" s="12"/>
      <c r="I617" s="12"/>
      <c r="J617" s="12"/>
      <c r="K617" s="12"/>
      <c r="L617" s="12"/>
      <c r="M617" s="12"/>
      <c r="N617" s="12"/>
      <c r="O617" s="12"/>
      <c r="P617" s="12"/>
    </row>
    <row r="618">
      <c r="A618" s="12"/>
      <c r="D618" s="95"/>
      <c r="E618" s="14"/>
      <c r="F618" s="96"/>
      <c r="H618" s="12"/>
      <c r="I618" s="12"/>
      <c r="J618" s="12"/>
      <c r="K618" s="12"/>
      <c r="L618" s="12"/>
      <c r="M618" s="12"/>
      <c r="N618" s="12"/>
      <c r="O618" s="12"/>
      <c r="P618" s="12"/>
    </row>
    <row r="619">
      <c r="A619" s="12"/>
      <c r="D619" s="95"/>
      <c r="E619" s="14"/>
      <c r="F619" s="96"/>
      <c r="H619" s="12"/>
      <c r="I619" s="12"/>
      <c r="J619" s="12"/>
      <c r="K619" s="12"/>
      <c r="L619" s="12"/>
      <c r="M619" s="12"/>
      <c r="N619" s="12"/>
      <c r="O619" s="12"/>
      <c r="P619" s="12"/>
    </row>
    <row r="620">
      <c r="A620" s="12"/>
      <c r="D620" s="95"/>
      <c r="E620" s="14"/>
      <c r="F620" s="96"/>
      <c r="H620" s="12"/>
      <c r="I620" s="12"/>
      <c r="J620" s="12"/>
      <c r="K620" s="12"/>
      <c r="L620" s="12"/>
      <c r="M620" s="12"/>
      <c r="N620" s="12"/>
      <c r="O620" s="12"/>
      <c r="P620" s="12"/>
    </row>
    <row r="621">
      <c r="A621" s="12"/>
      <c r="D621" s="95"/>
      <c r="E621" s="14"/>
      <c r="F621" s="96"/>
      <c r="H621" s="12"/>
      <c r="I621" s="12"/>
      <c r="J621" s="12"/>
      <c r="K621" s="12"/>
      <c r="L621" s="12"/>
      <c r="M621" s="12"/>
      <c r="N621" s="12"/>
      <c r="O621" s="12"/>
      <c r="P621" s="12"/>
    </row>
    <row r="622">
      <c r="A622" s="12"/>
      <c r="D622" s="95"/>
      <c r="E622" s="14"/>
      <c r="F622" s="96"/>
      <c r="H622" s="12"/>
      <c r="I622" s="12"/>
      <c r="J622" s="12"/>
      <c r="K622" s="12"/>
      <c r="L622" s="12"/>
      <c r="M622" s="12"/>
      <c r="N622" s="12"/>
      <c r="O622" s="12"/>
      <c r="P622" s="12"/>
    </row>
    <row r="623">
      <c r="A623" s="12"/>
      <c r="D623" s="95"/>
      <c r="E623" s="14"/>
      <c r="F623" s="96"/>
      <c r="H623" s="12"/>
      <c r="I623" s="12"/>
      <c r="J623" s="12"/>
      <c r="K623" s="12"/>
      <c r="L623" s="12"/>
      <c r="M623" s="12"/>
      <c r="N623" s="12"/>
      <c r="O623" s="12"/>
      <c r="P623" s="12"/>
    </row>
    <row r="624">
      <c r="A624" s="12"/>
      <c r="D624" s="95"/>
      <c r="E624" s="14"/>
      <c r="F624" s="96"/>
      <c r="H624" s="12"/>
      <c r="I624" s="12"/>
      <c r="J624" s="12"/>
      <c r="K624" s="12"/>
      <c r="L624" s="12"/>
      <c r="M624" s="12"/>
      <c r="N624" s="12"/>
      <c r="O624" s="12"/>
      <c r="P624" s="12"/>
    </row>
    <row r="625">
      <c r="A625" s="12"/>
      <c r="D625" s="95"/>
      <c r="E625" s="14"/>
      <c r="F625" s="96"/>
      <c r="H625" s="12"/>
      <c r="I625" s="12"/>
      <c r="J625" s="12"/>
      <c r="K625" s="12"/>
      <c r="L625" s="12"/>
      <c r="M625" s="12"/>
      <c r="N625" s="12"/>
      <c r="O625" s="12"/>
      <c r="P625" s="12"/>
    </row>
    <row r="626">
      <c r="A626" s="12"/>
      <c r="D626" s="95"/>
      <c r="E626" s="14"/>
      <c r="F626" s="96"/>
      <c r="H626" s="12"/>
      <c r="I626" s="12"/>
      <c r="J626" s="12"/>
      <c r="K626" s="12"/>
      <c r="L626" s="12"/>
      <c r="M626" s="12"/>
      <c r="N626" s="12"/>
      <c r="O626" s="12"/>
      <c r="P626" s="12"/>
    </row>
    <row r="627">
      <c r="A627" s="12"/>
      <c r="D627" s="95"/>
      <c r="E627" s="14"/>
      <c r="F627" s="96"/>
      <c r="H627" s="12"/>
      <c r="I627" s="12"/>
      <c r="J627" s="12"/>
      <c r="K627" s="12"/>
      <c r="L627" s="12"/>
      <c r="M627" s="12"/>
      <c r="N627" s="12"/>
      <c r="O627" s="12"/>
      <c r="P627" s="12"/>
    </row>
    <row r="628">
      <c r="A628" s="12"/>
      <c r="D628" s="95"/>
      <c r="E628" s="14"/>
      <c r="F628" s="96"/>
      <c r="H628" s="12"/>
      <c r="I628" s="12"/>
      <c r="J628" s="12"/>
      <c r="K628" s="12"/>
      <c r="L628" s="12"/>
      <c r="M628" s="12"/>
      <c r="N628" s="12"/>
      <c r="O628" s="12"/>
      <c r="P628" s="12"/>
    </row>
    <row r="629">
      <c r="A629" s="12"/>
      <c r="D629" s="95"/>
      <c r="E629" s="14"/>
      <c r="F629" s="96"/>
      <c r="H629" s="12"/>
      <c r="I629" s="12"/>
      <c r="J629" s="12"/>
      <c r="K629" s="12"/>
      <c r="L629" s="12"/>
      <c r="M629" s="12"/>
      <c r="N629" s="12"/>
      <c r="O629" s="12"/>
      <c r="P629" s="12"/>
    </row>
    <row r="630">
      <c r="A630" s="12"/>
      <c r="D630" s="95"/>
      <c r="E630" s="14"/>
      <c r="F630" s="96"/>
      <c r="H630" s="12"/>
      <c r="I630" s="12"/>
      <c r="J630" s="12"/>
      <c r="K630" s="12"/>
      <c r="L630" s="12"/>
      <c r="M630" s="12"/>
      <c r="N630" s="12"/>
      <c r="O630" s="12"/>
      <c r="P630" s="12"/>
    </row>
    <row r="631">
      <c r="A631" s="12"/>
      <c r="D631" s="95"/>
      <c r="E631" s="14"/>
      <c r="F631" s="96"/>
      <c r="H631" s="12"/>
      <c r="I631" s="12"/>
      <c r="J631" s="12"/>
      <c r="K631" s="12"/>
      <c r="L631" s="12"/>
      <c r="M631" s="12"/>
      <c r="N631" s="12"/>
      <c r="O631" s="12"/>
      <c r="P631" s="12"/>
    </row>
    <row r="632">
      <c r="A632" s="12"/>
      <c r="D632" s="95"/>
      <c r="E632" s="14"/>
      <c r="F632" s="96"/>
      <c r="H632" s="12"/>
      <c r="I632" s="12"/>
      <c r="J632" s="12"/>
      <c r="K632" s="12"/>
      <c r="L632" s="12"/>
      <c r="M632" s="12"/>
      <c r="N632" s="12"/>
      <c r="O632" s="12"/>
      <c r="P632" s="12"/>
    </row>
    <row r="633">
      <c r="A633" s="12"/>
      <c r="D633" s="95"/>
      <c r="E633" s="14"/>
      <c r="F633" s="96"/>
      <c r="H633" s="12"/>
      <c r="I633" s="12"/>
      <c r="J633" s="12"/>
      <c r="K633" s="12"/>
      <c r="L633" s="12"/>
      <c r="M633" s="12"/>
      <c r="N633" s="12"/>
      <c r="O633" s="12"/>
      <c r="P633" s="12"/>
    </row>
    <row r="634">
      <c r="A634" s="12"/>
      <c r="D634" s="95"/>
      <c r="E634" s="14"/>
      <c r="F634" s="96"/>
      <c r="H634" s="12"/>
      <c r="I634" s="12"/>
      <c r="J634" s="12"/>
      <c r="K634" s="12"/>
      <c r="L634" s="12"/>
      <c r="M634" s="12"/>
      <c r="N634" s="12"/>
      <c r="O634" s="12"/>
      <c r="P634" s="12"/>
    </row>
    <row r="635">
      <c r="A635" s="12"/>
      <c r="D635" s="95"/>
      <c r="E635" s="14"/>
      <c r="F635" s="96"/>
      <c r="H635" s="12"/>
      <c r="I635" s="12"/>
      <c r="J635" s="12"/>
      <c r="K635" s="12"/>
      <c r="L635" s="12"/>
      <c r="M635" s="12"/>
      <c r="N635" s="12"/>
      <c r="O635" s="12"/>
      <c r="P635" s="12"/>
    </row>
    <row r="636">
      <c r="A636" s="12"/>
      <c r="D636" s="95"/>
      <c r="E636" s="14"/>
      <c r="F636" s="96"/>
      <c r="H636" s="12"/>
      <c r="I636" s="12"/>
      <c r="J636" s="12"/>
      <c r="K636" s="12"/>
      <c r="L636" s="12"/>
      <c r="M636" s="12"/>
      <c r="N636" s="12"/>
      <c r="O636" s="12"/>
      <c r="P636" s="12"/>
    </row>
    <row r="637">
      <c r="A637" s="12"/>
      <c r="D637" s="95"/>
      <c r="E637" s="14"/>
      <c r="F637" s="96"/>
      <c r="H637" s="12"/>
      <c r="I637" s="12"/>
      <c r="J637" s="12"/>
      <c r="K637" s="12"/>
      <c r="L637" s="12"/>
      <c r="M637" s="12"/>
      <c r="N637" s="12"/>
      <c r="O637" s="12"/>
      <c r="P637" s="12"/>
    </row>
    <row r="638">
      <c r="A638" s="12"/>
      <c r="D638" s="95"/>
      <c r="E638" s="14"/>
      <c r="F638" s="96"/>
      <c r="H638" s="12"/>
      <c r="I638" s="12"/>
      <c r="J638" s="12"/>
      <c r="K638" s="12"/>
      <c r="L638" s="12"/>
      <c r="M638" s="12"/>
      <c r="N638" s="12"/>
      <c r="O638" s="12"/>
      <c r="P638" s="12"/>
    </row>
    <row r="639">
      <c r="A639" s="12"/>
      <c r="D639" s="95"/>
      <c r="E639" s="14"/>
      <c r="F639" s="96"/>
      <c r="H639" s="12"/>
      <c r="I639" s="12"/>
      <c r="J639" s="12"/>
      <c r="K639" s="12"/>
      <c r="L639" s="12"/>
      <c r="M639" s="12"/>
      <c r="N639" s="12"/>
      <c r="O639" s="12"/>
      <c r="P639" s="12"/>
    </row>
    <row r="640">
      <c r="A640" s="12"/>
      <c r="D640" s="95"/>
      <c r="E640" s="14"/>
      <c r="F640" s="96"/>
      <c r="H640" s="12"/>
      <c r="I640" s="12"/>
      <c r="J640" s="12"/>
      <c r="K640" s="12"/>
      <c r="L640" s="12"/>
      <c r="M640" s="12"/>
      <c r="N640" s="12"/>
      <c r="O640" s="12"/>
      <c r="P640" s="12"/>
    </row>
    <row r="641">
      <c r="A641" s="12"/>
      <c r="D641" s="95"/>
      <c r="E641" s="14"/>
      <c r="F641" s="96"/>
      <c r="H641" s="12"/>
      <c r="I641" s="12"/>
      <c r="J641" s="12"/>
      <c r="K641" s="12"/>
      <c r="L641" s="12"/>
      <c r="M641" s="12"/>
      <c r="N641" s="12"/>
      <c r="O641" s="12"/>
      <c r="P641" s="12"/>
    </row>
    <row r="642">
      <c r="A642" s="12"/>
      <c r="D642" s="95"/>
      <c r="E642" s="14"/>
      <c r="F642" s="96"/>
      <c r="H642" s="12"/>
      <c r="I642" s="12"/>
      <c r="J642" s="12"/>
      <c r="K642" s="12"/>
      <c r="L642" s="12"/>
      <c r="M642" s="12"/>
      <c r="N642" s="12"/>
      <c r="O642" s="12"/>
      <c r="P642" s="12"/>
    </row>
    <row r="643">
      <c r="A643" s="12"/>
      <c r="D643" s="95"/>
      <c r="E643" s="14"/>
      <c r="F643" s="96"/>
      <c r="H643" s="12"/>
      <c r="I643" s="12"/>
      <c r="J643" s="12"/>
      <c r="K643" s="12"/>
      <c r="L643" s="12"/>
      <c r="M643" s="12"/>
      <c r="N643" s="12"/>
      <c r="O643" s="12"/>
      <c r="P643" s="12"/>
    </row>
    <row r="644">
      <c r="A644" s="12"/>
      <c r="D644" s="95"/>
      <c r="E644" s="14"/>
      <c r="F644" s="96"/>
      <c r="H644" s="12"/>
      <c r="I644" s="12"/>
      <c r="J644" s="12"/>
      <c r="K644" s="12"/>
      <c r="L644" s="12"/>
      <c r="M644" s="12"/>
      <c r="N644" s="12"/>
      <c r="O644" s="12"/>
      <c r="P644" s="12"/>
    </row>
    <row r="645">
      <c r="A645" s="12"/>
      <c r="D645" s="95"/>
      <c r="E645" s="14"/>
      <c r="F645" s="96"/>
      <c r="H645" s="12"/>
      <c r="I645" s="12"/>
      <c r="J645" s="12"/>
      <c r="K645" s="12"/>
      <c r="L645" s="12"/>
      <c r="M645" s="12"/>
      <c r="N645" s="12"/>
      <c r="O645" s="12"/>
      <c r="P645" s="12"/>
    </row>
    <row r="646">
      <c r="A646" s="12"/>
      <c r="D646" s="95"/>
      <c r="E646" s="14"/>
      <c r="F646" s="96"/>
      <c r="H646" s="12"/>
      <c r="I646" s="12"/>
      <c r="J646" s="12"/>
      <c r="K646" s="12"/>
      <c r="L646" s="12"/>
      <c r="M646" s="12"/>
      <c r="N646" s="12"/>
      <c r="O646" s="12"/>
      <c r="P646" s="12"/>
    </row>
    <row r="647">
      <c r="A647" s="12"/>
      <c r="D647" s="95"/>
      <c r="E647" s="14"/>
      <c r="F647" s="96"/>
      <c r="H647" s="12"/>
      <c r="I647" s="12"/>
      <c r="J647" s="12"/>
      <c r="K647" s="12"/>
      <c r="L647" s="12"/>
      <c r="M647" s="12"/>
      <c r="N647" s="12"/>
      <c r="O647" s="12"/>
      <c r="P647" s="12"/>
    </row>
    <row r="648">
      <c r="A648" s="12"/>
      <c r="D648" s="95"/>
      <c r="E648" s="14"/>
      <c r="F648" s="96"/>
      <c r="H648" s="12"/>
      <c r="I648" s="12"/>
      <c r="J648" s="12"/>
      <c r="K648" s="12"/>
      <c r="L648" s="12"/>
      <c r="M648" s="12"/>
      <c r="N648" s="12"/>
      <c r="O648" s="12"/>
      <c r="P648" s="12"/>
    </row>
    <row r="649">
      <c r="A649" s="12"/>
      <c r="D649" s="95"/>
      <c r="E649" s="14"/>
      <c r="F649" s="96"/>
      <c r="H649" s="12"/>
      <c r="I649" s="12"/>
      <c r="J649" s="12"/>
      <c r="K649" s="12"/>
      <c r="L649" s="12"/>
      <c r="M649" s="12"/>
      <c r="N649" s="12"/>
      <c r="O649" s="12"/>
      <c r="P649" s="12"/>
    </row>
    <row r="650">
      <c r="A650" s="12"/>
      <c r="D650" s="95"/>
      <c r="E650" s="14"/>
      <c r="F650" s="96"/>
      <c r="H650" s="12"/>
      <c r="I650" s="12"/>
      <c r="J650" s="12"/>
      <c r="K650" s="12"/>
      <c r="L650" s="12"/>
      <c r="M650" s="12"/>
      <c r="N650" s="12"/>
      <c r="O650" s="12"/>
      <c r="P650" s="12"/>
    </row>
    <row r="651">
      <c r="A651" s="12"/>
      <c r="D651" s="95"/>
      <c r="E651" s="14"/>
      <c r="F651" s="96"/>
      <c r="H651" s="12"/>
      <c r="I651" s="12"/>
      <c r="J651" s="12"/>
      <c r="K651" s="12"/>
      <c r="L651" s="12"/>
      <c r="M651" s="12"/>
      <c r="N651" s="12"/>
      <c r="O651" s="12"/>
      <c r="P651" s="12"/>
    </row>
    <row r="652">
      <c r="A652" s="12"/>
      <c r="D652" s="95"/>
      <c r="E652" s="14"/>
      <c r="F652" s="96"/>
      <c r="H652" s="12"/>
      <c r="I652" s="12"/>
      <c r="J652" s="12"/>
      <c r="K652" s="12"/>
      <c r="L652" s="12"/>
      <c r="M652" s="12"/>
      <c r="N652" s="12"/>
      <c r="O652" s="12"/>
      <c r="P652" s="12"/>
    </row>
    <row r="653">
      <c r="A653" s="12"/>
      <c r="D653" s="95"/>
      <c r="E653" s="14"/>
      <c r="F653" s="96"/>
      <c r="H653" s="12"/>
      <c r="I653" s="12"/>
      <c r="J653" s="12"/>
      <c r="K653" s="12"/>
      <c r="L653" s="12"/>
      <c r="M653" s="12"/>
      <c r="N653" s="12"/>
      <c r="O653" s="12"/>
      <c r="P653" s="12"/>
    </row>
    <row r="654">
      <c r="A654" s="12"/>
      <c r="D654" s="95"/>
      <c r="E654" s="14"/>
      <c r="F654" s="96"/>
      <c r="H654" s="12"/>
      <c r="I654" s="12"/>
      <c r="J654" s="12"/>
      <c r="K654" s="12"/>
      <c r="L654" s="12"/>
      <c r="M654" s="12"/>
      <c r="N654" s="12"/>
      <c r="O654" s="12"/>
      <c r="P654" s="12"/>
    </row>
    <row r="655">
      <c r="A655" s="12"/>
      <c r="D655" s="95"/>
      <c r="E655" s="14"/>
      <c r="F655" s="96"/>
      <c r="H655" s="12"/>
      <c r="I655" s="12"/>
      <c r="J655" s="12"/>
      <c r="K655" s="12"/>
      <c r="L655" s="12"/>
      <c r="M655" s="12"/>
      <c r="N655" s="12"/>
      <c r="O655" s="12"/>
      <c r="P655" s="12"/>
    </row>
    <row r="656">
      <c r="A656" s="12"/>
      <c r="D656" s="95"/>
      <c r="E656" s="14"/>
      <c r="F656" s="96"/>
      <c r="H656" s="12"/>
      <c r="I656" s="12"/>
      <c r="J656" s="12"/>
      <c r="K656" s="12"/>
      <c r="L656" s="12"/>
      <c r="M656" s="12"/>
      <c r="N656" s="12"/>
      <c r="O656" s="12"/>
      <c r="P656" s="12"/>
    </row>
    <row r="657">
      <c r="A657" s="12"/>
      <c r="D657" s="95"/>
      <c r="E657" s="14"/>
      <c r="F657" s="96"/>
      <c r="H657" s="12"/>
      <c r="I657" s="12"/>
      <c r="J657" s="12"/>
      <c r="K657" s="12"/>
      <c r="L657" s="12"/>
      <c r="M657" s="12"/>
      <c r="N657" s="12"/>
      <c r="O657" s="12"/>
      <c r="P657" s="12"/>
    </row>
    <row r="658">
      <c r="A658" s="12"/>
      <c r="D658" s="95"/>
      <c r="E658" s="14"/>
      <c r="F658" s="96"/>
      <c r="H658" s="12"/>
      <c r="I658" s="12"/>
      <c r="J658" s="12"/>
      <c r="K658" s="12"/>
      <c r="L658" s="12"/>
      <c r="M658" s="12"/>
      <c r="N658" s="12"/>
      <c r="O658" s="12"/>
      <c r="P658" s="12"/>
    </row>
    <row r="659">
      <c r="A659" s="12"/>
      <c r="D659" s="95"/>
      <c r="E659" s="14"/>
      <c r="F659" s="96"/>
      <c r="H659" s="12"/>
      <c r="I659" s="12"/>
      <c r="J659" s="12"/>
      <c r="K659" s="12"/>
      <c r="L659" s="12"/>
      <c r="M659" s="12"/>
      <c r="N659" s="12"/>
      <c r="O659" s="12"/>
      <c r="P659" s="12"/>
    </row>
    <row r="660">
      <c r="A660" s="12"/>
      <c r="D660" s="95"/>
      <c r="E660" s="14"/>
      <c r="F660" s="96"/>
      <c r="H660" s="12"/>
      <c r="I660" s="12"/>
      <c r="J660" s="12"/>
      <c r="K660" s="12"/>
      <c r="L660" s="12"/>
      <c r="M660" s="12"/>
      <c r="N660" s="12"/>
      <c r="O660" s="12"/>
      <c r="P660" s="12"/>
    </row>
    <row r="661">
      <c r="A661" s="12"/>
      <c r="D661" s="95"/>
      <c r="E661" s="14"/>
      <c r="F661" s="96"/>
      <c r="H661" s="12"/>
      <c r="I661" s="12"/>
      <c r="J661" s="12"/>
      <c r="K661" s="12"/>
      <c r="L661" s="12"/>
      <c r="M661" s="12"/>
      <c r="N661" s="12"/>
      <c r="O661" s="12"/>
      <c r="P661" s="12"/>
    </row>
    <row r="662">
      <c r="A662" s="12"/>
      <c r="D662" s="95"/>
      <c r="E662" s="14"/>
      <c r="F662" s="96"/>
      <c r="H662" s="12"/>
      <c r="I662" s="12"/>
      <c r="J662" s="12"/>
      <c r="K662" s="12"/>
      <c r="L662" s="12"/>
      <c r="M662" s="12"/>
      <c r="N662" s="12"/>
      <c r="O662" s="12"/>
      <c r="P662" s="12"/>
    </row>
    <row r="663">
      <c r="A663" s="12"/>
      <c r="D663" s="95"/>
      <c r="E663" s="14"/>
      <c r="F663" s="96"/>
      <c r="H663" s="12"/>
      <c r="I663" s="12"/>
      <c r="J663" s="12"/>
      <c r="K663" s="12"/>
      <c r="L663" s="12"/>
      <c r="M663" s="12"/>
      <c r="N663" s="12"/>
      <c r="O663" s="12"/>
      <c r="P663" s="12"/>
    </row>
    <row r="664">
      <c r="A664" s="12"/>
      <c r="D664" s="95"/>
      <c r="E664" s="14"/>
      <c r="F664" s="96"/>
      <c r="H664" s="12"/>
      <c r="I664" s="12"/>
      <c r="J664" s="12"/>
      <c r="K664" s="12"/>
      <c r="L664" s="12"/>
      <c r="M664" s="12"/>
      <c r="N664" s="12"/>
      <c r="O664" s="12"/>
      <c r="P664" s="12"/>
    </row>
    <row r="665">
      <c r="A665" s="12"/>
      <c r="D665" s="95"/>
      <c r="E665" s="14"/>
      <c r="F665" s="96"/>
      <c r="H665" s="12"/>
      <c r="I665" s="12"/>
      <c r="J665" s="12"/>
      <c r="K665" s="12"/>
      <c r="L665" s="12"/>
      <c r="M665" s="12"/>
      <c r="N665" s="12"/>
      <c r="O665" s="12"/>
      <c r="P665" s="12"/>
    </row>
    <row r="666">
      <c r="A666" s="12"/>
      <c r="D666" s="95"/>
      <c r="E666" s="14"/>
      <c r="F666" s="96"/>
      <c r="H666" s="12"/>
      <c r="I666" s="12"/>
      <c r="J666" s="12"/>
      <c r="K666" s="12"/>
      <c r="L666" s="12"/>
      <c r="M666" s="12"/>
      <c r="N666" s="12"/>
      <c r="O666" s="12"/>
      <c r="P666" s="12"/>
    </row>
    <row r="667">
      <c r="A667" s="12"/>
      <c r="D667" s="95"/>
      <c r="E667" s="14"/>
      <c r="F667" s="96"/>
      <c r="H667" s="12"/>
      <c r="I667" s="12"/>
      <c r="J667" s="12"/>
      <c r="K667" s="12"/>
      <c r="L667" s="12"/>
      <c r="M667" s="12"/>
      <c r="N667" s="12"/>
      <c r="O667" s="12"/>
      <c r="P667" s="12"/>
    </row>
    <row r="668">
      <c r="A668" s="12"/>
      <c r="D668" s="95"/>
      <c r="E668" s="14"/>
      <c r="F668" s="96"/>
      <c r="H668" s="12"/>
      <c r="I668" s="12"/>
      <c r="J668" s="12"/>
      <c r="K668" s="12"/>
      <c r="L668" s="12"/>
      <c r="M668" s="12"/>
      <c r="N668" s="12"/>
      <c r="O668" s="12"/>
      <c r="P668" s="12"/>
    </row>
    <row r="669">
      <c r="A669" s="12"/>
      <c r="D669" s="95"/>
      <c r="E669" s="14"/>
      <c r="F669" s="96"/>
      <c r="H669" s="12"/>
      <c r="I669" s="12"/>
      <c r="J669" s="12"/>
      <c r="K669" s="12"/>
      <c r="L669" s="12"/>
      <c r="M669" s="12"/>
      <c r="N669" s="12"/>
      <c r="O669" s="12"/>
      <c r="P669" s="12"/>
    </row>
    <row r="670">
      <c r="A670" s="12"/>
      <c r="D670" s="95"/>
      <c r="E670" s="14"/>
      <c r="F670" s="96"/>
      <c r="H670" s="12"/>
      <c r="I670" s="12"/>
      <c r="J670" s="12"/>
      <c r="K670" s="12"/>
      <c r="L670" s="12"/>
      <c r="M670" s="12"/>
      <c r="N670" s="12"/>
      <c r="O670" s="12"/>
      <c r="P670" s="12"/>
    </row>
    <row r="671">
      <c r="A671" s="12"/>
      <c r="D671" s="95"/>
      <c r="E671" s="14"/>
      <c r="F671" s="96"/>
      <c r="H671" s="12"/>
      <c r="I671" s="12"/>
      <c r="J671" s="12"/>
      <c r="K671" s="12"/>
      <c r="L671" s="12"/>
      <c r="M671" s="12"/>
      <c r="N671" s="12"/>
      <c r="O671" s="12"/>
      <c r="P671" s="12"/>
    </row>
    <row r="672">
      <c r="A672" s="12"/>
      <c r="D672" s="95"/>
      <c r="E672" s="14"/>
      <c r="F672" s="96"/>
      <c r="H672" s="12"/>
      <c r="I672" s="12"/>
      <c r="J672" s="12"/>
      <c r="K672" s="12"/>
      <c r="L672" s="12"/>
      <c r="M672" s="12"/>
      <c r="N672" s="12"/>
      <c r="O672" s="12"/>
      <c r="P672" s="12"/>
    </row>
    <row r="673">
      <c r="A673" s="12"/>
      <c r="D673" s="95"/>
      <c r="E673" s="14"/>
      <c r="F673" s="96"/>
      <c r="H673" s="12"/>
      <c r="I673" s="12"/>
      <c r="J673" s="12"/>
      <c r="K673" s="12"/>
      <c r="L673" s="12"/>
      <c r="M673" s="12"/>
      <c r="N673" s="12"/>
      <c r="O673" s="12"/>
      <c r="P673" s="12"/>
    </row>
    <row r="674">
      <c r="A674" s="12"/>
      <c r="D674" s="95"/>
      <c r="E674" s="14"/>
      <c r="F674" s="96"/>
      <c r="H674" s="12"/>
      <c r="I674" s="12"/>
      <c r="J674" s="12"/>
      <c r="K674" s="12"/>
      <c r="L674" s="12"/>
      <c r="M674" s="12"/>
      <c r="N674" s="12"/>
      <c r="O674" s="12"/>
      <c r="P674" s="12"/>
    </row>
    <row r="675">
      <c r="A675" s="12"/>
      <c r="D675" s="95"/>
      <c r="E675" s="14"/>
      <c r="F675" s="96"/>
      <c r="H675" s="12"/>
      <c r="I675" s="12"/>
      <c r="J675" s="12"/>
      <c r="K675" s="12"/>
      <c r="L675" s="12"/>
      <c r="M675" s="12"/>
      <c r="N675" s="12"/>
      <c r="O675" s="12"/>
      <c r="P675" s="12"/>
    </row>
    <row r="676">
      <c r="A676" s="12"/>
      <c r="D676" s="95"/>
      <c r="E676" s="14"/>
      <c r="F676" s="96"/>
      <c r="H676" s="12"/>
      <c r="I676" s="12"/>
      <c r="J676" s="12"/>
      <c r="K676" s="12"/>
      <c r="L676" s="12"/>
      <c r="M676" s="12"/>
      <c r="N676" s="12"/>
      <c r="O676" s="12"/>
      <c r="P676" s="12"/>
    </row>
    <row r="677">
      <c r="A677" s="12"/>
      <c r="D677" s="95"/>
      <c r="E677" s="14"/>
      <c r="F677" s="96"/>
      <c r="H677" s="12"/>
      <c r="I677" s="12"/>
      <c r="J677" s="12"/>
      <c r="K677" s="12"/>
      <c r="L677" s="12"/>
      <c r="M677" s="12"/>
      <c r="N677" s="12"/>
      <c r="O677" s="12"/>
      <c r="P677" s="12"/>
    </row>
    <row r="678">
      <c r="A678" s="12"/>
      <c r="D678" s="95"/>
      <c r="E678" s="14"/>
      <c r="F678" s="96"/>
      <c r="H678" s="12"/>
      <c r="I678" s="12"/>
      <c r="J678" s="12"/>
      <c r="K678" s="12"/>
      <c r="L678" s="12"/>
      <c r="M678" s="12"/>
      <c r="N678" s="12"/>
      <c r="O678" s="12"/>
      <c r="P678" s="12"/>
    </row>
    <row r="679">
      <c r="A679" s="12"/>
      <c r="D679" s="95"/>
      <c r="E679" s="14"/>
      <c r="F679" s="96"/>
      <c r="H679" s="12"/>
      <c r="I679" s="12"/>
      <c r="J679" s="12"/>
      <c r="K679" s="12"/>
      <c r="L679" s="12"/>
      <c r="M679" s="12"/>
      <c r="N679" s="12"/>
      <c r="O679" s="12"/>
      <c r="P679" s="12"/>
    </row>
    <row r="680">
      <c r="A680" s="12"/>
      <c r="D680" s="95"/>
      <c r="E680" s="14"/>
      <c r="F680" s="96"/>
      <c r="H680" s="12"/>
      <c r="I680" s="12"/>
      <c r="J680" s="12"/>
      <c r="K680" s="12"/>
      <c r="L680" s="12"/>
      <c r="M680" s="12"/>
      <c r="N680" s="12"/>
      <c r="O680" s="12"/>
      <c r="P680" s="12"/>
    </row>
    <row r="681">
      <c r="A681" s="12"/>
      <c r="D681" s="95"/>
      <c r="E681" s="14"/>
      <c r="F681" s="96"/>
      <c r="H681" s="12"/>
      <c r="I681" s="12"/>
      <c r="J681" s="12"/>
      <c r="K681" s="12"/>
      <c r="L681" s="12"/>
      <c r="M681" s="12"/>
      <c r="N681" s="12"/>
      <c r="O681" s="12"/>
      <c r="P681" s="12"/>
    </row>
    <row r="682">
      <c r="A682" s="12"/>
      <c r="D682" s="95"/>
      <c r="E682" s="14"/>
      <c r="F682" s="96"/>
      <c r="H682" s="12"/>
      <c r="I682" s="12"/>
      <c r="J682" s="12"/>
      <c r="K682" s="12"/>
      <c r="L682" s="12"/>
      <c r="M682" s="12"/>
      <c r="N682" s="12"/>
      <c r="O682" s="12"/>
      <c r="P682" s="12"/>
    </row>
    <row r="683">
      <c r="A683" s="12"/>
      <c r="D683" s="95"/>
      <c r="E683" s="14"/>
      <c r="F683" s="96"/>
      <c r="H683" s="12"/>
      <c r="I683" s="12"/>
      <c r="J683" s="12"/>
      <c r="K683" s="12"/>
      <c r="L683" s="12"/>
      <c r="M683" s="12"/>
      <c r="N683" s="12"/>
      <c r="O683" s="12"/>
      <c r="P683" s="12"/>
    </row>
    <row r="684">
      <c r="A684" s="12"/>
      <c r="D684" s="95"/>
      <c r="E684" s="14"/>
      <c r="F684" s="96"/>
      <c r="H684" s="12"/>
      <c r="I684" s="12"/>
      <c r="J684" s="12"/>
      <c r="K684" s="12"/>
      <c r="L684" s="12"/>
      <c r="M684" s="12"/>
      <c r="N684" s="12"/>
      <c r="O684" s="12"/>
      <c r="P684" s="12"/>
    </row>
    <row r="685">
      <c r="A685" s="12"/>
      <c r="D685" s="95"/>
      <c r="E685" s="14"/>
      <c r="F685" s="96"/>
      <c r="H685" s="12"/>
      <c r="I685" s="12"/>
      <c r="J685" s="12"/>
      <c r="K685" s="12"/>
      <c r="L685" s="12"/>
      <c r="M685" s="12"/>
      <c r="N685" s="12"/>
      <c r="O685" s="12"/>
      <c r="P685" s="12"/>
    </row>
    <row r="686">
      <c r="A686" s="12"/>
      <c r="D686" s="95"/>
      <c r="E686" s="14"/>
      <c r="F686" s="96"/>
      <c r="H686" s="12"/>
      <c r="I686" s="12"/>
      <c r="J686" s="12"/>
      <c r="K686" s="12"/>
      <c r="L686" s="12"/>
      <c r="M686" s="12"/>
      <c r="N686" s="12"/>
      <c r="O686" s="12"/>
      <c r="P686" s="12"/>
    </row>
    <row r="687">
      <c r="A687" s="12"/>
      <c r="D687" s="95"/>
      <c r="E687" s="14"/>
      <c r="F687" s="96"/>
      <c r="H687" s="12"/>
      <c r="I687" s="12"/>
      <c r="J687" s="12"/>
      <c r="K687" s="12"/>
      <c r="L687" s="12"/>
      <c r="M687" s="12"/>
      <c r="N687" s="12"/>
      <c r="O687" s="12"/>
      <c r="P687" s="12"/>
    </row>
    <row r="688">
      <c r="A688" s="12"/>
      <c r="D688" s="95"/>
      <c r="E688" s="14"/>
      <c r="F688" s="96"/>
      <c r="H688" s="12"/>
      <c r="I688" s="12"/>
      <c r="J688" s="12"/>
      <c r="K688" s="12"/>
      <c r="L688" s="12"/>
      <c r="M688" s="12"/>
      <c r="N688" s="12"/>
      <c r="O688" s="12"/>
      <c r="P688" s="12"/>
    </row>
    <row r="689">
      <c r="A689" s="12"/>
      <c r="D689" s="95"/>
      <c r="E689" s="14"/>
      <c r="F689" s="96"/>
      <c r="H689" s="12"/>
      <c r="I689" s="12"/>
      <c r="J689" s="12"/>
      <c r="K689" s="12"/>
      <c r="L689" s="12"/>
      <c r="M689" s="12"/>
      <c r="N689" s="12"/>
      <c r="O689" s="12"/>
      <c r="P689" s="12"/>
    </row>
    <row r="690">
      <c r="A690" s="12"/>
      <c r="D690" s="95"/>
      <c r="E690" s="14"/>
      <c r="F690" s="96"/>
      <c r="H690" s="12"/>
      <c r="I690" s="12"/>
      <c r="J690" s="12"/>
      <c r="K690" s="12"/>
      <c r="L690" s="12"/>
      <c r="M690" s="12"/>
      <c r="N690" s="12"/>
      <c r="O690" s="12"/>
      <c r="P690" s="12"/>
    </row>
    <row r="691">
      <c r="A691" s="12"/>
      <c r="D691" s="95"/>
      <c r="E691" s="14"/>
      <c r="F691" s="96"/>
      <c r="H691" s="12"/>
      <c r="I691" s="12"/>
      <c r="J691" s="12"/>
      <c r="K691" s="12"/>
      <c r="L691" s="12"/>
      <c r="M691" s="12"/>
      <c r="N691" s="12"/>
      <c r="O691" s="12"/>
      <c r="P691" s="12"/>
    </row>
    <row r="692">
      <c r="A692" s="12"/>
      <c r="D692" s="95"/>
      <c r="E692" s="14"/>
      <c r="F692" s="96"/>
      <c r="H692" s="12"/>
      <c r="I692" s="12"/>
      <c r="J692" s="12"/>
      <c r="K692" s="12"/>
      <c r="L692" s="12"/>
      <c r="M692" s="12"/>
      <c r="N692" s="12"/>
      <c r="O692" s="12"/>
      <c r="P692" s="12"/>
    </row>
    <row r="693">
      <c r="A693" s="12"/>
      <c r="D693" s="95"/>
      <c r="E693" s="14"/>
      <c r="F693" s="96"/>
      <c r="H693" s="12"/>
      <c r="I693" s="12"/>
      <c r="J693" s="12"/>
      <c r="K693" s="12"/>
      <c r="L693" s="12"/>
      <c r="M693" s="12"/>
      <c r="N693" s="12"/>
      <c r="O693" s="12"/>
      <c r="P693" s="12"/>
    </row>
    <row r="694">
      <c r="A694" s="12"/>
      <c r="D694" s="95"/>
      <c r="E694" s="14"/>
      <c r="F694" s="96"/>
      <c r="H694" s="12"/>
      <c r="I694" s="12"/>
      <c r="J694" s="12"/>
      <c r="K694" s="12"/>
      <c r="L694" s="12"/>
      <c r="M694" s="12"/>
      <c r="N694" s="12"/>
      <c r="O694" s="12"/>
      <c r="P694" s="12"/>
    </row>
    <row r="695">
      <c r="A695" s="12"/>
      <c r="D695" s="95"/>
      <c r="E695" s="14"/>
      <c r="F695" s="96"/>
      <c r="H695" s="12"/>
      <c r="I695" s="12"/>
      <c r="J695" s="12"/>
      <c r="K695" s="12"/>
      <c r="L695" s="12"/>
      <c r="M695" s="12"/>
      <c r="N695" s="12"/>
      <c r="O695" s="12"/>
      <c r="P695" s="12"/>
    </row>
    <row r="696">
      <c r="A696" s="12"/>
      <c r="D696" s="95"/>
      <c r="E696" s="14"/>
      <c r="F696" s="96"/>
      <c r="H696" s="12"/>
      <c r="I696" s="12"/>
      <c r="J696" s="12"/>
      <c r="K696" s="12"/>
      <c r="L696" s="12"/>
      <c r="M696" s="12"/>
      <c r="N696" s="12"/>
      <c r="O696" s="12"/>
      <c r="P696" s="12"/>
    </row>
    <row r="697">
      <c r="A697" s="12"/>
      <c r="D697" s="95"/>
      <c r="E697" s="14"/>
      <c r="F697" s="96"/>
      <c r="H697" s="12"/>
      <c r="I697" s="12"/>
      <c r="J697" s="12"/>
      <c r="K697" s="12"/>
      <c r="L697" s="12"/>
      <c r="M697" s="12"/>
      <c r="N697" s="12"/>
      <c r="O697" s="12"/>
      <c r="P697" s="12"/>
    </row>
    <row r="698">
      <c r="A698" s="12"/>
      <c r="D698" s="95"/>
      <c r="E698" s="14"/>
      <c r="F698" s="96"/>
      <c r="H698" s="12"/>
      <c r="I698" s="12"/>
      <c r="J698" s="12"/>
      <c r="K698" s="12"/>
      <c r="L698" s="12"/>
      <c r="M698" s="12"/>
      <c r="N698" s="12"/>
      <c r="O698" s="12"/>
      <c r="P698" s="12"/>
    </row>
    <row r="699">
      <c r="A699" s="12"/>
      <c r="D699" s="95"/>
      <c r="E699" s="14"/>
      <c r="F699" s="96"/>
      <c r="H699" s="12"/>
      <c r="I699" s="12"/>
      <c r="J699" s="12"/>
      <c r="K699" s="12"/>
      <c r="L699" s="12"/>
      <c r="M699" s="12"/>
      <c r="N699" s="12"/>
      <c r="O699" s="12"/>
      <c r="P699" s="12"/>
    </row>
    <row r="700">
      <c r="A700" s="12"/>
      <c r="D700" s="95"/>
      <c r="E700" s="14"/>
      <c r="F700" s="96"/>
      <c r="H700" s="12"/>
      <c r="I700" s="12"/>
      <c r="J700" s="12"/>
      <c r="K700" s="12"/>
      <c r="L700" s="12"/>
      <c r="M700" s="12"/>
      <c r="N700" s="12"/>
      <c r="O700" s="12"/>
      <c r="P700" s="12"/>
    </row>
    <row r="701">
      <c r="A701" s="12"/>
      <c r="D701" s="95"/>
      <c r="E701" s="14"/>
      <c r="F701" s="96"/>
      <c r="H701" s="12"/>
      <c r="I701" s="12"/>
      <c r="J701" s="12"/>
      <c r="K701" s="12"/>
      <c r="L701" s="12"/>
      <c r="M701" s="12"/>
      <c r="N701" s="12"/>
      <c r="O701" s="12"/>
      <c r="P701" s="12"/>
    </row>
    <row r="702">
      <c r="A702" s="12"/>
      <c r="D702" s="95"/>
      <c r="E702" s="14"/>
      <c r="F702" s="96"/>
      <c r="H702" s="12"/>
      <c r="I702" s="12"/>
      <c r="J702" s="12"/>
      <c r="K702" s="12"/>
      <c r="L702" s="12"/>
      <c r="M702" s="12"/>
      <c r="N702" s="12"/>
      <c r="O702" s="12"/>
      <c r="P702" s="12"/>
    </row>
    <row r="703">
      <c r="A703" s="12"/>
      <c r="D703" s="95"/>
      <c r="E703" s="14"/>
      <c r="F703" s="96"/>
      <c r="H703" s="12"/>
      <c r="I703" s="12"/>
      <c r="J703" s="12"/>
      <c r="K703" s="12"/>
      <c r="L703" s="12"/>
      <c r="M703" s="12"/>
      <c r="N703" s="12"/>
      <c r="O703" s="12"/>
      <c r="P703" s="12"/>
    </row>
    <row r="704">
      <c r="A704" s="12"/>
      <c r="D704" s="95"/>
      <c r="E704" s="14"/>
      <c r="F704" s="96"/>
      <c r="H704" s="12"/>
      <c r="I704" s="12"/>
      <c r="J704" s="12"/>
      <c r="K704" s="12"/>
      <c r="L704" s="12"/>
      <c r="M704" s="12"/>
      <c r="N704" s="12"/>
      <c r="O704" s="12"/>
      <c r="P704" s="12"/>
    </row>
    <row r="705">
      <c r="A705" s="12"/>
      <c r="D705" s="95"/>
      <c r="E705" s="14"/>
      <c r="F705" s="96"/>
      <c r="H705" s="12"/>
      <c r="I705" s="12"/>
      <c r="J705" s="12"/>
      <c r="K705" s="12"/>
      <c r="L705" s="12"/>
      <c r="M705" s="12"/>
      <c r="N705" s="12"/>
      <c r="O705" s="12"/>
      <c r="P705" s="12"/>
    </row>
    <row r="706">
      <c r="A706" s="12"/>
      <c r="D706" s="95"/>
      <c r="E706" s="14"/>
      <c r="F706" s="96"/>
      <c r="H706" s="12"/>
      <c r="I706" s="12"/>
      <c r="J706" s="12"/>
      <c r="K706" s="12"/>
      <c r="L706" s="12"/>
      <c r="M706" s="12"/>
      <c r="N706" s="12"/>
      <c r="O706" s="12"/>
      <c r="P706" s="12"/>
    </row>
    <row r="707">
      <c r="A707" s="12"/>
      <c r="D707" s="95"/>
      <c r="E707" s="14"/>
      <c r="F707" s="96"/>
      <c r="H707" s="12"/>
      <c r="I707" s="12"/>
      <c r="J707" s="12"/>
      <c r="K707" s="12"/>
      <c r="L707" s="12"/>
      <c r="M707" s="12"/>
      <c r="N707" s="12"/>
      <c r="O707" s="12"/>
      <c r="P707" s="12"/>
    </row>
    <row r="708">
      <c r="A708" s="12"/>
      <c r="D708" s="95"/>
      <c r="E708" s="14"/>
      <c r="F708" s="96"/>
      <c r="H708" s="12"/>
      <c r="I708" s="12"/>
      <c r="J708" s="12"/>
      <c r="K708" s="12"/>
      <c r="L708" s="12"/>
      <c r="M708" s="12"/>
      <c r="N708" s="12"/>
      <c r="O708" s="12"/>
      <c r="P708" s="12"/>
    </row>
    <row r="709">
      <c r="A709" s="12"/>
      <c r="D709" s="95"/>
      <c r="E709" s="14"/>
      <c r="F709" s="96"/>
      <c r="H709" s="12"/>
      <c r="I709" s="12"/>
      <c r="J709" s="12"/>
      <c r="K709" s="12"/>
      <c r="L709" s="12"/>
      <c r="M709" s="12"/>
      <c r="N709" s="12"/>
      <c r="O709" s="12"/>
      <c r="P709" s="12"/>
    </row>
    <row r="710">
      <c r="A710" s="12"/>
      <c r="D710" s="95"/>
      <c r="E710" s="14"/>
      <c r="F710" s="96"/>
      <c r="H710" s="12"/>
      <c r="I710" s="12"/>
      <c r="J710" s="12"/>
      <c r="K710" s="12"/>
      <c r="L710" s="12"/>
      <c r="M710" s="12"/>
      <c r="N710" s="12"/>
      <c r="O710" s="12"/>
      <c r="P710" s="12"/>
    </row>
    <row r="711">
      <c r="A711" s="12"/>
      <c r="D711" s="95"/>
      <c r="E711" s="14"/>
      <c r="F711" s="96"/>
      <c r="H711" s="12"/>
      <c r="I711" s="12"/>
      <c r="J711" s="12"/>
      <c r="K711" s="12"/>
      <c r="L711" s="12"/>
      <c r="M711" s="12"/>
      <c r="N711" s="12"/>
      <c r="O711" s="12"/>
      <c r="P711" s="12"/>
    </row>
    <row r="712">
      <c r="A712" s="12"/>
      <c r="D712" s="95"/>
      <c r="E712" s="14"/>
      <c r="F712" s="96"/>
      <c r="H712" s="12"/>
      <c r="I712" s="12"/>
      <c r="J712" s="12"/>
      <c r="K712" s="12"/>
      <c r="L712" s="12"/>
      <c r="M712" s="12"/>
      <c r="N712" s="12"/>
      <c r="O712" s="12"/>
      <c r="P712" s="12"/>
    </row>
    <row r="713">
      <c r="A713" s="12"/>
      <c r="D713" s="95"/>
      <c r="E713" s="14"/>
      <c r="F713" s="96"/>
      <c r="H713" s="12"/>
      <c r="I713" s="12"/>
      <c r="J713" s="12"/>
      <c r="K713" s="12"/>
      <c r="L713" s="12"/>
      <c r="M713" s="12"/>
      <c r="N713" s="12"/>
      <c r="O713" s="12"/>
      <c r="P713" s="12"/>
    </row>
    <row r="714">
      <c r="A714" s="12"/>
      <c r="D714" s="95"/>
      <c r="E714" s="14"/>
      <c r="F714" s="96"/>
      <c r="H714" s="12"/>
      <c r="I714" s="12"/>
      <c r="J714" s="12"/>
      <c r="K714" s="12"/>
      <c r="L714" s="12"/>
      <c r="M714" s="12"/>
      <c r="N714" s="12"/>
      <c r="O714" s="12"/>
      <c r="P714" s="12"/>
    </row>
    <row r="715">
      <c r="A715" s="12"/>
      <c r="D715" s="95"/>
      <c r="E715" s="14"/>
      <c r="F715" s="96"/>
      <c r="H715" s="12"/>
      <c r="I715" s="12"/>
      <c r="J715" s="12"/>
      <c r="K715" s="12"/>
      <c r="L715" s="12"/>
      <c r="M715" s="12"/>
      <c r="N715" s="12"/>
      <c r="O715" s="12"/>
      <c r="P715" s="12"/>
    </row>
    <row r="716">
      <c r="A716" s="12"/>
      <c r="D716" s="95"/>
      <c r="E716" s="14"/>
      <c r="F716" s="96"/>
      <c r="H716" s="12"/>
      <c r="I716" s="12"/>
      <c r="J716" s="12"/>
      <c r="K716" s="12"/>
      <c r="L716" s="12"/>
      <c r="M716" s="12"/>
      <c r="N716" s="12"/>
      <c r="O716" s="12"/>
      <c r="P716" s="12"/>
    </row>
    <row r="717">
      <c r="A717" s="12"/>
      <c r="D717" s="95"/>
      <c r="E717" s="14"/>
      <c r="F717" s="96"/>
      <c r="H717" s="12"/>
      <c r="I717" s="12"/>
      <c r="J717" s="12"/>
      <c r="K717" s="12"/>
      <c r="L717" s="12"/>
      <c r="M717" s="12"/>
      <c r="N717" s="12"/>
      <c r="O717" s="12"/>
      <c r="P717" s="12"/>
    </row>
    <row r="718">
      <c r="A718" s="12"/>
      <c r="D718" s="95"/>
      <c r="E718" s="14"/>
      <c r="F718" s="96"/>
      <c r="H718" s="12"/>
      <c r="I718" s="12"/>
      <c r="J718" s="12"/>
      <c r="K718" s="12"/>
      <c r="L718" s="12"/>
      <c r="M718" s="12"/>
      <c r="N718" s="12"/>
      <c r="O718" s="12"/>
      <c r="P718" s="12"/>
    </row>
    <row r="719">
      <c r="A719" s="12"/>
      <c r="D719" s="95"/>
      <c r="E719" s="14"/>
      <c r="F719" s="96"/>
      <c r="H719" s="12"/>
      <c r="I719" s="12"/>
      <c r="J719" s="12"/>
      <c r="K719" s="12"/>
      <c r="L719" s="12"/>
      <c r="M719" s="12"/>
      <c r="N719" s="12"/>
      <c r="O719" s="12"/>
      <c r="P719" s="12"/>
    </row>
    <row r="720">
      <c r="A720" s="12"/>
      <c r="D720" s="95"/>
      <c r="E720" s="14"/>
      <c r="F720" s="96"/>
      <c r="H720" s="12"/>
      <c r="I720" s="12"/>
      <c r="J720" s="12"/>
      <c r="K720" s="12"/>
      <c r="L720" s="12"/>
      <c r="M720" s="12"/>
      <c r="N720" s="12"/>
      <c r="O720" s="12"/>
      <c r="P720" s="12"/>
    </row>
    <row r="721">
      <c r="A721" s="12"/>
      <c r="D721" s="95"/>
      <c r="E721" s="14"/>
      <c r="F721" s="96"/>
      <c r="H721" s="12"/>
      <c r="I721" s="12"/>
      <c r="J721" s="12"/>
      <c r="K721" s="12"/>
      <c r="L721" s="12"/>
      <c r="M721" s="12"/>
      <c r="N721" s="12"/>
      <c r="O721" s="12"/>
      <c r="P721" s="12"/>
    </row>
    <row r="722">
      <c r="A722" s="12"/>
      <c r="D722" s="95"/>
      <c r="E722" s="14"/>
      <c r="F722" s="96"/>
      <c r="H722" s="12"/>
      <c r="I722" s="12"/>
      <c r="J722" s="12"/>
      <c r="K722" s="12"/>
      <c r="L722" s="12"/>
      <c r="M722" s="12"/>
      <c r="N722" s="12"/>
      <c r="O722" s="12"/>
      <c r="P722" s="12"/>
    </row>
    <row r="723">
      <c r="A723" s="12"/>
      <c r="D723" s="95"/>
      <c r="E723" s="14"/>
      <c r="F723" s="96"/>
      <c r="H723" s="12"/>
      <c r="I723" s="12"/>
      <c r="J723" s="12"/>
      <c r="K723" s="12"/>
      <c r="L723" s="12"/>
      <c r="M723" s="12"/>
      <c r="N723" s="12"/>
      <c r="O723" s="12"/>
      <c r="P723" s="12"/>
    </row>
    <row r="724">
      <c r="A724" s="12"/>
      <c r="D724" s="95"/>
      <c r="E724" s="14"/>
      <c r="F724" s="96"/>
      <c r="H724" s="12"/>
      <c r="I724" s="12"/>
      <c r="J724" s="12"/>
      <c r="K724" s="12"/>
      <c r="L724" s="12"/>
      <c r="M724" s="12"/>
      <c r="N724" s="12"/>
      <c r="O724" s="12"/>
      <c r="P724" s="12"/>
    </row>
    <row r="725">
      <c r="A725" s="12"/>
      <c r="D725" s="95"/>
      <c r="E725" s="14"/>
      <c r="F725" s="96"/>
      <c r="H725" s="12"/>
      <c r="I725" s="12"/>
      <c r="J725" s="12"/>
      <c r="K725" s="12"/>
      <c r="L725" s="12"/>
      <c r="M725" s="12"/>
      <c r="N725" s="12"/>
      <c r="O725" s="12"/>
      <c r="P725" s="12"/>
    </row>
    <row r="726">
      <c r="A726" s="12"/>
      <c r="D726" s="95"/>
      <c r="E726" s="14"/>
      <c r="F726" s="96"/>
      <c r="H726" s="12"/>
      <c r="I726" s="12"/>
      <c r="J726" s="12"/>
      <c r="K726" s="12"/>
      <c r="L726" s="12"/>
      <c r="M726" s="12"/>
      <c r="N726" s="12"/>
      <c r="O726" s="12"/>
      <c r="P726" s="12"/>
    </row>
    <row r="727">
      <c r="A727" s="12"/>
      <c r="D727" s="95"/>
      <c r="E727" s="14"/>
      <c r="F727" s="96"/>
      <c r="H727" s="12"/>
      <c r="I727" s="12"/>
      <c r="J727" s="12"/>
      <c r="K727" s="12"/>
      <c r="L727" s="12"/>
      <c r="M727" s="12"/>
      <c r="N727" s="12"/>
      <c r="O727" s="12"/>
      <c r="P727" s="12"/>
    </row>
    <row r="728">
      <c r="A728" s="12"/>
      <c r="D728" s="95"/>
      <c r="E728" s="14"/>
      <c r="F728" s="96"/>
      <c r="H728" s="12"/>
      <c r="I728" s="12"/>
      <c r="J728" s="12"/>
      <c r="K728" s="12"/>
      <c r="L728" s="12"/>
      <c r="M728" s="12"/>
      <c r="N728" s="12"/>
      <c r="O728" s="12"/>
      <c r="P728" s="12"/>
    </row>
    <row r="729">
      <c r="A729" s="12"/>
      <c r="D729" s="95"/>
      <c r="E729" s="14"/>
      <c r="F729" s="96"/>
      <c r="H729" s="12"/>
      <c r="I729" s="12"/>
      <c r="J729" s="12"/>
      <c r="K729" s="12"/>
      <c r="L729" s="12"/>
      <c r="M729" s="12"/>
      <c r="N729" s="12"/>
      <c r="O729" s="12"/>
      <c r="P729" s="12"/>
    </row>
    <row r="730">
      <c r="A730" s="12"/>
      <c r="D730" s="95"/>
      <c r="E730" s="14"/>
      <c r="F730" s="96"/>
      <c r="H730" s="12"/>
      <c r="I730" s="12"/>
      <c r="J730" s="12"/>
      <c r="K730" s="12"/>
      <c r="L730" s="12"/>
      <c r="M730" s="12"/>
      <c r="N730" s="12"/>
      <c r="O730" s="12"/>
      <c r="P730" s="12"/>
    </row>
    <row r="731">
      <c r="A731" s="12"/>
      <c r="D731" s="95"/>
      <c r="E731" s="14"/>
      <c r="F731" s="96"/>
      <c r="H731" s="12"/>
      <c r="I731" s="12"/>
      <c r="J731" s="12"/>
      <c r="K731" s="12"/>
      <c r="L731" s="12"/>
      <c r="M731" s="12"/>
      <c r="N731" s="12"/>
      <c r="O731" s="12"/>
      <c r="P731" s="12"/>
    </row>
    <row r="732">
      <c r="A732" s="12"/>
      <c r="D732" s="95"/>
      <c r="E732" s="14"/>
      <c r="F732" s="96"/>
      <c r="H732" s="12"/>
      <c r="I732" s="12"/>
      <c r="J732" s="12"/>
      <c r="K732" s="12"/>
      <c r="L732" s="12"/>
      <c r="M732" s="12"/>
      <c r="N732" s="12"/>
      <c r="O732" s="12"/>
      <c r="P732" s="12"/>
    </row>
    <row r="733">
      <c r="A733" s="12"/>
      <c r="D733" s="95"/>
      <c r="E733" s="14"/>
      <c r="F733" s="96"/>
      <c r="H733" s="12"/>
      <c r="I733" s="12"/>
      <c r="J733" s="12"/>
      <c r="K733" s="12"/>
      <c r="L733" s="12"/>
      <c r="M733" s="12"/>
      <c r="N733" s="12"/>
      <c r="O733" s="12"/>
      <c r="P733" s="12"/>
    </row>
    <row r="734">
      <c r="A734" s="12"/>
      <c r="D734" s="95"/>
      <c r="E734" s="14"/>
      <c r="F734" s="96"/>
      <c r="H734" s="12"/>
      <c r="I734" s="12"/>
      <c r="J734" s="12"/>
      <c r="K734" s="12"/>
      <c r="L734" s="12"/>
      <c r="M734" s="12"/>
      <c r="N734" s="12"/>
      <c r="O734" s="12"/>
      <c r="P734" s="12"/>
    </row>
    <row r="735">
      <c r="A735" s="12"/>
      <c r="D735" s="95"/>
      <c r="E735" s="14"/>
      <c r="F735" s="96"/>
      <c r="H735" s="12"/>
      <c r="I735" s="12"/>
      <c r="J735" s="12"/>
      <c r="K735" s="12"/>
      <c r="L735" s="12"/>
      <c r="M735" s="12"/>
      <c r="N735" s="12"/>
      <c r="O735" s="12"/>
      <c r="P735" s="12"/>
    </row>
    <row r="736">
      <c r="A736" s="12"/>
      <c r="D736" s="95"/>
      <c r="E736" s="14"/>
      <c r="F736" s="96"/>
      <c r="H736" s="12"/>
      <c r="I736" s="12"/>
      <c r="J736" s="12"/>
      <c r="K736" s="12"/>
      <c r="L736" s="12"/>
      <c r="M736" s="12"/>
      <c r="N736" s="12"/>
      <c r="O736" s="12"/>
      <c r="P736" s="12"/>
    </row>
    <row r="737">
      <c r="A737" s="12"/>
      <c r="D737" s="95"/>
      <c r="E737" s="14"/>
      <c r="F737" s="96"/>
      <c r="H737" s="12"/>
      <c r="I737" s="12"/>
      <c r="J737" s="12"/>
      <c r="K737" s="12"/>
      <c r="L737" s="12"/>
      <c r="M737" s="12"/>
      <c r="N737" s="12"/>
      <c r="O737" s="12"/>
      <c r="P737" s="12"/>
    </row>
    <row r="738">
      <c r="A738" s="12"/>
      <c r="D738" s="95"/>
      <c r="E738" s="14"/>
      <c r="F738" s="96"/>
      <c r="H738" s="12"/>
      <c r="I738" s="12"/>
      <c r="J738" s="12"/>
      <c r="K738" s="12"/>
      <c r="L738" s="12"/>
      <c r="M738" s="12"/>
      <c r="N738" s="12"/>
      <c r="O738" s="12"/>
      <c r="P738" s="12"/>
    </row>
    <row r="739">
      <c r="A739" s="12"/>
      <c r="D739" s="95"/>
      <c r="E739" s="14"/>
      <c r="F739" s="96"/>
      <c r="H739" s="12"/>
      <c r="I739" s="12"/>
      <c r="J739" s="12"/>
      <c r="K739" s="12"/>
      <c r="L739" s="12"/>
      <c r="M739" s="12"/>
      <c r="N739" s="12"/>
      <c r="O739" s="12"/>
      <c r="P739" s="12"/>
    </row>
    <row r="740">
      <c r="A740" s="12"/>
      <c r="D740" s="95"/>
      <c r="E740" s="14"/>
      <c r="F740" s="96"/>
      <c r="H740" s="12"/>
      <c r="I740" s="12"/>
      <c r="J740" s="12"/>
      <c r="K740" s="12"/>
      <c r="L740" s="12"/>
      <c r="M740" s="12"/>
      <c r="N740" s="12"/>
      <c r="O740" s="12"/>
      <c r="P740" s="12"/>
    </row>
    <row r="741">
      <c r="A741" s="12"/>
      <c r="D741" s="95"/>
      <c r="E741" s="14"/>
      <c r="F741" s="96"/>
      <c r="H741" s="12"/>
      <c r="I741" s="12"/>
      <c r="J741" s="12"/>
      <c r="K741" s="12"/>
      <c r="L741" s="12"/>
      <c r="M741" s="12"/>
      <c r="N741" s="12"/>
      <c r="O741" s="12"/>
      <c r="P741" s="12"/>
    </row>
    <row r="742">
      <c r="A742" s="12"/>
      <c r="D742" s="95"/>
      <c r="E742" s="14"/>
      <c r="F742" s="96"/>
      <c r="H742" s="12"/>
      <c r="I742" s="12"/>
      <c r="J742" s="12"/>
      <c r="K742" s="12"/>
      <c r="L742" s="12"/>
      <c r="M742" s="12"/>
      <c r="N742" s="12"/>
      <c r="O742" s="12"/>
      <c r="P742" s="12"/>
    </row>
    <row r="743">
      <c r="A743" s="12"/>
      <c r="D743" s="95"/>
      <c r="E743" s="14"/>
      <c r="F743" s="96"/>
      <c r="H743" s="12"/>
      <c r="I743" s="12"/>
      <c r="J743" s="12"/>
      <c r="K743" s="12"/>
      <c r="L743" s="12"/>
      <c r="M743" s="12"/>
      <c r="N743" s="12"/>
      <c r="O743" s="12"/>
      <c r="P743" s="12"/>
    </row>
    <row r="744">
      <c r="A744" s="12"/>
      <c r="D744" s="95"/>
      <c r="E744" s="14"/>
      <c r="F744" s="96"/>
      <c r="H744" s="12"/>
      <c r="I744" s="12"/>
      <c r="J744" s="12"/>
      <c r="K744" s="12"/>
      <c r="L744" s="12"/>
      <c r="M744" s="12"/>
      <c r="N744" s="12"/>
      <c r="O744" s="12"/>
      <c r="P744" s="12"/>
    </row>
    <row r="745">
      <c r="A745" s="12"/>
      <c r="D745" s="95"/>
      <c r="E745" s="14"/>
      <c r="F745" s="96"/>
      <c r="H745" s="12"/>
      <c r="I745" s="12"/>
      <c r="J745" s="12"/>
      <c r="K745" s="12"/>
      <c r="L745" s="12"/>
      <c r="M745" s="12"/>
      <c r="N745" s="12"/>
      <c r="O745" s="12"/>
      <c r="P745" s="12"/>
    </row>
    <row r="746">
      <c r="A746" s="12"/>
      <c r="D746" s="95"/>
      <c r="E746" s="14"/>
      <c r="F746" s="96"/>
      <c r="H746" s="12"/>
      <c r="I746" s="12"/>
      <c r="J746" s="12"/>
      <c r="K746" s="12"/>
      <c r="L746" s="12"/>
      <c r="M746" s="12"/>
      <c r="N746" s="12"/>
      <c r="O746" s="12"/>
      <c r="P746" s="12"/>
    </row>
    <row r="747">
      <c r="A747" s="12"/>
      <c r="D747" s="95"/>
      <c r="E747" s="14"/>
      <c r="F747" s="96"/>
      <c r="H747" s="12"/>
      <c r="I747" s="12"/>
      <c r="J747" s="12"/>
      <c r="K747" s="12"/>
      <c r="L747" s="12"/>
      <c r="M747" s="12"/>
      <c r="N747" s="12"/>
      <c r="O747" s="12"/>
      <c r="P747" s="12"/>
    </row>
    <row r="748">
      <c r="A748" s="12"/>
      <c r="D748" s="95"/>
      <c r="E748" s="14"/>
      <c r="F748" s="96"/>
      <c r="H748" s="12"/>
      <c r="I748" s="12"/>
      <c r="J748" s="12"/>
      <c r="K748" s="12"/>
      <c r="L748" s="12"/>
      <c r="M748" s="12"/>
      <c r="N748" s="12"/>
      <c r="O748" s="12"/>
      <c r="P748" s="12"/>
    </row>
    <row r="749">
      <c r="A749" s="12"/>
      <c r="D749" s="95"/>
      <c r="E749" s="14"/>
      <c r="F749" s="96"/>
      <c r="H749" s="12"/>
      <c r="I749" s="12"/>
      <c r="J749" s="12"/>
      <c r="K749" s="12"/>
      <c r="L749" s="12"/>
      <c r="M749" s="12"/>
      <c r="N749" s="12"/>
      <c r="O749" s="12"/>
      <c r="P749" s="12"/>
    </row>
    <row r="750">
      <c r="A750" s="12"/>
      <c r="D750" s="95"/>
      <c r="E750" s="14"/>
      <c r="F750" s="96"/>
      <c r="H750" s="12"/>
      <c r="I750" s="12"/>
      <c r="J750" s="12"/>
      <c r="K750" s="12"/>
      <c r="L750" s="12"/>
      <c r="M750" s="12"/>
      <c r="N750" s="12"/>
      <c r="O750" s="12"/>
      <c r="P750" s="12"/>
    </row>
    <row r="751">
      <c r="A751" s="12"/>
      <c r="D751" s="95"/>
      <c r="E751" s="14"/>
      <c r="F751" s="96"/>
      <c r="H751" s="12"/>
      <c r="I751" s="12"/>
      <c r="J751" s="12"/>
      <c r="K751" s="12"/>
      <c r="L751" s="12"/>
      <c r="M751" s="12"/>
      <c r="N751" s="12"/>
      <c r="O751" s="12"/>
      <c r="P751" s="12"/>
    </row>
    <row r="752">
      <c r="A752" s="12"/>
      <c r="D752" s="95"/>
      <c r="E752" s="14"/>
      <c r="F752" s="96"/>
      <c r="H752" s="12"/>
      <c r="I752" s="12"/>
      <c r="J752" s="12"/>
      <c r="K752" s="12"/>
      <c r="L752" s="12"/>
      <c r="M752" s="12"/>
      <c r="N752" s="12"/>
      <c r="O752" s="12"/>
      <c r="P752" s="12"/>
    </row>
    <row r="753">
      <c r="A753" s="12"/>
      <c r="D753" s="95"/>
      <c r="E753" s="14"/>
      <c r="F753" s="96"/>
      <c r="H753" s="12"/>
      <c r="I753" s="12"/>
      <c r="J753" s="12"/>
      <c r="K753" s="12"/>
      <c r="L753" s="12"/>
      <c r="M753" s="12"/>
      <c r="N753" s="12"/>
      <c r="O753" s="12"/>
      <c r="P753" s="12"/>
    </row>
    <row r="754">
      <c r="A754" s="12"/>
      <c r="D754" s="95"/>
      <c r="E754" s="14"/>
      <c r="F754" s="96"/>
      <c r="H754" s="12"/>
      <c r="I754" s="12"/>
      <c r="J754" s="12"/>
      <c r="K754" s="12"/>
      <c r="L754" s="12"/>
      <c r="M754" s="12"/>
      <c r="N754" s="12"/>
      <c r="O754" s="12"/>
      <c r="P754" s="12"/>
    </row>
    <row r="755">
      <c r="A755" s="12"/>
      <c r="D755" s="95"/>
      <c r="E755" s="14"/>
      <c r="F755" s="96"/>
      <c r="H755" s="12"/>
      <c r="I755" s="12"/>
      <c r="J755" s="12"/>
      <c r="K755" s="12"/>
      <c r="L755" s="12"/>
      <c r="M755" s="12"/>
      <c r="N755" s="12"/>
      <c r="O755" s="12"/>
      <c r="P755" s="12"/>
    </row>
    <row r="756">
      <c r="A756" s="12"/>
      <c r="D756" s="95"/>
      <c r="E756" s="14"/>
      <c r="F756" s="96"/>
      <c r="H756" s="12"/>
      <c r="I756" s="12"/>
      <c r="J756" s="12"/>
      <c r="K756" s="12"/>
      <c r="L756" s="12"/>
      <c r="M756" s="12"/>
      <c r="N756" s="12"/>
      <c r="O756" s="12"/>
      <c r="P756" s="12"/>
    </row>
    <row r="757">
      <c r="A757" s="12"/>
      <c r="D757" s="95"/>
      <c r="E757" s="14"/>
      <c r="F757" s="96"/>
      <c r="H757" s="12"/>
      <c r="I757" s="12"/>
      <c r="J757" s="12"/>
      <c r="K757" s="12"/>
      <c r="L757" s="12"/>
      <c r="M757" s="12"/>
      <c r="N757" s="12"/>
      <c r="O757" s="12"/>
      <c r="P757" s="12"/>
    </row>
    <row r="758">
      <c r="A758" s="12"/>
      <c r="D758" s="95"/>
      <c r="E758" s="14"/>
      <c r="F758" s="96"/>
      <c r="H758" s="12"/>
      <c r="I758" s="12"/>
      <c r="J758" s="12"/>
      <c r="K758" s="12"/>
      <c r="L758" s="12"/>
      <c r="M758" s="12"/>
      <c r="N758" s="12"/>
      <c r="O758" s="12"/>
      <c r="P758" s="12"/>
    </row>
    <row r="759">
      <c r="A759" s="12"/>
      <c r="D759" s="95"/>
      <c r="E759" s="14"/>
      <c r="F759" s="96"/>
      <c r="H759" s="12"/>
      <c r="I759" s="12"/>
      <c r="J759" s="12"/>
      <c r="K759" s="12"/>
      <c r="L759" s="12"/>
      <c r="M759" s="12"/>
      <c r="N759" s="12"/>
      <c r="O759" s="12"/>
      <c r="P759" s="12"/>
    </row>
    <row r="760">
      <c r="A760" s="12"/>
      <c r="D760" s="95"/>
      <c r="E760" s="14"/>
      <c r="F760" s="96"/>
      <c r="H760" s="12"/>
      <c r="I760" s="12"/>
      <c r="J760" s="12"/>
      <c r="K760" s="12"/>
      <c r="L760" s="12"/>
      <c r="M760" s="12"/>
      <c r="N760" s="12"/>
      <c r="O760" s="12"/>
      <c r="P760" s="12"/>
    </row>
    <row r="761">
      <c r="A761" s="12"/>
      <c r="D761" s="95"/>
      <c r="E761" s="14"/>
      <c r="F761" s="96"/>
      <c r="H761" s="12"/>
      <c r="I761" s="12"/>
      <c r="J761" s="12"/>
      <c r="K761" s="12"/>
      <c r="L761" s="12"/>
      <c r="M761" s="12"/>
      <c r="N761" s="12"/>
      <c r="O761" s="12"/>
      <c r="P761" s="12"/>
    </row>
    <row r="762">
      <c r="A762" s="12"/>
      <c r="D762" s="95"/>
      <c r="E762" s="14"/>
      <c r="F762" s="96"/>
      <c r="H762" s="12"/>
      <c r="I762" s="12"/>
      <c r="J762" s="12"/>
      <c r="K762" s="12"/>
      <c r="L762" s="12"/>
      <c r="M762" s="12"/>
      <c r="N762" s="12"/>
      <c r="O762" s="12"/>
      <c r="P762" s="12"/>
    </row>
    <row r="763">
      <c r="A763" s="12"/>
      <c r="D763" s="95"/>
      <c r="E763" s="14"/>
      <c r="F763" s="96"/>
      <c r="H763" s="12"/>
      <c r="I763" s="12"/>
      <c r="J763" s="12"/>
      <c r="K763" s="12"/>
      <c r="L763" s="12"/>
      <c r="M763" s="12"/>
      <c r="N763" s="12"/>
      <c r="O763" s="12"/>
      <c r="P763" s="12"/>
    </row>
    <row r="764">
      <c r="A764" s="12"/>
      <c r="D764" s="95"/>
      <c r="E764" s="14"/>
      <c r="F764" s="96"/>
      <c r="H764" s="12"/>
      <c r="I764" s="12"/>
      <c r="J764" s="12"/>
      <c r="K764" s="12"/>
      <c r="L764" s="12"/>
      <c r="M764" s="12"/>
      <c r="N764" s="12"/>
      <c r="O764" s="12"/>
      <c r="P764" s="12"/>
    </row>
    <row r="765">
      <c r="A765" s="12"/>
      <c r="D765" s="95"/>
      <c r="E765" s="14"/>
      <c r="F765" s="96"/>
      <c r="H765" s="12"/>
      <c r="I765" s="12"/>
      <c r="J765" s="12"/>
      <c r="K765" s="12"/>
      <c r="L765" s="12"/>
      <c r="M765" s="12"/>
      <c r="N765" s="12"/>
      <c r="O765" s="12"/>
      <c r="P765" s="12"/>
    </row>
    <row r="766">
      <c r="A766" s="12"/>
      <c r="D766" s="95"/>
      <c r="E766" s="14"/>
      <c r="F766" s="96"/>
      <c r="H766" s="12"/>
      <c r="I766" s="12"/>
      <c r="J766" s="12"/>
      <c r="K766" s="12"/>
      <c r="L766" s="12"/>
      <c r="M766" s="12"/>
      <c r="N766" s="12"/>
      <c r="O766" s="12"/>
      <c r="P766" s="12"/>
    </row>
    <row r="767">
      <c r="A767" s="12"/>
      <c r="D767" s="95"/>
      <c r="E767" s="14"/>
      <c r="F767" s="96"/>
      <c r="H767" s="12"/>
      <c r="I767" s="12"/>
      <c r="J767" s="12"/>
      <c r="K767" s="12"/>
      <c r="L767" s="12"/>
      <c r="M767" s="12"/>
      <c r="N767" s="12"/>
      <c r="O767" s="12"/>
      <c r="P767" s="12"/>
    </row>
    <row r="768">
      <c r="A768" s="12"/>
      <c r="D768" s="95"/>
      <c r="E768" s="14"/>
      <c r="F768" s="96"/>
      <c r="H768" s="12"/>
      <c r="I768" s="12"/>
      <c r="J768" s="12"/>
      <c r="K768" s="12"/>
      <c r="L768" s="12"/>
      <c r="M768" s="12"/>
      <c r="N768" s="12"/>
      <c r="O768" s="12"/>
      <c r="P768" s="12"/>
    </row>
    <row r="769">
      <c r="A769" s="12"/>
      <c r="D769" s="95"/>
      <c r="E769" s="14"/>
      <c r="F769" s="96"/>
      <c r="H769" s="12"/>
      <c r="I769" s="12"/>
      <c r="J769" s="12"/>
      <c r="K769" s="12"/>
      <c r="L769" s="12"/>
      <c r="M769" s="12"/>
      <c r="N769" s="12"/>
      <c r="O769" s="12"/>
      <c r="P769" s="12"/>
    </row>
    <row r="770">
      <c r="A770" s="12"/>
      <c r="D770" s="95"/>
      <c r="E770" s="14"/>
      <c r="F770" s="96"/>
      <c r="H770" s="12"/>
      <c r="I770" s="12"/>
      <c r="J770" s="12"/>
      <c r="K770" s="12"/>
      <c r="L770" s="12"/>
      <c r="M770" s="12"/>
      <c r="N770" s="12"/>
      <c r="O770" s="12"/>
      <c r="P770" s="12"/>
    </row>
    <row r="771">
      <c r="A771" s="12"/>
      <c r="D771" s="95"/>
      <c r="E771" s="14"/>
      <c r="F771" s="96"/>
      <c r="H771" s="12"/>
      <c r="I771" s="12"/>
      <c r="J771" s="12"/>
      <c r="K771" s="12"/>
      <c r="L771" s="12"/>
      <c r="M771" s="12"/>
      <c r="N771" s="12"/>
      <c r="O771" s="12"/>
      <c r="P771" s="12"/>
    </row>
    <row r="772">
      <c r="A772" s="12"/>
      <c r="D772" s="95"/>
      <c r="E772" s="14"/>
      <c r="F772" s="96"/>
      <c r="H772" s="12"/>
      <c r="I772" s="12"/>
      <c r="J772" s="12"/>
      <c r="K772" s="12"/>
      <c r="L772" s="12"/>
      <c r="M772" s="12"/>
      <c r="N772" s="12"/>
      <c r="O772" s="12"/>
      <c r="P772" s="12"/>
    </row>
    <row r="773">
      <c r="A773" s="12"/>
      <c r="D773" s="95"/>
      <c r="E773" s="14"/>
      <c r="F773" s="96"/>
      <c r="H773" s="12"/>
      <c r="I773" s="12"/>
      <c r="J773" s="12"/>
      <c r="K773" s="12"/>
      <c r="L773" s="12"/>
      <c r="M773" s="12"/>
      <c r="N773" s="12"/>
      <c r="O773" s="12"/>
      <c r="P773" s="12"/>
    </row>
    <row r="774">
      <c r="A774" s="12"/>
      <c r="D774" s="95"/>
      <c r="E774" s="14"/>
      <c r="F774" s="96"/>
      <c r="H774" s="12"/>
      <c r="I774" s="12"/>
      <c r="J774" s="12"/>
      <c r="K774" s="12"/>
      <c r="L774" s="12"/>
      <c r="M774" s="12"/>
      <c r="N774" s="12"/>
      <c r="O774" s="12"/>
      <c r="P774" s="12"/>
    </row>
    <row r="775">
      <c r="A775" s="12"/>
      <c r="D775" s="95"/>
      <c r="E775" s="14"/>
      <c r="F775" s="96"/>
      <c r="H775" s="12"/>
      <c r="I775" s="12"/>
      <c r="J775" s="12"/>
      <c r="K775" s="12"/>
      <c r="L775" s="12"/>
      <c r="M775" s="12"/>
      <c r="N775" s="12"/>
      <c r="O775" s="12"/>
      <c r="P775" s="12"/>
    </row>
    <row r="776">
      <c r="A776" s="12"/>
      <c r="D776" s="95"/>
      <c r="E776" s="14"/>
      <c r="F776" s="96"/>
      <c r="H776" s="12"/>
      <c r="I776" s="12"/>
      <c r="J776" s="12"/>
      <c r="K776" s="12"/>
      <c r="L776" s="12"/>
      <c r="M776" s="12"/>
      <c r="N776" s="12"/>
      <c r="O776" s="12"/>
      <c r="P776" s="12"/>
    </row>
    <row r="777">
      <c r="A777" s="12"/>
      <c r="D777" s="95"/>
      <c r="E777" s="14"/>
      <c r="F777" s="96"/>
      <c r="H777" s="12"/>
      <c r="I777" s="12"/>
      <c r="J777" s="12"/>
      <c r="K777" s="12"/>
      <c r="L777" s="12"/>
      <c r="M777" s="12"/>
      <c r="N777" s="12"/>
      <c r="O777" s="12"/>
      <c r="P777" s="12"/>
    </row>
    <row r="778">
      <c r="A778" s="12"/>
      <c r="D778" s="95"/>
      <c r="E778" s="14"/>
      <c r="F778" s="96"/>
      <c r="H778" s="12"/>
      <c r="I778" s="12"/>
      <c r="J778" s="12"/>
      <c r="K778" s="12"/>
      <c r="L778" s="12"/>
      <c r="M778" s="12"/>
      <c r="N778" s="12"/>
      <c r="O778" s="12"/>
      <c r="P778" s="12"/>
    </row>
    <row r="779">
      <c r="A779" s="12"/>
      <c r="D779" s="95"/>
      <c r="E779" s="14"/>
      <c r="F779" s="96"/>
      <c r="H779" s="12"/>
      <c r="I779" s="12"/>
      <c r="J779" s="12"/>
      <c r="K779" s="12"/>
      <c r="L779" s="12"/>
      <c r="M779" s="12"/>
      <c r="N779" s="12"/>
      <c r="O779" s="12"/>
      <c r="P779" s="12"/>
    </row>
    <row r="780">
      <c r="A780" s="12"/>
      <c r="D780" s="95"/>
      <c r="E780" s="14"/>
      <c r="F780" s="96"/>
      <c r="H780" s="12"/>
      <c r="I780" s="12"/>
      <c r="J780" s="12"/>
      <c r="K780" s="12"/>
      <c r="L780" s="12"/>
      <c r="M780" s="12"/>
      <c r="N780" s="12"/>
      <c r="O780" s="12"/>
      <c r="P780" s="12"/>
    </row>
    <row r="781">
      <c r="A781" s="12"/>
      <c r="D781" s="95"/>
      <c r="E781" s="14"/>
      <c r="F781" s="96"/>
      <c r="H781" s="12"/>
      <c r="I781" s="12"/>
      <c r="J781" s="12"/>
      <c r="K781" s="12"/>
      <c r="L781" s="12"/>
      <c r="M781" s="12"/>
      <c r="N781" s="12"/>
      <c r="O781" s="12"/>
      <c r="P781" s="12"/>
    </row>
    <row r="782">
      <c r="A782" s="12"/>
      <c r="D782" s="95"/>
      <c r="E782" s="14"/>
      <c r="F782" s="96"/>
      <c r="H782" s="12"/>
      <c r="I782" s="12"/>
      <c r="J782" s="12"/>
      <c r="K782" s="12"/>
      <c r="L782" s="12"/>
      <c r="M782" s="12"/>
      <c r="N782" s="12"/>
      <c r="O782" s="12"/>
      <c r="P782" s="12"/>
    </row>
    <row r="783">
      <c r="A783" s="12"/>
      <c r="D783" s="95"/>
      <c r="E783" s="14"/>
      <c r="F783" s="96"/>
      <c r="H783" s="12"/>
      <c r="I783" s="12"/>
      <c r="J783" s="12"/>
      <c r="K783" s="12"/>
      <c r="L783" s="12"/>
      <c r="M783" s="12"/>
      <c r="N783" s="12"/>
      <c r="O783" s="12"/>
      <c r="P783" s="12"/>
    </row>
    <row r="784">
      <c r="A784" s="12"/>
      <c r="D784" s="95"/>
      <c r="E784" s="14"/>
      <c r="F784" s="96"/>
      <c r="H784" s="12"/>
      <c r="I784" s="12"/>
      <c r="J784" s="12"/>
      <c r="K784" s="12"/>
      <c r="L784" s="12"/>
      <c r="M784" s="12"/>
      <c r="N784" s="12"/>
      <c r="O784" s="12"/>
      <c r="P784" s="12"/>
    </row>
    <row r="785">
      <c r="A785" s="12"/>
      <c r="D785" s="95"/>
      <c r="E785" s="14"/>
      <c r="F785" s="96"/>
      <c r="H785" s="12"/>
      <c r="I785" s="12"/>
      <c r="J785" s="12"/>
      <c r="K785" s="12"/>
      <c r="L785" s="12"/>
      <c r="M785" s="12"/>
      <c r="N785" s="12"/>
      <c r="O785" s="12"/>
      <c r="P785" s="12"/>
    </row>
    <row r="786">
      <c r="A786" s="12"/>
      <c r="D786" s="95"/>
      <c r="E786" s="14"/>
      <c r="F786" s="96"/>
      <c r="H786" s="12"/>
      <c r="I786" s="12"/>
      <c r="J786" s="12"/>
      <c r="K786" s="12"/>
      <c r="L786" s="12"/>
      <c r="M786" s="12"/>
      <c r="N786" s="12"/>
      <c r="O786" s="12"/>
      <c r="P786" s="12"/>
    </row>
    <row r="787">
      <c r="A787" s="12"/>
      <c r="D787" s="95"/>
      <c r="E787" s="14"/>
      <c r="F787" s="96"/>
      <c r="H787" s="12"/>
      <c r="I787" s="12"/>
      <c r="J787" s="12"/>
      <c r="K787" s="12"/>
      <c r="L787" s="12"/>
      <c r="M787" s="12"/>
      <c r="N787" s="12"/>
      <c r="O787" s="12"/>
      <c r="P787" s="12"/>
    </row>
    <row r="788">
      <c r="A788" s="12"/>
      <c r="D788" s="95"/>
      <c r="E788" s="14"/>
      <c r="F788" s="96"/>
      <c r="H788" s="12"/>
      <c r="I788" s="12"/>
      <c r="J788" s="12"/>
      <c r="K788" s="12"/>
      <c r="L788" s="12"/>
      <c r="M788" s="12"/>
      <c r="N788" s="12"/>
      <c r="O788" s="12"/>
      <c r="P788" s="12"/>
    </row>
    <row r="789">
      <c r="A789" s="12"/>
      <c r="D789" s="95"/>
      <c r="E789" s="14"/>
      <c r="F789" s="96"/>
      <c r="H789" s="12"/>
      <c r="I789" s="12"/>
      <c r="J789" s="12"/>
      <c r="K789" s="12"/>
      <c r="L789" s="12"/>
      <c r="M789" s="12"/>
      <c r="N789" s="12"/>
      <c r="O789" s="12"/>
      <c r="P789" s="12"/>
    </row>
    <row r="790">
      <c r="A790" s="12"/>
      <c r="D790" s="95"/>
      <c r="E790" s="14"/>
      <c r="F790" s="96"/>
      <c r="H790" s="12"/>
      <c r="I790" s="12"/>
      <c r="J790" s="12"/>
      <c r="K790" s="12"/>
      <c r="L790" s="12"/>
      <c r="M790" s="12"/>
      <c r="N790" s="12"/>
      <c r="O790" s="12"/>
      <c r="P790" s="12"/>
    </row>
    <row r="791">
      <c r="A791" s="12"/>
      <c r="D791" s="95"/>
      <c r="E791" s="14"/>
      <c r="F791" s="96"/>
      <c r="H791" s="12"/>
      <c r="I791" s="12"/>
      <c r="J791" s="12"/>
      <c r="K791" s="12"/>
      <c r="L791" s="12"/>
      <c r="M791" s="12"/>
      <c r="N791" s="12"/>
      <c r="O791" s="12"/>
      <c r="P791" s="12"/>
    </row>
    <row r="792">
      <c r="A792" s="12"/>
      <c r="D792" s="95"/>
      <c r="E792" s="14"/>
      <c r="F792" s="96"/>
      <c r="H792" s="12"/>
      <c r="I792" s="12"/>
      <c r="J792" s="12"/>
      <c r="K792" s="12"/>
      <c r="L792" s="12"/>
      <c r="M792" s="12"/>
      <c r="N792" s="12"/>
      <c r="O792" s="12"/>
      <c r="P792" s="12"/>
    </row>
    <row r="793">
      <c r="A793" s="12"/>
      <c r="D793" s="95"/>
      <c r="E793" s="14"/>
      <c r="F793" s="96"/>
      <c r="H793" s="12"/>
      <c r="I793" s="12"/>
      <c r="J793" s="12"/>
      <c r="K793" s="12"/>
      <c r="L793" s="12"/>
      <c r="M793" s="12"/>
      <c r="N793" s="12"/>
      <c r="O793" s="12"/>
      <c r="P793" s="12"/>
    </row>
    <row r="794">
      <c r="A794" s="12"/>
      <c r="D794" s="95"/>
      <c r="E794" s="14"/>
      <c r="F794" s="96"/>
      <c r="H794" s="12"/>
      <c r="I794" s="12"/>
      <c r="J794" s="12"/>
      <c r="K794" s="12"/>
      <c r="L794" s="12"/>
      <c r="M794" s="12"/>
      <c r="N794" s="12"/>
      <c r="O794" s="12"/>
      <c r="P794" s="12"/>
    </row>
    <row r="795">
      <c r="A795" s="12"/>
      <c r="D795" s="95"/>
      <c r="E795" s="14"/>
      <c r="F795" s="96"/>
      <c r="H795" s="12"/>
      <c r="I795" s="12"/>
      <c r="J795" s="12"/>
      <c r="K795" s="12"/>
      <c r="L795" s="12"/>
      <c r="M795" s="12"/>
      <c r="N795" s="12"/>
      <c r="O795" s="12"/>
      <c r="P795" s="12"/>
    </row>
    <row r="796">
      <c r="A796" s="12"/>
      <c r="D796" s="95"/>
      <c r="E796" s="14"/>
      <c r="F796" s="96"/>
      <c r="H796" s="12"/>
      <c r="I796" s="12"/>
      <c r="J796" s="12"/>
      <c r="K796" s="12"/>
      <c r="L796" s="12"/>
      <c r="M796" s="12"/>
      <c r="N796" s="12"/>
      <c r="O796" s="12"/>
      <c r="P796" s="12"/>
    </row>
    <row r="797">
      <c r="A797" s="12"/>
      <c r="D797" s="95"/>
      <c r="E797" s="14"/>
      <c r="F797" s="96"/>
      <c r="H797" s="12"/>
      <c r="I797" s="12"/>
      <c r="J797" s="12"/>
      <c r="K797" s="12"/>
      <c r="L797" s="12"/>
      <c r="M797" s="12"/>
      <c r="N797" s="12"/>
      <c r="O797" s="12"/>
      <c r="P797" s="12"/>
    </row>
    <row r="798">
      <c r="A798" s="12"/>
      <c r="D798" s="95"/>
      <c r="E798" s="14"/>
      <c r="F798" s="96"/>
      <c r="H798" s="12"/>
      <c r="I798" s="12"/>
      <c r="J798" s="12"/>
      <c r="K798" s="12"/>
      <c r="L798" s="12"/>
      <c r="M798" s="12"/>
      <c r="N798" s="12"/>
      <c r="O798" s="12"/>
      <c r="P798" s="12"/>
    </row>
    <row r="799">
      <c r="A799" s="12"/>
      <c r="D799" s="95"/>
      <c r="E799" s="14"/>
      <c r="F799" s="96"/>
      <c r="H799" s="12"/>
      <c r="I799" s="12"/>
      <c r="J799" s="12"/>
      <c r="K799" s="12"/>
      <c r="L799" s="12"/>
      <c r="M799" s="12"/>
      <c r="N799" s="12"/>
      <c r="O799" s="12"/>
      <c r="P799" s="12"/>
    </row>
    <row r="800">
      <c r="A800" s="12"/>
      <c r="D800" s="95"/>
      <c r="E800" s="14"/>
      <c r="F800" s="96"/>
      <c r="H800" s="12"/>
      <c r="I800" s="12"/>
      <c r="J800" s="12"/>
      <c r="K800" s="12"/>
      <c r="L800" s="12"/>
      <c r="M800" s="12"/>
      <c r="N800" s="12"/>
      <c r="O800" s="12"/>
      <c r="P800" s="12"/>
    </row>
    <row r="801">
      <c r="A801" s="12"/>
      <c r="D801" s="95"/>
      <c r="E801" s="14"/>
      <c r="F801" s="96"/>
      <c r="H801" s="12"/>
      <c r="I801" s="12"/>
      <c r="J801" s="12"/>
      <c r="K801" s="12"/>
      <c r="L801" s="12"/>
      <c r="M801" s="12"/>
      <c r="N801" s="12"/>
      <c r="O801" s="12"/>
      <c r="P801" s="12"/>
    </row>
    <row r="802">
      <c r="A802" s="12"/>
      <c r="D802" s="95"/>
      <c r="E802" s="14"/>
      <c r="F802" s="96"/>
      <c r="H802" s="12"/>
      <c r="I802" s="12"/>
      <c r="J802" s="12"/>
      <c r="K802" s="12"/>
      <c r="L802" s="12"/>
      <c r="M802" s="12"/>
      <c r="N802" s="12"/>
      <c r="O802" s="12"/>
      <c r="P802" s="12"/>
    </row>
    <row r="803">
      <c r="A803" s="12"/>
      <c r="D803" s="95"/>
      <c r="E803" s="14"/>
      <c r="F803" s="96"/>
      <c r="H803" s="12"/>
      <c r="I803" s="12"/>
      <c r="J803" s="12"/>
      <c r="K803" s="12"/>
      <c r="L803" s="12"/>
      <c r="M803" s="12"/>
      <c r="N803" s="12"/>
      <c r="O803" s="12"/>
      <c r="P803" s="12"/>
    </row>
    <row r="804">
      <c r="A804" s="12"/>
      <c r="D804" s="95"/>
      <c r="E804" s="14"/>
      <c r="F804" s="96"/>
      <c r="H804" s="12"/>
      <c r="I804" s="12"/>
      <c r="J804" s="12"/>
      <c r="K804" s="12"/>
      <c r="L804" s="12"/>
      <c r="M804" s="12"/>
      <c r="N804" s="12"/>
      <c r="O804" s="12"/>
      <c r="P804" s="12"/>
    </row>
    <row r="805">
      <c r="A805" s="12"/>
      <c r="D805" s="95"/>
      <c r="E805" s="14"/>
      <c r="F805" s="96"/>
      <c r="H805" s="12"/>
      <c r="I805" s="12"/>
      <c r="J805" s="12"/>
      <c r="K805" s="12"/>
      <c r="L805" s="12"/>
      <c r="M805" s="12"/>
      <c r="N805" s="12"/>
      <c r="O805" s="12"/>
      <c r="P805" s="12"/>
    </row>
    <row r="806">
      <c r="A806" s="12"/>
      <c r="D806" s="95"/>
      <c r="E806" s="14"/>
      <c r="F806" s="96"/>
      <c r="H806" s="12"/>
      <c r="I806" s="12"/>
      <c r="J806" s="12"/>
      <c r="K806" s="12"/>
      <c r="L806" s="12"/>
      <c r="M806" s="12"/>
      <c r="N806" s="12"/>
      <c r="O806" s="12"/>
      <c r="P806" s="12"/>
    </row>
    <row r="807">
      <c r="A807" s="12"/>
      <c r="D807" s="95"/>
      <c r="E807" s="14"/>
      <c r="F807" s="96"/>
      <c r="H807" s="12"/>
      <c r="I807" s="12"/>
      <c r="J807" s="12"/>
      <c r="K807" s="12"/>
      <c r="L807" s="12"/>
      <c r="M807" s="12"/>
      <c r="N807" s="12"/>
      <c r="O807" s="12"/>
      <c r="P807" s="12"/>
    </row>
    <row r="808">
      <c r="A808" s="12"/>
      <c r="D808" s="95"/>
      <c r="E808" s="14"/>
      <c r="F808" s="96"/>
      <c r="H808" s="12"/>
      <c r="I808" s="12"/>
      <c r="J808" s="12"/>
      <c r="K808" s="12"/>
      <c r="L808" s="12"/>
      <c r="M808" s="12"/>
      <c r="N808" s="12"/>
      <c r="O808" s="12"/>
      <c r="P808" s="12"/>
    </row>
    <row r="809">
      <c r="A809" s="12"/>
      <c r="D809" s="95"/>
      <c r="E809" s="14"/>
      <c r="F809" s="96"/>
      <c r="H809" s="12"/>
      <c r="I809" s="12"/>
      <c r="J809" s="12"/>
      <c r="K809" s="12"/>
      <c r="L809" s="12"/>
      <c r="M809" s="12"/>
      <c r="N809" s="12"/>
      <c r="O809" s="12"/>
      <c r="P809" s="12"/>
    </row>
    <row r="810">
      <c r="A810" s="12"/>
      <c r="D810" s="95"/>
      <c r="E810" s="14"/>
      <c r="F810" s="96"/>
      <c r="H810" s="12"/>
      <c r="I810" s="12"/>
      <c r="J810" s="12"/>
      <c r="K810" s="12"/>
      <c r="L810" s="12"/>
      <c r="M810" s="12"/>
      <c r="N810" s="12"/>
      <c r="O810" s="12"/>
      <c r="P810" s="12"/>
    </row>
    <row r="811">
      <c r="A811" s="12"/>
      <c r="D811" s="95"/>
      <c r="E811" s="14"/>
      <c r="F811" s="96"/>
      <c r="H811" s="12"/>
      <c r="I811" s="12"/>
      <c r="J811" s="12"/>
      <c r="K811" s="12"/>
      <c r="L811" s="12"/>
      <c r="M811" s="12"/>
      <c r="N811" s="12"/>
      <c r="O811" s="12"/>
      <c r="P811" s="12"/>
    </row>
    <row r="812">
      <c r="A812" s="12"/>
      <c r="D812" s="95"/>
      <c r="E812" s="14"/>
      <c r="F812" s="96"/>
      <c r="H812" s="12"/>
      <c r="I812" s="12"/>
      <c r="J812" s="12"/>
      <c r="K812" s="12"/>
      <c r="L812" s="12"/>
      <c r="M812" s="12"/>
      <c r="N812" s="12"/>
      <c r="O812" s="12"/>
      <c r="P812" s="12"/>
    </row>
    <row r="813">
      <c r="A813" s="12"/>
      <c r="D813" s="95"/>
      <c r="E813" s="14"/>
      <c r="F813" s="96"/>
      <c r="H813" s="12"/>
      <c r="I813" s="12"/>
      <c r="J813" s="12"/>
      <c r="K813" s="12"/>
      <c r="L813" s="12"/>
      <c r="M813" s="12"/>
      <c r="N813" s="12"/>
      <c r="O813" s="12"/>
      <c r="P813" s="12"/>
    </row>
    <row r="814">
      <c r="A814" s="12"/>
      <c r="D814" s="95"/>
      <c r="E814" s="14"/>
      <c r="F814" s="96"/>
      <c r="H814" s="12"/>
      <c r="I814" s="12"/>
      <c r="J814" s="12"/>
      <c r="K814" s="12"/>
      <c r="L814" s="12"/>
      <c r="M814" s="12"/>
      <c r="N814" s="12"/>
      <c r="O814" s="12"/>
      <c r="P814" s="12"/>
    </row>
    <row r="815">
      <c r="A815" s="12"/>
      <c r="D815" s="95"/>
      <c r="E815" s="14"/>
      <c r="F815" s="96"/>
      <c r="H815" s="12"/>
      <c r="I815" s="12"/>
      <c r="J815" s="12"/>
      <c r="K815" s="12"/>
      <c r="L815" s="12"/>
      <c r="M815" s="12"/>
      <c r="N815" s="12"/>
      <c r="O815" s="12"/>
      <c r="P815" s="12"/>
    </row>
    <row r="816">
      <c r="A816" s="12"/>
      <c r="D816" s="95"/>
      <c r="E816" s="14"/>
      <c r="F816" s="96"/>
      <c r="H816" s="12"/>
      <c r="I816" s="12"/>
      <c r="J816" s="12"/>
      <c r="K816" s="12"/>
      <c r="L816" s="12"/>
      <c r="M816" s="12"/>
      <c r="N816" s="12"/>
      <c r="O816" s="12"/>
      <c r="P816" s="12"/>
    </row>
    <row r="817">
      <c r="A817" s="12"/>
      <c r="D817" s="95"/>
      <c r="E817" s="14"/>
      <c r="F817" s="96"/>
      <c r="H817" s="12"/>
      <c r="I817" s="12"/>
      <c r="J817" s="12"/>
      <c r="K817" s="12"/>
      <c r="L817" s="12"/>
      <c r="M817" s="12"/>
      <c r="N817" s="12"/>
      <c r="O817" s="12"/>
      <c r="P817" s="12"/>
    </row>
    <row r="818">
      <c r="A818" s="12"/>
      <c r="D818" s="95"/>
      <c r="E818" s="14"/>
      <c r="F818" s="96"/>
      <c r="H818" s="12"/>
      <c r="I818" s="12"/>
      <c r="J818" s="12"/>
      <c r="K818" s="12"/>
      <c r="L818" s="12"/>
      <c r="M818" s="12"/>
      <c r="N818" s="12"/>
      <c r="O818" s="12"/>
      <c r="P818" s="12"/>
    </row>
    <row r="819">
      <c r="A819" s="12"/>
      <c r="D819" s="95"/>
      <c r="E819" s="14"/>
      <c r="F819" s="96"/>
      <c r="H819" s="12"/>
      <c r="I819" s="12"/>
      <c r="J819" s="12"/>
      <c r="K819" s="12"/>
      <c r="L819" s="12"/>
      <c r="M819" s="12"/>
      <c r="N819" s="12"/>
      <c r="O819" s="12"/>
      <c r="P819" s="12"/>
    </row>
    <row r="820">
      <c r="A820" s="12"/>
      <c r="D820" s="95"/>
      <c r="E820" s="14"/>
      <c r="F820" s="96"/>
      <c r="H820" s="12"/>
      <c r="I820" s="12"/>
      <c r="J820" s="12"/>
      <c r="K820" s="12"/>
      <c r="L820" s="12"/>
      <c r="M820" s="12"/>
      <c r="N820" s="12"/>
      <c r="O820" s="12"/>
      <c r="P820" s="12"/>
    </row>
    <row r="821">
      <c r="A821" s="12"/>
      <c r="D821" s="95"/>
      <c r="E821" s="14"/>
      <c r="F821" s="96"/>
      <c r="H821" s="12"/>
      <c r="I821" s="12"/>
      <c r="J821" s="12"/>
      <c r="K821" s="12"/>
      <c r="L821" s="12"/>
      <c r="M821" s="12"/>
      <c r="N821" s="12"/>
      <c r="O821" s="12"/>
      <c r="P821" s="12"/>
    </row>
    <row r="822">
      <c r="A822" s="12"/>
      <c r="D822" s="95"/>
      <c r="E822" s="14"/>
      <c r="F822" s="96"/>
      <c r="H822" s="12"/>
      <c r="I822" s="12"/>
      <c r="J822" s="12"/>
      <c r="K822" s="12"/>
      <c r="L822" s="12"/>
      <c r="M822" s="12"/>
      <c r="N822" s="12"/>
      <c r="O822" s="12"/>
      <c r="P822" s="12"/>
    </row>
    <row r="823">
      <c r="A823" s="12"/>
      <c r="D823" s="95"/>
      <c r="E823" s="14"/>
      <c r="F823" s="96"/>
      <c r="H823" s="12"/>
      <c r="I823" s="12"/>
      <c r="J823" s="12"/>
      <c r="K823" s="12"/>
      <c r="L823" s="12"/>
      <c r="M823" s="12"/>
      <c r="N823" s="12"/>
      <c r="O823" s="12"/>
      <c r="P823" s="12"/>
    </row>
    <row r="824">
      <c r="A824" s="12"/>
      <c r="D824" s="95"/>
      <c r="E824" s="14"/>
      <c r="F824" s="96"/>
      <c r="H824" s="12"/>
      <c r="I824" s="12"/>
      <c r="J824" s="12"/>
      <c r="K824" s="12"/>
      <c r="L824" s="12"/>
      <c r="M824" s="12"/>
      <c r="N824" s="12"/>
      <c r="O824" s="12"/>
      <c r="P824" s="12"/>
    </row>
    <row r="825">
      <c r="A825" s="12"/>
      <c r="D825" s="95"/>
      <c r="E825" s="14"/>
      <c r="F825" s="96"/>
      <c r="H825" s="12"/>
      <c r="I825" s="12"/>
      <c r="J825" s="12"/>
      <c r="K825" s="12"/>
      <c r="L825" s="12"/>
      <c r="M825" s="12"/>
      <c r="N825" s="12"/>
      <c r="O825" s="12"/>
      <c r="P825" s="12"/>
    </row>
    <row r="826">
      <c r="A826" s="12"/>
      <c r="D826" s="95"/>
      <c r="E826" s="14"/>
      <c r="F826" s="96"/>
      <c r="H826" s="12"/>
      <c r="I826" s="12"/>
      <c r="J826" s="12"/>
      <c r="K826" s="12"/>
      <c r="L826" s="12"/>
      <c r="M826" s="12"/>
      <c r="N826" s="12"/>
      <c r="O826" s="12"/>
      <c r="P826" s="12"/>
    </row>
    <row r="827">
      <c r="A827" s="12"/>
      <c r="D827" s="95"/>
      <c r="E827" s="14"/>
      <c r="F827" s="96"/>
      <c r="H827" s="12"/>
      <c r="I827" s="12"/>
      <c r="J827" s="12"/>
      <c r="K827" s="12"/>
      <c r="L827" s="12"/>
      <c r="M827" s="12"/>
      <c r="N827" s="12"/>
      <c r="O827" s="12"/>
      <c r="P827" s="12"/>
    </row>
    <row r="828">
      <c r="A828" s="12"/>
      <c r="D828" s="95"/>
      <c r="E828" s="14"/>
      <c r="F828" s="96"/>
      <c r="H828" s="12"/>
      <c r="I828" s="12"/>
      <c r="J828" s="12"/>
      <c r="K828" s="12"/>
      <c r="L828" s="12"/>
      <c r="M828" s="12"/>
      <c r="N828" s="12"/>
      <c r="O828" s="12"/>
      <c r="P828" s="12"/>
    </row>
    <row r="829">
      <c r="A829" s="12"/>
      <c r="D829" s="95"/>
      <c r="E829" s="14"/>
      <c r="F829" s="96"/>
      <c r="H829" s="12"/>
      <c r="I829" s="12"/>
      <c r="J829" s="12"/>
      <c r="K829" s="12"/>
      <c r="L829" s="12"/>
      <c r="M829" s="12"/>
      <c r="N829" s="12"/>
      <c r="O829" s="12"/>
      <c r="P829" s="12"/>
    </row>
    <row r="830">
      <c r="A830" s="12"/>
      <c r="D830" s="95"/>
      <c r="E830" s="14"/>
      <c r="F830" s="96"/>
      <c r="H830" s="12"/>
      <c r="I830" s="12"/>
      <c r="J830" s="12"/>
      <c r="K830" s="12"/>
      <c r="L830" s="12"/>
      <c r="M830" s="12"/>
      <c r="N830" s="12"/>
      <c r="O830" s="12"/>
      <c r="P830" s="12"/>
    </row>
    <row r="831">
      <c r="A831" s="12"/>
      <c r="D831" s="95"/>
      <c r="E831" s="14"/>
      <c r="F831" s="96"/>
      <c r="H831" s="12"/>
      <c r="I831" s="12"/>
      <c r="J831" s="12"/>
      <c r="K831" s="12"/>
      <c r="L831" s="12"/>
      <c r="M831" s="12"/>
      <c r="N831" s="12"/>
      <c r="O831" s="12"/>
      <c r="P831" s="12"/>
    </row>
    <row r="832">
      <c r="A832" s="12"/>
      <c r="D832" s="95"/>
      <c r="E832" s="14"/>
      <c r="F832" s="96"/>
      <c r="H832" s="12"/>
      <c r="I832" s="12"/>
      <c r="J832" s="12"/>
      <c r="K832" s="12"/>
      <c r="L832" s="12"/>
      <c r="M832" s="12"/>
      <c r="N832" s="12"/>
      <c r="O832" s="12"/>
      <c r="P832" s="12"/>
    </row>
    <row r="833">
      <c r="A833" s="12"/>
      <c r="D833" s="95"/>
      <c r="E833" s="14"/>
      <c r="F833" s="96"/>
      <c r="H833" s="12"/>
      <c r="I833" s="12"/>
      <c r="J833" s="12"/>
      <c r="K833" s="12"/>
      <c r="L833" s="12"/>
      <c r="M833" s="12"/>
      <c r="N833" s="12"/>
      <c r="O833" s="12"/>
      <c r="P833" s="12"/>
    </row>
    <row r="834">
      <c r="A834" s="12"/>
      <c r="D834" s="95"/>
      <c r="E834" s="14"/>
      <c r="F834" s="96"/>
      <c r="H834" s="12"/>
      <c r="I834" s="12"/>
      <c r="J834" s="12"/>
      <c r="K834" s="12"/>
      <c r="L834" s="12"/>
      <c r="M834" s="12"/>
      <c r="N834" s="12"/>
      <c r="O834" s="12"/>
      <c r="P834" s="12"/>
    </row>
    <row r="835">
      <c r="A835" s="12"/>
      <c r="D835" s="95"/>
      <c r="E835" s="14"/>
      <c r="F835" s="96"/>
      <c r="H835" s="12"/>
      <c r="I835" s="12"/>
      <c r="J835" s="12"/>
      <c r="K835" s="12"/>
      <c r="L835" s="12"/>
      <c r="M835" s="12"/>
      <c r="N835" s="12"/>
      <c r="O835" s="12"/>
      <c r="P835" s="12"/>
    </row>
    <row r="836">
      <c r="A836" s="12"/>
      <c r="D836" s="95"/>
      <c r="E836" s="14"/>
      <c r="F836" s="96"/>
      <c r="H836" s="12"/>
      <c r="I836" s="12"/>
      <c r="J836" s="12"/>
      <c r="K836" s="12"/>
      <c r="L836" s="12"/>
      <c r="M836" s="12"/>
      <c r="N836" s="12"/>
      <c r="O836" s="12"/>
      <c r="P836" s="12"/>
    </row>
    <row r="837">
      <c r="A837" s="12"/>
      <c r="D837" s="95"/>
      <c r="E837" s="14"/>
      <c r="F837" s="96"/>
      <c r="H837" s="12"/>
      <c r="I837" s="12"/>
      <c r="J837" s="12"/>
      <c r="K837" s="12"/>
      <c r="L837" s="12"/>
      <c r="M837" s="12"/>
      <c r="N837" s="12"/>
      <c r="O837" s="12"/>
      <c r="P837" s="12"/>
    </row>
    <row r="838">
      <c r="A838" s="12"/>
      <c r="D838" s="95"/>
      <c r="E838" s="14"/>
      <c r="F838" s="96"/>
      <c r="H838" s="12"/>
      <c r="I838" s="12"/>
      <c r="J838" s="12"/>
      <c r="K838" s="12"/>
      <c r="L838" s="12"/>
      <c r="M838" s="12"/>
      <c r="N838" s="12"/>
      <c r="O838" s="12"/>
      <c r="P838" s="12"/>
    </row>
    <row r="839">
      <c r="A839" s="12"/>
      <c r="D839" s="95"/>
      <c r="E839" s="14"/>
      <c r="F839" s="96"/>
      <c r="H839" s="12"/>
      <c r="I839" s="12"/>
      <c r="J839" s="12"/>
      <c r="K839" s="12"/>
      <c r="L839" s="12"/>
      <c r="M839" s="12"/>
      <c r="N839" s="12"/>
      <c r="O839" s="12"/>
      <c r="P839" s="12"/>
    </row>
    <row r="840">
      <c r="A840" s="12"/>
      <c r="D840" s="95"/>
      <c r="E840" s="14"/>
      <c r="F840" s="96"/>
      <c r="H840" s="12"/>
      <c r="I840" s="12"/>
      <c r="J840" s="12"/>
      <c r="K840" s="12"/>
      <c r="L840" s="12"/>
      <c r="M840" s="12"/>
      <c r="N840" s="12"/>
      <c r="O840" s="12"/>
      <c r="P840" s="12"/>
    </row>
    <row r="841">
      <c r="A841" s="12"/>
      <c r="D841" s="95"/>
      <c r="E841" s="14"/>
      <c r="F841" s="96"/>
      <c r="H841" s="12"/>
      <c r="I841" s="12"/>
      <c r="J841" s="12"/>
      <c r="K841" s="12"/>
      <c r="L841" s="12"/>
      <c r="M841" s="12"/>
      <c r="N841" s="12"/>
      <c r="O841" s="12"/>
      <c r="P841" s="12"/>
    </row>
    <row r="842">
      <c r="A842" s="12"/>
      <c r="D842" s="95"/>
      <c r="E842" s="14"/>
      <c r="F842" s="96"/>
      <c r="H842" s="12"/>
      <c r="I842" s="12"/>
      <c r="J842" s="12"/>
      <c r="K842" s="12"/>
      <c r="L842" s="12"/>
      <c r="M842" s="12"/>
      <c r="N842" s="12"/>
      <c r="O842" s="12"/>
      <c r="P842" s="12"/>
    </row>
    <row r="843">
      <c r="A843" s="12"/>
      <c r="D843" s="95"/>
      <c r="E843" s="14"/>
      <c r="F843" s="96"/>
      <c r="H843" s="12"/>
      <c r="I843" s="12"/>
      <c r="J843" s="12"/>
      <c r="K843" s="12"/>
      <c r="L843" s="12"/>
      <c r="M843" s="12"/>
      <c r="N843" s="12"/>
      <c r="O843" s="12"/>
      <c r="P843" s="12"/>
    </row>
    <row r="844">
      <c r="A844" s="12"/>
      <c r="D844" s="95"/>
      <c r="E844" s="14"/>
      <c r="F844" s="96"/>
      <c r="H844" s="12"/>
      <c r="I844" s="12"/>
      <c r="J844" s="12"/>
      <c r="K844" s="12"/>
      <c r="L844" s="12"/>
      <c r="M844" s="12"/>
      <c r="N844" s="12"/>
      <c r="O844" s="12"/>
      <c r="P844" s="12"/>
    </row>
    <row r="845">
      <c r="A845" s="12"/>
      <c r="D845" s="95"/>
      <c r="E845" s="14"/>
      <c r="F845" s="96"/>
      <c r="H845" s="12"/>
      <c r="I845" s="12"/>
      <c r="J845" s="12"/>
      <c r="K845" s="12"/>
      <c r="L845" s="12"/>
      <c r="M845" s="12"/>
      <c r="N845" s="12"/>
      <c r="O845" s="12"/>
      <c r="P845" s="12"/>
    </row>
    <row r="846">
      <c r="A846" s="12"/>
      <c r="D846" s="95"/>
      <c r="E846" s="14"/>
      <c r="F846" s="96"/>
      <c r="H846" s="12"/>
      <c r="I846" s="12"/>
      <c r="J846" s="12"/>
      <c r="K846" s="12"/>
      <c r="L846" s="12"/>
      <c r="M846" s="12"/>
      <c r="N846" s="12"/>
      <c r="O846" s="12"/>
      <c r="P846" s="12"/>
    </row>
    <row r="847">
      <c r="A847" s="12"/>
      <c r="D847" s="95"/>
      <c r="E847" s="14"/>
      <c r="F847" s="96"/>
      <c r="H847" s="12"/>
      <c r="I847" s="12"/>
      <c r="J847" s="12"/>
      <c r="K847" s="12"/>
      <c r="L847" s="12"/>
      <c r="M847" s="12"/>
      <c r="N847" s="12"/>
      <c r="O847" s="12"/>
      <c r="P847" s="12"/>
    </row>
    <row r="848">
      <c r="A848" s="12"/>
      <c r="D848" s="95"/>
      <c r="E848" s="14"/>
      <c r="F848" s="96"/>
      <c r="H848" s="12"/>
      <c r="I848" s="12"/>
      <c r="J848" s="12"/>
      <c r="K848" s="12"/>
      <c r="L848" s="12"/>
      <c r="M848" s="12"/>
      <c r="N848" s="12"/>
      <c r="O848" s="12"/>
      <c r="P848" s="12"/>
    </row>
    <row r="849">
      <c r="A849" s="12"/>
      <c r="D849" s="95"/>
      <c r="E849" s="14"/>
      <c r="F849" s="96"/>
      <c r="H849" s="12"/>
      <c r="I849" s="12"/>
      <c r="J849" s="12"/>
      <c r="K849" s="12"/>
      <c r="L849" s="12"/>
      <c r="M849" s="12"/>
      <c r="N849" s="12"/>
      <c r="O849" s="12"/>
      <c r="P849" s="12"/>
    </row>
    <row r="850">
      <c r="A850" s="12"/>
      <c r="D850" s="95"/>
      <c r="E850" s="14"/>
      <c r="F850" s="96"/>
      <c r="H850" s="12"/>
      <c r="I850" s="12"/>
      <c r="J850" s="12"/>
      <c r="K850" s="12"/>
      <c r="L850" s="12"/>
      <c r="M850" s="12"/>
      <c r="N850" s="12"/>
      <c r="O850" s="12"/>
      <c r="P850" s="12"/>
    </row>
    <row r="851">
      <c r="A851" s="12"/>
      <c r="D851" s="95"/>
      <c r="E851" s="14"/>
      <c r="F851" s="96"/>
      <c r="H851" s="12"/>
      <c r="I851" s="12"/>
      <c r="J851" s="12"/>
      <c r="K851" s="12"/>
      <c r="L851" s="12"/>
      <c r="M851" s="12"/>
      <c r="N851" s="12"/>
      <c r="O851" s="12"/>
      <c r="P851" s="12"/>
    </row>
    <row r="852">
      <c r="A852" s="12"/>
      <c r="D852" s="95"/>
      <c r="E852" s="14"/>
      <c r="F852" s="96"/>
      <c r="H852" s="12"/>
      <c r="I852" s="12"/>
      <c r="J852" s="12"/>
      <c r="K852" s="12"/>
      <c r="L852" s="12"/>
      <c r="M852" s="12"/>
      <c r="N852" s="12"/>
      <c r="O852" s="12"/>
      <c r="P852" s="12"/>
    </row>
    <row r="853">
      <c r="A853" s="12"/>
      <c r="D853" s="95"/>
      <c r="E853" s="14"/>
      <c r="F853" s="96"/>
      <c r="H853" s="12"/>
      <c r="I853" s="12"/>
      <c r="J853" s="12"/>
      <c r="K853" s="12"/>
      <c r="L853" s="12"/>
      <c r="M853" s="12"/>
      <c r="N853" s="12"/>
      <c r="O853" s="12"/>
      <c r="P853" s="12"/>
    </row>
    <row r="854">
      <c r="A854" s="12"/>
      <c r="D854" s="95"/>
      <c r="E854" s="14"/>
      <c r="F854" s="96"/>
      <c r="H854" s="12"/>
      <c r="I854" s="12"/>
      <c r="J854" s="12"/>
      <c r="K854" s="12"/>
      <c r="L854" s="12"/>
      <c r="M854" s="12"/>
      <c r="N854" s="12"/>
      <c r="O854" s="12"/>
      <c r="P854" s="12"/>
    </row>
    <row r="855">
      <c r="A855" s="12"/>
      <c r="D855" s="95"/>
      <c r="E855" s="14"/>
      <c r="F855" s="96"/>
      <c r="H855" s="12"/>
      <c r="I855" s="12"/>
      <c r="J855" s="12"/>
      <c r="K855" s="12"/>
      <c r="L855" s="12"/>
      <c r="M855" s="12"/>
      <c r="N855" s="12"/>
      <c r="O855" s="12"/>
      <c r="P855" s="12"/>
    </row>
    <row r="856">
      <c r="A856" s="12"/>
      <c r="D856" s="95"/>
      <c r="E856" s="14"/>
      <c r="F856" s="96"/>
      <c r="H856" s="12"/>
      <c r="I856" s="12"/>
      <c r="J856" s="12"/>
      <c r="K856" s="12"/>
      <c r="L856" s="12"/>
      <c r="M856" s="12"/>
      <c r="N856" s="12"/>
      <c r="O856" s="12"/>
      <c r="P856" s="12"/>
    </row>
    <row r="857">
      <c r="A857" s="12"/>
      <c r="D857" s="95"/>
      <c r="E857" s="14"/>
      <c r="F857" s="96"/>
      <c r="H857" s="12"/>
      <c r="I857" s="12"/>
      <c r="J857" s="12"/>
      <c r="K857" s="12"/>
      <c r="L857" s="12"/>
      <c r="M857" s="12"/>
      <c r="N857" s="12"/>
      <c r="O857" s="12"/>
      <c r="P857" s="12"/>
    </row>
    <row r="858">
      <c r="A858" s="12"/>
      <c r="D858" s="95"/>
      <c r="E858" s="14"/>
      <c r="F858" s="96"/>
      <c r="H858" s="12"/>
      <c r="I858" s="12"/>
      <c r="J858" s="12"/>
      <c r="K858" s="12"/>
      <c r="L858" s="12"/>
      <c r="M858" s="12"/>
      <c r="N858" s="12"/>
      <c r="O858" s="12"/>
      <c r="P858" s="12"/>
    </row>
    <row r="859">
      <c r="A859" s="12"/>
      <c r="D859" s="95"/>
      <c r="E859" s="14"/>
      <c r="F859" s="96"/>
      <c r="H859" s="12"/>
      <c r="I859" s="12"/>
      <c r="J859" s="12"/>
      <c r="K859" s="12"/>
      <c r="L859" s="12"/>
      <c r="M859" s="12"/>
      <c r="N859" s="12"/>
      <c r="O859" s="12"/>
      <c r="P859" s="12"/>
    </row>
    <row r="860">
      <c r="A860" s="12"/>
      <c r="D860" s="95"/>
      <c r="E860" s="14"/>
      <c r="F860" s="96"/>
      <c r="H860" s="12"/>
      <c r="I860" s="12"/>
      <c r="J860" s="12"/>
      <c r="K860" s="12"/>
      <c r="L860" s="12"/>
      <c r="M860" s="12"/>
      <c r="N860" s="12"/>
      <c r="O860" s="12"/>
      <c r="P860" s="12"/>
    </row>
    <row r="861">
      <c r="A861" s="12"/>
      <c r="D861" s="95"/>
      <c r="E861" s="14"/>
      <c r="F861" s="96"/>
      <c r="H861" s="12"/>
      <c r="I861" s="12"/>
      <c r="J861" s="12"/>
      <c r="K861" s="12"/>
      <c r="L861" s="12"/>
      <c r="M861" s="12"/>
      <c r="N861" s="12"/>
      <c r="O861" s="12"/>
      <c r="P861" s="12"/>
    </row>
    <row r="862">
      <c r="A862" s="12"/>
      <c r="D862" s="95"/>
      <c r="E862" s="14"/>
      <c r="F862" s="96"/>
      <c r="H862" s="12"/>
      <c r="I862" s="12"/>
      <c r="J862" s="12"/>
      <c r="K862" s="12"/>
      <c r="L862" s="12"/>
      <c r="M862" s="12"/>
      <c r="N862" s="12"/>
      <c r="O862" s="12"/>
      <c r="P862" s="12"/>
    </row>
    <row r="863">
      <c r="A863" s="12"/>
      <c r="D863" s="95"/>
      <c r="E863" s="14"/>
      <c r="F863" s="96"/>
      <c r="H863" s="12"/>
      <c r="I863" s="12"/>
      <c r="J863" s="12"/>
      <c r="K863" s="12"/>
      <c r="L863" s="12"/>
      <c r="M863" s="12"/>
      <c r="N863" s="12"/>
      <c r="O863" s="12"/>
      <c r="P863" s="12"/>
    </row>
    <row r="864">
      <c r="A864" s="12"/>
      <c r="D864" s="95"/>
      <c r="E864" s="14"/>
      <c r="F864" s="96"/>
      <c r="H864" s="12"/>
      <c r="I864" s="12"/>
      <c r="J864" s="12"/>
      <c r="K864" s="12"/>
      <c r="L864" s="12"/>
      <c r="M864" s="12"/>
      <c r="N864" s="12"/>
      <c r="O864" s="12"/>
      <c r="P864" s="12"/>
    </row>
    <row r="865">
      <c r="A865" s="12"/>
      <c r="D865" s="95"/>
      <c r="E865" s="14"/>
      <c r="F865" s="96"/>
      <c r="H865" s="12"/>
      <c r="I865" s="12"/>
      <c r="J865" s="12"/>
      <c r="K865" s="12"/>
      <c r="L865" s="12"/>
      <c r="M865" s="12"/>
      <c r="N865" s="12"/>
      <c r="O865" s="12"/>
      <c r="P865" s="12"/>
    </row>
    <row r="866">
      <c r="A866" s="12"/>
      <c r="D866" s="95"/>
      <c r="E866" s="14"/>
      <c r="F866" s="96"/>
      <c r="H866" s="12"/>
      <c r="I866" s="12"/>
      <c r="J866" s="12"/>
      <c r="K866" s="12"/>
      <c r="L866" s="12"/>
      <c r="M866" s="12"/>
      <c r="N866" s="12"/>
      <c r="O866" s="12"/>
      <c r="P866" s="12"/>
    </row>
    <row r="867">
      <c r="A867" s="12"/>
      <c r="D867" s="95"/>
      <c r="E867" s="14"/>
      <c r="F867" s="96"/>
      <c r="H867" s="12"/>
      <c r="I867" s="12"/>
      <c r="J867" s="12"/>
      <c r="K867" s="12"/>
      <c r="L867" s="12"/>
      <c r="M867" s="12"/>
      <c r="N867" s="12"/>
      <c r="O867" s="12"/>
      <c r="P867" s="12"/>
    </row>
    <row r="868">
      <c r="A868" s="12"/>
      <c r="D868" s="95"/>
      <c r="E868" s="14"/>
      <c r="F868" s="96"/>
      <c r="H868" s="12"/>
      <c r="I868" s="12"/>
      <c r="J868" s="12"/>
      <c r="K868" s="12"/>
      <c r="L868" s="12"/>
      <c r="M868" s="12"/>
      <c r="N868" s="12"/>
      <c r="O868" s="12"/>
      <c r="P868" s="12"/>
    </row>
    <row r="869">
      <c r="A869" s="12"/>
      <c r="D869" s="95"/>
      <c r="E869" s="14"/>
      <c r="F869" s="96"/>
      <c r="H869" s="12"/>
      <c r="I869" s="12"/>
      <c r="J869" s="12"/>
      <c r="K869" s="12"/>
      <c r="L869" s="12"/>
      <c r="M869" s="12"/>
      <c r="N869" s="12"/>
      <c r="O869" s="12"/>
      <c r="P869" s="12"/>
    </row>
    <row r="870">
      <c r="A870" s="12"/>
      <c r="D870" s="95"/>
      <c r="E870" s="14"/>
      <c r="F870" s="96"/>
      <c r="H870" s="12"/>
      <c r="I870" s="12"/>
      <c r="J870" s="12"/>
      <c r="K870" s="12"/>
      <c r="L870" s="12"/>
      <c r="M870" s="12"/>
      <c r="N870" s="12"/>
      <c r="O870" s="12"/>
      <c r="P870" s="12"/>
    </row>
    <row r="871">
      <c r="A871" s="12"/>
      <c r="D871" s="95"/>
      <c r="E871" s="14"/>
      <c r="F871" s="96"/>
      <c r="H871" s="12"/>
      <c r="I871" s="12"/>
      <c r="J871" s="12"/>
      <c r="K871" s="12"/>
      <c r="L871" s="12"/>
      <c r="M871" s="12"/>
      <c r="N871" s="12"/>
      <c r="O871" s="12"/>
      <c r="P871" s="12"/>
    </row>
    <row r="872">
      <c r="A872" s="12"/>
      <c r="D872" s="95"/>
      <c r="E872" s="14"/>
      <c r="F872" s="96"/>
      <c r="H872" s="12"/>
      <c r="I872" s="12"/>
      <c r="J872" s="12"/>
      <c r="K872" s="12"/>
      <c r="L872" s="12"/>
      <c r="M872" s="12"/>
      <c r="N872" s="12"/>
      <c r="O872" s="12"/>
      <c r="P872" s="12"/>
    </row>
    <row r="873">
      <c r="A873" s="12"/>
      <c r="D873" s="95"/>
      <c r="E873" s="14"/>
      <c r="F873" s="96"/>
      <c r="H873" s="12"/>
      <c r="I873" s="12"/>
      <c r="J873" s="12"/>
      <c r="K873" s="12"/>
      <c r="L873" s="12"/>
      <c r="M873" s="12"/>
      <c r="N873" s="12"/>
      <c r="O873" s="12"/>
      <c r="P873" s="12"/>
    </row>
    <row r="874">
      <c r="A874" s="12"/>
      <c r="D874" s="95"/>
      <c r="E874" s="14"/>
      <c r="F874" s="96"/>
      <c r="H874" s="12"/>
      <c r="I874" s="12"/>
      <c r="J874" s="12"/>
      <c r="K874" s="12"/>
      <c r="L874" s="12"/>
      <c r="M874" s="12"/>
      <c r="N874" s="12"/>
      <c r="O874" s="12"/>
      <c r="P874" s="12"/>
    </row>
    <row r="875">
      <c r="A875" s="12"/>
      <c r="D875" s="95"/>
      <c r="E875" s="14"/>
      <c r="F875" s="96"/>
      <c r="H875" s="12"/>
      <c r="I875" s="12"/>
      <c r="J875" s="12"/>
      <c r="K875" s="12"/>
      <c r="L875" s="12"/>
      <c r="M875" s="12"/>
      <c r="N875" s="12"/>
      <c r="O875" s="12"/>
      <c r="P875" s="12"/>
    </row>
    <row r="876">
      <c r="A876" s="12"/>
      <c r="D876" s="95"/>
      <c r="E876" s="14"/>
      <c r="F876" s="96"/>
      <c r="H876" s="12"/>
      <c r="I876" s="12"/>
      <c r="J876" s="12"/>
      <c r="K876" s="12"/>
      <c r="L876" s="12"/>
      <c r="M876" s="12"/>
      <c r="N876" s="12"/>
      <c r="O876" s="12"/>
      <c r="P876" s="12"/>
    </row>
    <row r="877">
      <c r="A877" s="12"/>
      <c r="D877" s="95"/>
      <c r="E877" s="14"/>
      <c r="F877" s="96"/>
      <c r="H877" s="12"/>
      <c r="I877" s="12"/>
      <c r="J877" s="12"/>
      <c r="K877" s="12"/>
      <c r="L877" s="12"/>
      <c r="M877" s="12"/>
      <c r="N877" s="12"/>
      <c r="O877" s="12"/>
      <c r="P877" s="12"/>
    </row>
    <row r="878">
      <c r="A878" s="12"/>
      <c r="D878" s="95"/>
      <c r="E878" s="14"/>
      <c r="F878" s="96"/>
      <c r="H878" s="12"/>
      <c r="I878" s="12"/>
      <c r="J878" s="12"/>
      <c r="K878" s="12"/>
      <c r="L878" s="12"/>
      <c r="M878" s="12"/>
      <c r="N878" s="12"/>
      <c r="O878" s="12"/>
      <c r="P878" s="12"/>
    </row>
    <row r="879">
      <c r="A879" s="12"/>
      <c r="D879" s="95"/>
      <c r="E879" s="14"/>
      <c r="F879" s="96"/>
      <c r="H879" s="12"/>
      <c r="I879" s="12"/>
      <c r="J879" s="12"/>
      <c r="K879" s="12"/>
      <c r="L879" s="12"/>
      <c r="M879" s="12"/>
      <c r="N879" s="12"/>
      <c r="O879" s="12"/>
      <c r="P879" s="12"/>
    </row>
    <row r="880">
      <c r="A880" s="12"/>
      <c r="D880" s="95"/>
      <c r="E880" s="14"/>
      <c r="F880" s="96"/>
      <c r="H880" s="12"/>
      <c r="I880" s="12"/>
      <c r="J880" s="12"/>
      <c r="K880" s="12"/>
      <c r="L880" s="12"/>
      <c r="M880" s="12"/>
      <c r="N880" s="12"/>
      <c r="O880" s="12"/>
      <c r="P880" s="12"/>
    </row>
    <row r="881">
      <c r="A881" s="12"/>
      <c r="D881" s="95"/>
      <c r="E881" s="14"/>
      <c r="F881" s="96"/>
      <c r="H881" s="12"/>
      <c r="I881" s="12"/>
      <c r="J881" s="12"/>
      <c r="K881" s="12"/>
      <c r="L881" s="12"/>
      <c r="M881" s="12"/>
      <c r="N881" s="12"/>
      <c r="O881" s="12"/>
      <c r="P881" s="12"/>
    </row>
    <row r="882">
      <c r="A882" s="12"/>
      <c r="D882" s="95"/>
      <c r="E882" s="14"/>
      <c r="F882" s="96"/>
      <c r="H882" s="12"/>
      <c r="I882" s="12"/>
      <c r="J882" s="12"/>
      <c r="K882" s="12"/>
      <c r="L882" s="12"/>
      <c r="M882" s="12"/>
      <c r="N882" s="12"/>
      <c r="O882" s="12"/>
      <c r="P882" s="12"/>
    </row>
    <row r="883">
      <c r="A883" s="12"/>
      <c r="D883" s="95"/>
      <c r="E883" s="14"/>
      <c r="F883" s="96"/>
      <c r="H883" s="12"/>
      <c r="I883" s="12"/>
      <c r="J883" s="12"/>
      <c r="K883" s="12"/>
      <c r="L883" s="12"/>
      <c r="M883" s="12"/>
      <c r="N883" s="12"/>
      <c r="O883" s="12"/>
      <c r="P883" s="12"/>
    </row>
    <row r="884">
      <c r="A884" s="12"/>
      <c r="D884" s="95"/>
      <c r="E884" s="14"/>
      <c r="F884" s="96"/>
      <c r="H884" s="12"/>
      <c r="I884" s="12"/>
      <c r="J884" s="12"/>
      <c r="K884" s="12"/>
      <c r="L884" s="12"/>
      <c r="M884" s="12"/>
      <c r="N884" s="12"/>
      <c r="O884" s="12"/>
      <c r="P884" s="12"/>
    </row>
    <row r="885">
      <c r="A885" s="12"/>
      <c r="D885" s="95"/>
      <c r="E885" s="14"/>
      <c r="F885" s="96"/>
      <c r="H885" s="12"/>
      <c r="I885" s="12"/>
      <c r="J885" s="12"/>
      <c r="K885" s="12"/>
      <c r="L885" s="12"/>
      <c r="M885" s="12"/>
      <c r="N885" s="12"/>
      <c r="O885" s="12"/>
      <c r="P885" s="12"/>
    </row>
    <row r="886">
      <c r="A886" s="12"/>
      <c r="D886" s="95"/>
      <c r="E886" s="14"/>
      <c r="F886" s="96"/>
      <c r="H886" s="12"/>
      <c r="I886" s="12"/>
      <c r="J886" s="12"/>
      <c r="K886" s="12"/>
      <c r="L886" s="12"/>
      <c r="M886" s="12"/>
      <c r="N886" s="12"/>
      <c r="O886" s="12"/>
      <c r="P886" s="12"/>
    </row>
    <row r="887">
      <c r="A887" s="12"/>
      <c r="D887" s="95"/>
      <c r="E887" s="14"/>
      <c r="F887" s="96"/>
      <c r="H887" s="12"/>
      <c r="I887" s="12"/>
      <c r="J887" s="12"/>
      <c r="K887" s="12"/>
      <c r="L887" s="12"/>
      <c r="M887" s="12"/>
      <c r="N887" s="12"/>
      <c r="O887" s="12"/>
      <c r="P887" s="12"/>
    </row>
    <row r="888">
      <c r="A888" s="12"/>
      <c r="D888" s="95"/>
      <c r="E888" s="14"/>
      <c r="F888" s="96"/>
      <c r="H888" s="12"/>
      <c r="I888" s="12"/>
      <c r="J888" s="12"/>
      <c r="K888" s="12"/>
      <c r="L888" s="12"/>
      <c r="M888" s="12"/>
      <c r="N888" s="12"/>
      <c r="O888" s="12"/>
      <c r="P888" s="12"/>
    </row>
    <row r="889">
      <c r="A889" s="12"/>
      <c r="D889" s="95"/>
      <c r="E889" s="14"/>
      <c r="F889" s="96"/>
      <c r="H889" s="12"/>
      <c r="I889" s="12"/>
      <c r="J889" s="12"/>
      <c r="K889" s="12"/>
      <c r="L889" s="12"/>
      <c r="M889" s="12"/>
      <c r="N889" s="12"/>
      <c r="O889" s="12"/>
      <c r="P889" s="12"/>
    </row>
    <row r="890">
      <c r="A890" s="12"/>
      <c r="D890" s="95"/>
      <c r="E890" s="14"/>
      <c r="F890" s="96"/>
      <c r="H890" s="12"/>
      <c r="I890" s="12"/>
      <c r="J890" s="12"/>
      <c r="K890" s="12"/>
      <c r="L890" s="12"/>
      <c r="M890" s="12"/>
      <c r="N890" s="12"/>
      <c r="O890" s="12"/>
      <c r="P890" s="12"/>
    </row>
    <row r="891">
      <c r="A891" s="12"/>
      <c r="D891" s="95"/>
      <c r="E891" s="14"/>
      <c r="F891" s="96"/>
      <c r="H891" s="12"/>
      <c r="I891" s="12"/>
      <c r="J891" s="12"/>
      <c r="K891" s="12"/>
      <c r="L891" s="12"/>
      <c r="M891" s="12"/>
      <c r="N891" s="12"/>
      <c r="O891" s="12"/>
      <c r="P891" s="12"/>
    </row>
    <row r="892">
      <c r="A892" s="12"/>
      <c r="D892" s="95"/>
      <c r="E892" s="14"/>
      <c r="F892" s="96"/>
      <c r="H892" s="12"/>
      <c r="I892" s="12"/>
      <c r="J892" s="12"/>
      <c r="K892" s="12"/>
      <c r="L892" s="12"/>
      <c r="M892" s="12"/>
      <c r="N892" s="12"/>
      <c r="O892" s="12"/>
      <c r="P892" s="12"/>
    </row>
    <row r="893">
      <c r="A893" s="12"/>
      <c r="D893" s="95"/>
      <c r="E893" s="14"/>
      <c r="F893" s="96"/>
      <c r="H893" s="12"/>
      <c r="I893" s="12"/>
      <c r="J893" s="12"/>
      <c r="K893" s="12"/>
      <c r="L893" s="12"/>
      <c r="M893" s="12"/>
      <c r="N893" s="12"/>
      <c r="O893" s="12"/>
      <c r="P893" s="12"/>
    </row>
    <row r="894">
      <c r="A894" s="12"/>
      <c r="D894" s="95"/>
      <c r="E894" s="14"/>
      <c r="F894" s="96"/>
      <c r="H894" s="12"/>
      <c r="I894" s="12"/>
      <c r="J894" s="12"/>
      <c r="K894" s="12"/>
      <c r="L894" s="12"/>
      <c r="M894" s="12"/>
      <c r="N894" s="12"/>
      <c r="O894" s="12"/>
      <c r="P894" s="12"/>
    </row>
    <row r="895">
      <c r="A895" s="12"/>
      <c r="D895" s="95"/>
      <c r="E895" s="14"/>
      <c r="F895" s="96"/>
      <c r="H895" s="12"/>
      <c r="I895" s="12"/>
      <c r="J895" s="12"/>
      <c r="K895" s="12"/>
      <c r="L895" s="12"/>
      <c r="M895" s="12"/>
      <c r="N895" s="12"/>
      <c r="O895" s="12"/>
      <c r="P895" s="12"/>
    </row>
    <row r="896">
      <c r="A896" s="12"/>
      <c r="D896" s="95"/>
      <c r="E896" s="14"/>
      <c r="F896" s="96"/>
      <c r="H896" s="12"/>
      <c r="I896" s="12"/>
      <c r="J896" s="12"/>
      <c r="K896" s="12"/>
      <c r="L896" s="12"/>
      <c r="M896" s="12"/>
      <c r="N896" s="12"/>
      <c r="O896" s="12"/>
      <c r="P896" s="12"/>
    </row>
    <row r="897">
      <c r="A897" s="12"/>
      <c r="D897" s="95"/>
      <c r="E897" s="14"/>
      <c r="F897" s="96"/>
      <c r="H897" s="12"/>
      <c r="I897" s="12"/>
      <c r="J897" s="12"/>
      <c r="K897" s="12"/>
      <c r="L897" s="12"/>
      <c r="M897" s="12"/>
      <c r="N897" s="12"/>
      <c r="O897" s="12"/>
      <c r="P897" s="12"/>
    </row>
    <row r="898">
      <c r="A898" s="12"/>
      <c r="D898" s="95"/>
      <c r="E898" s="14"/>
      <c r="F898" s="96"/>
      <c r="H898" s="12"/>
      <c r="I898" s="12"/>
      <c r="J898" s="12"/>
      <c r="K898" s="12"/>
      <c r="L898" s="12"/>
      <c r="M898" s="12"/>
      <c r="N898" s="12"/>
      <c r="O898" s="12"/>
      <c r="P898" s="12"/>
    </row>
    <row r="899">
      <c r="A899" s="12"/>
      <c r="D899" s="95"/>
      <c r="E899" s="14"/>
      <c r="F899" s="96"/>
      <c r="H899" s="12"/>
      <c r="I899" s="12"/>
      <c r="J899" s="12"/>
      <c r="K899" s="12"/>
      <c r="L899" s="12"/>
      <c r="M899" s="12"/>
      <c r="N899" s="12"/>
      <c r="O899" s="12"/>
      <c r="P899" s="12"/>
    </row>
    <row r="900">
      <c r="A900" s="12"/>
      <c r="D900" s="95"/>
      <c r="E900" s="14"/>
      <c r="F900" s="96"/>
      <c r="H900" s="12"/>
      <c r="I900" s="12"/>
      <c r="J900" s="12"/>
      <c r="K900" s="12"/>
      <c r="L900" s="12"/>
      <c r="M900" s="12"/>
      <c r="N900" s="12"/>
      <c r="O900" s="12"/>
      <c r="P900" s="12"/>
    </row>
    <row r="901">
      <c r="A901" s="12"/>
      <c r="D901" s="95"/>
      <c r="E901" s="14"/>
      <c r="F901" s="96"/>
      <c r="H901" s="12"/>
      <c r="I901" s="12"/>
      <c r="J901" s="12"/>
      <c r="K901" s="12"/>
      <c r="L901" s="12"/>
      <c r="M901" s="12"/>
      <c r="N901" s="12"/>
      <c r="O901" s="12"/>
      <c r="P901" s="12"/>
    </row>
    <row r="902">
      <c r="A902" s="12"/>
      <c r="D902" s="95"/>
      <c r="E902" s="14"/>
      <c r="F902" s="96"/>
      <c r="H902" s="12"/>
      <c r="I902" s="12"/>
      <c r="J902" s="12"/>
      <c r="K902" s="12"/>
      <c r="L902" s="12"/>
      <c r="M902" s="12"/>
      <c r="N902" s="12"/>
      <c r="O902" s="12"/>
      <c r="P902" s="12"/>
    </row>
    <row r="903">
      <c r="A903" s="12"/>
      <c r="D903" s="95"/>
      <c r="E903" s="14"/>
      <c r="F903" s="96"/>
      <c r="H903" s="12"/>
      <c r="I903" s="12"/>
      <c r="J903" s="12"/>
      <c r="K903" s="12"/>
      <c r="L903" s="12"/>
      <c r="M903" s="12"/>
      <c r="N903" s="12"/>
      <c r="O903" s="12"/>
      <c r="P903" s="12"/>
    </row>
    <row r="904">
      <c r="A904" s="12"/>
      <c r="D904" s="95"/>
      <c r="E904" s="14"/>
      <c r="F904" s="96"/>
      <c r="H904" s="12"/>
      <c r="I904" s="12"/>
      <c r="J904" s="12"/>
      <c r="K904" s="12"/>
      <c r="L904" s="12"/>
      <c r="M904" s="12"/>
      <c r="N904" s="12"/>
      <c r="O904" s="12"/>
      <c r="P904" s="12"/>
    </row>
    <row r="905">
      <c r="A905" s="12"/>
      <c r="D905" s="95"/>
      <c r="E905" s="14"/>
      <c r="F905" s="96"/>
      <c r="H905" s="12"/>
      <c r="I905" s="12"/>
      <c r="J905" s="12"/>
      <c r="K905" s="12"/>
      <c r="L905" s="12"/>
      <c r="M905" s="12"/>
      <c r="N905" s="12"/>
      <c r="O905" s="12"/>
      <c r="P905" s="12"/>
    </row>
    <row r="906">
      <c r="A906" s="12"/>
      <c r="D906" s="95"/>
      <c r="E906" s="14"/>
      <c r="F906" s="96"/>
      <c r="H906" s="12"/>
      <c r="I906" s="12"/>
      <c r="J906" s="12"/>
      <c r="K906" s="12"/>
      <c r="L906" s="12"/>
      <c r="M906" s="12"/>
      <c r="N906" s="12"/>
      <c r="O906" s="12"/>
      <c r="P906" s="12"/>
    </row>
    <row r="907">
      <c r="A907" s="12"/>
      <c r="D907" s="95"/>
      <c r="E907" s="14"/>
      <c r="F907" s="96"/>
      <c r="H907" s="12"/>
      <c r="I907" s="12"/>
      <c r="J907" s="12"/>
      <c r="K907" s="12"/>
      <c r="L907" s="12"/>
      <c r="M907" s="12"/>
      <c r="N907" s="12"/>
      <c r="O907" s="12"/>
      <c r="P907" s="12"/>
    </row>
    <row r="908">
      <c r="A908" s="12"/>
      <c r="D908" s="95"/>
      <c r="E908" s="14"/>
      <c r="F908" s="96"/>
      <c r="H908" s="12"/>
      <c r="I908" s="12"/>
      <c r="J908" s="12"/>
      <c r="K908" s="12"/>
      <c r="L908" s="12"/>
      <c r="M908" s="12"/>
      <c r="N908" s="12"/>
      <c r="O908" s="12"/>
      <c r="P908" s="12"/>
    </row>
    <row r="909">
      <c r="A909" s="12"/>
      <c r="D909" s="95"/>
      <c r="E909" s="14"/>
      <c r="F909" s="96"/>
      <c r="H909" s="12"/>
      <c r="I909" s="12"/>
      <c r="J909" s="12"/>
      <c r="K909" s="12"/>
      <c r="L909" s="12"/>
      <c r="M909" s="12"/>
      <c r="N909" s="12"/>
      <c r="O909" s="12"/>
      <c r="P909" s="12"/>
    </row>
    <row r="910">
      <c r="A910" s="12"/>
      <c r="D910" s="95"/>
      <c r="E910" s="14"/>
      <c r="F910" s="96"/>
      <c r="H910" s="12"/>
      <c r="I910" s="12"/>
      <c r="J910" s="12"/>
      <c r="K910" s="12"/>
      <c r="L910" s="12"/>
      <c r="M910" s="12"/>
      <c r="N910" s="12"/>
      <c r="O910" s="12"/>
      <c r="P910" s="12"/>
    </row>
    <row r="911">
      <c r="A911" s="12"/>
      <c r="D911" s="95"/>
      <c r="E911" s="14"/>
      <c r="F911" s="96"/>
      <c r="H911" s="12"/>
      <c r="I911" s="12"/>
      <c r="J911" s="12"/>
      <c r="K911" s="12"/>
      <c r="L911" s="12"/>
      <c r="M911" s="12"/>
      <c r="N911" s="12"/>
      <c r="O911" s="12"/>
      <c r="P911" s="12"/>
    </row>
    <row r="912">
      <c r="A912" s="12"/>
      <c r="D912" s="95"/>
      <c r="E912" s="14"/>
      <c r="F912" s="96"/>
      <c r="H912" s="12"/>
      <c r="I912" s="12"/>
      <c r="J912" s="12"/>
      <c r="K912" s="12"/>
      <c r="L912" s="12"/>
      <c r="M912" s="12"/>
      <c r="N912" s="12"/>
      <c r="O912" s="12"/>
      <c r="P912" s="12"/>
    </row>
    <row r="913">
      <c r="A913" s="12"/>
      <c r="D913" s="95"/>
      <c r="E913" s="14"/>
      <c r="F913" s="96"/>
      <c r="H913" s="12"/>
      <c r="I913" s="12"/>
      <c r="J913" s="12"/>
      <c r="K913" s="12"/>
      <c r="L913" s="12"/>
      <c r="M913" s="12"/>
      <c r="N913" s="12"/>
      <c r="O913" s="12"/>
      <c r="P913" s="12"/>
    </row>
    <row r="914">
      <c r="A914" s="12"/>
      <c r="D914" s="95"/>
      <c r="E914" s="14"/>
      <c r="F914" s="96"/>
      <c r="H914" s="12"/>
      <c r="I914" s="12"/>
      <c r="J914" s="12"/>
      <c r="K914" s="12"/>
      <c r="L914" s="12"/>
      <c r="M914" s="12"/>
      <c r="N914" s="12"/>
      <c r="O914" s="12"/>
      <c r="P914" s="12"/>
    </row>
    <row r="915">
      <c r="A915" s="12"/>
      <c r="D915" s="95"/>
      <c r="E915" s="14"/>
      <c r="F915" s="96"/>
      <c r="H915" s="12"/>
      <c r="I915" s="12"/>
      <c r="J915" s="12"/>
      <c r="K915" s="12"/>
      <c r="L915" s="12"/>
      <c r="M915" s="12"/>
      <c r="N915" s="12"/>
      <c r="O915" s="12"/>
      <c r="P915" s="12"/>
    </row>
    <row r="916">
      <c r="A916" s="12"/>
      <c r="D916" s="95"/>
      <c r="E916" s="14"/>
      <c r="F916" s="96"/>
      <c r="H916" s="12"/>
      <c r="I916" s="12"/>
      <c r="J916" s="12"/>
      <c r="K916" s="12"/>
      <c r="L916" s="12"/>
      <c r="M916" s="12"/>
      <c r="N916" s="12"/>
      <c r="O916" s="12"/>
      <c r="P916" s="12"/>
    </row>
    <row r="917">
      <c r="A917" s="12"/>
      <c r="D917" s="95"/>
      <c r="E917" s="14"/>
      <c r="F917" s="96"/>
      <c r="H917" s="12"/>
      <c r="I917" s="12"/>
      <c r="J917" s="12"/>
      <c r="K917" s="12"/>
      <c r="L917" s="12"/>
      <c r="M917" s="12"/>
      <c r="N917" s="12"/>
      <c r="O917" s="12"/>
      <c r="P917" s="12"/>
    </row>
    <row r="918">
      <c r="A918" s="12"/>
      <c r="D918" s="95"/>
      <c r="E918" s="14"/>
      <c r="F918" s="96"/>
      <c r="H918" s="12"/>
      <c r="I918" s="12"/>
      <c r="J918" s="12"/>
      <c r="K918" s="12"/>
      <c r="L918" s="12"/>
      <c r="M918" s="12"/>
      <c r="N918" s="12"/>
      <c r="O918" s="12"/>
      <c r="P918" s="12"/>
    </row>
    <row r="919">
      <c r="A919" s="12"/>
      <c r="D919" s="95"/>
      <c r="E919" s="14"/>
      <c r="F919" s="96"/>
      <c r="H919" s="12"/>
      <c r="I919" s="12"/>
      <c r="J919" s="12"/>
      <c r="K919" s="12"/>
      <c r="L919" s="12"/>
      <c r="M919" s="12"/>
      <c r="N919" s="12"/>
      <c r="O919" s="12"/>
      <c r="P919" s="12"/>
    </row>
    <row r="920">
      <c r="A920" s="12"/>
      <c r="D920" s="95"/>
      <c r="E920" s="14"/>
      <c r="F920" s="96"/>
      <c r="H920" s="12"/>
      <c r="I920" s="12"/>
      <c r="J920" s="12"/>
      <c r="K920" s="12"/>
      <c r="L920" s="12"/>
      <c r="M920" s="12"/>
      <c r="N920" s="12"/>
      <c r="O920" s="12"/>
      <c r="P920" s="12"/>
    </row>
    <row r="921">
      <c r="A921" s="12"/>
      <c r="D921" s="95"/>
      <c r="E921" s="14"/>
      <c r="F921" s="96"/>
      <c r="H921" s="12"/>
      <c r="I921" s="12"/>
      <c r="J921" s="12"/>
      <c r="K921" s="12"/>
      <c r="L921" s="12"/>
      <c r="M921" s="12"/>
      <c r="N921" s="12"/>
      <c r="O921" s="12"/>
      <c r="P921" s="12"/>
    </row>
    <row r="922">
      <c r="A922" s="12"/>
      <c r="D922" s="95"/>
      <c r="E922" s="14"/>
      <c r="F922" s="96"/>
      <c r="H922" s="12"/>
      <c r="I922" s="12"/>
      <c r="J922" s="12"/>
      <c r="K922" s="12"/>
      <c r="L922" s="12"/>
      <c r="M922" s="12"/>
      <c r="N922" s="12"/>
      <c r="O922" s="12"/>
      <c r="P922" s="12"/>
    </row>
    <row r="923">
      <c r="A923" s="12"/>
      <c r="D923" s="95"/>
      <c r="E923" s="14"/>
      <c r="F923" s="96"/>
      <c r="H923" s="12"/>
      <c r="I923" s="12"/>
      <c r="J923" s="12"/>
      <c r="K923" s="12"/>
      <c r="L923" s="12"/>
      <c r="M923" s="12"/>
      <c r="N923" s="12"/>
      <c r="O923" s="12"/>
      <c r="P923" s="12"/>
    </row>
    <row r="924">
      <c r="A924" s="12"/>
      <c r="D924" s="95"/>
      <c r="E924" s="14"/>
      <c r="F924" s="96"/>
      <c r="H924" s="12"/>
      <c r="I924" s="12"/>
      <c r="J924" s="12"/>
      <c r="K924" s="12"/>
      <c r="L924" s="12"/>
      <c r="M924" s="12"/>
      <c r="N924" s="12"/>
      <c r="O924" s="12"/>
      <c r="P924" s="12"/>
    </row>
    <row r="925">
      <c r="A925" s="12"/>
      <c r="D925" s="95"/>
      <c r="E925" s="14"/>
      <c r="F925" s="96"/>
      <c r="H925" s="12"/>
      <c r="I925" s="12"/>
      <c r="J925" s="12"/>
      <c r="K925" s="12"/>
      <c r="L925" s="12"/>
      <c r="M925" s="12"/>
      <c r="N925" s="12"/>
      <c r="O925" s="12"/>
      <c r="P925" s="12"/>
    </row>
    <row r="926">
      <c r="A926" s="12"/>
      <c r="D926" s="95"/>
      <c r="E926" s="14"/>
      <c r="F926" s="96"/>
      <c r="H926" s="12"/>
      <c r="I926" s="12"/>
      <c r="J926" s="12"/>
      <c r="K926" s="12"/>
      <c r="L926" s="12"/>
      <c r="M926" s="12"/>
      <c r="N926" s="12"/>
      <c r="O926" s="12"/>
      <c r="P926" s="12"/>
    </row>
    <row r="927">
      <c r="A927" s="12"/>
      <c r="D927" s="95"/>
      <c r="E927" s="14"/>
      <c r="F927" s="96"/>
      <c r="H927" s="12"/>
      <c r="I927" s="12"/>
      <c r="J927" s="12"/>
      <c r="K927" s="12"/>
      <c r="L927" s="12"/>
      <c r="M927" s="12"/>
      <c r="N927" s="12"/>
      <c r="O927" s="12"/>
      <c r="P927" s="12"/>
    </row>
    <row r="928">
      <c r="A928" s="12"/>
      <c r="D928" s="95"/>
      <c r="E928" s="14"/>
      <c r="F928" s="96"/>
      <c r="H928" s="12"/>
      <c r="I928" s="12"/>
      <c r="J928" s="12"/>
      <c r="K928" s="12"/>
      <c r="L928" s="12"/>
      <c r="M928" s="12"/>
      <c r="N928" s="12"/>
      <c r="O928" s="12"/>
      <c r="P928" s="12"/>
    </row>
    <row r="929">
      <c r="A929" s="12"/>
      <c r="D929" s="95"/>
      <c r="E929" s="14"/>
      <c r="F929" s="96"/>
      <c r="H929" s="12"/>
      <c r="I929" s="12"/>
      <c r="J929" s="12"/>
      <c r="K929" s="12"/>
      <c r="L929" s="12"/>
      <c r="M929" s="12"/>
      <c r="N929" s="12"/>
      <c r="O929" s="12"/>
      <c r="P929" s="12"/>
    </row>
    <row r="930">
      <c r="A930" s="12"/>
      <c r="D930" s="95"/>
      <c r="E930" s="14"/>
      <c r="F930" s="96"/>
      <c r="H930" s="12"/>
      <c r="I930" s="12"/>
      <c r="J930" s="12"/>
      <c r="K930" s="12"/>
      <c r="L930" s="12"/>
      <c r="M930" s="12"/>
      <c r="N930" s="12"/>
      <c r="O930" s="12"/>
      <c r="P930" s="12"/>
    </row>
    <row r="931">
      <c r="A931" s="12"/>
      <c r="D931" s="95"/>
      <c r="E931" s="14"/>
      <c r="F931" s="96"/>
      <c r="H931" s="12"/>
      <c r="I931" s="12"/>
      <c r="J931" s="12"/>
      <c r="K931" s="12"/>
      <c r="L931" s="12"/>
      <c r="M931" s="12"/>
      <c r="N931" s="12"/>
      <c r="O931" s="12"/>
      <c r="P931" s="12"/>
    </row>
    <row r="932">
      <c r="A932" s="12"/>
      <c r="D932" s="95"/>
      <c r="E932" s="14"/>
      <c r="F932" s="96"/>
      <c r="H932" s="12"/>
      <c r="I932" s="12"/>
      <c r="J932" s="12"/>
      <c r="K932" s="12"/>
      <c r="L932" s="12"/>
      <c r="M932" s="12"/>
      <c r="N932" s="12"/>
      <c r="O932" s="12"/>
      <c r="P932" s="12"/>
    </row>
    <row r="933">
      <c r="A933" s="12"/>
      <c r="D933" s="95"/>
      <c r="E933" s="14"/>
      <c r="F933" s="96"/>
      <c r="H933" s="12"/>
      <c r="I933" s="12"/>
      <c r="J933" s="12"/>
      <c r="K933" s="12"/>
      <c r="L933" s="12"/>
      <c r="M933" s="12"/>
      <c r="N933" s="12"/>
      <c r="O933" s="12"/>
      <c r="P933" s="12"/>
    </row>
    <row r="934">
      <c r="A934" s="12"/>
      <c r="D934" s="95"/>
      <c r="E934" s="14"/>
      <c r="F934" s="96"/>
      <c r="H934" s="12"/>
      <c r="I934" s="12"/>
      <c r="J934" s="12"/>
      <c r="K934" s="12"/>
      <c r="L934" s="12"/>
      <c r="M934" s="12"/>
      <c r="N934" s="12"/>
      <c r="O934" s="12"/>
      <c r="P934" s="12"/>
    </row>
    <row r="935">
      <c r="A935" s="12"/>
      <c r="D935" s="95"/>
      <c r="E935" s="14"/>
      <c r="F935" s="96"/>
      <c r="H935" s="12"/>
      <c r="I935" s="12"/>
      <c r="J935" s="12"/>
      <c r="K935" s="12"/>
      <c r="L935" s="12"/>
      <c r="M935" s="12"/>
      <c r="N935" s="12"/>
      <c r="O935" s="12"/>
      <c r="P935" s="12"/>
    </row>
    <row r="936">
      <c r="A936" s="12"/>
      <c r="D936" s="95"/>
      <c r="E936" s="14"/>
      <c r="F936" s="96"/>
      <c r="H936" s="12"/>
      <c r="I936" s="12"/>
      <c r="J936" s="12"/>
      <c r="K936" s="12"/>
      <c r="L936" s="12"/>
      <c r="M936" s="12"/>
      <c r="N936" s="12"/>
      <c r="O936" s="12"/>
      <c r="P936" s="12"/>
    </row>
    <row r="937">
      <c r="A937" s="12"/>
      <c r="D937" s="95"/>
      <c r="E937" s="14"/>
      <c r="F937" s="96"/>
      <c r="H937" s="12"/>
      <c r="I937" s="12"/>
      <c r="J937" s="12"/>
      <c r="K937" s="12"/>
      <c r="L937" s="12"/>
      <c r="M937" s="12"/>
      <c r="N937" s="12"/>
      <c r="O937" s="12"/>
      <c r="P937" s="12"/>
    </row>
    <row r="938">
      <c r="A938" s="12"/>
      <c r="D938" s="95"/>
      <c r="E938" s="14"/>
      <c r="F938" s="96"/>
      <c r="H938" s="12"/>
      <c r="I938" s="12"/>
      <c r="J938" s="12"/>
      <c r="K938" s="12"/>
      <c r="L938" s="12"/>
      <c r="M938" s="12"/>
      <c r="N938" s="12"/>
      <c r="O938" s="12"/>
      <c r="P938" s="12"/>
    </row>
    <row r="939">
      <c r="A939" s="12"/>
      <c r="D939" s="95"/>
      <c r="E939" s="14"/>
      <c r="F939" s="96"/>
      <c r="H939" s="12"/>
      <c r="I939" s="12"/>
      <c r="J939" s="12"/>
      <c r="K939" s="12"/>
      <c r="L939" s="12"/>
      <c r="M939" s="12"/>
      <c r="N939" s="12"/>
      <c r="O939" s="12"/>
      <c r="P939" s="12"/>
    </row>
    <row r="940">
      <c r="A940" s="12"/>
      <c r="D940" s="95"/>
      <c r="E940" s="14"/>
      <c r="F940" s="96"/>
      <c r="H940" s="12"/>
      <c r="I940" s="12"/>
      <c r="J940" s="12"/>
      <c r="K940" s="12"/>
      <c r="L940" s="12"/>
      <c r="M940" s="12"/>
      <c r="N940" s="12"/>
      <c r="O940" s="12"/>
      <c r="P940" s="12"/>
    </row>
    <row r="941">
      <c r="A941" s="12"/>
      <c r="D941" s="95"/>
      <c r="E941" s="14"/>
      <c r="F941" s="96"/>
      <c r="H941" s="12"/>
      <c r="I941" s="12"/>
      <c r="J941" s="12"/>
      <c r="K941" s="12"/>
      <c r="L941" s="12"/>
      <c r="M941" s="12"/>
      <c r="N941" s="12"/>
      <c r="O941" s="12"/>
      <c r="P941" s="12"/>
    </row>
    <row r="942">
      <c r="A942" s="12"/>
      <c r="D942" s="95"/>
      <c r="E942" s="14"/>
      <c r="F942" s="96"/>
      <c r="H942" s="12"/>
      <c r="I942" s="12"/>
      <c r="J942" s="12"/>
      <c r="K942" s="12"/>
      <c r="L942" s="12"/>
      <c r="M942" s="12"/>
      <c r="N942" s="12"/>
      <c r="O942" s="12"/>
      <c r="P942" s="12"/>
    </row>
    <row r="943">
      <c r="A943" s="12"/>
      <c r="D943" s="95"/>
      <c r="E943" s="14"/>
      <c r="F943" s="96"/>
      <c r="H943" s="12"/>
      <c r="I943" s="12"/>
      <c r="J943" s="12"/>
      <c r="K943" s="12"/>
      <c r="L943" s="12"/>
      <c r="M943" s="12"/>
      <c r="N943" s="12"/>
      <c r="O943" s="12"/>
      <c r="P943" s="12"/>
    </row>
    <row r="944">
      <c r="A944" s="12"/>
      <c r="D944" s="95"/>
      <c r="E944" s="14"/>
      <c r="F944" s="96"/>
      <c r="H944" s="12"/>
      <c r="I944" s="12"/>
      <c r="J944" s="12"/>
      <c r="K944" s="12"/>
      <c r="L944" s="12"/>
      <c r="M944" s="12"/>
      <c r="N944" s="12"/>
      <c r="O944" s="12"/>
      <c r="P944" s="12"/>
    </row>
    <row r="945">
      <c r="A945" s="12"/>
      <c r="D945" s="95"/>
      <c r="E945" s="14"/>
      <c r="F945" s="96"/>
      <c r="H945" s="12"/>
      <c r="I945" s="12"/>
      <c r="J945" s="12"/>
      <c r="K945" s="12"/>
      <c r="L945" s="12"/>
      <c r="M945" s="12"/>
      <c r="N945" s="12"/>
      <c r="O945" s="12"/>
      <c r="P945" s="12"/>
    </row>
    <row r="946">
      <c r="A946" s="12"/>
      <c r="D946" s="95"/>
      <c r="E946" s="14"/>
      <c r="F946" s="96"/>
      <c r="H946" s="12"/>
      <c r="I946" s="12"/>
      <c r="J946" s="12"/>
      <c r="K946" s="12"/>
      <c r="L946" s="12"/>
      <c r="M946" s="12"/>
      <c r="N946" s="12"/>
      <c r="O946" s="12"/>
      <c r="P946" s="12"/>
    </row>
    <row r="947">
      <c r="A947" s="12"/>
      <c r="D947" s="95"/>
      <c r="E947" s="14"/>
      <c r="F947" s="96"/>
      <c r="H947" s="12"/>
      <c r="I947" s="12"/>
      <c r="J947" s="12"/>
      <c r="K947" s="12"/>
      <c r="L947" s="12"/>
      <c r="M947" s="12"/>
      <c r="N947" s="12"/>
      <c r="O947" s="12"/>
      <c r="P947" s="12"/>
    </row>
    <row r="948">
      <c r="A948" s="12"/>
      <c r="D948" s="95"/>
      <c r="E948" s="14"/>
      <c r="F948" s="96"/>
      <c r="H948" s="12"/>
      <c r="I948" s="12"/>
      <c r="J948" s="12"/>
      <c r="K948" s="12"/>
      <c r="L948" s="12"/>
      <c r="M948" s="12"/>
      <c r="N948" s="12"/>
      <c r="O948" s="12"/>
      <c r="P948" s="12"/>
    </row>
    <row r="949">
      <c r="A949" s="12"/>
      <c r="D949" s="95"/>
      <c r="E949" s="14"/>
      <c r="F949" s="96"/>
      <c r="H949" s="12"/>
      <c r="I949" s="12"/>
      <c r="J949" s="12"/>
      <c r="K949" s="12"/>
      <c r="L949" s="12"/>
      <c r="M949" s="12"/>
      <c r="N949" s="12"/>
      <c r="O949" s="12"/>
      <c r="P949" s="12"/>
    </row>
    <row r="950">
      <c r="A950" s="12"/>
      <c r="D950" s="95"/>
      <c r="E950" s="14"/>
      <c r="F950" s="96"/>
      <c r="H950" s="12"/>
      <c r="I950" s="12"/>
      <c r="J950" s="12"/>
      <c r="K950" s="12"/>
      <c r="L950" s="12"/>
      <c r="M950" s="12"/>
      <c r="N950" s="12"/>
      <c r="O950" s="12"/>
      <c r="P950" s="12"/>
    </row>
    <row r="951">
      <c r="A951" s="12"/>
      <c r="D951" s="95"/>
      <c r="E951" s="14"/>
      <c r="F951" s="96"/>
      <c r="H951" s="12"/>
      <c r="I951" s="12"/>
      <c r="J951" s="12"/>
      <c r="K951" s="12"/>
      <c r="L951" s="12"/>
      <c r="M951" s="12"/>
      <c r="N951" s="12"/>
      <c r="O951" s="12"/>
      <c r="P951" s="12"/>
    </row>
    <row r="952">
      <c r="A952" s="12"/>
      <c r="D952" s="95"/>
      <c r="E952" s="14"/>
      <c r="F952" s="96"/>
      <c r="H952" s="12"/>
      <c r="I952" s="12"/>
      <c r="J952" s="12"/>
      <c r="K952" s="12"/>
      <c r="L952" s="12"/>
      <c r="M952" s="12"/>
      <c r="N952" s="12"/>
      <c r="O952" s="12"/>
      <c r="P952" s="12"/>
    </row>
    <row r="953">
      <c r="A953" s="12"/>
      <c r="D953" s="95"/>
      <c r="E953" s="14"/>
      <c r="F953" s="96"/>
      <c r="H953" s="12"/>
      <c r="I953" s="12"/>
      <c r="J953" s="12"/>
      <c r="K953" s="12"/>
      <c r="L953" s="12"/>
      <c r="M953" s="12"/>
      <c r="N953" s="12"/>
      <c r="O953" s="12"/>
      <c r="P953" s="12"/>
    </row>
    <row r="954">
      <c r="A954" s="12"/>
      <c r="D954" s="95"/>
      <c r="E954" s="14"/>
      <c r="F954" s="96"/>
      <c r="H954" s="12"/>
      <c r="I954" s="12"/>
      <c r="J954" s="12"/>
      <c r="K954" s="12"/>
      <c r="L954" s="12"/>
      <c r="M954" s="12"/>
      <c r="N954" s="12"/>
      <c r="O954" s="12"/>
      <c r="P954" s="12"/>
    </row>
    <row r="955">
      <c r="A955" s="12"/>
      <c r="D955" s="95"/>
      <c r="E955" s="14"/>
      <c r="F955" s="96"/>
      <c r="H955" s="12"/>
      <c r="I955" s="12"/>
      <c r="J955" s="12"/>
      <c r="K955" s="12"/>
      <c r="L955" s="12"/>
      <c r="M955" s="12"/>
      <c r="N955" s="12"/>
      <c r="O955" s="12"/>
      <c r="P955" s="12"/>
    </row>
    <row r="956">
      <c r="A956" s="12"/>
      <c r="D956" s="95"/>
      <c r="E956" s="14"/>
      <c r="F956" s="96"/>
      <c r="H956" s="12"/>
      <c r="I956" s="12"/>
      <c r="J956" s="12"/>
      <c r="K956" s="12"/>
      <c r="L956" s="12"/>
      <c r="M956" s="12"/>
      <c r="N956" s="12"/>
      <c r="O956" s="12"/>
      <c r="P956" s="12"/>
    </row>
    <row r="957">
      <c r="A957" s="12"/>
      <c r="D957" s="95"/>
      <c r="E957" s="14"/>
      <c r="F957" s="96"/>
      <c r="H957" s="12"/>
      <c r="I957" s="12"/>
      <c r="J957" s="12"/>
      <c r="K957" s="12"/>
      <c r="L957" s="12"/>
      <c r="M957" s="12"/>
      <c r="N957" s="12"/>
      <c r="O957" s="12"/>
      <c r="P957" s="12"/>
    </row>
    <row r="958">
      <c r="A958" s="12"/>
      <c r="D958" s="95"/>
      <c r="E958" s="14"/>
      <c r="F958" s="96"/>
      <c r="H958" s="12"/>
      <c r="I958" s="12"/>
      <c r="J958" s="12"/>
      <c r="K958" s="12"/>
      <c r="L958" s="12"/>
      <c r="M958" s="12"/>
      <c r="N958" s="12"/>
      <c r="O958" s="12"/>
      <c r="P958" s="12"/>
    </row>
    <row r="959">
      <c r="A959" s="12"/>
      <c r="D959" s="95"/>
      <c r="E959" s="14"/>
      <c r="F959" s="96"/>
      <c r="H959" s="12"/>
      <c r="I959" s="12"/>
      <c r="J959" s="12"/>
      <c r="K959" s="12"/>
      <c r="L959" s="12"/>
      <c r="M959" s="12"/>
      <c r="N959" s="12"/>
      <c r="O959" s="12"/>
      <c r="P959" s="12"/>
    </row>
    <row r="960">
      <c r="A960" s="12"/>
      <c r="D960" s="95"/>
      <c r="E960" s="14"/>
      <c r="F960" s="96"/>
      <c r="H960" s="12"/>
      <c r="I960" s="12"/>
      <c r="J960" s="12"/>
      <c r="K960" s="12"/>
      <c r="L960" s="12"/>
      <c r="M960" s="12"/>
      <c r="N960" s="12"/>
      <c r="O960" s="12"/>
      <c r="P960" s="12"/>
    </row>
    <row r="961">
      <c r="A961" s="12"/>
      <c r="D961" s="95"/>
      <c r="E961" s="14"/>
      <c r="F961" s="96"/>
      <c r="H961" s="12"/>
      <c r="I961" s="12"/>
      <c r="J961" s="12"/>
      <c r="K961" s="12"/>
      <c r="L961" s="12"/>
      <c r="M961" s="12"/>
      <c r="N961" s="12"/>
      <c r="O961" s="12"/>
      <c r="P961" s="12"/>
    </row>
    <row r="962">
      <c r="A962" s="12"/>
      <c r="D962" s="95"/>
      <c r="E962" s="14"/>
      <c r="F962" s="96"/>
      <c r="H962" s="12"/>
      <c r="I962" s="12"/>
      <c r="J962" s="12"/>
      <c r="K962" s="12"/>
      <c r="L962" s="12"/>
      <c r="M962" s="12"/>
      <c r="N962" s="12"/>
      <c r="O962" s="12"/>
      <c r="P962" s="12"/>
    </row>
    <row r="963">
      <c r="A963" s="12"/>
      <c r="D963" s="95"/>
      <c r="E963" s="14"/>
      <c r="F963" s="96"/>
      <c r="H963" s="12"/>
      <c r="I963" s="12"/>
      <c r="J963" s="12"/>
      <c r="K963" s="12"/>
      <c r="L963" s="12"/>
      <c r="M963" s="12"/>
      <c r="N963" s="12"/>
      <c r="O963" s="12"/>
      <c r="P963" s="12"/>
    </row>
    <row r="964">
      <c r="A964" s="12"/>
      <c r="D964" s="95"/>
      <c r="E964" s="14"/>
      <c r="F964" s="96"/>
      <c r="H964" s="12"/>
      <c r="I964" s="12"/>
      <c r="J964" s="12"/>
      <c r="K964" s="12"/>
      <c r="L964" s="12"/>
      <c r="M964" s="12"/>
      <c r="N964" s="12"/>
      <c r="O964" s="12"/>
      <c r="P964" s="12"/>
    </row>
    <row r="965">
      <c r="A965" s="12"/>
      <c r="D965" s="95"/>
      <c r="E965" s="14"/>
      <c r="F965" s="96"/>
      <c r="H965" s="12"/>
      <c r="I965" s="12"/>
      <c r="J965" s="12"/>
      <c r="K965" s="12"/>
      <c r="L965" s="12"/>
      <c r="M965" s="12"/>
      <c r="N965" s="12"/>
      <c r="O965" s="12"/>
      <c r="P965" s="12"/>
    </row>
    <row r="966">
      <c r="A966" s="12"/>
      <c r="D966" s="95"/>
      <c r="E966" s="14"/>
      <c r="F966" s="96"/>
      <c r="H966" s="12"/>
      <c r="I966" s="12"/>
      <c r="J966" s="12"/>
      <c r="K966" s="12"/>
      <c r="L966" s="12"/>
      <c r="M966" s="12"/>
      <c r="N966" s="12"/>
      <c r="O966" s="12"/>
      <c r="P966" s="12"/>
    </row>
    <row r="967">
      <c r="A967" s="12"/>
      <c r="D967" s="95"/>
      <c r="E967" s="14"/>
      <c r="F967" s="96"/>
      <c r="H967" s="12"/>
      <c r="I967" s="12"/>
      <c r="J967" s="12"/>
      <c r="K967" s="12"/>
      <c r="L967" s="12"/>
      <c r="M967" s="12"/>
      <c r="N967" s="12"/>
      <c r="O967" s="12"/>
      <c r="P967" s="12"/>
    </row>
    <row r="968">
      <c r="A968" s="12"/>
      <c r="D968" s="95"/>
      <c r="E968" s="14"/>
      <c r="F968" s="96"/>
      <c r="H968" s="12"/>
      <c r="I968" s="12"/>
      <c r="J968" s="12"/>
      <c r="K968" s="12"/>
      <c r="L968" s="12"/>
      <c r="M968" s="12"/>
      <c r="N968" s="12"/>
      <c r="O968" s="12"/>
      <c r="P968" s="12"/>
    </row>
    <row r="969">
      <c r="A969" s="12"/>
      <c r="D969" s="95"/>
      <c r="E969" s="14"/>
      <c r="F969" s="96"/>
      <c r="H969" s="12"/>
      <c r="I969" s="12"/>
      <c r="J969" s="12"/>
      <c r="K969" s="12"/>
      <c r="L969" s="12"/>
      <c r="M969" s="12"/>
      <c r="N969" s="12"/>
      <c r="O969" s="12"/>
      <c r="P969" s="12"/>
    </row>
    <row r="970">
      <c r="A970" s="12"/>
      <c r="D970" s="95"/>
      <c r="E970" s="14"/>
      <c r="F970" s="96"/>
      <c r="H970" s="12"/>
      <c r="I970" s="12"/>
      <c r="J970" s="12"/>
      <c r="K970" s="12"/>
      <c r="L970" s="12"/>
      <c r="M970" s="12"/>
      <c r="N970" s="12"/>
      <c r="O970" s="12"/>
      <c r="P970" s="12"/>
    </row>
    <row r="971">
      <c r="A971" s="12"/>
      <c r="D971" s="95"/>
      <c r="E971" s="14"/>
      <c r="F971" s="96"/>
      <c r="H971" s="12"/>
      <c r="I971" s="12"/>
      <c r="J971" s="12"/>
      <c r="K971" s="12"/>
      <c r="L971" s="12"/>
      <c r="M971" s="12"/>
      <c r="N971" s="12"/>
      <c r="O971" s="12"/>
      <c r="P971" s="12"/>
    </row>
    <row r="972">
      <c r="A972" s="12"/>
      <c r="D972" s="95"/>
      <c r="E972" s="14"/>
      <c r="F972" s="96"/>
      <c r="H972" s="12"/>
      <c r="I972" s="12"/>
      <c r="J972" s="12"/>
      <c r="K972" s="12"/>
      <c r="L972" s="12"/>
      <c r="M972" s="12"/>
      <c r="N972" s="12"/>
      <c r="O972" s="12"/>
      <c r="P972" s="12"/>
    </row>
    <row r="973">
      <c r="A973" s="12"/>
      <c r="D973" s="95"/>
      <c r="E973" s="14"/>
      <c r="F973" s="96"/>
      <c r="H973" s="12"/>
      <c r="I973" s="12"/>
      <c r="J973" s="12"/>
      <c r="K973" s="12"/>
      <c r="L973" s="12"/>
      <c r="M973" s="12"/>
      <c r="N973" s="12"/>
      <c r="O973" s="12"/>
      <c r="P973" s="12"/>
    </row>
    <row r="974">
      <c r="A974" s="12"/>
      <c r="D974" s="95"/>
      <c r="E974" s="14"/>
      <c r="F974" s="96"/>
      <c r="H974" s="12"/>
      <c r="I974" s="12"/>
      <c r="J974" s="12"/>
      <c r="K974" s="12"/>
      <c r="L974" s="12"/>
      <c r="M974" s="12"/>
      <c r="N974" s="12"/>
      <c r="O974" s="12"/>
      <c r="P974" s="12"/>
    </row>
    <row r="975">
      <c r="A975" s="12"/>
      <c r="D975" s="95"/>
      <c r="E975" s="14"/>
      <c r="F975" s="96"/>
      <c r="H975" s="12"/>
      <c r="I975" s="12"/>
      <c r="J975" s="12"/>
      <c r="K975" s="12"/>
      <c r="L975" s="12"/>
      <c r="M975" s="12"/>
      <c r="N975" s="12"/>
      <c r="O975" s="12"/>
      <c r="P975" s="12"/>
    </row>
    <row r="976">
      <c r="A976" s="12"/>
      <c r="D976" s="95"/>
      <c r="E976" s="14"/>
      <c r="F976" s="96"/>
      <c r="H976" s="12"/>
      <c r="I976" s="12"/>
      <c r="J976" s="12"/>
      <c r="K976" s="12"/>
      <c r="L976" s="12"/>
      <c r="M976" s="12"/>
      <c r="N976" s="12"/>
      <c r="O976" s="12"/>
      <c r="P976" s="12"/>
    </row>
    <row r="977">
      <c r="A977" s="12"/>
      <c r="D977" s="95"/>
      <c r="E977" s="14"/>
      <c r="F977" s="96"/>
      <c r="H977" s="12"/>
      <c r="I977" s="12"/>
      <c r="J977" s="12"/>
      <c r="K977" s="12"/>
      <c r="L977" s="12"/>
      <c r="M977" s="12"/>
      <c r="N977" s="12"/>
      <c r="O977" s="12"/>
      <c r="P977" s="12"/>
    </row>
    <row r="978">
      <c r="A978" s="12"/>
      <c r="D978" s="95"/>
      <c r="E978" s="14"/>
      <c r="F978" s="96"/>
      <c r="H978" s="12"/>
      <c r="I978" s="12"/>
      <c r="J978" s="12"/>
      <c r="K978" s="12"/>
      <c r="L978" s="12"/>
      <c r="M978" s="12"/>
      <c r="N978" s="12"/>
      <c r="O978" s="12"/>
      <c r="P978" s="12"/>
    </row>
    <row r="979">
      <c r="A979" s="12"/>
      <c r="D979" s="95"/>
      <c r="E979" s="14"/>
      <c r="F979" s="96"/>
      <c r="H979" s="12"/>
      <c r="I979" s="12"/>
      <c r="J979" s="12"/>
      <c r="K979" s="12"/>
      <c r="L979" s="12"/>
      <c r="M979" s="12"/>
      <c r="N979" s="12"/>
      <c r="O979" s="12"/>
      <c r="P979" s="12"/>
    </row>
    <row r="980">
      <c r="A980" s="12"/>
      <c r="D980" s="95"/>
      <c r="E980" s="14"/>
      <c r="F980" s="96"/>
      <c r="H980" s="12"/>
      <c r="I980" s="12"/>
      <c r="J980" s="12"/>
      <c r="K980" s="12"/>
      <c r="L980" s="12"/>
      <c r="M980" s="12"/>
      <c r="N980" s="12"/>
      <c r="O980" s="12"/>
      <c r="P980" s="12"/>
    </row>
    <row r="981">
      <c r="A981" s="12"/>
      <c r="D981" s="95"/>
      <c r="E981" s="14"/>
      <c r="F981" s="96"/>
      <c r="H981" s="12"/>
      <c r="I981" s="12"/>
      <c r="J981" s="12"/>
      <c r="K981" s="12"/>
      <c r="L981" s="12"/>
      <c r="M981" s="12"/>
      <c r="N981" s="12"/>
      <c r="O981" s="12"/>
      <c r="P981" s="12"/>
    </row>
    <row r="982">
      <c r="A982" s="12"/>
      <c r="D982" s="95"/>
      <c r="E982" s="14"/>
      <c r="F982" s="96"/>
      <c r="H982" s="12"/>
      <c r="I982" s="12"/>
      <c r="J982" s="12"/>
      <c r="K982" s="12"/>
      <c r="L982" s="12"/>
      <c r="M982" s="12"/>
      <c r="N982" s="12"/>
      <c r="O982" s="12"/>
      <c r="P982" s="12"/>
    </row>
    <row r="983">
      <c r="A983" s="12"/>
      <c r="D983" s="95"/>
      <c r="E983" s="14"/>
      <c r="F983" s="96"/>
      <c r="H983" s="12"/>
      <c r="I983" s="12"/>
      <c r="J983" s="12"/>
      <c r="K983" s="12"/>
      <c r="L983" s="12"/>
      <c r="M983" s="12"/>
      <c r="N983" s="12"/>
      <c r="O983" s="12"/>
      <c r="P983" s="12"/>
    </row>
    <row r="984">
      <c r="A984" s="12"/>
      <c r="D984" s="95"/>
      <c r="E984" s="14"/>
      <c r="F984" s="96"/>
      <c r="H984" s="12"/>
      <c r="I984" s="12"/>
      <c r="J984" s="12"/>
      <c r="K984" s="12"/>
      <c r="L984" s="12"/>
      <c r="M984" s="12"/>
      <c r="N984" s="12"/>
      <c r="O984" s="12"/>
      <c r="P984" s="12"/>
    </row>
    <row r="985">
      <c r="A985" s="12"/>
      <c r="D985" s="95"/>
      <c r="E985" s="14"/>
      <c r="F985" s="96"/>
      <c r="H985" s="12"/>
      <c r="I985" s="12"/>
      <c r="J985" s="12"/>
      <c r="K985" s="12"/>
      <c r="L985" s="12"/>
      <c r="M985" s="12"/>
      <c r="N985" s="12"/>
      <c r="O985" s="12"/>
      <c r="P985" s="12"/>
    </row>
    <row r="986">
      <c r="A986" s="12"/>
      <c r="D986" s="95"/>
      <c r="E986" s="14"/>
      <c r="F986" s="96"/>
      <c r="H986" s="12"/>
      <c r="I986" s="12"/>
      <c r="J986" s="12"/>
      <c r="K986" s="12"/>
      <c r="L986" s="12"/>
      <c r="M986" s="12"/>
      <c r="N986" s="12"/>
      <c r="O986" s="12"/>
      <c r="P986" s="12"/>
    </row>
    <row r="987">
      <c r="A987" s="12"/>
      <c r="D987" s="95"/>
      <c r="E987" s="14"/>
      <c r="F987" s="96"/>
      <c r="H987" s="12"/>
      <c r="I987" s="12"/>
      <c r="J987" s="12"/>
      <c r="K987" s="12"/>
      <c r="L987" s="12"/>
      <c r="M987" s="12"/>
      <c r="N987" s="12"/>
      <c r="O987" s="12"/>
      <c r="P987" s="12"/>
    </row>
    <row r="988">
      <c r="A988" s="12"/>
      <c r="D988" s="95"/>
      <c r="E988" s="14"/>
      <c r="F988" s="96"/>
      <c r="H988" s="12"/>
      <c r="I988" s="12"/>
      <c r="J988" s="12"/>
      <c r="K988" s="12"/>
      <c r="L988" s="12"/>
      <c r="M988" s="12"/>
      <c r="N988" s="12"/>
      <c r="O988" s="12"/>
      <c r="P988" s="12"/>
    </row>
    <row r="989">
      <c r="A989" s="12"/>
      <c r="D989" s="95"/>
      <c r="E989" s="14"/>
      <c r="F989" s="96"/>
      <c r="H989" s="12"/>
      <c r="I989" s="12"/>
      <c r="J989" s="12"/>
      <c r="K989" s="12"/>
      <c r="L989" s="12"/>
      <c r="M989" s="12"/>
      <c r="N989" s="12"/>
      <c r="O989" s="12"/>
      <c r="P989" s="12"/>
    </row>
    <row r="990">
      <c r="A990" s="12"/>
      <c r="D990" s="95"/>
      <c r="E990" s="14"/>
      <c r="F990" s="96"/>
      <c r="H990" s="12"/>
      <c r="I990" s="12"/>
      <c r="J990" s="12"/>
      <c r="K990" s="12"/>
      <c r="L990" s="12"/>
      <c r="M990" s="12"/>
      <c r="N990" s="12"/>
      <c r="O990" s="12"/>
      <c r="P990" s="12"/>
    </row>
    <row r="991">
      <c r="A991" s="12"/>
      <c r="D991" s="95"/>
      <c r="E991" s="14"/>
      <c r="F991" s="96"/>
      <c r="H991" s="12"/>
      <c r="I991" s="12"/>
      <c r="J991" s="12"/>
      <c r="K991" s="12"/>
      <c r="L991" s="12"/>
      <c r="M991" s="12"/>
      <c r="N991" s="12"/>
      <c r="O991" s="12"/>
      <c r="P991" s="12"/>
    </row>
    <row r="992">
      <c r="A992" s="12"/>
      <c r="D992" s="95"/>
      <c r="E992" s="14"/>
      <c r="F992" s="96"/>
      <c r="H992" s="12"/>
      <c r="I992" s="12"/>
      <c r="J992" s="12"/>
      <c r="K992" s="12"/>
      <c r="L992" s="12"/>
      <c r="M992" s="12"/>
      <c r="N992" s="12"/>
      <c r="O992" s="12"/>
      <c r="P992" s="12"/>
    </row>
    <row r="993">
      <c r="A993" s="12"/>
      <c r="D993" s="95"/>
      <c r="E993" s="14"/>
      <c r="F993" s="96"/>
      <c r="H993" s="12"/>
      <c r="I993" s="12"/>
      <c r="J993" s="12"/>
      <c r="K993" s="12"/>
      <c r="L993" s="12"/>
      <c r="M993" s="12"/>
      <c r="N993" s="12"/>
      <c r="O993" s="12"/>
      <c r="P993" s="12"/>
    </row>
    <row r="994">
      <c r="A994" s="12"/>
      <c r="D994" s="95"/>
      <c r="E994" s="14"/>
      <c r="F994" s="96"/>
      <c r="H994" s="12"/>
      <c r="I994" s="12"/>
      <c r="J994" s="12"/>
      <c r="K994" s="12"/>
      <c r="L994" s="12"/>
      <c r="M994" s="12"/>
      <c r="N994" s="12"/>
      <c r="O994" s="12"/>
      <c r="P994" s="12"/>
    </row>
    <row r="995">
      <c r="A995" s="12"/>
      <c r="D995" s="95"/>
      <c r="E995" s="14"/>
      <c r="F995" s="96"/>
      <c r="H995" s="12"/>
      <c r="I995" s="12"/>
      <c r="J995" s="12"/>
      <c r="K995" s="12"/>
      <c r="L995" s="12"/>
      <c r="M995" s="12"/>
      <c r="N995" s="12"/>
      <c r="O995" s="12"/>
      <c r="P995" s="12"/>
    </row>
    <row r="996">
      <c r="A996" s="12"/>
      <c r="D996" s="95"/>
      <c r="E996" s="14"/>
      <c r="F996" s="96"/>
      <c r="H996" s="12"/>
      <c r="I996" s="12"/>
      <c r="J996" s="12"/>
      <c r="K996" s="12"/>
      <c r="L996" s="12"/>
      <c r="M996" s="12"/>
      <c r="N996" s="12"/>
      <c r="O996" s="12"/>
      <c r="P996" s="12"/>
    </row>
    <row r="997">
      <c r="A997" s="12"/>
      <c r="D997" s="95"/>
      <c r="E997" s="14"/>
      <c r="F997" s="96"/>
      <c r="H997" s="12"/>
      <c r="I997" s="12"/>
      <c r="J997" s="12"/>
      <c r="K997" s="12"/>
      <c r="L997" s="12"/>
      <c r="M997" s="12"/>
      <c r="N997" s="12"/>
      <c r="O997" s="12"/>
      <c r="P997" s="12"/>
    </row>
    <row r="998">
      <c r="A998" s="12"/>
      <c r="D998" s="95"/>
      <c r="E998" s="14"/>
      <c r="F998" s="96"/>
      <c r="H998" s="12"/>
      <c r="I998" s="12"/>
      <c r="J998" s="12"/>
      <c r="K998" s="12"/>
      <c r="L998" s="12"/>
      <c r="M998" s="12"/>
      <c r="N998" s="12"/>
      <c r="O998" s="12"/>
      <c r="P998" s="12"/>
    </row>
    <row r="999">
      <c r="A999" s="12"/>
      <c r="D999" s="95"/>
      <c r="E999" s="14"/>
      <c r="F999" s="96"/>
      <c r="H999" s="12"/>
      <c r="I999" s="12"/>
      <c r="J999" s="12"/>
      <c r="K999" s="12"/>
      <c r="L999" s="12"/>
      <c r="M999" s="12"/>
      <c r="N999" s="12"/>
      <c r="O999" s="12"/>
      <c r="P999" s="12"/>
    </row>
    <row r="1000">
      <c r="A1000" s="12"/>
      <c r="D1000" s="95"/>
      <c r="E1000" s="14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>
      <c r="A1001" s="12"/>
      <c r="D1001" s="95"/>
      <c r="E1001" s="14"/>
      <c r="F1001" s="96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>
      <c r="A1002" s="12"/>
      <c r="D1002" s="95"/>
      <c r="E1002" s="14"/>
      <c r="F1002" s="96"/>
      <c r="H1002" s="12"/>
      <c r="I1002" s="12"/>
      <c r="J1002" s="12"/>
      <c r="K1002" s="12"/>
      <c r="L1002" s="12"/>
      <c r="M1002" s="12"/>
      <c r="N1002" s="12"/>
      <c r="O1002" s="12"/>
      <c r="P1002" s="12"/>
    </row>
  </sheetData>
  <conditionalFormatting sqref="H2:P32">
    <cfRule type="cellIs" dxfId="27" priority="1" operator="equal">
      <formula>0</formula>
    </cfRule>
  </conditionalFormatting>
  <conditionalFormatting sqref="H2:H32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2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2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2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2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2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2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32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9:C46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9:F46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5:F36">
      <formula1>OR(NOT(ISERROR(DATEVALUE(F35))), AND(ISNUMBER(F35), LEFT(CELL("format", F35))="D"))</formula1>
    </dataValidation>
    <dataValidation type="list" allowBlank="1" showDropDown="1" sqref="C2:C32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88"/>
    <col customWidth="1" min="2" max="2" width="18.38"/>
    <col customWidth="1" min="3" max="3" width="14.5"/>
    <col customWidth="1" min="4" max="4" width="42.63"/>
    <col customWidth="1" min="5" max="5" width="9.25"/>
    <col customWidth="1" min="6" max="6" width="28.0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769" t="s">
        <v>48</v>
      </c>
      <c r="B1" s="770" t="s">
        <v>49</v>
      </c>
      <c r="C1" s="770" t="s">
        <v>50</v>
      </c>
      <c r="D1" s="771" t="s">
        <v>56</v>
      </c>
      <c r="E1" s="769" t="s">
        <v>57</v>
      </c>
      <c r="F1" s="772" t="s">
        <v>52</v>
      </c>
      <c r="G1" s="773" t="s">
        <v>53</v>
      </c>
      <c r="H1" s="769" t="s">
        <v>4</v>
      </c>
      <c r="I1" s="769" t="s">
        <v>58</v>
      </c>
      <c r="J1" s="769" t="s">
        <v>59</v>
      </c>
      <c r="K1" s="769" t="s">
        <v>60</v>
      </c>
      <c r="L1" s="769" t="s">
        <v>61</v>
      </c>
      <c r="M1" s="769" t="s">
        <v>62</v>
      </c>
      <c r="N1" s="769" t="s">
        <v>63</v>
      </c>
      <c r="O1" s="774" t="s">
        <v>64</v>
      </c>
      <c r="P1" s="769" t="s">
        <v>65</v>
      </c>
    </row>
    <row r="2" ht="22.5" customHeight="1">
      <c r="A2" s="775">
        <v>1.0</v>
      </c>
      <c r="B2" s="776" t="s">
        <v>1210</v>
      </c>
      <c r="C2" s="777" t="s">
        <v>67</v>
      </c>
      <c r="D2" s="778" t="s">
        <v>182</v>
      </c>
      <c r="E2" s="779" t="str">
        <f>IMAGE("https://flagcdn.com/w320/br.png")</f>
        <v/>
      </c>
      <c r="F2" s="780">
        <v>33879.0</v>
      </c>
      <c r="G2" s="781">
        <f t="shared" ref="G2:G28" si="1">DATEDIF(F2,TODAY(),"Y")</f>
        <v>33</v>
      </c>
      <c r="H2" s="782">
        <f>1+1+1+1</f>
        <v>4</v>
      </c>
      <c r="I2" s="782">
        <f>90+55+90+90</f>
        <v>325</v>
      </c>
      <c r="J2" s="782"/>
      <c r="K2" s="782"/>
      <c r="L2" s="782"/>
      <c r="M2" s="782"/>
      <c r="N2" s="782">
        <f>1+1</f>
        <v>2</v>
      </c>
      <c r="O2" s="782">
        <f t="shared" ref="O2:O28" si="2">J2+K2</f>
        <v>0</v>
      </c>
      <c r="P2" s="782"/>
    </row>
    <row r="3" ht="22.5" customHeight="1">
      <c r="A3" s="775">
        <v>2.0</v>
      </c>
      <c r="B3" s="783" t="s">
        <v>1211</v>
      </c>
      <c r="C3" s="777" t="s">
        <v>70</v>
      </c>
      <c r="D3" s="778" t="s">
        <v>1212</v>
      </c>
      <c r="E3" s="779" t="str">
        <f>IMAGE("https://flagcdn.com/w320/gb-eng.png")</f>
        <v/>
      </c>
      <c r="F3" s="780">
        <v>35573.0</v>
      </c>
      <c r="G3" s="781">
        <f t="shared" si="1"/>
        <v>28</v>
      </c>
      <c r="H3" s="784">
        <f>1+1+1</f>
        <v>3</v>
      </c>
      <c r="I3" s="784">
        <f>17+67+90</f>
        <v>174</v>
      </c>
      <c r="J3" s="782"/>
      <c r="K3" s="782"/>
      <c r="L3" s="782"/>
      <c r="M3" s="782"/>
      <c r="N3" s="782"/>
      <c r="O3" s="782">
        <f t="shared" si="2"/>
        <v>0</v>
      </c>
      <c r="P3" s="782"/>
    </row>
    <row r="4" ht="22.5" customHeight="1">
      <c r="A4" s="775">
        <v>3.0</v>
      </c>
      <c r="B4" s="783" t="s">
        <v>1213</v>
      </c>
      <c r="C4" s="777" t="s">
        <v>79</v>
      </c>
      <c r="D4" s="778" t="s">
        <v>75</v>
      </c>
      <c r="E4" s="779" t="str">
        <f>IMAGE("https://flagcdn.com/w320/jp.png")</f>
        <v/>
      </c>
      <c r="F4" s="780">
        <v>34009.0</v>
      </c>
      <c r="G4" s="781">
        <f t="shared" si="1"/>
        <v>32</v>
      </c>
      <c r="H4" s="784">
        <v>0.0</v>
      </c>
      <c r="I4" s="784">
        <v>0.0</v>
      </c>
      <c r="J4" s="782"/>
      <c r="K4" s="782"/>
      <c r="L4" s="782"/>
      <c r="M4" s="782"/>
      <c r="N4" s="782"/>
      <c r="O4" s="782">
        <f t="shared" si="2"/>
        <v>0</v>
      </c>
      <c r="P4" s="782"/>
    </row>
    <row r="5" ht="22.5" customHeight="1">
      <c r="A5" s="775">
        <v>4.0</v>
      </c>
      <c r="B5" s="783" t="s">
        <v>1214</v>
      </c>
      <c r="C5" s="777" t="s">
        <v>70</v>
      </c>
      <c r="D5" s="778" t="s">
        <v>1215</v>
      </c>
      <c r="E5" s="779" t="str">
        <f>IMAGE("https://flagcdn.com/w320/nl.png")</f>
        <v/>
      </c>
      <c r="F5" s="780">
        <v>33427.0</v>
      </c>
      <c r="G5" s="781">
        <f t="shared" si="1"/>
        <v>34</v>
      </c>
      <c r="H5" s="782">
        <f>1+1+1+1+1+1+1</f>
        <v>7</v>
      </c>
      <c r="I5" s="782">
        <f>90+90+90+90+90+90+90</f>
        <v>630</v>
      </c>
      <c r="J5" s="782">
        <f>1+1</f>
        <v>2</v>
      </c>
      <c r="K5" s="782"/>
      <c r="L5" s="782">
        <f>1</f>
        <v>1</v>
      </c>
      <c r="M5" s="782"/>
      <c r="N5" s="782"/>
      <c r="O5" s="782">
        <f t="shared" si="2"/>
        <v>2</v>
      </c>
      <c r="P5" s="782"/>
    </row>
    <row r="6" ht="22.5" customHeight="1">
      <c r="A6" s="775">
        <v>5.0</v>
      </c>
      <c r="B6" s="783" t="s">
        <v>1216</v>
      </c>
      <c r="C6" s="777" t="s">
        <v>70</v>
      </c>
      <c r="D6" s="778" t="s">
        <v>1217</v>
      </c>
      <c r="E6" s="779" t="str">
        <f>IMAGE("https://flagcdn.com/w320/fr.png")</f>
        <v/>
      </c>
      <c r="F6" s="780">
        <v>36305.0</v>
      </c>
      <c r="G6" s="781">
        <f t="shared" si="1"/>
        <v>26</v>
      </c>
      <c r="H6" s="782">
        <f>1+1+1+1+1+1</f>
        <v>6</v>
      </c>
      <c r="I6" s="782">
        <f>90+90+73+90+75+90</f>
        <v>508</v>
      </c>
      <c r="J6" s="782">
        <f>1</f>
        <v>1</v>
      </c>
      <c r="K6" s="782"/>
      <c r="L6" s="782"/>
      <c r="M6" s="782"/>
      <c r="N6" s="782"/>
      <c r="O6" s="782">
        <f t="shared" si="2"/>
        <v>1</v>
      </c>
      <c r="P6" s="782"/>
    </row>
    <row r="7" ht="22.5" customHeight="1">
      <c r="A7" s="775">
        <v>6.0</v>
      </c>
      <c r="B7" s="783" t="s">
        <v>1218</v>
      </c>
      <c r="C7" s="777" t="s">
        <v>70</v>
      </c>
      <c r="D7" s="778" t="s">
        <v>1219</v>
      </c>
      <c r="E7" s="779" t="str">
        <f>IMAGE("https://flagcdn.com/w320/hu.png")</f>
        <v/>
      </c>
      <c r="F7" s="780">
        <v>37932.0</v>
      </c>
      <c r="G7" s="781">
        <f t="shared" si="1"/>
        <v>22</v>
      </c>
      <c r="H7" s="782">
        <f>1+1+1+1+1</f>
        <v>5</v>
      </c>
      <c r="I7" s="782">
        <f>5+90+3+90+90</f>
        <v>278</v>
      </c>
      <c r="J7" s="782"/>
      <c r="K7" s="782"/>
      <c r="L7" s="782"/>
      <c r="M7" s="782"/>
      <c r="N7" s="782"/>
      <c r="O7" s="782">
        <f t="shared" si="2"/>
        <v>0</v>
      </c>
      <c r="P7" s="782"/>
    </row>
    <row r="8" ht="22.5" customHeight="1">
      <c r="A8" s="775">
        <v>7.0</v>
      </c>
      <c r="B8" s="783" t="s">
        <v>1220</v>
      </c>
      <c r="C8" s="777" t="s">
        <v>79</v>
      </c>
      <c r="D8" s="778" t="s">
        <v>204</v>
      </c>
      <c r="E8" s="779" t="str">
        <f>IMAGE("https://flagcdn.com/w320/de.png")</f>
        <v/>
      </c>
      <c r="F8" s="780">
        <v>37744.0</v>
      </c>
      <c r="G8" s="781">
        <f t="shared" si="1"/>
        <v>22</v>
      </c>
      <c r="H8" s="782">
        <f>1+1+1+1+1+1</f>
        <v>6</v>
      </c>
      <c r="I8" s="782">
        <f>73+90+90+87+23+78</f>
        <v>441</v>
      </c>
      <c r="J8" s="782"/>
      <c r="K8" s="782">
        <f>2</f>
        <v>2</v>
      </c>
      <c r="L8" s="782"/>
      <c r="M8" s="782"/>
      <c r="N8" s="782"/>
      <c r="O8" s="782">
        <f t="shared" si="2"/>
        <v>2</v>
      </c>
      <c r="P8" s="782"/>
    </row>
    <row r="9" ht="22.5" customHeight="1">
      <c r="A9" s="775">
        <v>8.0</v>
      </c>
      <c r="B9" s="783" t="s">
        <v>1221</v>
      </c>
      <c r="C9" s="777" t="s">
        <v>79</v>
      </c>
      <c r="D9" s="778" t="s">
        <v>958</v>
      </c>
      <c r="E9" s="779" t="str">
        <f>IMAGE("https://flagcdn.com/w320/hu.png")</f>
        <v/>
      </c>
      <c r="F9" s="780">
        <v>36824.0</v>
      </c>
      <c r="G9" s="781">
        <f t="shared" si="1"/>
        <v>25</v>
      </c>
      <c r="H9" s="782">
        <f>1+1+1+1+1+1+1</f>
        <v>7</v>
      </c>
      <c r="I9" s="782">
        <f>90+90+90+90+90+90+90</f>
        <v>630</v>
      </c>
      <c r="J9" s="782">
        <f>1+1+1+1</f>
        <v>4</v>
      </c>
      <c r="K9" s="782">
        <f>1+1+1</f>
        <v>3</v>
      </c>
      <c r="L9" s="782"/>
      <c r="M9" s="782"/>
      <c r="N9" s="782"/>
      <c r="O9" s="782">
        <f t="shared" si="2"/>
        <v>7</v>
      </c>
      <c r="P9" s="782"/>
    </row>
    <row r="10" ht="22.5" customHeight="1">
      <c r="A10" s="775">
        <v>9.0</v>
      </c>
      <c r="B10" s="783" t="s">
        <v>1222</v>
      </c>
      <c r="C10" s="777" t="s">
        <v>82</v>
      </c>
      <c r="D10" s="778" t="s">
        <v>1223</v>
      </c>
      <c r="E10" s="779" t="str">
        <f>IMAGE("https://flagcdn.com/w320/se.png")</f>
        <v/>
      </c>
      <c r="F10" s="780">
        <v>36424.0</v>
      </c>
      <c r="G10" s="781">
        <f t="shared" si="1"/>
        <v>26</v>
      </c>
      <c r="H10" s="782">
        <f>1+1+1+1+1</f>
        <v>5</v>
      </c>
      <c r="I10" s="782">
        <f>57+29+45+30+67</f>
        <v>228</v>
      </c>
      <c r="J10" s="782"/>
      <c r="K10" s="782"/>
      <c r="L10" s="782"/>
      <c r="M10" s="782"/>
      <c r="N10" s="782"/>
      <c r="O10" s="782">
        <f t="shared" si="2"/>
        <v>0</v>
      </c>
      <c r="P10" s="782"/>
    </row>
    <row r="11" ht="22.5" customHeight="1">
      <c r="A11" s="775">
        <v>10.0</v>
      </c>
      <c r="B11" s="783" t="s">
        <v>1224</v>
      </c>
      <c r="C11" s="777" t="s">
        <v>79</v>
      </c>
      <c r="D11" s="778" t="s">
        <v>1225</v>
      </c>
      <c r="E11" s="779" t="str">
        <f>IMAGE("https://flagcdn.com/w320/ar.png")</f>
        <v/>
      </c>
      <c r="F11" s="780">
        <v>36153.0</v>
      </c>
      <c r="G11" s="781">
        <f t="shared" si="1"/>
        <v>27</v>
      </c>
      <c r="H11" s="782">
        <f>1+1+1+1+1+1+1</f>
        <v>7</v>
      </c>
      <c r="I11" s="782">
        <f>33+23+17+77+90+90+90</f>
        <v>420</v>
      </c>
      <c r="J11" s="782">
        <f t="shared" ref="J11:J12" si="3">1</f>
        <v>1</v>
      </c>
      <c r="K11" s="782"/>
      <c r="L11" s="782">
        <f>1</f>
        <v>1</v>
      </c>
      <c r="M11" s="782"/>
      <c r="N11" s="782"/>
      <c r="O11" s="782">
        <f t="shared" si="2"/>
        <v>1</v>
      </c>
      <c r="P11" s="782"/>
    </row>
    <row r="12" ht="22.5" customHeight="1">
      <c r="A12" s="775">
        <v>11.0</v>
      </c>
      <c r="B12" s="783" t="s">
        <v>1226</v>
      </c>
      <c r="C12" s="777" t="s">
        <v>82</v>
      </c>
      <c r="D12" s="778" t="s">
        <v>1227</v>
      </c>
      <c r="E12" s="779" t="str">
        <f>IMAGE("https://flagcdn.com/w320/eg.png")</f>
        <v/>
      </c>
      <c r="F12" s="780">
        <v>33770.0</v>
      </c>
      <c r="G12" s="781">
        <f t="shared" si="1"/>
        <v>33</v>
      </c>
      <c r="H12" s="782">
        <f>1+1+1+1+1+1</f>
        <v>6</v>
      </c>
      <c r="I12" s="782">
        <f>90+29+17+90+90+90</f>
        <v>406</v>
      </c>
      <c r="J12" s="782">
        <f t="shared" si="3"/>
        <v>1</v>
      </c>
      <c r="K12" s="782">
        <f>1</f>
        <v>1</v>
      </c>
      <c r="L12" s="782"/>
      <c r="M12" s="782"/>
      <c r="N12" s="782"/>
      <c r="O12" s="782">
        <f t="shared" si="2"/>
        <v>2</v>
      </c>
      <c r="P12" s="782"/>
    </row>
    <row r="13" ht="22.5" customHeight="1">
      <c r="A13" s="775">
        <v>12.0</v>
      </c>
      <c r="B13" s="783" t="s">
        <v>1228</v>
      </c>
      <c r="C13" s="777" t="s">
        <v>70</v>
      </c>
      <c r="D13" s="778" t="s">
        <v>1229</v>
      </c>
      <c r="E13" s="779" t="str">
        <f>IMAGE("https://flagcdn.com/w320/gb-nir.png")</f>
        <v/>
      </c>
      <c r="F13" s="780">
        <v>37811.0</v>
      </c>
      <c r="G13" s="781">
        <f t="shared" si="1"/>
        <v>22</v>
      </c>
      <c r="H13" s="782">
        <f>1+1+1+1+1</f>
        <v>5</v>
      </c>
      <c r="I13" s="782">
        <f>33+29+72+90+23</f>
        <v>247</v>
      </c>
      <c r="J13" s="782"/>
      <c r="K13" s="782"/>
      <c r="L13" s="782">
        <f>1+1</f>
        <v>2</v>
      </c>
      <c r="M13" s="782"/>
      <c r="N13" s="782"/>
      <c r="O13" s="782">
        <f t="shared" si="2"/>
        <v>0</v>
      </c>
      <c r="P13" s="782"/>
    </row>
    <row r="14" ht="22.5" customHeight="1">
      <c r="A14" s="785">
        <v>14.0</v>
      </c>
      <c r="B14" s="786" t="s">
        <v>1230</v>
      </c>
      <c r="C14" s="787" t="s">
        <v>82</v>
      </c>
      <c r="D14" s="788" t="s">
        <v>206</v>
      </c>
      <c r="E14" s="779" t="str">
        <f t="shared" ref="E14:E15" si="4">IMAGE("https://flagcdn.com/w320/it.png")</f>
        <v/>
      </c>
      <c r="F14" s="789">
        <v>35728.0</v>
      </c>
      <c r="G14" s="781">
        <f t="shared" si="1"/>
        <v>28</v>
      </c>
      <c r="H14" s="784">
        <f>1+1+1</f>
        <v>3</v>
      </c>
      <c r="I14" s="784">
        <f>45+3+15</f>
        <v>63</v>
      </c>
      <c r="J14" s="782"/>
      <c r="K14" s="782"/>
      <c r="L14" s="782"/>
      <c r="M14" s="782"/>
      <c r="N14" s="782"/>
      <c r="O14" s="782">
        <f t="shared" si="2"/>
        <v>0</v>
      </c>
      <c r="P14" s="782"/>
    </row>
    <row r="15" ht="22.5" customHeight="1">
      <c r="A15" s="775">
        <v>15.0</v>
      </c>
      <c r="B15" s="783" t="s">
        <v>1231</v>
      </c>
      <c r="C15" s="777" t="s">
        <v>70</v>
      </c>
      <c r="D15" s="778" t="s">
        <v>206</v>
      </c>
      <c r="E15" s="779" t="str">
        <f t="shared" si="4"/>
        <v/>
      </c>
      <c r="F15" s="780">
        <v>39072.0</v>
      </c>
      <c r="G15" s="781">
        <f t="shared" si="1"/>
        <v>19</v>
      </c>
      <c r="H15" s="784">
        <v>0.0</v>
      </c>
      <c r="I15" s="784">
        <v>0.0</v>
      </c>
      <c r="J15" s="782"/>
      <c r="K15" s="782"/>
      <c r="L15" s="782"/>
      <c r="M15" s="782"/>
      <c r="N15" s="782"/>
      <c r="O15" s="782">
        <f t="shared" si="2"/>
        <v>0</v>
      </c>
      <c r="P15" s="782"/>
    </row>
    <row r="16" ht="22.5" customHeight="1">
      <c r="A16" s="775">
        <v>17.0</v>
      </c>
      <c r="B16" s="783" t="s">
        <v>1232</v>
      </c>
      <c r="C16" s="777" t="s">
        <v>79</v>
      </c>
      <c r="D16" s="778" t="s">
        <v>94</v>
      </c>
      <c r="E16" s="779" t="str">
        <f>IMAGE("https://flagcdn.com/w320/gb-eng.png")</f>
        <v/>
      </c>
      <c r="F16" s="780">
        <v>36921.0</v>
      </c>
      <c r="G16" s="781">
        <f t="shared" si="1"/>
        <v>24</v>
      </c>
      <c r="H16" s="782">
        <f t="shared" ref="H16:H17" si="5">1+1+1+1+1+1</f>
        <v>6</v>
      </c>
      <c r="I16" s="782">
        <f>90+90+13+90+90+12</f>
        <v>385</v>
      </c>
      <c r="J16" s="782"/>
      <c r="K16" s="782"/>
      <c r="L16" s="782">
        <f>1+1</f>
        <v>2</v>
      </c>
      <c r="M16" s="782"/>
      <c r="N16" s="782"/>
      <c r="O16" s="782">
        <f t="shared" si="2"/>
        <v>0</v>
      </c>
      <c r="P16" s="782"/>
    </row>
    <row r="17" ht="22.5" customHeight="1">
      <c r="A17" s="775">
        <v>18.0</v>
      </c>
      <c r="B17" s="783" t="s">
        <v>1233</v>
      </c>
      <c r="C17" s="777" t="s">
        <v>82</v>
      </c>
      <c r="D17" s="778" t="s">
        <v>1234</v>
      </c>
      <c r="E17" s="779" t="str">
        <f>IMAGE("https://flagcdn.com/w320/nl.png")</f>
        <v/>
      </c>
      <c r="F17" s="780">
        <v>36287.0</v>
      </c>
      <c r="G17" s="781">
        <f t="shared" si="1"/>
        <v>26</v>
      </c>
      <c r="H17" s="782">
        <f t="shared" si="5"/>
        <v>6</v>
      </c>
      <c r="I17" s="782">
        <f>57+61+73+13+90+12</f>
        <v>306</v>
      </c>
      <c r="J17" s="782">
        <f>1+1</f>
        <v>2</v>
      </c>
      <c r="K17" s="782">
        <f>1</f>
        <v>1</v>
      </c>
      <c r="L17" s="782"/>
      <c r="M17" s="782"/>
      <c r="N17" s="782"/>
      <c r="O17" s="782">
        <f t="shared" si="2"/>
        <v>3</v>
      </c>
      <c r="P17" s="782"/>
    </row>
    <row r="18" ht="22.5" customHeight="1">
      <c r="A18" s="775">
        <v>22.0</v>
      </c>
      <c r="B18" s="783" t="s">
        <v>1235</v>
      </c>
      <c r="C18" s="777" t="s">
        <v>82</v>
      </c>
      <c r="D18" s="778" t="s">
        <v>1236</v>
      </c>
      <c r="E18" s="779" t="str">
        <f>IMAGE("https://flagcdn.com/w320/fr.png")</f>
        <v/>
      </c>
      <c r="F18" s="780">
        <v>37427.0</v>
      </c>
      <c r="G18" s="781">
        <f t="shared" si="1"/>
        <v>23</v>
      </c>
      <c r="H18" s="782">
        <f>1+1+1+1+1+1+1</f>
        <v>7</v>
      </c>
      <c r="I18" s="782">
        <f>33+67+73+77+60+90+78</f>
        <v>478</v>
      </c>
      <c r="J18" s="782">
        <f>1</f>
        <v>1</v>
      </c>
      <c r="K18" s="782"/>
      <c r="L18" s="782">
        <f>1</f>
        <v>1</v>
      </c>
      <c r="M18" s="782"/>
      <c r="N18" s="782"/>
      <c r="O18" s="782">
        <f t="shared" si="2"/>
        <v>1</v>
      </c>
      <c r="P18" s="782"/>
    </row>
    <row r="19" ht="22.5" customHeight="1">
      <c r="A19" s="775">
        <v>25.0</v>
      </c>
      <c r="B19" s="783" t="s">
        <v>1237</v>
      </c>
      <c r="C19" s="777" t="s">
        <v>67</v>
      </c>
      <c r="D19" s="778" t="s">
        <v>1059</v>
      </c>
      <c r="E19" s="779" t="str">
        <f>IMAGE("https://flagcdn.com/w320/ge.png")</f>
        <v/>
      </c>
      <c r="F19" s="780">
        <v>36798.0</v>
      </c>
      <c r="G19" s="781">
        <f t="shared" si="1"/>
        <v>25</v>
      </c>
      <c r="H19" s="784">
        <f t="shared" ref="H19:H20" si="6">1+1+1+1</f>
        <v>4</v>
      </c>
      <c r="I19" s="784">
        <f>35+90+90+90</f>
        <v>305</v>
      </c>
      <c r="J19" s="782"/>
      <c r="K19" s="782"/>
      <c r="L19" s="782"/>
      <c r="M19" s="782"/>
      <c r="N19" s="782">
        <f>1</f>
        <v>1</v>
      </c>
      <c r="O19" s="782">
        <f t="shared" si="2"/>
        <v>0</v>
      </c>
      <c r="P19" s="782"/>
    </row>
    <row r="20" ht="22.5" customHeight="1">
      <c r="A20" s="775">
        <v>26.0</v>
      </c>
      <c r="B20" s="783" t="s">
        <v>1238</v>
      </c>
      <c r="C20" s="777" t="s">
        <v>70</v>
      </c>
      <c r="D20" s="778" t="s">
        <v>1239</v>
      </c>
      <c r="E20" s="779" t="str">
        <f>IMAGE("https://flagcdn.com/w320/gb-sct.png")</f>
        <v/>
      </c>
      <c r="F20" s="780">
        <v>34404.0</v>
      </c>
      <c r="G20" s="781">
        <f t="shared" si="1"/>
        <v>31</v>
      </c>
      <c r="H20" s="782">
        <f t="shared" si="6"/>
        <v>4</v>
      </c>
      <c r="I20" s="782">
        <f>85+90+87+90</f>
        <v>352</v>
      </c>
      <c r="J20" s="782">
        <f t="shared" ref="J20:K20" si="7">1</f>
        <v>1</v>
      </c>
      <c r="K20" s="782">
        <f t="shared" si="7"/>
        <v>1</v>
      </c>
      <c r="L20" s="782"/>
      <c r="M20" s="782"/>
      <c r="N20" s="782"/>
      <c r="O20" s="782">
        <f t="shared" si="2"/>
        <v>2</v>
      </c>
      <c r="P20" s="782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22.5" customHeight="1">
      <c r="A21" s="775">
        <v>28.0</v>
      </c>
      <c r="B21" s="783" t="s">
        <v>1240</v>
      </c>
      <c r="C21" s="777" t="s">
        <v>67</v>
      </c>
      <c r="D21" s="778" t="s">
        <v>94</v>
      </c>
      <c r="E21" s="779" t="str">
        <f>IMAGE("https://flagcdn.com/w320/gb-eng.png")</f>
        <v/>
      </c>
      <c r="F21" s="780">
        <v>35493.0</v>
      </c>
      <c r="G21" s="781">
        <f t="shared" si="1"/>
        <v>28</v>
      </c>
      <c r="H21" s="784">
        <v>0.0</v>
      </c>
      <c r="I21" s="784">
        <v>0.0</v>
      </c>
      <c r="J21" s="782"/>
      <c r="K21" s="782"/>
      <c r="L21" s="782"/>
      <c r="M21" s="782"/>
      <c r="N21" s="782"/>
      <c r="O21" s="782">
        <f t="shared" si="2"/>
        <v>0</v>
      </c>
      <c r="P21" s="782"/>
    </row>
    <row r="22" ht="22.5" customHeight="1">
      <c r="A22" s="775">
        <v>30.0</v>
      </c>
      <c r="B22" s="783" t="s">
        <v>1241</v>
      </c>
      <c r="C22" s="777" t="s">
        <v>70</v>
      </c>
      <c r="D22" s="778" t="s">
        <v>1242</v>
      </c>
      <c r="E22" s="779" t="str">
        <f t="shared" ref="E22:E23" si="8">IMAGE("https://flagcdn.com/w320/nl.png")</f>
        <v/>
      </c>
      <c r="F22" s="780">
        <v>36870.0</v>
      </c>
      <c r="G22" s="781">
        <f t="shared" si="1"/>
        <v>25</v>
      </c>
      <c r="H22" s="782">
        <f>1+1+1+1</f>
        <v>4</v>
      </c>
      <c r="I22" s="782">
        <f>57+61+18+90</f>
        <v>226</v>
      </c>
      <c r="J22" s="782"/>
      <c r="K22" s="782"/>
      <c r="L22" s="782"/>
      <c r="M22" s="782"/>
      <c r="N22" s="782"/>
      <c r="O22" s="782">
        <f t="shared" si="2"/>
        <v>0</v>
      </c>
      <c r="P22" s="782"/>
    </row>
    <row r="23" ht="22.5" customHeight="1">
      <c r="A23" s="775">
        <v>38.0</v>
      </c>
      <c r="B23" s="783" t="s">
        <v>1243</v>
      </c>
      <c r="C23" s="777" t="s">
        <v>79</v>
      </c>
      <c r="D23" s="778" t="s">
        <v>1244</v>
      </c>
      <c r="E23" s="779" t="str">
        <f t="shared" si="8"/>
        <v/>
      </c>
      <c r="F23" s="780">
        <v>37392.0</v>
      </c>
      <c r="G23" s="781">
        <f t="shared" si="1"/>
        <v>23</v>
      </c>
      <c r="H23" s="782">
        <f>1+1+1+1+1+1</f>
        <v>6</v>
      </c>
      <c r="I23" s="782">
        <f>90+61+90+90+90+90</f>
        <v>511</v>
      </c>
      <c r="J23" s="782"/>
      <c r="K23" s="782">
        <f>1+1</f>
        <v>2</v>
      </c>
      <c r="L23" s="782">
        <f>1</f>
        <v>1</v>
      </c>
      <c r="M23" s="782"/>
      <c r="N23" s="782"/>
      <c r="O23" s="782">
        <f t="shared" si="2"/>
        <v>2</v>
      </c>
      <c r="P23" s="782"/>
    </row>
    <row r="24" ht="22.5" customHeight="1">
      <c r="A24" s="790">
        <v>42.0</v>
      </c>
      <c r="B24" s="791" t="s">
        <v>1245</v>
      </c>
      <c r="C24" s="792" t="s">
        <v>79</v>
      </c>
      <c r="D24" s="793" t="s">
        <v>1246</v>
      </c>
      <c r="E24" s="794" t="str">
        <f t="shared" ref="E24:E25" si="9">IMAGE("https://flagcdn.com/w320/gb-eng.png")</f>
        <v/>
      </c>
      <c r="F24" s="795">
        <v>39263.0</v>
      </c>
      <c r="G24" s="796">
        <f t="shared" si="1"/>
        <v>18</v>
      </c>
      <c r="H24" s="797">
        <v>0.0</v>
      </c>
      <c r="I24" s="797">
        <v>0.0</v>
      </c>
      <c r="J24" s="798"/>
      <c r="K24" s="798"/>
      <c r="L24" s="798"/>
      <c r="M24" s="798"/>
      <c r="N24" s="798"/>
      <c r="O24" s="798">
        <f t="shared" si="2"/>
        <v>0</v>
      </c>
      <c r="P24" s="798"/>
    </row>
    <row r="25" ht="22.5" customHeight="1">
      <c r="A25" s="775">
        <v>73.0</v>
      </c>
      <c r="B25" s="783" t="s">
        <v>1247</v>
      </c>
      <c r="C25" s="777" t="s">
        <v>82</v>
      </c>
      <c r="D25" s="778" t="s">
        <v>94</v>
      </c>
      <c r="E25" s="779" t="str">
        <f t="shared" si="9"/>
        <v/>
      </c>
      <c r="F25" s="780">
        <v>39689.0</v>
      </c>
      <c r="G25" s="781">
        <f t="shared" si="1"/>
        <v>17</v>
      </c>
      <c r="H25" s="782">
        <f>1</f>
        <v>1</v>
      </c>
      <c r="I25" s="782">
        <f>17</f>
        <v>17</v>
      </c>
      <c r="J25" s="782"/>
      <c r="K25" s="782"/>
      <c r="L25" s="782"/>
      <c r="M25" s="782"/>
      <c r="N25" s="782"/>
      <c r="O25" s="782">
        <f t="shared" si="2"/>
        <v>0</v>
      </c>
      <c r="P25" s="782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22.5" customHeight="1">
      <c r="A26" s="790">
        <v>74.0</v>
      </c>
      <c r="B26" s="791" t="s">
        <v>1248</v>
      </c>
      <c r="C26" s="792" t="s">
        <v>67</v>
      </c>
      <c r="D26" s="793" t="s">
        <v>1249</v>
      </c>
      <c r="E26" s="794" t="str">
        <f>IMAGE("https://flagcdn.com/w320/pl.png")</f>
        <v/>
      </c>
      <c r="F26" s="795">
        <v>39199.0</v>
      </c>
      <c r="G26" s="796">
        <f t="shared" si="1"/>
        <v>18</v>
      </c>
      <c r="H26" s="797">
        <v>0.0</v>
      </c>
      <c r="I26" s="797">
        <v>0.0</v>
      </c>
      <c r="J26" s="798"/>
      <c r="K26" s="798"/>
      <c r="L26" s="798"/>
      <c r="M26" s="798"/>
      <c r="N26" s="798"/>
      <c r="O26" s="798">
        <f t="shared" si="2"/>
        <v>0</v>
      </c>
      <c r="P26" s="798"/>
    </row>
    <row r="27" ht="22.5" customHeight="1">
      <c r="A27" s="790">
        <v>76.0</v>
      </c>
      <c r="B27" s="791" t="s">
        <v>1250</v>
      </c>
      <c r="C27" s="792" t="s">
        <v>82</v>
      </c>
      <c r="D27" s="793" t="s">
        <v>1251</v>
      </c>
      <c r="E27" s="794" t="str">
        <f>IMAGE("https://flagcdn.com/w320/gb-eng.png")</f>
        <v/>
      </c>
      <c r="F27" s="795">
        <v>38733.0</v>
      </c>
      <c r="G27" s="796">
        <f t="shared" si="1"/>
        <v>20</v>
      </c>
      <c r="H27" s="797">
        <v>0.0</v>
      </c>
      <c r="I27" s="797">
        <v>0.0</v>
      </c>
      <c r="J27" s="798"/>
      <c r="K27" s="798"/>
      <c r="L27" s="798"/>
      <c r="M27" s="798"/>
      <c r="N27" s="798"/>
      <c r="O27" s="798">
        <f t="shared" si="2"/>
        <v>0</v>
      </c>
      <c r="P27" s="798"/>
    </row>
    <row r="28" ht="22.5" customHeight="1">
      <c r="A28" s="790">
        <v>92.0</v>
      </c>
      <c r="B28" s="791" t="s">
        <v>1252</v>
      </c>
      <c r="C28" s="792" t="s">
        <v>70</v>
      </c>
      <c r="D28" s="793" t="s">
        <v>1253</v>
      </c>
      <c r="E28" s="794" t="str">
        <f>IMAGE("https://flagcdn.com/w320/es.png")</f>
        <v/>
      </c>
      <c r="F28" s="795">
        <v>38729.0</v>
      </c>
      <c r="G28" s="796">
        <f t="shared" si="1"/>
        <v>20</v>
      </c>
      <c r="H28" s="797">
        <v>0.0</v>
      </c>
      <c r="I28" s="797">
        <v>0.0</v>
      </c>
      <c r="J28" s="798"/>
      <c r="K28" s="798"/>
      <c r="L28" s="798"/>
      <c r="M28" s="798"/>
      <c r="N28" s="798"/>
      <c r="O28" s="798">
        <f t="shared" si="2"/>
        <v>0</v>
      </c>
      <c r="P28" s="798"/>
    </row>
    <row r="29">
      <c r="A29" s="18"/>
      <c r="B29" s="18"/>
      <c r="C29" s="18"/>
      <c r="D29" s="64"/>
      <c r="E29" s="65"/>
      <c r="F29" s="18"/>
      <c r="G29" s="18"/>
      <c r="H29" s="11">
        <f t="shared" ref="H29:P29" si="10">SUM(H2:H28)</f>
        <v>102</v>
      </c>
      <c r="I29" s="11">
        <f t="shared" si="10"/>
        <v>6930</v>
      </c>
      <c r="J29" s="11">
        <f t="shared" si="10"/>
        <v>13</v>
      </c>
      <c r="K29" s="11">
        <f t="shared" si="10"/>
        <v>10</v>
      </c>
      <c r="L29" s="11">
        <f t="shared" si="10"/>
        <v>8</v>
      </c>
      <c r="M29" s="11">
        <f t="shared" si="10"/>
        <v>0</v>
      </c>
      <c r="N29" s="11">
        <f t="shared" si="10"/>
        <v>3</v>
      </c>
      <c r="O29" s="11">
        <f t="shared" si="10"/>
        <v>23</v>
      </c>
      <c r="P29" s="11">
        <f t="shared" si="10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22.5" customHeight="1">
      <c r="A30" s="769" t="s">
        <v>150</v>
      </c>
      <c r="B30" s="770" t="s">
        <v>49</v>
      </c>
      <c r="C30" s="770" t="s">
        <v>265</v>
      </c>
      <c r="D30" s="799" t="s">
        <v>56</v>
      </c>
      <c r="E30" s="770" t="s">
        <v>57</v>
      </c>
      <c r="F30" s="770" t="s">
        <v>52</v>
      </c>
      <c r="G30" s="770" t="s">
        <v>53</v>
      </c>
      <c r="H30" s="800" t="s">
        <v>4</v>
      </c>
      <c r="I30" s="800" t="s">
        <v>5</v>
      </c>
      <c r="J30" s="800" t="s">
        <v>6</v>
      </c>
      <c r="K30" s="800" t="s">
        <v>7</v>
      </c>
      <c r="L30" s="800" t="s">
        <v>8</v>
      </c>
      <c r="M30" s="800" t="s">
        <v>9</v>
      </c>
      <c r="N30" s="800" t="s">
        <v>10</v>
      </c>
      <c r="O30" s="12"/>
      <c r="P30" s="12"/>
    </row>
    <row r="31" ht="22.5" customHeight="1">
      <c r="A31" s="801"/>
      <c r="B31" s="801" t="s">
        <v>1254</v>
      </c>
      <c r="C31" s="802" t="s">
        <v>153</v>
      </c>
      <c r="D31" s="803" t="s">
        <v>80</v>
      </c>
      <c r="E31" s="801" t="str">
        <f>IMAGE("https://flagcdn.com/w320/nl.png")</f>
        <v/>
      </c>
      <c r="F31" s="804">
        <v>28750.0</v>
      </c>
      <c r="G31" s="805">
        <f>DATEDIF(F31,TODAY(),"Y")</f>
        <v>47</v>
      </c>
      <c r="H31" s="157">
        <f>L31+M31+N31</f>
        <v>6</v>
      </c>
      <c r="I31" s="157">
        <f>(L31*3)+M31</f>
        <v>12</v>
      </c>
      <c r="J31" s="157">
        <f>3+5+1+1+1</f>
        <v>11</v>
      </c>
      <c r="K31" s="157">
        <f>2+1+1+4</f>
        <v>8</v>
      </c>
      <c r="L31" s="158">
        <f>1+1+1+1</f>
        <v>4</v>
      </c>
      <c r="M31" s="159">
        <f>0</f>
        <v>0</v>
      </c>
      <c r="N31" s="487">
        <f>1+1</f>
        <v>2</v>
      </c>
      <c r="O31" s="12"/>
      <c r="P31" s="12"/>
    </row>
    <row r="32">
      <c r="A32" s="18"/>
      <c r="B32" s="18"/>
      <c r="C32" s="18"/>
      <c r="D32" s="64"/>
      <c r="E32" s="65"/>
      <c r="F32" s="18"/>
      <c r="G32" s="18"/>
      <c r="H32" s="11">
        <f t="shared" ref="H32:N32" si="11">SUM(H31)</f>
        <v>6</v>
      </c>
      <c r="I32" s="11">
        <f t="shared" si="11"/>
        <v>12</v>
      </c>
      <c r="J32" s="11">
        <f t="shared" si="11"/>
        <v>11</v>
      </c>
      <c r="K32" s="11">
        <f t="shared" si="11"/>
        <v>8</v>
      </c>
      <c r="L32" s="11">
        <f t="shared" si="11"/>
        <v>4</v>
      </c>
      <c r="M32" s="11">
        <f t="shared" si="11"/>
        <v>0</v>
      </c>
      <c r="N32" s="11">
        <f t="shared" si="11"/>
        <v>2</v>
      </c>
      <c r="O32" s="11"/>
      <c r="P32" s="11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22.5" customHeight="1">
      <c r="A33" s="769" t="s">
        <v>156</v>
      </c>
      <c r="B33" s="769" t="s">
        <v>157</v>
      </c>
      <c r="C33" s="769" t="s">
        <v>158</v>
      </c>
      <c r="D33" s="773" t="s">
        <v>1255</v>
      </c>
      <c r="E33" s="769" t="s">
        <v>160</v>
      </c>
      <c r="F33" s="769" t="s">
        <v>161</v>
      </c>
      <c r="H33" s="12"/>
      <c r="I33" s="12"/>
      <c r="J33" s="12"/>
      <c r="K33" s="12"/>
      <c r="L33" s="12"/>
      <c r="M33" s="12"/>
      <c r="N33" s="12"/>
      <c r="O33" s="12"/>
      <c r="P33" s="12"/>
    </row>
    <row r="34" ht="22.5" customHeight="1">
      <c r="A34" s="86">
        <v>1.0</v>
      </c>
      <c r="B34" s="87" t="s">
        <v>18</v>
      </c>
      <c r="C34" s="87" t="s">
        <v>273</v>
      </c>
      <c r="D34" s="88" t="s">
        <v>1256</v>
      </c>
      <c r="E34" s="89">
        <v>45718.0</v>
      </c>
      <c r="F34" s="87" t="s">
        <v>445</v>
      </c>
      <c r="H34" s="12"/>
      <c r="I34" s="12"/>
      <c r="J34" s="12"/>
      <c r="K34" s="12"/>
      <c r="L34" s="12"/>
      <c r="M34" s="12"/>
      <c r="N34" s="12"/>
      <c r="O34" s="12"/>
      <c r="P34" s="12"/>
    </row>
    <row r="35" ht="22.5" customHeight="1">
      <c r="A35" s="77">
        <v>2.0</v>
      </c>
      <c r="B35" s="697" t="s">
        <v>27</v>
      </c>
      <c r="C35" s="78" t="s">
        <v>18</v>
      </c>
      <c r="D35" s="79"/>
      <c r="E35" s="80" t="s">
        <v>677</v>
      </c>
      <c r="F35" s="78" t="s">
        <v>453</v>
      </c>
      <c r="H35" s="12"/>
      <c r="I35" s="12"/>
      <c r="J35" s="12"/>
      <c r="K35" s="12"/>
      <c r="L35" s="12"/>
      <c r="M35" s="12"/>
      <c r="N35" s="12"/>
      <c r="O35" s="12"/>
      <c r="P35" s="12"/>
    </row>
    <row r="36" ht="22.5" customHeight="1">
      <c r="A36" s="86">
        <v>3.0</v>
      </c>
      <c r="B36" s="87" t="s">
        <v>41</v>
      </c>
      <c r="C36" s="87" t="s">
        <v>18</v>
      </c>
      <c r="D36" s="88" t="s">
        <v>1257</v>
      </c>
      <c r="E36" s="89">
        <v>45662.0</v>
      </c>
      <c r="F36" s="87" t="s">
        <v>335</v>
      </c>
      <c r="H36" s="12"/>
      <c r="I36" s="12"/>
      <c r="J36" s="12"/>
      <c r="K36" s="12"/>
      <c r="L36" s="12"/>
      <c r="M36" s="12"/>
      <c r="N36" s="12"/>
      <c r="O36" s="12"/>
      <c r="P36" s="12"/>
    </row>
    <row r="37" ht="22.5" customHeight="1">
      <c r="A37" s="86">
        <v>4.0</v>
      </c>
      <c r="B37" s="87" t="s">
        <v>18</v>
      </c>
      <c r="C37" s="87" t="s">
        <v>17</v>
      </c>
      <c r="D37" s="88" t="s">
        <v>1258</v>
      </c>
      <c r="E37" s="161" t="s">
        <v>677</v>
      </c>
      <c r="F37" s="87" t="s">
        <v>445</v>
      </c>
      <c r="H37" s="12"/>
      <c r="I37" s="12"/>
      <c r="J37" s="12"/>
      <c r="K37" s="12"/>
      <c r="L37" s="12"/>
      <c r="M37" s="12"/>
      <c r="N37" s="12"/>
      <c r="O37" s="12"/>
      <c r="P37" s="12"/>
    </row>
    <row r="38" ht="22.5" customHeight="1">
      <c r="A38" s="77">
        <v>5.0</v>
      </c>
      <c r="B38" s="78" t="s">
        <v>18</v>
      </c>
      <c r="C38" s="78" t="s">
        <v>30</v>
      </c>
      <c r="D38" s="83" t="s">
        <v>1259</v>
      </c>
      <c r="E38" s="84">
        <v>45661.0</v>
      </c>
      <c r="F38" s="78" t="s">
        <v>445</v>
      </c>
      <c r="H38" s="12"/>
      <c r="I38" s="12"/>
      <c r="J38" s="12"/>
      <c r="K38" s="12"/>
      <c r="L38" s="12"/>
      <c r="M38" s="12"/>
      <c r="N38" s="12"/>
      <c r="O38" s="12"/>
      <c r="P38" s="12"/>
    </row>
    <row r="39" ht="22.5" customHeight="1">
      <c r="A39" s="86">
        <v>6.0</v>
      </c>
      <c r="B39" s="87" t="s">
        <v>16</v>
      </c>
      <c r="C39" s="87" t="s">
        <v>18</v>
      </c>
      <c r="D39" s="88" t="s">
        <v>1260</v>
      </c>
      <c r="E39" s="161" t="s">
        <v>333</v>
      </c>
      <c r="F39" s="87" t="s">
        <v>281</v>
      </c>
      <c r="H39" s="12"/>
      <c r="I39" s="12"/>
      <c r="J39" s="12"/>
      <c r="K39" s="12"/>
      <c r="L39" s="12"/>
      <c r="M39" s="12"/>
      <c r="N39" s="12"/>
      <c r="O39" s="12"/>
      <c r="P39" s="12"/>
    </row>
    <row r="40" ht="22.5" customHeight="1">
      <c r="A40" s="86">
        <v>7.0</v>
      </c>
      <c r="B40" s="87" t="s">
        <v>28</v>
      </c>
      <c r="C40" s="87" t="s">
        <v>18</v>
      </c>
      <c r="D40" s="88" t="s">
        <v>1261</v>
      </c>
      <c r="E40" s="161" t="s">
        <v>168</v>
      </c>
      <c r="F40" s="87" t="s">
        <v>165</v>
      </c>
      <c r="H40" s="12"/>
      <c r="I40" s="12"/>
      <c r="J40" s="12"/>
      <c r="K40" s="12"/>
      <c r="L40" s="12"/>
      <c r="M40" s="12"/>
      <c r="N40" s="12"/>
      <c r="O40" s="12"/>
      <c r="P40" s="12"/>
    </row>
    <row r="41" ht="22.5" customHeight="1">
      <c r="A41" s="90">
        <v>8.0</v>
      </c>
      <c r="B41" s="91" t="s">
        <v>18</v>
      </c>
      <c r="C41" s="91" t="s">
        <v>32</v>
      </c>
      <c r="D41" s="92"/>
      <c r="E41" s="93"/>
      <c r="F41" s="94" t="s">
        <v>445</v>
      </c>
      <c r="H41" s="12"/>
      <c r="I41" s="12"/>
      <c r="J41" s="12"/>
      <c r="K41" s="12"/>
      <c r="L41" s="12"/>
      <c r="M41" s="12"/>
      <c r="N41" s="12"/>
      <c r="O41" s="12"/>
      <c r="P41" s="12"/>
    </row>
    <row r="42">
      <c r="D42" s="95"/>
      <c r="E42" s="14"/>
      <c r="H42" s="12"/>
      <c r="I42" s="12"/>
      <c r="J42" s="12"/>
      <c r="K42" s="12"/>
      <c r="L42" s="12"/>
      <c r="M42" s="12"/>
      <c r="N42" s="12"/>
      <c r="O42" s="12"/>
      <c r="P42" s="12"/>
    </row>
    <row r="43">
      <c r="D43" s="95"/>
      <c r="E43" s="14"/>
      <c r="H43" s="12"/>
      <c r="I43" s="12"/>
      <c r="J43" s="12"/>
      <c r="K43" s="12"/>
      <c r="L43" s="12"/>
      <c r="M43" s="12"/>
      <c r="N43" s="12"/>
      <c r="O43" s="12"/>
      <c r="P43" s="12"/>
    </row>
    <row r="44">
      <c r="D44" s="95"/>
      <c r="E44" s="14"/>
      <c r="H44" s="12"/>
      <c r="I44" s="12"/>
      <c r="J44" s="12"/>
      <c r="K44" s="12"/>
      <c r="L44" s="12"/>
      <c r="M44" s="12"/>
      <c r="N44" s="12"/>
      <c r="O44" s="12"/>
      <c r="P44" s="12"/>
    </row>
    <row r="45">
      <c r="D45" s="95"/>
      <c r="E45" s="14"/>
      <c r="H45" s="12"/>
      <c r="I45" s="12"/>
      <c r="J45" s="12"/>
      <c r="K45" s="12"/>
      <c r="L45" s="12"/>
      <c r="M45" s="12"/>
      <c r="N45" s="12"/>
      <c r="O45" s="12"/>
      <c r="P45" s="12"/>
    </row>
    <row r="46">
      <c r="D46" s="95"/>
      <c r="E46" s="14"/>
      <c r="H46" s="12"/>
      <c r="I46" s="12"/>
      <c r="J46" s="12"/>
      <c r="K46" s="12"/>
      <c r="L46" s="12"/>
      <c r="M46" s="12"/>
      <c r="N46" s="12"/>
      <c r="O46" s="12"/>
      <c r="P46" s="12"/>
    </row>
    <row r="47">
      <c r="D47" s="95"/>
      <c r="E47" s="14"/>
      <c r="H47" s="12"/>
      <c r="I47" s="12"/>
      <c r="J47" s="12"/>
      <c r="K47" s="12"/>
      <c r="L47" s="12"/>
      <c r="M47" s="12"/>
      <c r="N47" s="12"/>
      <c r="O47" s="12"/>
      <c r="P47" s="12"/>
    </row>
    <row r="48">
      <c r="D48" s="95"/>
      <c r="E48" s="14"/>
      <c r="H48" s="12"/>
      <c r="I48" s="12"/>
      <c r="J48" s="12"/>
      <c r="K48" s="12"/>
      <c r="L48" s="12"/>
      <c r="M48" s="12"/>
      <c r="N48" s="12"/>
      <c r="O48" s="12"/>
      <c r="P48" s="12"/>
    </row>
    <row r="49">
      <c r="D49" s="95"/>
      <c r="E49" s="14"/>
      <c r="H49" s="12"/>
      <c r="I49" s="12"/>
      <c r="J49" s="12"/>
      <c r="K49" s="12"/>
      <c r="L49" s="12"/>
      <c r="M49" s="12"/>
      <c r="N49" s="12"/>
      <c r="O49" s="12"/>
      <c r="P49" s="12"/>
    </row>
    <row r="50">
      <c r="D50" s="95"/>
      <c r="E50" s="14"/>
      <c r="H50" s="12"/>
      <c r="I50" s="12"/>
      <c r="J50" s="12"/>
      <c r="K50" s="12"/>
      <c r="L50" s="12"/>
      <c r="M50" s="12"/>
      <c r="N50" s="12"/>
      <c r="O50" s="12"/>
      <c r="P50" s="12"/>
    </row>
    <row r="51">
      <c r="D51" s="95"/>
      <c r="E51" s="14"/>
      <c r="H51" s="12"/>
      <c r="I51" s="12"/>
      <c r="J51" s="12"/>
      <c r="K51" s="12"/>
      <c r="L51" s="12"/>
      <c r="M51" s="12"/>
      <c r="N51" s="12"/>
      <c r="O51" s="12"/>
      <c r="P51" s="12"/>
    </row>
    <row r="52">
      <c r="D52" s="95"/>
      <c r="E52" s="14"/>
      <c r="H52" s="12"/>
      <c r="I52" s="12"/>
      <c r="J52" s="12"/>
      <c r="K52" s="12"/>
      <c r="L52" s="12"/>
      <c r="M52" s="12"/>
      <c r="N52" s="12"/>
      <c r="O52" s="12"/>
      <c r="P52" s="12"/>
    </row>
    <row r="53">
      <c r="D53" s="95"/>
      <c r="E53" s="14"/>
      <c r="H53" s="12"/>
      <c r="I53" s="12"/>
      <c r="J53" s="12"/>
      <c r="K53" s="12"/>
      <c r="L53" s="12"/>
      <c r="M53" s="12"/>
      <c r="N53" s="12"/>
      <c r="O53" s="12"/>
      <c r="P53" s="12"/>
    </row>
    <row r="54">
      <c r="D54" s="95"/>
      <c r="E54" s="14"/>
      <c r="H54" s="12"/>
      <c r="I54" s="12"/>
      <c r="J54" s="12"/>
      <c r="K54" s="12"/>
      <c r="L54" s="12"/>
      <c r="M54" s="12"/>
      <c r="N54" s="12"/>
      <c r="O54" s="12"/>
      <c r="P54" s="12"/>
    </row>
    <row r="55">
      <c r="D55" s="95"/>
      <c r="E55" s="14"/>
      <c r="H55" s="12"/>
      <c r="I55" s="12"/>
      <c r="J55" s="12"/>
      <c r="K55" s="12"/>
      <c r="L55" s="12"/>
      <c r="M55" s="12"/>
      <c r="N55" s="12"/>
      <c r="O55" s="12"/>
      <c r="P55" s="12"/>
    </row>
    <row r="56">
      <c r="D56" s="95"/>
      <c r="E56" s="14"/>
      <c r="H56" s="12"/>
      <c r="I56" s="12"/>
      <c r="J56" s="12"/>
      <c r="K56" s="12"/>
      <c r="L56" s="12"/>
      <c r="M56" s="12"/>
      <c r="N56" s="12"/>
      <c r="O56" s="12"/>
      <c r="P56" s="12"/>
    </row>
    <row r="57">
      <c r="D57" s="95"/>
      <c r="E57" s="14"/>
      <c r="H57" s="12"/>
      <c r="I57" s="12"/>
      <c r="J57" s="12"/>
      <c r="K57" s="12"/>
      <c r="L57" s="12"/>
      <c r="M57" s="12"/>
      <c r="N57" s="12"/>
      <c r="O57" s="12"/>
      <c r="P57" s="12"/>
    </row>
    <row r="58">
      <c r="D58" s="95"/>
      <c r="E58" s="14"/>
      <c r="H58" s="12"/>
      <c r="I58" s="12"/>
      <c r="J58" s="12"/>
      <c r="K58" s="12"/>
      <c r="L58" s="12"/>
      <c r="M58" s="12"/>
      <c r="N58" s="12"/>
      <c r="O58" s="12"/>
      <c r="P58" s="12"/>
    </row>
    <row r="59">
      <c r="D59" s="95"/>
      <c r="E59" s="14"/>
      <c r="H59" s="12"/>
      <c r="I59" s="12"/>
      <c r="J59" s="12"/>
      <c r="K59" s="12"/>
      <c r="L59" s="12"/>
      <c r="M59" s="12"/>
      <c r="N59" s="12"/>
      <c r="O59" s="12"/>
      <c r="P59" s="12"/>
    </row>
    <row r="60">
      <c r="D60" s="95"/>
      <c r="E60" s="14"/>
      <c r="H60" s="12"/>
      <c r="I60" s="12"/>
      <c r="J60" s="12"/>
      <c r="K60" s="12"/>
      <c r="L60" s="12"/>
      <c r="M60" s="12"/>
      <c r="N60" s="12"/>
      <c r="O60" s="12"/>
      <c r="P60" s="12"/>
    </row>
    <row r="61">
      <c r="D61" s="95"/>
      <c r="E61" s="14"/>
      <c r="H61" s="12"/>
      <c r="I61" s="12"/>
      <c r="J61" s="12"/>
      <c r="K61" s="12"/>
      <c r="L61" s="12"/>
      <c r="M61" s="12"/>
      <c r="N61" s="12"/>
      <c r="O61" s="12"/>
      <c r="P61" s="12"/>
    </row>
    <row r="62">
      <c r="D62" s="95"/>
      <c r="E62" s="14"/>
      <c r="H62" s="12"/>
      <c r="I62" s="12"/>
      <c r="J62" s="12"/>
      <c r="K62" s="12"/>
      <c r="L62" s="12"/>
      <c r="M62" s="12"/>
      <c r="N62" s="12"/>
      <c r="O62" s="12"/>
      <c r="P62" s="12"/>
    </row>
    <row r="63">
      <c r="D63" s="95"/>
      <c r="E63" s="14"/>
      <c r="H63" s="12"/>
      <c r="I63" s="12"/>
      <c r="J63" s="12"/>
      <c r="K63" s="12"/>
      <c r="L63" s="12"/>
      <c r="M63" s="12"/>
      <c r="N63" s="12"/>
      <c r="O63" s="12"/>
      <c r="P63" s="12"/>
    </row>
    <row r="64">
      <c r="D64" s="95"/>
      <c r="E64" s="14"/>
      <c r="H64" s="12"/>
      <c r="I64" s="12"/>
      <c r="J64" s="12"/>
      <c r="K64" s="12"/>
      <c r="L64" s="12"/>
      <c r="M64" s="12"/>
      <c r="N64" s="12"/>
      <c r="O64" s="12"/>
      <c r="P64" s="12"/>
    </row>
    <row r="65">
      <c r="D65" s="95"/>
      <c r="E65" s="14"/>
      <c r="H65" s="12"/>
      <c r="I65" s="12"/>
      <c r="J65" s="12"/>
      <c r="K65" s="12"/>
      <c r="L65" s="12"/>
      <c r="M65" s="12"/>
      <c r="N65" s="12"/>
      <c r="O65" s="12"/>
      <c r="P65" s="12"/>
    </row>
    <row r="66">
      <c r="D66" s="95"/>
      <c r="E66" s="14"/>
      <c r="H66" s="12"/>
      <c r="I66" s="12"/>
      <c r="J66" s="12"/>
      <c r="K66" s="12"/>
      <c r="L66" s="12"/>
      <c r="M66" s="12"/>
      <c r="N66" s="12"/>
      <c r="O66" s="12"/>
      <c r="P66" s="12"/>
    </row>
    <row r="67">
      <c r="D67" s="95"/>
      <c r="E67" s="14"/>
      <c r="H67" s="12"/>
      <c r="I67" s="12"/>
      <c r="J67" s="12"/>
      <c r="K67" s="12"/>
      <c r="L67" s="12"/>
      <c r="M67" s="12"/>
      <c r="N67" s="12"/>
      <c r="O67" s="12"/>
      <c r="P67" s="12"/>
    </row>
    <row r="68">
      <c r="D68" s="95"/>
      <c r="E68" s="14"/>
      <c r="H68" s="12"/>
      <c r="I68" s="12"/>
      <c r="J68" s="12"/>
      <c r="K68" s="12"/>
      <c r="L68" s="12"/>
      <c r="M68" s="12"/>
      <c r="N68" s="12"/>
      <c r="O68" s="12"/>
      <c r="P68" s="12"/>
    </row>
    <row r="69">
      <c r="D69" s="95"/>
      <c r="E69" s="14"/>
      <c r="H69" s="12"/>
      <c r="I69" s="12"/>
      <c r="J69" s="12"/>
      <c r="K69" s="12"/>
      <c r="L69" s="12"/>
      <c r="M69" s="12"/>
      <c r="N69" s="12"/>
      <c r="O69" s="12"/>
      <c r="P69" s="12"/>
    </row>
    <row r="70">
      <c r="D70" s="95"/>
      <c r="E70" s="14"/>
      <c r="H70" s="12"/>
      <c r="I70" s="12"/>
      <c r="J70" s="12"/>
      <c r="K70" s="12"/>
      <c r="L70" s="12"/>
      <c r="M70" s="12"/>
      <c r="N70" s="12"/>
      <c r="O70" s="12"/>
      <c r="P70" s="12"/>
    </row>
    <row r="71">
      <c r="D71" s="95"/>
      <c r="E71" s="14"/>
      <c r="H71" s="12"/>
      <c r="I71" s="12"/>
      <c r="J71" s="12"/>
      <c r="K71" s="12"/>
      <c r="L71" s="12"/>
      <c r="M71" s="12"/>
      <c r="N71" s="12"/>
      <c r="O71" s="12"/>
      <c r="P71" s="12"/>
    </row>
    <row r="72">
      <c r="D72" s="95"/>
      <c r="E72" s="14"/>
      <c r="H72" s="12"/>
      <c r="I72" s="12"/>
      <c r="J72" s="12"/>
      <c r="K72" s="12"/>
      <c r="L72" s="12"/>
      <c r="M72" s="12"/>
      <c r="N72" s="12"/>
      <c r="O72" s="12"/>
      <c r="P72" s="12"/>
    </row>
    <row r="73">
      <c r="D73" s="95"/>
      <c r="E73" s="14"/>
      <c r="H73" s="12"/>
      <c r="I73" s="12"/>
      <c r="J73" s="12"/>
      <c r="K73" s="12"/>
      <c r="L73" s="12"/>
      <c r="M73" s="12"/>
      <c r="N73" s="12"/>
      <c r="O73" s="12"/>
      <c r="P73" s="12"/>
    </row>
    <row r="74">
      <c r="D74" s="95"/>
      <c r="E74" s="14"/>
      <c r="H74" s="12"/>
      <c r="I74" s="12"/>
      <c r="J74" s="12"/>
      <c r="K74" s="12"/>
      <c r="L74" s="12"/>
      <c r="M74" s="12"/>
      <c r="N74" s="12"/>
      <c r="O74" s="12"/>
      <c r="P74" s="12"/>
    </row>
    <row r="75">
      <c r="D75" s="95"/>
      <c r="E75" s="14"/>
      <c r="H75" s="12"/>
      <c r="I75" s="12"/>
      <c r="J75" s="12"/>
      <c r="K75" s="12"/>
      <c r="L75" s="12"/>
      <c r="M75" s="12"/>
      <c r="N75" s="12"/>
      <c r="O75" s="12"/>
      <c r="P75" s="12"/>
    </row>
    <row r="76">
      <c r="D76" s="95"/>
      <c r="E76" s="14"/>
      <c r="H76" s="12"/>
      <c r="I76" s="12"/>
      <c r="J76" s="12"/>
      <c r="K76" s="12"/>
      <c r="L76" s="12"/>
      <c r="M76" s="12"/>
      <c r="N76" s="12"/>
      <c r="O76" s="12"/>
      <c r="P76" s="12"/>
    </row>
    <row r="77">
      <c r="D77" s="95"/>
      <c r="E77" s="14"/>
      <c r="H77" s="12"/>
      <c r="I77" s="12"/>
      <c r="J77" s="12"/>
      <c r="K77" s="12"/>
      <c r="L77" s="12"/>
      <c r="M77" s="12"/>
      <c r="N77" s="12"/>
      <c r="O77" s="12"/>
      <c r="P77" s="12"/>
    </row>
    <row r="78">
      <c r="D78" s="95"/>
      <c r="E78" s="14"/>
      <c r="H78" s="12"/>
      <c r="I78" s="12"/>
      <c r="J78" s="12"/>
      <c r="K78" s="12"/>
      <c r="L78" s="12"/>
      <c r="M78" s="12"/>
      <c r="N78" s="12"/>
      <c r="O78" s="12"/>
      <c r="P78" s="12"/>
    </row>
    <row r="79">
      <c r="D79" s="95"/>
      <c r="E79" s="14"/>
      <c r="H79" s="12"/>
      <c r="I79" s="12"/>
      <c r="J79" s="12"/>
      <c r="K79" s="12"/>
      <c r="L79" s="12"/>
      <c r="M79" s="12"/>
      <c r="N79" s="12"/>
      <c r="O79" s="12"/>
      <c r="P79" s="12"/>
    </row>
    <row r="80">
      <c r="D80" s="95"/>
      <c r="E80" s="14"/>
      <c r="H80" s="12"/>
      <c r="I80" s="12"/>
      <c r="J80" s="12"/>
      <c r="K80" s="12"/>
      <c r="L80" s="12"/>
      <c r="M80" s="12"/>
      <c r="N80" s="12"/>
      <c r="O80" s="12"/>
      <c r="P80" s="12"/>
    </row>
    <row r="81">
      <c r="D81" s="95"/>
      <c r="E81" s="14"/>
      <c r="H81" s="12"/>
      <c r="I81" s="12"/>
      <c r="J81" s="12"/>
      <c r="K81" s="12"/>
      <c r="L81" s="12"/>
      <c r="M81" s="12"/>
      <c r="N81" s="12"/>
      <c r="O81" s="12"/>
      <c r="P81" s="12"/>
    </row>
    <row r="82">
      <c r="D82" s="95"/>
      <c r="E82" s="14"/>
      <c r="H82" s="12"/>
      <c r="I82" s="12"/>
      <c r="J82" s="12"/>
      <c r="K82" s="12"/>
      <c r="L82" s="12"/>
      <c r="M82" s="12"/>
      <c r="N82" s="12"/>
      <c r="O82" s="12"/>
      <c r="P82" s="12"/>
    </row>
    <row r="83">
      <c r="D83" s="95"/>
      <c r="E83" s="14"/>
      <c r="H83" s="12"/>
      <c r="I83" s="12"/>
      <c r="J83" s="12"/>
      <c r="K83" s="12"/>
      <c r="L83" s="12"/>
      <c r="M83" s="12"/>
      <c r="N83" s="12"/>
      <c r="O83" s="12"/>
      <c r="P83" s="12"/>
    </row>
    <row r="84">
      <c r="D84" s="95"/>
      <c r="E84" s="14"/>
      <c r="H84" s="12"/>
      <c r="I84" s="12"/>
      <c r="J84" s="12"/>
      <c r="K84" s="12"/>
      <c r="L84" s="12"/>
      <c r="M84" s="12"/>
      <c r="N84" s="12"/>
      <c r="O84" s="12"/>
      <c r="P84" s="12"/>
    </row>
    <row r="85">
      <c r="D85" s="95"/>
      <c r="E85" s="14"/>
      <c r="H85" s="12"/>
      <c r="I85" s="12"/>
      <c r="J85" s="12"/>
      <c r="K85" s="12"/>
      <c r="L85" s="12"/>
      <c r="M85" s="12"/>
      <c r="N85" s="12"/>
      <c r="O85" s="12"/>
      <c r="P85" s="12"/>
    </row>
    <row r="86">
      <c r="D86" s="95"/>
      <c r="E86" s="14"/>
      <c r="H86" s="12"/>
      <c r="I86" s="12"/>
      <c r="J86" s="12"/>
      <c r="K86" s="12"/>
      <c r="L86" s="12"/>
      <c r="M86" s="12"/>
      <c r="N86" s="12"/>
      <c r="O86" s="12"/>
      <c r="P86" s="12"/>
    </row>
    <row r="87">
      <c r="D87" s="95"/>
      <c r="E87" s="14"/>
      <c r="H87" s="12"/>
      <c r="I87" s="12"/>
      <c r="J87" s="12"/>
      <c r="K87" s="12"/>
      <c r="L87" s="12"/>
      <c r="M87" s="12"/>
      <c r="N87" s="12"/>
      <c r="O87" s="12"/>
      <c r="P87" s="12"/>
    </row>
    <row r="88">
      <c r="D88" s="95"/>
      <c r="E88" s="14"/>
      <c r="H88" s="12"/>
      <c r="I88" s="12"/>
      <c r="J88" s="12"/>
      <c r="K88" s="12"/>
      <c r="L88" s="12"/>
      <c r="M88" s="12"/>
      <c r="N88" s="12"/>
      <c r="O88" s="12"/>
      <c r="P88" s="12"/>
    </row>
    <row r="89">
      <c r="D89" s="95"/>
      <c r="E89" s="14"/>
      <c r="H89" s="12"/>
      <c r="I89" s="12"/>
      <c r="J89" s="12"/>
      <c r="K89" s="12"/>
      <c r="L89" s="12"/>
      <c r="M89" s="12"/>
      <c r="N89" s="12"/>
      <c r="O89" s="12"/>
      <c r="P89" s="12"/>
    </row>
    <row r="90">
      <c r="D90" s="95"/>
      <c r="E90" s="14"/>
      <c r="H90" s="12"/>
      <c r="I90" s="12"/>
      <c r="J90" s="12"/>
      <c r="K90" s="12"/>
      <c r="L90" s="12"/>
      <c r="M90" s="12"/>
      <c r="N90" s="12"/>
      <c r="O90" s="12"/>
      <c r="P90" s="12"/>
    </row>
    <row r="91">
      <c r="D91" s="95"/>
      <c r="E91" s="14"/>
      <c r="H91" s="12"/>
      <c r="I91" s="12"/>
      <c r="J91" s="12"/>
      <c r="K91" s="12"/>
      <c r="L91" s="12"/>
      <c r="M91" s="12"/>
      <c r="N91" s="12"/>
      <c r="O91" s="12"/>
      <c r="P91" s="12"/>
    </row>
    <row r="92">
      <c r="D92" s="95"/>
      <c r="E92" s="14"/>
      <c r="H92" s="12"/>
      <c r="I92" s="12"/>
      <c r="J92" s="12"/>
      <c r="K92" s="12"/>
      <c r="L92" s="12"/>
      <c r="M92" s="12"/>
      <c r="N92" s="12"/>
      <c r="O92" s="12"/>
      <c r="P92" s="12"/>
    </row>
    <row r="93">
      <c r="D93" s="95"/>
      <c r="E93" s="14"/>
      <c r="H93" s="12"/>
      <c r="I93" s="12"/>
      <c r="J93" s="12"/>
      <c r="K93" s="12"/>
      <c r="L93" s="12"/>
      <c r="M93" s="12"/>
      <c r="N93" s="12"/>
      <c r="O93" s="12"/>
      <c r="P93" s="12"/>
    </row>
    <row r="94">
      <c r="D94" s="95"/>
      <c r="E94" s="14"/>
      <c r="H94" s="12"/>
      <c r="I94" s="12"/>
      <c r="J94" s="12"/>
      <c r="K94" s="12"/>
      <c r="L94" s="12"/>
      <c r="M94" s="12"/>
      <c r="N94" s="12"/>
      <c r="O94" s="12"/>
      <c r="P94" s="12"/>
    </row>
    <row r="95">
      <c r="D95" s="95"/>
      <c r="E95" s="14"/>
      <c r="H95" s="12"/>
      <c r="I95" s="12"/>
      <c r="J95" s="12"/>
      <c r="K95" s="12"/>
      <c r="L95" s="12"/>
      <c r="M95" s="12"/>
      <c r="N95" s="12"/>
      <c r="O95" s="12"/>
      <c r="P95" s="12"/>
    </row>
    <row r="96">
      <c r="D96" s="95"/>
      <c r="E96" s="14"/>
      <c r="H96" s="12"/>
      <c r="I96" s="12"/>
      <c r="J96" s="12"/>
      <c r="K96" s="12"/>
      <c r="L96" s="12"/>
      <c r="M96" s="12"/>
      <c r="N96" s="12"/>
      <c r="O96" s="12"/>
      <c r="P96" s="12"/>
    </row>
    <row r="97">
      <c r="D97" s="95"/>
      <c r="E97" s="14"/>
      <c r="H97" s="12"/>
      <c r="I97" s="12"/>
      <c r="J97" s="12"/>
      <c r="K97" s="12"/>
      <c r="L97" s="12"/>
      <c r="M97" s="12"/>
      <c r="N97" s="12"/>
      <c r="O97" s="12"/>
      <c r="P97" s="12"/>
    </row>
    <row r="98">
      <c r="D98" s="95"/>
      <c r="E98" s="14"/>
      <c r="H98" s="12"/>
      <c r="I98" s="12"/>
      <c r="J98" s="12"/>
      <c r="K98" s="12"/>
      <c r="L98" s="12"/>
      <c r="M98" s="12"/>
      <c r="N98" s="12"/>
      <c r="O98" s="12"/>
      <c r="P98" s="12"/>
    </row>
    <row r="99">
      <c r="D99" s="95"/>
      <c r="E99" s="14"/>
      <c r="H99" s="12"/>
      <c r="I99" s="12"/>
      <c r="J99" s="12"/>
      <c r="K99" s="12"/>
      <c r="L99" s="12"/>
      <c r="M99" s="12"/>
      <c r="N99" s="12"/>
      <c r="O99" s="12"/>
      <c r="P99" s="12"/>
    </row>
    <row r="100">
      <c r="D100" s="95"/>
      <c r="E100" s="14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D101" s="95"/>
      <c r="E101" s="14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D102" s="95"/>
      <c r="E102" s="14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D103" s="95"/>
      <c r="E103" s="14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D104" s="95"/>
      <c r="E104" s="14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D105" s="95"/>
      <c r="E105" s="14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D106" s="95"/>
      <c r="E106" s="14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D107" s="95"/>
      <c r="E107" s="14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D108" s="95"/>
      <c r="E108" s="14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D109" s="95"/>
      <c r="E109" s="14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D110" s="95"/>
      <c r="E110" s="14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D111" s="95"/>
      <c r="E111" s="14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D112" s="95"/>
      <c r="E112" s="14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D113" s="95"/>
      <c r="E113" s="14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D114" s="95"/>
      <c r="E114" s="14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D115" s="95"/>
      <c r="E115" s="14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D116" s="95"/>
      <c r="E116" s="14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D117" s="95"/>
      <c r="E117" s="14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D118" s="95"/>
      <c r="E118" s="14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D119" s="95"/>
      <c r="E119" s="14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D120" s="95"/>
      <c r="E120" s="14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D121" s="95"/>
      <c r="E121" s="14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D122" s="95"/>
      <c r="E122" s="14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D123" s="95"/>
      <c r="E123" s="14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D124" s="95"/>
      <c r="E124" s="14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D125" s="95"/>
      <c r="E125" s="14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D126" s="95"/>
      <c r="E126" s="14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D127" s="95"/>
      <c r="E127" s="14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D128" s="95"/>
      <c r="E128" s="14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D129" s="95"/>
      <c r="E129" s="14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D130" s="95"/>
      <c r="E130" s="14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D131" s="95"/>
      <c r="E131" s="14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D132" s="95"/>
      <c r="E132" s="14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D133" s="95"/>
      <c r="E133" s="14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D134" s="95"/>
      <c r="E134" s="14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D135" s="95"/>
      <c r="E135" s="14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D136" s="95"/>
      <c r="E136" s="14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D137" s="95"/>
      <c r="E137" s="14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D138" s="95"/>
      <c r="E138" s="14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D139" s="95"/>
      <c r="E139" s="14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D140" s="95"/>
      <c r="E140" s="14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D141" s="95"/>
      <c r="E141" s="14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D142" s="95"/>
      <c r="E142" s="14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D143" s="95"/>
      <c r="E143" s="14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D144" s="95"/>
      <c r="E144" s="14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D145" s="95"/>
      <c r="E145" s="14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D146" s="95"/>
      <c r="E146" s="14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D147" s="95"/>
      <c r="E147" s="14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D148" s="95"/>
      <c r="E148" s="14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D149" s="95"/>
      <c r="E149" s="14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D150" s="95"/>
      <c r="E150" s="14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D151" s="95"/>
      <c r="E151" s="14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D152" s="95"/>
      <c r="E152" s="14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D153" s="95"/>
      <c r="E153" s="14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D154" s="95"/>
      <c r="E154" s="14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D155" s="95"/>
      <c r="E155" s="14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D156" s="95"/>
      <c r="E156" s="14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D157" s="95"/>
      <c r="E157" s="14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D158" s="95"/>
      <c r="E158" s="14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D159" s="95"/>
      <c r="E159" s="14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D160" s="95"/>
      <c r="E160" s="14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D161" s="95"/>
      <c r="E161" s="14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D162" s="95"/>
      <c r="E162" s="14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D163" s="95"/>
      <c r="E163" s="14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D164" s="95"/>
      <c r="E164" s="14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D165" s="95"/>
      <c r="E165" s="14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D166" s="95"/>
      <c r="E166" s="14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D167" s="95"/>
      <c r="E167" s="14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D168" s="95"/>
      <c r="E168" s="14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D169" s="95"/>
      <c r="E169" s="14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D170" s="95"/>
      <c r="E170" s="14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D171" s="95"/>
      <c r="E171" s="14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D172" s="95"/>
      <c r="E172" s="14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D173" s="95"/>
      <c r="E173" s="14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D174" s="95"/>
      <c r="E174" s="14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D175" s="95"/>
      <c r="E175" s="14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D176" s="95"/>
      <c r="E176" s="14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D177" s="95"/>
      <c r="E177" s="14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D178" s="95"/>
      <c r="E178" s="14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D179" s="95"/>
      <c r="E179" s="14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D180" s="95"/>
      <c r="E180" s="14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D181" s="95"/>
      <c r="E181" s="14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D182" s="95"/>
      <c r="E182" s="14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D183" s="95"/>
      <c r="E183" s="14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D184" s="95"/>
      <c r="E184" s="14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D185" s="95"/>
      <c r="E185" s="14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D186" s="95"/>
      <c r="E186" s="14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D187" s="95"/>
      <c r="E187" s="14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D188" s="95"/>
      <c r="E188" s="14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D189" s="95"/>
      <c r="E189" s="14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D190" s="95"/>
      <c r="E190" s="14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D191" s="95"/>
      <c r="E191" s="14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D192" s="95"/>
      <c r="E192" s="14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D193" s="95"/>
      <c r="E193" s="14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D194" s="95"/>
      <c r="E194" s="14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D195" s="95"/>
      <c r="E195" s="14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D196" s="95"/>
      <c r="E196" s="14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D197" s="95"/>
      <c r="E197" s="14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D198" s="95"/>
      <c r="E198" s="14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D199" s="95"/>
      <c r="E199" s="14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D200" s="95"/>
      <c r="E200" s="14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D201" s="95"/>
      <c r="E201" s="14"/>
      <c r="H201" s="12"/>
      <c r="I201" s="12"/>
      <c r="J201" s="12"/>
      <c r="K201" s="12"/>
      <c r="L201" s="12"/>
      <c r="M201" s="12"/>
      <c r="N201" s="12"/>
      <c r="O201" s="12"/>
      <c r="P201" s="12"/>
    </row>
    <row r="202">
      <c r="D202" s="95"/>
      <c r="E202" s="14"/>
      <c r="H202" s="12"/>
      <c r="I202" s="12"/>
      <c r="J202" s="12"/>
      <c r="K202" s="12"/>
      <c r="L202" s="12"/>
      <c r="M202" s="12"/>
      <c r="N202" s="12"/>
      <c r="O202" s="12"/>
      <c r="P202" s="12"/>
    </row>
    <row r="203">
      <c r="D203" s="95"/>
      <c r="E203" s="14"/>
      <c r="H203" s="12"/>
      <c r="I203" s="12"/>
      <c r="J203" s="12"/>
      <c r="K203" s="12"/>
      <c r="L203" s="12"/>
      <c r="M203" s="12"/>
      <c r="N203" s="12"/>
      <c r="O203" s="12"/>
      <c r="P203" s="12"/>
    </row>
    <row r="204">
      <c r="D204" s="95"/>
      <c r="E204" s="14"/>
      <c r="H204" s="12"/>
      <c r="I204" s="12"/>
      <c r="J204" s="12"/>
      <c r="K204" s="12"/>
      <c r="L204" s="12"/>
      <c r="M204" s="12"/>
      <c r="N204" s="12"/>
      <c r="O204" s="12"/>
      <c r="P204" s="12"/>
    </row>
    <row r="205">
      <c r="D205" s="95"/>
      <c r="E205" s="14"/>
      <c r="H205" s="12"/>
      <c r="I205" s="12"/>
      <c r="J205" s="12"/>
      <c r="K205" s="12"/>
      <c r="L205" s="12"/>
      <c r="M205" s="12"/>
      <c r="N205" s="12"/>
      <c r="O205" s="12"/>
      <c r="P205" s="12"/>
    </row>
    <row r="206">
      <c r="D206" s="95"/>
      <c r="E206" s="14"/>
      <c r="H206" s="12"/>
      <c r="I206" s="12"/>
      <c r="J206" s="12"/>
      <c r="K206" s="12"/>
      <c r="L206" s="12"/>
      <c r="M206" s="12"/>
      <c r="N206" s="12"/>
      <c r="O206" s="12"/>
      <c r="P206" s="12"/>
    </row>
    <row r="207">
      <c r="D207" s="95"/>
      <c r="E207" s="14"/>
      <c r="H207" s="12"/>
      <c r="I207" s="12"/>
      <c r="J207" s="12"/>
      <c r="K207" s="12"/>
      <c r="L207" s="12"/>
      <c r="M207" s="12"/>
      <c r="N207" s="12"/>
      <c r="O207" s="12"/>
      <c r="P207" s="12"/>
    </row>
    <row r="208">
      <c r="D208" s="95"/>
      <c r="E208" s="14"/>
      <c r="H208" s="12"/>
      <c r="I208" s="12"/>
      <c r="J208" s="12"/>
      <c r="K208" s="12"/>
      <c r="L208" s="12"/>
      <c r="M208" s="12"/>
      <c r="N208" s="12"/>
      <c r="O208" s="12"/>
      <c r="P208" s="12"/>
    </row>
    <row r="209">
      <c r="D209" s="95"/>
      <c r="E209" s="14"/>
      <c r="H209" s="12"/>
      <c r="I209" s="12"/>
      <c r="J209" s="12"/>
      <c r="K209" s="12"/>
      <c r="L209" s="12"/>
      <c r="M209" s="12"/>
      <c r="N209" s="12"/>
      <c r="O209" s="12"/>
      <c r="P209" s="12"/>
    </row>
    <row r="210">
      <c r="D210" s="95"/>
      <c r="E210" s="14"/>
      <c r="H210" s="12"/>
      <c r="I210" s="12"/>
      <c r="J210" s="12"/>
      <c r="K210" s="12"/>
      <c r="L210" s="12"/>
      <c r="M210" s="12"/>
      <c r="N210" s="12"/>
      <c r="O210" s="12"/>
      <c r="P210" s="12"/>
    </row>
    <row r="211">
      <c r="D211" s="95"/>
      <c r="E211" s="14"/>
      <c r="H211" s="12"/>
      <c r="I211" s="12"/>
      <c r="J211" s="12"/>
      <c r="K211" s="12"/>
      <c r="L211" s="12"/>
      <c r="M211" s="12"/>
      <c r="N211" s="12"/>
      <c r="O211" s="12"/>
      <c r="P211" s="12"/>
    </row>
    <row r="212">
      <c r="D212" s="95"/>
      <c r="E212" s="14"/>
      <c r="H212" s="12"/>
      <c r="I212" s="12"/>
      <c r="J212" s="12"/>
      <c r="K212" s="12"/>
      <c r="L212" s="12"/>
      <c r="M212" s="12"/>
      <c r="N212" s="12"/>
      <c r="O212" s="12"/>
      <c r="P212" s="12"/>
    </row>
    <row r="213">
      <c r="D213" s="95"/>
      <c r="E213" s="14"/>
      <c r="H213" s="12"/>
      <c r="I213" s="12"/>
      <c r="J213" s="12"/>
      <c r="K213" s="12"/>
      <c r="L213" s="12"/>
      <c r="M213" s="12"/>
      <c r="N213" s="12"/>
      <c r="O213" s="12"/>
      <c r="P213" s="12"/>
    </row>
    <row r="214">
      <c r="D214" s="95"/>
      <c r="E214" s="14"/>
      <c r="H214" s="12"/>
      <c r="I214" s="12"/>
      <c r="J214" s="12"/>
      <c r="K214" s="12"/>
      <c r="L214" s="12"/>
      <c r="M214" s="12"/>
      <c r="N214" s="12"/>
      <c r="O214" s="12"/>
      <c r="P214" s="12"/>
    </row>
    <row r="215">
      <c r="D215" s="95"/>
      <c r="E215" s="14"/>
      <c r="H215" s="12"/>
      <c r="I215" s="12"/>
      <c r="J215" s="12"/>
      <c r="K215" s="12"/>
      <c r="L215" s="12"/>
      <c r="M215" s="12"/>
      <c r="N215" s="12"/>
      <c r="O215" s="12"/>
      <c r="P215" s="12"/>
    </row>
    <row r="216">
      <c r="D216" s="95"/>
      <c r="E216" s="14"/>
      <c r="H216" s="12"/>
      <c r="I216" s="12"/>
      <c r="J216" s="12"/>
      <c r="K216" s="12"/>
      <c r="L216" s="12"/>
      <c r="M216" s="12"/>
      <c r="N216" s="12"/>
      <c r="O216" s="12"/>
      <c r="P216" s="12"/>
    </row>
    <row r="217">
      <c r="D217" s="95"/>
      <c r="E217" s="14"/>
      <c r="H217" s="12"/>
      <c r="I217" s="12"/>
      <c r="J217" s="12"/>
      <c r="K217" s="12"/>
      <c r="L217" s="12"/>
      <c r="M217" s="12"/>
      <c r="N217" s="12"/>
      <c r="O217" s="12"/>
      <c r="P217" s="12"/>
    </row>
    <row r="218">
      <c r="D218" s="95"/>
      <c r="E218" s="14"/>
      <c r="H218" s="12"/>
      <c r="I218" s="12"/>
      <c r="J218" s="12"/>
      <c r="K218" s="12"/>
      <c r="L218" s="12"/>
      <c r="M218" s="12"/>
      <c r="N218" s="12"/>
      <c r="O218" s="12"/>
      <c r="P218" s="12"/>
    </row>
    <row r="219">
      <c r="D219" s="95"/>
      <c r="E219" s="14"/>
      <c r="H219" s="12"/>
      <c r="I219" s="12"/>
      <c r="J219" s="12"/>
      <c r="K219" s="12"/>
      <c r="L219" s="12"/>
      <c r="M219" s="12"/>
      <c r="N219" s="12"/>
      <c r="O219" s="12"/>
      <c r="P219" s="12"/>
    </row>
    <row r="220">
      <c r="D220" s="95"/>
      <c r="E220" s="14"/>
      <c r="H220" s="12"/>
      <c r="I220" s="12"/>
      <c r="J220" s="12"/>
      <c r="K220" s="12"/>
      <c r="L220" s="12"/>
      <c r="M220" s="12"/>
      <c r="N220" s="12"/>
      <c r="O220" s="12"/>
      <c r="P220" s="12"/>
    </row>
    <row r="221">
      <c r="D221" s="95"/>
      <c r="E221" s="14"/>
      <c r="H221" s="12"/>
      <c r="I221" s="12"/>
      <c r="J221" s="12"/>
      <c r="K221" s="12"/>
      <c r="L221" s="12"/>
      <c r="M221" s="12"/>
      <c r="N221" s="12"/>
      <c r="O221" s="12"/>
      <c r="P221" s="12"/>
    </row>
    <row r="222">
      <c r="D222" s="95"/>
      <c r="E222" s="14"/>
      <c r="H222" s="12"/>
      <c r="I222" s="12"/>
      <c r="J222" s="12"/>
      <c r="K222" s="12"/>
      <c r="L222" s="12"/>
      <c r="M222" s="12"/>
      <c r="N222" s="12"/>
      <c r="O222" s="12"/>
      <c r="P222" s="12"/>
    </row>
    <row r="223">
      <c r="D223" s="95"/>
      <c r="E223" s="14"/>
      <c r="H223" s="12"/>
      <c r="I223" s="12"/>
      <c r="J223" s="12"/>
      <c r="K223" s="12"/>
      <c r="L223" s="12"/>
      <c r="M223" s="12"/>
      <c r="N223" s="12"/>
      <c r="O223" s="12"/>
      <c r="P223" s="12"/>
    </row>
    <row r="224">
      <c r="D224" s="95"/>
      <c r="E224" s="14"/>
      <c r="H224" s="12"/>
      <c r="I224" s="12"/>
      <c r="J224" s="12"/>
      <c r="K224" s="12"/>
      <c r="L224" s="12"/>
      <c r="M224" s="12"/>
      <c r="N224" s="12"/>
      <c r="O224" s="12"/>
      <c r="P224" s="12"/>
    </row>
    <row r="225">
      <c r="D225" s="95"/>
      <c r="E225" s="14"/>
      <c r="H225" s="12"/>
      <c r="I225" s="12"/>
      <c r="J225" s="12"/>
      <c r="K225" s="12"/>
      <c r="L225" s="12"/>
      <c r="M225" s="12"/>
      <c r="N225" s="12"/>
      <c r="O225" s="12"/>
      <c r="P225" s="12"/>
    </row>
    <row r="226">
      <c r="D226" s="95"/>
      <c r="E226" s="14"/>
      <c r="H226" s="12"/>
      <c r="I226" s="12"/>
      <c r="J226" s="12"/>
      <c r="K226" s="12"/>
      <c r="L226" s="12"/>
      <c r="M226" s="12"/>
      <c r="N226" s="12"/>
      <c r="O226" s="12"/>
      <c r="P226" s="12"/>
    </row>
    <row r="227">
      <c r="D227" s="95"/>
      <c r="E227" s="14"/>
      <c r="H227" s="12"/>
      <c r="I227" s="12"/>
      <c r="J227" s="12"/>
      <c r="K227" s="12"/>
      <c r="L227" s="12"/>
      <c r="M227" s="12"/>
      <c r="N227" s="12"/>
      <c r="O227" s="12"/>
      <c r="P227" s="12"/>
    </row>
    <row r="228">
      <c r="D228" s="95"/>
      <c r="E228" s="14"/>
      <c r="H228" s="12"/>
      <c r="I228" s="12"/>
      <c r="J228" s="12"/>
      <c r="K228" s="12"/>
      <c r="L228" s="12"/>
      <c r="M228" s="12"/>
      <c r="N228" s="12"/>
      <c r="O228" s="12"/>
      <c r="P228" s="12"/>
    </row>
    <row r="229">
      <c r="D229" s="95"/>
      <c r="E229" s="14"/>
      <c r="H229" s="12"/>
      <c r="I229" s="12"/>
      <c r="J229" s="12"/>
      <c r="K229" s="12"/>
      <c r="L229" s="12"/>
      <c r="M229" s="12"/>
      <c r="N229" s="12"/>
      <c r="O229" s="12"/>
      <c r="P229" s="12"/>
    </row>
    <row r="230">
      <c r="D230" s="95"/>
      <c r="E230" s="14"/>
      <c r="H230" s="12"/>
      <c r="I230" s="12"/>
      <c r="J230" s="12"/>
      <c r="K230" s="12"/>
      <c r="L230" s="12"/>
      <c r="M230" s="12"/>
      <c r="N230" s="12"/>
      <c r="O230" s="12"/>
      <c r="P230" s="12"/>
    </row>
    <row r="231">
      <c r="D231" s="95"/>
      <c r="E231" s="14"/>
      <c r="H231" s="12"/>
      <c r="I231" s="12"/>
      <c r="J231" s="12"/>
      <c r="K231" s="12"/>
      <c r="L231" s="12"/>
      <c r="M231" s="12"/>
      <c r="N231" s="12"/>
      <c r="O231" s="12"/>
      <c r="P231" s="12"/>
    </row>
    <row r="232">
      <c r="D232" s="95"/>
      <c r="E232" s="14"/>
      <c r="H232" s="12"/>
      <c r="I232" s="12"/>
      <c r="J232" s="12"/>
      <c r="K232" s="12"/>
      <c r="L232" s="12"/>
      <c r="M232" s="12"/>
      <c r="N232" s="12"/>
      <c r="O232" s="12"/>
      <c r="P232" s="12"/>
    </row>
    <row r="233">
      <c r="D233" s="95"/>
      <c r="E233" s="14"/>
      <c r="H233" s="12"/>
      <c r="I233" s="12"/>
      <c r="J233" s="12"/>
      <c r="K233" s="12"/>
      <c r="L233" s="12"/>
      <c r="M233" s="12"/>
      <c r="N233" s="12"/>
      <c r="O233" s="12"/>
      <c r="P233" s="12"/>
    </row>
    <row r="234">
      <c r="D234" s="95"/>
      <c r="E234" s="14"/>
      <c r="H234" s="12"/>
      <c r="I234" s="12"/>
      <c r="J234" s="12"/>
      <c r="K234" s="12"/>
      <c r="L234" s="12"/>
      <c r="M234" s="12"/>
      <c r="N234" s="12"/>
      <c r="O234" s="12"/>
      <c r="P234" s="12"/>
    </row>
    <row r="235">
      <c r="D235" s="95"/>
      <c r="E235" s="14"/>
      <c r="H235" s="12"/>
      <c r="I235" s="12"/>
      <c r="J235" s="12"/>
      <c r="K235" s="12"/>
      <c r="L235" s="12"/>
      <c r="M235" s="12"/>
      <c r="N235" s="12"/>
      <c r="O235" s="12"/>
      <c r="P235" s="12"/>
    </row>
    <row r="236">
      <c r="D236" s="95"/>
      <c r="E236" s="14"/>
      <c r="H236" s="12"/>
      <c r="I236" s="12"/>
      <c r="J236" s="12"/>
      <c r="K236" s="12"/>
      <c r="L236" s="12"/>
      <c r="M236" s="12"/>
      <c r="N236" s="12"/>
      <c r="O236" s="12"/>
      <c r="P236" s="12"/>
    </row>
    <row r="237">
      <c r="D237" s="95"/>
      <c r="E237" s="14"/>
      <c r="H237" s="12"/>
      <c r="I237" s="12"/>
      <c r="J237" s="12"/>
      <c r="K237" s="12"/>
      <c r="L237" s="12"/>
      <c r="M237" s="12"/>
      <c r="N237" s="12"/>
      <c r="O237" s="12"/>
      <c r="P237" s="12"/>
    </row>
    <row r="238">
      <c r="D238" s="95"/>
      <c r="E238" s="14"/>
      <c r="H238" s="12"/>
      <c r="I238" s="12"/>
      <c r="J238" s="12"/>
      <c r="K238" s="12"/>
      <c r="L238" s="12"/>
      <c r="M238" s="12"/>
      <c r="N238" s="12"/>
      <c r="O238" s="12"/>
      <c r="P238" s="12"/>
    </row>
    <row r="239">
      <c r="D239" s="95"/>
      <c r="E239" s="14"/>
      <c r="H239" s="12"/>
      <c r="I239" s="12"/>
      <c r="J239" s="12"/>
      <c r="K239" s="12"/>
      <c r="L239" s="12"/>
      <c r="M239" s="12"/>
      <c r="N239" s="12"/>
      <c r="O239" s="12"/>
      <c r="P239" s="12"/>
    </row>
    <row r="240">
      <c r="D240" s="95"/>
      <c r="E240" s="14"/>
      <c r="H240" s="12"/>
      <c r="I240" s="12"/>
      <c r="J240" s="12"/>
      <c r="K240" s="12"/>
      <c r="L240" s="12"/>
      <c r="M240" s="12"/>
      <c r="N240" s="12"/>
      <c r="O240" s="12"/>
      <c r="P240" s="12"/>
    </row>
    <row r="241">
      <c r="D241" s="95"/>
      <c r="E241" s="14"/>
      <c r="H241" s="12"/>
      <c r="I241" s="12"/>
      <c r="J241" s="12"/>
      <c r="K241" s="12"/>
      <c r="L241" s="12"/>
      <c r="M241" s="12"/>
      <c r="N241" s="12"/>
      <c r="O241" s="12"/>
      <c r="P241" s="12"/>
    </row>
    <row r="242">
      <c r="D242" s="95"/>
      <c r="E242" s="14"/>
      <c r="H242" s="12"/>
      <c r="I242" s="12"/>
      <c r="J242" s="12"/>
      <c r="K242" s="12"/>
      <c r="L242" s="12"/>
      <c r="M242" s="12"/>
      <c r="N242" s="12"/>
      <c r="O242" s="12"/>
      <c r="P242" s="12"/>
    </row>
    <row r="243">
      <c r="D243" s="95"/>
      <c r="E243" s="14"/>
      <c r="H243" s="12"/>
      <c r="I243" s="12"/>
      <c r="J243" s="12"/>
      <c r="K243" s="12"/>
      <c r="L243" s="12"/>
      <c r="M243" s="12"/>
      <c r="N243" s="12"/>
      <c r="O243" s="12"/>
      <c r="P243" s="12"/>
    </row>
    <row r="244">
      <c r="D244" s="95"/>
      <c r="E244" s="14"/>
      <c r="H244" s="12"/>
      <c r="I244" s="12"/>
      <c r="J244" s="12"/>
      <c r="K244" s="12"/>
      <c r="L244" s="12"/>
      <c r="M244" s="12"/>
      <c r="N244" s="12"/>
      <c r="O244" s="12"/>
      <c r="P244" s="12"/>
    </row>
    <row r="245">
      <c r="D245" s="95"/>
      <c r="E245" s="14"/>
      <c r="H245" s="12"/>
      <c r="I245" s="12"/>
      <c r="J245" s="12"/>
      <c r="K245" s="12"/>
      <c r="L245" s="12"/>
      <c r="M245" s="12"/>
      <c r="N245" s="12"/>
      <c r="O245" s="12"/>
      <c r="P245" s="12"/>
    </row>
    <row r="246">
      <c r="D246" s="95"/>
      <c r="E246" s="14"/>
      <c r="H246" s="12"/>
      <c r="I246" s="12"/>
      <c r="J246" s="12"/>
      <c r="K246" s="12"/>
      <c r="L246" s="12"/>
      <c r="M246" s="12"/>
      <c r="N246" s="12"/>
      <c r="O246" s="12"/>
      <c r="P246" s="12"/>
    </row>
    <row r="247">
      <c r="D247" s="95"/>
      <c r="E247" s="14"/>
      <c r="H247" s="12"/>
      <c r="I247" s="12"/>
      <c r="J247" s="12"/>
      <c r="K247" s="12"/>
      <c r="L247" s="12"/>
      <c r="M247" s="12"/>
      <c r="N247" s="12"/>
      <c r="O247" s="12"/>
      <c r="P247" s="12"/>
    </row>
    <row r="248">
      <c r="D248" s="95"/>
      <c r="E248" s="14"/>
      <c r="H248" s="12"/>
      <c r="I248" s="12"/>
      <c r="J248" s="12"/>
      <c r="K248" s="12"/>
      <c r="L248" s="12"/>
      <c r="M248" s="12"/>
      <c r="N248" s="12"/>
      <c r="O248" s="12"/>
      <c r="P248" s="12"/>
    </row>
    <row r="249">
      <c r="D249" s="95"/>
      <c r="E249" s="14"/>
      <c r="H249" s="12"/>
      <c r="I249" s="12"/>
      <c r="J249" s="12"/>
      <c r="K249" s="12"/>
      <c r="L249" s="12"/>
      <c r="M249" s="12"/>
      <c r="N249" s="12"/>
      <c r="O249" s="12"/>
      <c r="P249" s="12"/>
    </row>
    <row r="250">
      <c r="D250" s="95"/>
      <c r="E250" s="14"/>
      <c r="H250" s="12"/>
      <c r="I250" s="12"/>
      <c r="J250" s="12"/>
      <c r="K250" s="12"/>
      <c r="L250" s="12"/>
      <c r="M250" s="12"/>
      <c r="N250" s="12"/>
      <c r="O250" s="12"/>
      <c r="P250" s="12"/>
    </row>
    <row r="251">
      <c r="D251" s="95"/>
      <c r="E251" s="14"/>
      <c r="H251" s="12"/>
      <c r="I251" s="12"/>
      <c r="J251" s="12"/>
      <c r="K251" s="12"/>
      <c r="L251" s="12"/>
      <c r="M251" s="12"/>
      <c r="N251" s="12"/>
      <c r="O251" s="12"/>
      <c r="P251" s="12"/>
    </row>
    <row r="252">
      <c r="D252" s="95"/>
      <c r="E252" s="14"/>
      <c r="H252" s="12"/>
      <c r="I252" s="12"/>
      <c r="J252" s="12"/>
      <c r="K252" s="12"/>
      <c r="L252" s="12"/>
      <c r="M252" s="12"/>
      <c r="N252" s="12"/>
      <c r="O252" s="12"/>
      <c r="P252" s="12"/>
    </row>
    <row r="253">
      <c r="D253" s="95"/>
      <c r="E253" s="14"/>
      <c r="H253" s="12"/>
      <c r="I253" s="12"/>
      <c r="J253" s="12"/>
      <c r="K253" s="12"/>
      <c r="L253" s="12"/>
      <c r="M253" s="12"/>
      <c r="N253" s="12"/>
      <c r="O253" s="12"/>
      <c r="P253" s="12"/>
    </row>
    <row r="254">
      <c r="D254" s="95"/>
      <c r="E254" s="14"/>
      <c r="H254" s="12"/>
      <c r="I254" s="12"/>
      <c r="J254" s="12"/>
      <c r="K254" s="12"/>
      <c r="L254" s="12"/>
      <c r="M254" s="12"/>
      <c r="N254" s="12"/>
      <c r="O254" s="12"/>
      <c r="P254" s="12"/>
    </row>
    <row r="255">
      <c r="D255" s="95"/>
      <c r="E255" s="14"/>
      <c r="H255" s="12"/>
      <c r="I255" s="12"/>
      <c r="J255" s="12"/>
      <c r="K255" s="12"/>
      <c r="L255" s="12"/>
      <c r="M255" s="12"/>
      <c r="N255" s="12"/>
      <c r="O255" s="12"/>
      <c r="P255" s="12"/>
    </row>
    <row r="256">
      <c r="D256" s="95"/>
      <c r="E256" s="14"/>
      <c r="H256" s="12"/>
      <c r="I256" s="12"/>
      <c r="J256" s="12"/>
      <c r="K256" s="12"/>
      <c r="L256" s="12"/>
      <c r="M256" s="12"/>
      <c r="N256" s="12"/>
      <c r="O256" s="12"/>
      <c r="P256" s="12"/>
    </row>
    <row r="257">
      <c r="D257" s="95"/>
      <c r="E257" s="14"/>
      <c r="H257" s="12"/>
      <c r="I257" s="12"/>
      <c r="J257" s="12"/>
      <c r="K257" s="12"/>
      <c r="L257" s="12"/>
      <c r="M257" s="12"/>
      <c r="N257" s="12"/>
      <c r="O257" s="12"/>
      <c r="P257" s="12"/>
    </row>
    <row r="258">
      <c r="D258" s="95"/>
      <c r="E258" s="14"/>
      <c r="H258" s="12"/>
      <c r="I258" s="12"/>
      <c r="J258" s="12"/>
      <c r="K258" s="12"/>
      <c r="L258" s="12"/>
      <c r="M258" s="12"/>
      <c r="N258" s="12"/>
      <c r="O258" s="12"/>
      <c r="P258" s="12"/>
    </row>
    <row r="259">
      <c r="D259" s="95"/>
      <c r="E259" s="14"/>
      <c r="H259" s="12"/>
      <c r="I259" s="12"/>
      <c r="J259" s="12"/>
      <c r="K259" s="12"/>
      <c r="L259" s="12"/>
      <c r="M259" s="12"/>
      <c r="N259" s="12"/>
      <c r="O259" s="12"/>
      <c r="P259" s="12"/>
    </row>
    <row r="260">
      <c r="D260" s="95"/>
      <c r="E260" s="14"/>
      <c r="H260" s="12"/>
      <c r="I260" s="12"/>
      <c r="J260" s="12"/>
      <c r="K260" s="12"/>
      <c r="L260" s="12"/>
      <c r="M260" s="12"/>
      <c r="N260" s="12"/>
      <c r="O260" s="12"/>
      <c r="P260" s="12"/>
    </row>
    <row r="261">
      <c r="D261" s="95"/>
      <c r="E261" s="14"/>
      <c r="H261" s="12"/>
      <c r="I261" s="12"/>
      <c r="J261" s="12"/>
      <c r="K261" s="12"/>
      <c r="L261" s="12"/>
      <c r="M261" s="12"/>
      <c r="N261" s="12"/>
      <c r="O261" s="12"/>
      <c r="P261" s="12"/>
    </row>
    <row r="262">
      <c r="D262" s="95"/>
      <c r="E262" s="14"/>
      <c r="H262" s="12"/>
      <c r="I262" s="12"/>
      <c r="J262" s="12"/>
      <c r="K262" s="12"/>
      <c r="L262" s="12"/>
      <c r="M262" s="12"/>
      <c r="N262" s="12"/>
      <c r="O262" s="12"/>
      <c r="P262" s="12"/>
    </row>
    <row r="263">
      <c r="D263" s="95"/>
      <c r="E263" s="14"/>
      <c r="H263" s="12"/>
      <c r="I263" s="12"/>
      <c r="J263" s="12"/>
      <c r="K263" s="12"/>
      <c r="L263" s="12"/>
      <c r="M263" s="12"/>
      <c r="N263" s="12"/>
      <c r="O263" s="12"/>
      <c r="P263" s="12"/>
    </row>
    <row r="264">
      <c r="D264" s="95"/>
      <c r="E264" s="14"/>
      <c r="H264" s="12"/>
      <c r="I264" s="12"/>
      <c r="J264" s="12"/>
      <c r="K264" s="12"/>
      <c r="L264" s="12"/>
      <c r="M264" s="12"/>
      <c r="N264" s="12"/>
      <c r="O264" s="12"/>
      <c r="P264" s="12"/>
    </row>
    <row r="265">
      <c r="D265" s="95"/>
      <c r="E265" s="14"/>
      <c r="H265" s="12"/>
      <c r="I265" s="12"/>
      <c r="J265" s="12"/>
      <c r="K265" s="12"/>
      <c r="L265" s="12"/>
      <c r="M265" s="12"/>
      <c r="N265" s="12"/>
      <c r="O265" s="12"/>
      <c r="P265" s="12"/>
    </row>
    <row r="266">
      <c r="D266" s="95"/>
      <c r="E266" s="14"/>
      <c r="H266" s="12"/>
      <c r="I266" s="12"/>
      <c r="J266" s="12"/>
      <c r="K266" s="12"/>
      <c r="L266" s="12"/>
      <c r="M266" s="12"/>
      <c r="N266" s="12"/>
      <c r="O266" s="12"/>
      <c r="P266" s="12"/>
    </row>
    <row r="267">
      <c r="D267" s="95"/>
      <c r="E267" s="14"/>
      <c r="H267" s="12"/>
      <c r="I267" s="12"/>
      <c r="J267" s="12"/>
      <c r="K267" s="12"/>
      <c r="L267" s="12"/>
      <c r="M267" s="12"/>
      <c r="N267" s="12"/>
      <c r="O267" s="12"/>
      <c r="P267" s="12"/>
    </row>
    <row r="268">
      <c r="D268" s="95"/>
      <c r="E268" s="14"/>
      <c r="H268" s="12"/>
      <c r="I268" s="12"/>
      <c r="J268" s="12"/>
      <c r="K268" s="12"/>
      <c r="L268" s="12"/>
      <c r="M268" s="12"/>
      <c r="N268" s="12"/>
      <c r="O268" s="12"/>
      <c r="P268" s="12"/>
    </row>
    <row r="269">
      <c r="D269" s="95"/>
      <c r="E269" s="14"/>
      <c r="H269" s="12"/>
      <c r="I269" s="12"/>
      <c r="J269" s="12"/>
      <c r="K269" s="12"/>
      <c r="L269" s="12"/>
      <c r="M269" s="12"/>
      <c r="N269" s="12"/>
      <c r="O269" s="12"/>
      <c r="P269" s="12"/>
    </row>
    <row r="270">
      <c r="D270" s="95"/>
      <c r="E270" s="14"/>
      <c r="H270" s="12"/>
      <c r="I270" s="12"/>
      <c r="J270" s="12"/>
      <c r="K270" s="12"/>
      <c r="L270" s="12"/>
      <c r="M270" s="12"/>
      <c r="N270" s="12"/>
      <c r="O270" s="12"/>
      <c r="P270" s="12"/>
    </row>
    <row r="271">
      <c r="D271" s="95"/>
      <c r="E271" s="14"/>
      <c r="H271" s="12"/>
      <c r="I271" s="12"/>
      <c r="J271" s="12"/>
      <c r="K271" s="12"/>
      <c r="L271" s="12"/>
      <c r="M271" s="12"/>
      <c r="N271" s="12"/>
      <c r="O271" s="12"/>
      <c r="P271" s="12"/>
    </row>
    <row r="272">
      <c r="D272" s="95"/>
      <c r="E272" s="14"/>
      <c r="H272" s="12"/>
      <c r="I272" s="12"/>
      <c r="J272" s="12"/>
      <c r="K272" s="12"/>
      <c r="L272" s="12"/>
      <c r="M272" s="12"/>
      <c r="N272" s="12"/>
      <c r="O272" s="12"/>
      <c r="P272" s="12"/>
    </row>
    <row r="273">
      <c r="D273" s="95"/>
      <c r="E273" s="14"/>
      <c r="H273" s="12"/>
      <c r="I273" s="12"/>
      <c r="J273" s="12"/>
      <c r="K273" s="12"/>
      <c r="L273" s="12"/>
      <c r="M273" s="12"/>
      <c r="N273" s="12"/>
      <c r="O273" s="12"/>
      <c r="P273" s="12"/>
    </row>
    <row r="274">
      <c r="D274" s="95"/>
      <c r="E274" s="14"/>
      <c r="H274" s="12"/>
      <c r="I274" s="12"/>
      <c r="J274" s="12"/>
      <c r="K274" s="12"/>
      <c r="L274" s="12"/>
      <c r="M274" s="12"/>
      <c r="N274" s="12"/>
      <c r="O274" s="12"/>
      <c r="P274" s="12"/>
    </row>
    <row r="275">
      <c r="D275" s="95"/>
      <c r="E275" s="14"/>
      <c r="H275" s="12"/>
      <c r="I275" s="12"/>
      <c r="J275" s="12"/>
      <c r="K275" s="12"/>
      <c r="L275" s="12"/>
      <c r="M275" s="12"/>
      <c r="N275" s="12"/>
      <c r="O275" s="12"/>
      <c r="P275" s="12"/>
    </row>
    <row r="276">
      <c r="D276" s="95"/>
      <c r="E276" s="14"/>
      <c r="H276" s="12"/>
      <c r="I276" s="12"/>
      <c r="J276" s="12"/>
      <c r="K276" s="12"/>
      <c r="L276" s="12"/>
      <c r="M276" s="12"/>
      <c r="N276" s="12"/>
      <c r="O276" s="12"/>
      <c r="P276" s="12"/>
    </row>
    <row r="277">
      <c r="D277" s="95"/>
      <c r="E277" s="14"/>
      <c r="H277" s="12"/>
      <c r="I277" s="12"/>
      <c r="J277" s="12"/>
      <c r="K277" s="12"/>
      <c r="L277" s="12"/>
      <c r="M277" s="12"/>
      <c r="N277" s="12"/>
      <c r="O277" s="12"/>
      <c r="P277" s="12"/>
    </row>
    <row r="278">
      <c r="D278" s="95"/>
      <c r="E278" s="14"/>
      <c r="H278" s="12"/>
      <c r="I278" s="12"/>
      <c r="J278" s="12"/>
      <c r="K278" s="12"/>
      <c r="L278" s="12"/>
      <c r="M278" s="12"/>
      <c r="N278" s="12"/>
      <c r="O278" s="12"/>
      <c r="P278" s="12"/>
    </row>
    <row r="279">
      <c r="D279" s="95"/>
      <c r="E279" s="14"/>
      <c r="H279" s="12"/>
      <c r="I279" s="12"/>
      <c r="J279" s="12"/>
      <c r="K279" s="12"/>
      <c r="L279" s="12"/>
      <c r="M279" s="12"/>
      <c r="N279" s="12"/>
      <c r="O279" s="12"/>
      <c r="P279" s="12"/>
    </row>
    <row r="280">
      <c r="D280" s="95"/>
      <c r="E280" s="14"/>
      <c r="H280" s="12"/>
      <c r="I280" s="12"/>
      <c r="J280" s="12"/>
      <c r="K280" s="12"/>
      <c r="L280" s="12"/>
      <c r="M280" s="12"/>
      <c r="N280" s="12"/>
      <c r="O280" s="12"/>
      <c r="P280" s="12"/>
    </row>
    <row r="281">
      <c r="D281" s="95"/>
      <c r="E281" s="14"/>
      <c r="H281" s="12"/>
      <c r="I281" s="12"/>
      <c r="J281" s="12"/>
      <c r="K281" s="12"/>
      <c r="L281" s="12"/>
      <c r="M281" s="12"/>
      <c r="N281" s="12"/>
      <c r="O281" s="12"/>
      <c r="P281" s="12"/>
    </row>
    <row r="282">
      <c r="D282" s="95"/>
      <c r="E282" s="14"/>
      <c r="H282" s="12"/>
      <c r="I282" s="12"/>
      <c r="J282" s="12"/>
      <c r="K282" s="12"/>
      <c r="L282" s="12"/>
      <c r="M282" s="12"/>
      <c r="N282" s="12"/>
      <c r="O282" s="12"/>
      <c r="P282" s="12"/>
    </row>
    <row r="283">
      <c r="D283" s="95"/>
      <c r="E283" s="14"/>
      <c r="H283" s="12"/>
      <c r="I283" s="12"/>
      <c r="J283" s="12"/>
      <c r="K283" s="12"/>
      <c r="L283" s="12"/>
      <c r="M283" s="12"/>
      <c r="N283" s="12"/>
      <c r="O283" s="12"/>
      <c r="P283" s="12"/>
    </row>
    <row r="284">
      <c r="D284" s="95"/>
      <c r="E284" s="14"/>
      <c r="H284" s="12"/>
      <c r="I284" s="12"/>
      <c r="J284" s="12"/>
      <c r="K284" s="12"/>
      <c r="L284" s="12"/>
      <c r="M284" s="12"/>
      <c r="N284" s="12"/>
      <c r="O284" s="12"/>
      <c r="P284" s="12"/>
    </row>
    <row r="285">
      <c r="D285" s="95"/>
      <c r="E285" s="14"/>
      <c r="H285" s="12"/>
      <c r="I285" s="12"/>
      <c r="J285" s="12"/>
      <c r="K285" s="12"/>
      <c r="L285" s="12"/>
      <c r="M285" s="12"/>
      <c r="N285" s="12"/>
      <c r="O285" s="12"/>
      <c r="P285" s="12"/>
    </row>
    <row r="286">
      <c r="D286" s="95"/>
      <c r="E286" s="14"/>
      <c r="H286" s="12"/>
      <c r="I286" s="12"/>
      <c r="J286" s="12"/>
      <c r="K286" s="12"/>
      <c r="L286" s="12"/>
      <c r="M286" s="12"/>
      <c r="N286" s="12"/>
      <c r="O286" s="12"/>
      <c r="P286" s="12"/>
    </row>
    <row r="287">
      <c r="D287" s="95"/>
      <c r="E287" s="14"/>
      <c r="H287" s="12"/>
      <c r="I287" s="12"/>
      <c r="J287" s="12"/>
      <c r="K287" s="12"/>
      <c r="L287" s="12"/>
      <c r="M287" s="12"/>
      <c r="N287" s="12"/>
      <c r="O287" s="12"/>
      <c r="P287" s="12"/>
    </row>
    <row r="288">
      <c r="D288" s="95"/>
      <c r="E288" s="14"/>
      <c r="H288" s="12"/>
      <c r="I288" s="12"/>
      <c r="J288" s="12"/>
      <c r="K288" s="12"/>
      <c r="L288" s="12"/>
      <c r="M288" s="12"/>
      <c r="N288" s="12"/>
      <c r="O288" s="12"/>
      <c r="P288" s="12"/>
    </row>
    <row r="289">
      <c r="D289" s="95"/>
      <c r="E289" s="14"/>
      <c r="H289" s="12"/>
      <c r="I289" s="12"/>
      <c r="J289" s="12"/>
      <c r="K289" s="12"/>
      <c r="L289" s="12"/>
      <c r="M289" s="12"/>
      <c r="N289" s="12"/>
      <c r="O289" s="12"/>
      <c r="P289" s="12"/>
    </row>
    <row r="290">
      <c r="D290" s="95"/>
      <c r="E290" s="14"/>
      <c r="H290" s="12"/>
      <c r="I290" s="12"/>
      <c r="J290" s="12"/>
      <c r="K290" s="12"/>
      <c r="L290" s="12"/>
      <c r="M290" s="12"/>
      <c r="N290" s="12"/>
      <c r="O290" s="12"/>
      <c r="P290" s="12"/>
    </row>
    <row r="291">
      <c r="D291" s="95"/>
      <c r="E291" s="14"/>
      <c r="H291" s="12"/>
      <c r="I291" s="12"/>
      <c r="J291" s="12"/>
      <c r="K291" s="12"/>
      <c r="L291" s="12"/>
      <c r="M291" s="12"/>
      <c r="N291" s="12"/>
      <c r="O291" s="12"/>
      <c r="P291" s="12"/>
    </row>
    <row r="292">
      <c r="D292" s="95"/>
      <c r="E292" s="14"/>
      <c r="H292" s="12"/>
      <c r="I292" s="12"/>
      <c r="J292" s="12"/>
      <c r="K292" s="12"/>
      <c r="L292" s="12"/>
      <c r="M292" s="12"/>
      <c r="N292" s="12"/>
      <c r="O292" s="12"/>
      <c r="P292" s="12"/>
    </row>
    <row r="293">
      <c r="D293" s="95"/>
      <c r="E293" s="14"/>
      <c r="H293" s="12"/>
      <c r="I293" s="12"/>
      <c r="J293" s="12"/>
      <c r="K293" s="12"/>
      <c r="L293" s="12"/>
      <c r="M293" s="12"/>
      <c r="N293" s="12"/>
      <c r="O293" s="12"/>
      <c r="P293" s="12"/>
    </row>
    <row r="294">
      <c r="D294" s="95"/>
      <c r="E294" s="14"/>
      <c r="H294" s="12"/>
      <c r="I294" s="12"/>
      <c r="J294" s="12"/>
      <c r="K294" s="12"/>
      <c r="L294" s="12"/>
      <c r="M294" s="12"/>
      <c r="N294" s="12"/>
      <c r="O294" s="12"/>
      <c r="P294" s="12"/>
    </row>
    <row r="295">
      <c r="D295" s="95"/>
      <c r="E295" s="14"/>
      <c r="H295" s="12"/>
      <c r="I295" s="12"/>
      <c r="J295" s="12"/>
      <c r="K295" s="12"/>
      <c r="L295" s="12"/>
      <c r="M295" s="12"/>
      <c r="N295" s="12"/>
      <c r="O295" s="12"/>
      <c r="P295" s="12"/>
    </row>
    <row r="296">
      <c r="D296" s="95"/>
      <c r="E296" s="14"/>
      <c r="H296" s="12"/>
      <c r="I296" s="12"/>
      <c r="J296" s="12"/>
      <c r="K296" s="12"/>
      <c r="L296" s="12"/>
      <c r="M296" s="12"/>
      <c r="N296" s="12"/>
      <c r="O296" s="12"/>
      <c r="P296" s="12"/>
    </row>
    <row r="297">
      <c r="D297" s="95"/>
      <c r="E297" s="14"/>
      <c r="H297" s="12"/>
      <c r="I297" s="12"/>
      <c r="J297" s="12"/>
      <c r="K297" s="12"/>
      <c r="L297" s="12"/>
      <c r="M297" s="12"/>
      <c r="N297" s="12"/>
      <c r="O297" s="12"/>
      <c r="P297" s="12"/>
    </row>
    <row r="298">
      <c r="D298" s="95"/>
      <c r="E298" s="14"/>
      <c r="H298" s="12"/>
      <c r="I298" s="12"/>
      <c r="J298" s="12"/>
      <c r="K298" s="12"/>
      <c r="L298" s="12"/>
      <c r="M298" s="12"/>
      <c r="N298" s="12"/>
      <c r="O298" s="12"/>
      <c r="P298" s="12"/>
    </row>
    <row r="299">
      <c r="D299" s="95"/>
      <c r="E299" s="14"/>
      <c r="H299" s="12"/>
      <c r="I299" s="12"/>
      <c r="J299" s="12"/>
      <c r="K299" s="12"/>
      <c r="L299" s="12"/>
      <c r="M299" s="12"/>
      <c r="N299" s="12"/>
      <c r="O299" s="12"/>
      <c r="P299" s="12"/>
    </row>
    <row r="300">
      <c r="D300" s="95"/>
      <c r="E300" s="14"/>
      <c r="H300" s="12"/>
      <c r="I300" s="12"/>
      <c r="J300" s="12"/>
      <c r="K300" s="12"/>
      <c r="L300" s="12"/>
      <c r="M300" s="12"/>
      <c r="N300" s="12"/>
      <c r="O300" s="12"/>
      <c r="P300" s="12"/>
    </row>
    <row r="301">
      <c r="D301" s="95"/>
      <c r="E301" s="14"/>
      <c r="H301" s="12"/>
      <c r="I301" s="12"/>
      <c r="J301" s="12"/>
      <c r="K301" s="12"/>
      <c r="L301" s="12"/>
      <c r="M301" s="12"/>
      <c r="N301" s="12"/>
      <c r="O301" s="12"/>
      <c r="P301" s="12"/>
    </row>
    <row r="302">
      <c r="D302" s="95"/>
      <c r="E302" s="14"/>
      <c r="H302" s="12"/>
      <c r="I302" s="12"/>
      <c r="J302" s="12"/>
      <c r="K302" s="12"/>
      <c r="L302" s="12"/>
      <c r="M302" s="12"/>
      <c r="N302" s="12"/>
      <c r="O302" s="12"/>
      <c r="P302" s="12"/>
    </row>
    <row r="303">
      <c r="D303" s="95"/>
      <c r="E303" s="14"/>
      <c r="H303" s="12"/>
      <c r="I303" s="12"/>
      <c r="J303" s="12"/>
      <c r="K303" s="12"/>
      <c r="L303" s="12"/>
      <c r="M303" s="12"/>
      <c r="N303" s="12"/>
      <c r="O303" s="12"/>
      <c r="P303" s="12"/>
    </row>
    <row r="304">
      <c r="D304" s="95"/>
      <c r="E304" s="14"/>
      <c r="H304" s="12"/>
      <c r="I304" s="12"/>
      <c r="J304" s="12"/>
      <c r="K304" s="12"/>
      <c r="L304" s="12"/>
      <c r="M304" s="12"/>
      <c r="N304" s="12"/>
      <c r="O304" s="12"/>
      <c r="P304" s="12"/>
    </row>
    <row r="305">
      <c r="D305" s="95"/>
      <c r="E305" s="14"/>
      <c r="H305" s="12"/>
      <c r="I305" s="12"/>
      <c r="J305" s="12"/>
      <c r="K305" s="12"/>
      <c r="L305" s="12"/>
      <c r="M305" s="12"/>
      <c r="N305" s="12"/>
      <c r="O305" s="12"/>
      <c r="P305" s="12"/>
    </row>
    <row r="306">
      <c r="D306" s="95"/>
      <c r="E306" s="14"/>
      <c r="H306" s="12"/>
      <c r="I306" s="12"/>
      <c r="J306" s="12"/>
      <c r="K306" s="12"/>
      <c r="L306" s="12"/>
      <c r="M306" s="12"/>
      <c r="N306" s="12"/>
      <c r="O306" s="12"/>
      <c r="P306" s="12"/>
    </row>
    <row r="307">
      <c r="D307" s="95"/>
      <c r="E307" s="14"/>
      <c r="H307" s="12"/>
      <c r="I307" s="12"/>
      <c r="J307" s="12"/>
      <c r="K307" s="12"/>
      <c r="L307" s="12"/>
      <c r="M307" s="12"/>
      <c r="N307" s="12"/>
      <c r="O307" s="12"/>
      <c r="P307" s="12"/>
    </row>
    <row r="308">
      <c r="D308" s="95"/>
      <c r="E308" s="14"/>
      <c r="H308" s="12"/>
      <c r="I308" s="12"/>
      <c r="J308" s="12"/>
      <c r="K308" s="12"/>
      <c r="L308" s="12"/>
      <c r="M308" s="12"/>
      <c r="N308" s="12"/>
      <c r="O308" s="12"/>
      <c r="P308" s="12"/>
    </row>
    <row r="309">
      <c r="D309" s="95"/>
      <c r="E309" s="14"/>
      <c r="H309" s="12"/>
      <c r="I309" s="12"/>
      <c r="J309" s="12"/>
      <c r="K309" s="12"/>
      <c r="L309" s="12"/>
      <c r="M309" s="12"/>
      <c r="N309" s="12"/>
      <c r="O309" s="12"/>
      <c r="P309" s="12"/>
    </row>
    <row r="310">
      <c r="D310" s="95"/>
      <c r="E310" s="14"/>
      <c r="H310" s="12"/>
      <c r="I310" s="12"/>
      <c r="J310" s="12"/>
      <c r="K310" s="12"/>
      <c r="L310" s="12"/>
      <c r="M310" s="12"/>
      <c r="N310" s="12"/>
      <c r="O310" s="12"/>
      <c r="P310" s="12"/>
    </row>
    <row r="311">
      <c r="D311" s="95"/>
      <c r="E311" s="14"/>
      <c r="H311" s="12"/>
      <c r="I311" s="12"/>
      <c r="J311" s="12"/>
      <c r="K311" s="12"/>
      <c r="L311" s="12"/>
      <c r="M311" s="12"/>
      <c r="N311" s="12"/>
      <c r="O311" s="12"/>
      <c r="P311" s="12"/>
    </row>
    <row r="312">
      <c r="D312" s="95"/>
      <c r="E312" s="14"/>
      <c r="H312" s="12"/>
      <c r="I312" s="12"/>
      <c r="J312" s="12"/>
      <c r="K312" s="12"/>
      <c r="L312" s="12"/>
      <c r="M312" s="12"/>
      <c r="N312" s="12"/>
      <c r="O312" s="12"/>
      <c r="P312" s="12"/>
    </row>
    <row r="313">
      <c r="D313" s="95"/>
      <c r="E313" s="14"/>
      <c r="H313" s="12"/>
      <c r="I313" s="12"/>
      <c r="J313" s="12"/>
      <c r="K313" s="12"/>
      <c r="L313" s="12"/>
      <c r="M313" s="12"/>
      <c r="N313" s="12"/>
      <c r="O313" s="12"/>
      <c r="P313" s="12"/>
    </row>
    <row r="314">
      <c r="D314" s="95"/>
      <c r="E314" s="14"/>
      <c r="H314" s="12"/>
      <c r="I314" s="12"/>
      <c r="J314" s="12"/>
      <c r="K314" s="12"/>
      <c r="L314" s="12"/>
      <c r="M314" s="12"/>
      <c r="N314" s="12"/>
      <c r="O314" s="12"/>
      <c r="P314" s="12"/>
    </row>
    <row r="315">
      <c r="D315" s="95"/>
      <c r="E315" s="14"/>
      <c r="H315" s="12"/>
      <c r="I315" s="12"/>
      <c r="J315" s="12"/>
      <c r="K315" s="12"/>
      <c r="L315" s="12"/>
      <c r="M315" s="12"/>
      <c r="N315" s="12"/>
      <c r="O315" s="12"/>
      <c r="P315" s="12"/>
    </row>
    <row r="316">
      <c r="D316" s="95"/>
      <c r="E316" s="14"/>
      <c r="H316" s="12"/>
      <c r="I316" s="12"/>
      <c r="J316" s="12"/>
      <c r="K316" s="12"/>
      <c r="L316" s="12"/>
      <c r="M316" s="12"/>
      <c r="N316" s="12"/>
      <c r="O316" s="12"/>
      <c r="P316" s="12"/>
    </row>
    <row r="317">
      <c r="D317" s="95"/>
      <c r="E317" s="14"/>
      <c r="H317" s="12"/>
      <c r="I317" s="12"/>
      <c r="J317" s="12"/>
      <c r="K317" s="12"/>
      <c r="L317" s="12"/>
      <c r="M317" s="12"/>
      <c r="N317" s="12"/>
      <c r="O317" s="12"/>
      <c r="P317" s="12"/>
    </row>
    <row r="318">
      <c r="D318" s="95"/>
      <c r="E318" s="14"/>
      <c r="H318" s="12"/>
      <c r="I318" s="12"/>
      <c r="J318" s="12"/>
      <c r="K318" s="12"/>
      <c r="L318" s="12"/>
      <c r="M318" s="12"/>
      <c r="N318" s="12"/>
      <c r="O318" s="12"/>
      <c r="P318" s="12"/>
    </row>
    <row r="319">
      <c r="D319" s="95"/>
      <c r="E319" s="14"/>
      <c r="H319" s="12"/>
      <c r="I319" s="12"/>
      <c r="J319" s="12"/>
      <c r="K319" s="12"/>
      <c r="L319" s="12"/>
      <c r="M319" s="12"/>
      <c r="N319" s="12"/>
      <c r="O319" s="12"/>
      <c r="P319" s="12"/>
    </row>
    <row r="320">
      <c r="D320" s="95"/>
      <c r="E320" s="14"/>
      <c r="H320" s="12"/>
      <c r="I320" s="12"/>
      <c r="J320" s="12"/>
      <c r="K320" s="12"/>
      <c r="L320" s="12"/>
      <c r="M320" s="12"/>
      <c r="N320" s="12"/>
      <c r="O320" s="12"/>
      <c r="P320" s="12"/>
    </row>
    <row r="321">
      <c r="D321" s="95"/>
      <c r="E321" s="14"/>
      <c r="H321" s="12"/>
      <c r="I321" s="12"/>
      <c r="J321" s="12"/>
      <c r="K321" s="12"/>
      <c r="L321" s="12"/>
      <c r="M321" s="12"/>
      <c r="N321" s="12"/>
      <c r="O321" s="12"/>
      <c r="P321" s="12"/>
    </row>
    <row r="322">
      <c r="D322" s="95"/>
      <c r="E322" s="14"/>
      <c r="H322" s="12"/>
      <c r="I322" s="12"/>
      <c r="J322" s="12"/>
      <c r="K322" s="12"/>
      <c r="L322" s="12"/>
      <c r="M322" s="12"/>
      <c r="N322" s="12"/>
      <c r="O322" s="12"/>
      <c r="P322" s="12"/>
    </row>
    <row r="323">
      <c r="D323" s="95"/>
      <c r="E323" s="14"/>
      <c r="H323" s="12"/>
      <c r="I323" s="12"/>
      <c r="J323" s="12"/>
      <c r="K323" s="12"/>
      <c r="L323" s="12"/>
      <c r="M323" s="12"/>
      <c r="N323" s="12"/>
      <c r="O323" s="12"/>
      <c r="P323" s="12"/>
    </row>
    <row r="324">
      <c r="D324" s="95"/>
      <c r="E324" s="14"/>
      <c r="H324" s="12"/>
      <c r="I324" s="12"/>
      <c r="J324" s="12"/>
      <c r="K324" s="12"/>
      <c r="L324" s="12"/>
      <c r="M324" s="12"/>
      <c r="N324" s="12"/>
      <c r="O324" s="12"/>
      <c r="P324" s="12"/>
    </row>
    <row r="325">
      <c r="D325" s="95"/>
      <c r="E325" s="14"/>
      <c r="H325" s="12"/>
      <c r="I325" s="12"/>
      <c r="J325" s="12"/>
      <c r="K325" s="12"/>
      <c r="L325" s="12"/>
      <c r="M325" s="12"/>
      <c r="N325" s="12"/>
      <c r="O325" s="12"/>
      <c r="P325" s="12"/>
    </row>
    <row r="326">
      <c r="D326" s="95"/>
      <c r="E326" s="14"/>
      <c r="H326" s="12"/>
      <c r="I326" s="12"/>
      <c r="J326" s="12"/>
      <c r="K326" s="12"/>
      <c r="L326" s="12"/>
      <c r="M326" s="12"/>
      <c r="N326" s="12"/>
      <c r="O326" s="12"/>
      <c r="P326" s="12"/>
    </row>
    <row r="327">
      <c r="D327" s="95"/>
      <c r="E327" s="14"/>
      <c r="H327" s="12"/>
      <c r="I327" s="12"/>
      <c r="J327" s="12"/>
      <c r="K327" s="12"/>
      <c r="L327" s="12"/>
      <c r="M327" s="12"/>
      <c r="N327" s="12"/>
      <c r="O327" s="12"/>
      <c r="P327" s="12"/>
    </row>
    <row r="328">
      <c r="D328" s="95"/>
      <c r="E328" s="14"/>
      <c r="H328" s="12"/>
      <c r="I328" s="12"/>
      <c r="J328" s="12"/>
      <c r="K328" s="12"/>
      <c r="L328" s="12"/>
      <c r="M328" s="12"/>
      <c r="N328" s="12"/>
      <c r="O328" s="12"/>
      <c r="P328" s="12"/>
    </row>
    <row r="329">
      <c r="D329" s="95"/>
      <c r="E329" s="14"/>
      <c r="H329" s="12"/>
      <c r="I329" s="12"/>
      <c r="J329" s="12"/>
      <c r="K329" s="12"/>
      <c r="L329" s="12"/>
      <c r="M329" s="12"/>
      <c r="N329" s="12"/>
      <c r="O329" s="12"/>
      <c r="P329" s="12"/>
    </row>
    <row r="330">
      <c r="D330" s="95"/>
      <c r="E330" s="14"/>
      <c r="H330" s="12"/>
      <c r="I330" s="12"/>
      <c r="J330" s="12"/>
      <c r="K330" s="12"/>
      <c r="L330" s="12"/>
      <c r="M330" s="12"/>
      <c r="N330" s="12"/>
      <c r="O330" s="12"/>
      <c r="P330" s="12"/>
    </row>
    <row r="331">
      <c r="D331" s="95"/>
      <c r="E331" s="14"/>
      <c r="H331" s="12"/>
      <c r="I331" s="12"/>
      <c r="J331" s="12"/>
      <c r="K331" s="12"/>
      <c r="L331" s="12"/>
      <c r="M331" s="12"/>
      <c r="N331" s="12"/>
      <c r="O331" s="12"/>
      <c r="P331" s="12"/>
    </row>
    <row r="332">
      <c r="D332" s="95"/>
      <c r="E332" s="14"/>
      <c r="H332" s="12"/>
      <c r="I332" s="12"/>
      <c r="J332" s="12"/>
      <c r="K332" s="12"/>
      <c r="L332" s="12"/>
      <c r="M332" s="12"/>
      <c r="N332" s="12"/>
      <c r="O332" s="12"/>
      <c r="P332" s="12"/>
    </row>
    <row r="333">
      <c r="D333" s="95"/>
      <c r="E333" s="14"/>
      <c r="H333" s="12"/>
      <c r="I333" s="12"/>
      <c r="J333" s="12"/>
      <c r="K333" s="12"/>
      <c r="L333" s="12"/>
      <c r="M333" s="12"/>
      <c r="N333" s="12"/>
      <c r="O333" s="12"/>
      <c r="P333" s="12"/>
    </row>
    <row r="334">
      <c r="D334" s="95"/>
      <c r="E334" s="14"/>
      <c r="H334" s="12"/>
      <c r="I334" s="12"/>
      <c r="J334" s="12"/>
      <c r="K334" s="12"/>
      <c r="L334" s="12"/>
      <c r="M334" s="12"/>
      <c r="N334" s="12"/>
      <c r="O334" s="12"/>
      <c r="P334" s="12"/>
    </row>
    <row r="335">
      <c r="D335" s="95"/>
      <c r="E335" s="14"/>
      <c r="H335" s="12"/>
      <c r="I335" s="12"/>
      <c r="J335" s="12"/>
      <c r="K335" s="12"/>
      <c r="L335" s="12"/>
      <c r="M335" s="12"/>
      <c r="N335" s="12"/>
      <c r="O335" s="12"/>
      <c r="P335" s="12"/>
    </row>
    <row r="336">
      <c r="D336" s="95"/>
      <c r="E336" s="14"/>
      <c r="H336" s="12"/>
      <c r="I336" s="12"/>
      <c r="J336" s="12"/>
      <c r="K336" s="12"/>
      <c r="L336" s="12"/>
      <c r="M336" s="12"/>
      <c r="N336" s="12"/>
      <c r="O336" s="12"/>
      <c r="P336" s="12"/>
    </row>
    <row r="337">
      <c r="D337" s="95"/>
      <c r="E337" s="14"/>
      <c r="H337" s="12"/>
      <c r="I337" s="12"/>
      <c r="J337" s="12"/>
      <c r="K337" s="12"/>
      <c r="L337" s="12"/>
      <c r="M337" s="12"/>
      <c r="N337" s="12"/>
      <c r="O337" s="12"/>
      <c r="P337" s="12"/>
    </row>
    <row r="338">
      <c r="D338" s="95"/>
      <c r="E338" s="14"/>
      <c r="H338" s="12"/>
      <c r="I338" s="12"/>
      <c r="J338" s="12"/>
      <c r="K338" s="12"/>
      <c r="L338" s="12"/>
      <c r="M338" s="12"/>
      <c r="N338" s="12"/>
      <c r="O338" s="12"/>
      <c r="P338" s="12"/>
    </row>
    <row r="339">
      <c r="D339" s="95"/>
      <c r="E339" s="14"/>
      <c r="H339" s="12"/>
      <c r="I339" s="12"/>
      <c r="J339" s="12"/>
      <c r="K339" s="12"/>
      <c r="L339" s="12"/>
      <c r="M339" s="12"/>
      <c r="N339" s="12"/>
      <c r="O339" s="12"/>
      <c r="P339" s="12"/>
    </row>
    <row r="340">
      <c r="D340" s="95"/>
      <c r="E340" s="14"/>
      <c r="H340" s="12"/>
      <c r="I340" s="12"/>
      <c r="J340" s="12"/>
      <c r="K340" s="12"/>
      <c r="L340" s="12"/>
      <c r="M340" s="12"/>
      <c r="N340" s="12"/>
      <c r="O340" s="12"/>
      <c r="P340" s="12"/>
    </row>
    <row r="341">
      <c r="D341" s="95"/>
      <c r="E341" s="14"/>
      <c r="H341" s="12"/>
      <c r="I341" s="12"/>
      <c r="J341" s="12"/>
      <c r="K341" s="12"/>
      <c r="L341" s="12"/>
      <c r="M341" s="12"/>
      <c r="N341" s="12"/>
      <c r="O341" s="12"/>
      <c r="P341" s="12"/>
    </row>
    <row r="342">
      <c r="D342" s="95"/>
      <c r="E342" s="14"/>
      <c r="H342" s="12"/>
      <c r="I342" s="12"/>
      <c r="J342" s="12"/>
      <c r="K342" s="12"/>
      <c r="L342" s="12"/>
      <c r="M342" s="12"/>
      <c r="N342" s="12"/>
      <c r="O342" s="12"/>
      <c r="P342" s="12"/>
    </row>
    <row r="343">
      <c r="D343" s="95"/>
      <c r="E343" s="14"/>
      <c r="H343" s="12"/>
      <c r="I343" s="12"/>
      <c r="J343" s="12"/>
      <c r="K343" s="12"/>
      <c r="L343" s="12"/>
      <c r="M343" s="12"/>
      <c r="N343" s="12"/>
      <c r="O343" s="12"/>
      <c r="P343" s="12"/>
    </row>
    <row r="344">
      <c r="D344" s="95"/>
      <c r="E344" s="14"/>
      <c r="H344" s="12"/>
      <c r="I344" s="12"/>
      <c r="J344" s="12"/>
      <c r="K344" s="12"/>
      <c r="L344" s="12"/>
      <c r="M344" s="12"/>
      <c r="N344" s="12"/>
      <c r="O344" s="12"/>
      <c r="P344" s="12"/>
    </row>
    <row r="345">
      <c r="D345" s="95"/>
      <c r="E345" s="14"/>
      <c r="H345" s="12"/>
      <c r="I345" s="12"/>
      <c r="J345" s="12"/>
      <c r="K345" s="12"/>
      <c r="L345" s="12"/>
      <c r="M345" s="12"/>
      <c r="N345" s="12"/>
      <c r="O345" s="12"/>
      <c r="P345" s="12"/>
    </row>
    <row r="346">
      <c r="D346" s="95"/>
      <c r="E346" s="14"/>
      <c r="H346" s="12"/>
      <c r="I346" s="12"/>
      <c r="J346" s="12"/>
      <c r="K346" s="12"/>
      <c r="L346" s="12"/>
      <c r="M346" s="12"/>
      <c r="N346" s="12"/>
      <c r="O346" s="12"/>
      <c r="P346" s="12"/>
    </row>
    <row r="347">
      <c r="D347" s="95"/>
      <c r="E347" s="14"/>
      <c r="H347" s="12"/>
      <c r="I347" s="12"/>
      <c r="J347" s="12"/>
      <c r="K347" s="12"/>
      <c r="L347" s="12"/>
      <c r="M347" s="12"/>
      <c r="N347" s="12"/>
      <c r="O347" s="12"/>
      <c r="P347" s="12"/>
    </row>
    <row r="348">
      <c r="D348" s="95"/>
      <c r="E348" s="14"/>
      <c r="H348" s="12"/>
      <c r="I348" s="12"/>
      <c r="J348" s="12"/>
      <c r="K348" s="12"/>
      <c r="L348" s="12"/>
      <c r="M348" s="12"/>
      <c r="N348" s="12"/>
      <c r="O348" s="12"/>
      <c r="P348" s="12"/>
    </row>
    <row r="349">
      <c r="D349" s="95"/>
      <c r="E349" s="14"/>
      <c r="H349" s="12"/>
      <c r="I349" s="12"/>
      <c r="J349" s="12"/>
      <c r="K349" s="12"/>
      <c r="L349" s="12"/>
      <c r="M349" s="12"/>
      <c r="N349" s="12"/>
      <c r="O349" s="12"/>
      <c r="P349" s="12"/>
    </row>
    <row r="350">
      <c r="D350" s="95"/>
      <c r="E350" s="14"/>
      <c r="H350" s="12"/>
      <c r="I350" s="12"/>
      <c r="J350" s="12"/>
      <c r="K350" s="12"/>
      <c r="L350" s="12"/>
      <c r="M350" s="12"/>
      <c r="N350" s="12"/>
      <c r="O350" s="12"/>
      <c r="P350" s="12"/>
    </row>
    <row r="351">
      <c r="D351" s="95"/>
      <c r="E351" s="14"/>
      <c r="H351" s="12"/>
      <c r="I351" s="12"/>
      <c r="J351" s="12"/>
      <c r="K351" s="12"/>
      <c r="L351" s="12"/>
      <c r="M351" s="12"/>
      <c r="N351" s="12"/>
      <c r="O351" s="12"/>
      <c r="P351" s="12"/>
    </row>
    <row r="352">
      <c r="D352" s="95"/>
      <c r="E352" s="14"/>
      <c r="H352" s="12"/>
      <c r="I352" s="12"/>
      <c r="J352" s="12"/>
      <c r="K352" s="12"/>
      <c r="L352" s="12"/>
      <c r="M352" s="12"/>
      <c r="N352" s="12"/>
      <c r="O352" s="12"/>
      <c r="P352" s="12"/>
    </row>
    <row r="353">
      <c r="D353" s="95"/>
      <c r="E353" s="14"/>
      <c r="H353" s="12"/>
      <c r="I353" s="12"/>
      <c r="J353" s="12"/>
      <c r="K353" s="12"/>
      <c r="L353" s="12"/>
      <c r="M353" s="12"/>
      <c r="N353" s="12"/>
      <c r="O353" s="12"/>
      <c r="P353" s="12"/>
    </row>
    <row r="354">
      <c r="D354" s="95"/>
      <c r="E354" s="14"/>
      <c r="H354" s="12"/>
      <c r="I354" s="12"/>
      <c r="J354" s="12"/>
      <c r="K354" s="12"/>
      <c r="L354" s="12"/>
      <c r="M354" s="12"/>
      <c r="N354" s="12"/>
      <c r="O354" s="12"/>
      <c r="P354" s="12"/>
    </row>
    <row r="355">
      <c r="D355" s="95"/>
      <c r="E355" s="14"/>
      <c r="H355" s="12"/>
      <c r="I355" s="12"/>
      <c r="J355" s="12"/>
      <c r="K355" s="12"/>
      <c r="L355" s="12"/>
      <c r="M355" s="12"/>
      <c r="N355" s="12"/>
      <c r="O355" s="12"/>
      <c r="P355" s="12"/>
    </row>
    <row r="356">
      <c r="D356" s="95"/>
      <c r="E356" s="14"/>
      <c r="H356" s="12"/>
      <c r="I356" s="12"/>
      <c r="J356" s="12"/>
      <c r="K356" s="12"/>
      <c r="L356" s="12"/>
      <c r="M356" s="12"/>
      <c r="N356" s="12"/>
      <c r="O356" s="12"/>
      <c r="P356" s="12"/>
    </row>
    <row r="357">
      <c r="D357" s="95"/>
      <c r="E357" s="14"/>
      <c r="H357" s="12"/>
      <c r="I357" s="12"/>
      <c r="J357" s="12"/>
      <c r="K357" s="12"/>
      <c r="L357" s="12"/>
      <c r="M357" s="12"/>
      <c r="N357" s="12"/>
      <c r="O357" s="12"/>
      <c r="P357" s="12"/>
    </row>
    <row r="358">
      <c r="D358" s="95"/>
      <c r="E358" s="14"/>
      <c r="H358" s="12"/>
      <c r="I358" s="12"/>
      <c r="J358" s="12"/>
      <c r="K358" s="12"/>
      <c r="L358" s="12"/>
      <c r="M358" s="12"/>
      <c r="N358" s="12"/>
      <c r="O358" s="12"/>
      <c r="P358" s="12"/>
    </row>
    <row r="359">
      <c r="D359" s="95"/>
      <c r="E359" s="14"/>
      <c r="H359" s="12"/>
      <c r="I359" s="12"/>
      <c r="J359" s="12"/>
      <c r="K359" s="12"/>
      <c r="L359" s="12"/>
      <c r="M359" s="12"/>
      <c r="N359" s="12"/>
      <c r="O359" s="12"/>
      <c r="P359" s="12"/>
    </row>
    <row r="360">
      <c r="D360" s="95"/>
      <c r="E360" s="14"/>
      <c r="H360" s="12"/>
      <c r="I360" s="12"/>
      <c r="J360" s="12"/>
      <c r="K360" s="12"/>
      <c r="L360" s="12"/>
      <c r="M360" s="12"/>
      <c r="N360" s="12"/>
      <c r="O360" s="12"/>
      <c r="P360" s="12"/>
    </row>
    <row r="361">
      <c r="D361" s="95"/>
      <c r="E361" s="14"/>
      <c r="H361" s="12"/>
      <c r="I361" s="12"/>
      <c r="J361" s="12"/>
      <c r="K361" s="12"/>
      <c r="L361" s="12"/>
      <c r="M361" s="12"/>
      <c r="N361" s="12"/>
      <c r="O361" s="12"/>
      <c r="P361" s="12"/>
    </row>
    <row r="362">
      <c r="D362" s="95"/>
      <c r="E362" s="14"/>
      <c r="H362" s="12"/>
      <c r="I362" s="12"/>
      <c r="J362" s="12"/>
      <c r="K362" s="12"/>
      <c r="L362" s="12"/>
      <c r="M362" s="12"/>
      <c r="N362" s="12"/>
      <c r="O362" s="12"/>
      <c r="P362" s="12"/>
    </row>
    <row r="363">
      <c r="D363" s="95"/>
      <c r="E363" s="14"/>
      <c r="H363" s="12"/>
      <c r="I363" s="12"/>
      <c r="J363" s="12"/>
      <c r="K363" s="12"/>
      <c r="L363" s="12"/>
      <c r="M363" s="12"/>
      <c r="N363" s="12"/>
      <c r="O363" s="12"/>
      <c r="P363" s="12"/>
    </row>
    <row r="364">
      <c r="D364" s="95"/>
      <c r="E364" s="14"/>
      <c r="H364" s="12"/>
      <c r="I364" s="12"/>
      <c r="J364" s="12"/>
      <c r="K364" s="12"/>
      <c r="L364" s="12"/>
      <c r="M364" s="12"/>
      <c r="N364" s="12"/>
      <c r="O364" s="12"/>
      <c r="P364" s="12"/>
    </row>
    <row r="365">
      <c r="D365" s="95"/>
      <c r="E365" s="14"/>
      <c r="H365" s="12"/>
      <c r="I365" s="12"/>
      <c r="J365" s="12"/>
      <c r="K365" s="12"/>
      <c r="L365" s="12"/>
      <c r="M365" s="12"/>
      <c r="N365" s="12"/>
      <c r="O365" s="12"/>
      <c r="P365" s="12"/>
    </row>
    <row r="366">
      <c r="D366" s="95"/>
      <c r="E366" s="14"/>
      <c r="H366" s="12"/>
      <c r="I366" s="12"/>
      <c r="J366" s="12"/>
      <c r="K366" s="12"/>
      <c r="L366" s="12"/>
      <c r="M366" s="12"/>
      <c r="N366" s="12"/>
      <c r="O366" s="12"/>
      <c r="P366" s="12"/>
    </row>
    <row r="367">
      <c r="D367" s="95"/>
      <c r="E367" s="14"/>
      <c r="H367" s="12"/>
      <c r="I367" s="12"/>
      <c r="J367" s="12"/>
      <c r="K367" s="12"/>
      <c r="L367" s="12"/>
      <c r="M367" s="12"/>
      <c r="N367" s="12"/>
      <c r="O367" s="12"/>
      <c r="P367" s="12"/>
    </row>
    <row r="368">
      <c r="D368" s="95"/>
      <c r="E368" s="14"/>
      <c r="H368" s="12"/>
      <c r="I368" s="12"/>
      <c r="J368" s="12"/>
      <c r="K368" s="12"/>
      <c r="L368" s="12"/>
      <c r="M368" s="12"/>
      <c r="N368" s="12"/>
      <c r="O368" s="12"/>
      <c r="P368" s="12"/>
    </row>
    <row r="369">
      <c r="D369" s="95"/>
      <c r="E369" s="14"/>
      <c r="H369" s="12"/>
      <c r="I369" s="12"/>
      <c r="J369" s="12"/>
      <c r="K369" s="12"/>
      <c r="L369" s="12"/>
      <c r="M369" s="12"/>
      <c r="N369" s="12"/>
      <c r="O369" s="12"/>
      <c r="P369" s="12"/>
    </row>
    <row r="370">
      <c r="D370" s="95"/>
      <c r="E370" s="14"/>
      <c r="H370" s="12"/>
      <c r="I370" s="12"/>
      <c r="J370" s="12"/>
      <c r="K370" s="12"/>
      <c r="L370" s="12"/>
      <c r="M370" s="12"/>
      <c r="N370" s="12"/>
      <c r="O370" s="12"/>
      <c r="P370" s="12"/>
    </row>
    <row r="371">
      <c r="D371" s="95"/>
      <c r="E371" s="14"/>
      <c r="H371" s="12"/>
      <c r="I371" s="12"/>
      <c r="J371" s="12"/>
      <c r="K371" s="12"/>
      <c r="L371" s="12"/>
      <c r="M371" s="12"/>
      <c r="N371" s="12"/>
      <c r="O371" s="12"/>
      <c r="P371" s="12"/>
    </row>
    <row r="372">
      <c r="D372" s="95"/>
      <c r="E372" s="14"/>
      <c r="H372" s="12"/>
      <c r="I372" s="12"/>
      <c r="J372" s="12"/>
      <c r="K372" s="12"/>
      <c r="L372" s="12"/>
      <c r="M372" s="12"/>
      <c r="N372" s="12"/>
      <c r="O372" s="12"/>
      <c r="P372" s="12"/>
    </row>
    <row r="373">
      <c r="D373" s="95"/>
      <c r="E373" s="14"/>
      <c r="H373" s="12"/>
      <c r="I373" s="12"/>
      <c r="J373" s="12"/>
      <c r="K373" s="12"/>
      <c r="L373" s="12"/>
      <c r="M373" s="12"/>
      <c r="N373" s="12"/>
      <c r="O373" s="12"/>
      <c r="P373" s="12"/>
    </row>
    <row r="374">
      <c r="D374" s="95"/>
      <c r="E374" s="14"/>
      <c r="H374" s="12"/>
      <c r="I374" s="12"/>
      <c r="J374" s="12"/>
      <c r="K374" s="12"/>
      <c r="L374" s="12"/>
      <c r="M374" s="12"/>
      <c r="N374" s="12"/>
      <c r="O374" s="12"/>
      <c r="P374" s="12"/>
    </row>
    <row r="375">
      <c r="D375" s="95"/>
      <c r="E375" s="14"/>
      <c r="H375" s="12"/>
      <c r="I375" s="12"/>
      <c r="J375" s="12"/>
      <c r="K375" s="12"/>
      <c r="L375" s="12"/>
      <c r="M375" s="12"/>
      <c r="N375" s="12"/>
      <c r="O375" s="12"/>
      <c r="P375" s="12"/>
    </row>
    <row r="376">
      <c r="D376" s="95"/>
      <c r="E376" s="14"/>
      <c r="H376" s="12"/>
      <c r="I376" s="12"/>
      <c r="J376" s="12"/>
      <c r="K376" s="12"/>
      <c r="L376" s="12"/>
      <c r="M376" s="12"/>
      <c r="N376" s="12"/>
      <c r="O376" s="12"/>
      <c r="P376" s="12"/>
    </row>
    <row r="377">
      <c r="D377" s="95"/>
      <c r="E377" s="14"/>
      <c r="H377" s="12"/>
      <c r="I377" s="12"/>
      <c r="J377" s="12"/>
      <c r="K377" s="12"/>
      <c r="L377" s="12"/>
      <c r="M377" s="12"/>
      <c r="N377" s="12"/>
      <c r="O377" s="12"/>
      <c r="P377" s="12"/>
    </row>
    <row r="378">
      <c r="D378" s="95"/>
      <c r="E378" s="14"/>
      <c r="H378" s="12"/>
      <c r="I378" s="12"/>
      <c r="J378" s="12"/>
      <c r="K378" s="12"/>
      <c r="L378" s="12"/>
      <c r="M378" s="12"/>
      <c r="N378" s="12"/>
      <c r="O378" s="12"/>
      <c r="P378" s="12"/>
    </row>
    <row r="379">
      <c r="D379" s="95"/>
      <c r="E379" s="14"/>
      <c r="H379" s="12"/>
      <c r="I379" s="12"/>
      <c r="J379" s="12"/>
      <c r="K379" s="12"/>
      <c r="L379" s="12"/>
      <c r="M379" s="12"/>
      <c r="N379" s="12"/>
      <c r="O379" s="12"/>
      <c r="P379" s="12"/>
    </row>
    <row r="380">
      <c r="D380" s="95"/>
      <c r="E380" s="14"/>
      <c r="H380" s="12"/>
      <c r="I380" s="12"/>
      <c r="J380" s="12"/>
      <c r="K380" s="12"/>
      <c r="L380" s="12"/>
      <c r="M380" s="12"/>
      <c r="N380" s="12"/>
      <c r="O380" s="12"/>
      <c r="P380" s="12"/>
    </row>
    <row r="381">
      <c r="D381" s="95"/>
      <c r="E381" s="14"/>
      <c r="H381" s="12"/>
      <c r="I381" s="12"/>
      <c r="J381" s="12"/>
      <c r="K381" s="12"/>
      <c r="L381" s="12"/>
      <c r="M381" s="12"/>
      <c r="N381" s="12"/>
      <c r="O381" s="12"/>
      <c r="P381" s="12"/>
    </row>
    <row r="382">
      <c r="D382" s="95"/>
      <c r="E382" s="14"/>
      <c r="H382" s="12"/>
      <c r="I382" s="12"/>
      <c r="J382" s="12"/>
      <c r="K382" s="12"/>
      <c r="L382" s="12"/>
      <c r="M382" s="12"/>
      <c r="N382" s="12"/>
      <c r="O382" s="12"/>
      <c r="P382" s="12"/>
    </row>
    <row r="383">
      <c r="D383" s="95"/>
      <c r="E383" s="14"/>
      <c r="H383" s="12"/>
      <c r="I383" s="12"/>
      <c r="J383" s="12"/>
      <c r="K383" s="12"/>
      <c r="L383" s="12"/>
      <c r="M383" s="12"/>
      <c r="N383" s="12"/>
      <c r="O383" s="12"/>
      <c r="P383" s="12"/>
    </row>
    <row r="384">
      <c r="D384" s="95"/>
      <c r="E384" s="14"/>
      <c r="H384" s="12"/>
      <c r="I384" s="12"/>
      <c r="J384" s="12"/>
      <c r="K384" s="12"/>
      <c r="L384" s="12"/>
      <c r="M384" s="12"/>
      <c r="N384" s="12"/>
      <c r="O384" s="12"/>
      <c r="P384" s="12"/>
    </row>
    <row r="385">
      <c r="D385" s="95"/>
      <c r="E385" s="14"/>
      <c r="H385" s="12"/>
      <c r="I385" s="12"/>
      <c r="J385" s="12"/>
      <c r="K385" s="12"/>
      <c r="L385" s="12"/>
      <c r="M385" s="12"/>
      <c r="N385" s="12"/>
      <c r="O385" s="12"/>
      <c r="P385" s="12"/>
    </row>
    <row r="386">
      <c r="D386" s="95"/>
      <c r="E386" s="14"/>
      <c r="H386" s="12"/>
      <c r="I386" s="12"/>
      <c r="J386" s="12"/>
      <c r="K386" s="12"/>
      <c r="L386" s="12"/>
      <c r="M386" s="12"/>
      <c r="N386" s="12"/>
      <c r="O386" s="12"/>
      <c r="P386" s="12"/>
    </row>
    <row r="387">
      <c r="D387" s="95"/>
      <c r="E387" s="14"/>
      <c r="H387" s="12"/>
      <c r="I387" s="12"/>
      <c r="J387" s="12"/>
      <c r="K387" s="12"/>
      <c r="L387" s="12"/>
      <c r="M387" s="12"/>
      <c r="N387" s="12"/>
      <c r="O387" s="12"/>
      <c r="P387" s="12"/>
    </row>
    <row r="388">
      <c r="D388" s="95"/>
      <c r="E388" s="14"/>
      <c r="H388" s="12"/>
      <c r="I388" s="12"/>
      <c r="J388" s="12"/>
      <c r="K388" s="12"/>
      <c r="L388" s="12"/>
      <c r="M388" s="12"/>
      <c r="N388" s="12"/>
      <c r="O388" s="12"/>
      <c r="P388" s="12"/>
    </row>
    <row r="389">
      <c r="D389" s="95"/>
      <c r="E389" s="14"/>
      <c r="H389" s="12"/>
      <c r="I389" s="12"/>
      <c r="J389" s="12"/>
      <c r="K389" s="12"/>
      <c r="L389" s="12"/>
      <c r="M389" s="12"/>
      <c r="N389" s="12"/>
      <c r="O389" s="12"/>
      <c r="P389" s="12"/>
    </row>
    <row r="390">
      <c r="D390" s="95"/>
      <c r="E390" s="14"/>
      <c r="H390" s="12"/>
      <c r="I390" s="12"/>
      <c r="J390" s="12"/>
      <c r="K390" s="12"/>
      <c r="L390" s="12"/>
      <c r="M390" s="12"/>
      <c r="N390" s="12"/>
      <c r="O390" s="12"/>
      <c r="P390" s="12"/>
    </row>
    <row r="391">
      <c r="D391" s="95"/>
      <c r="E391" s="14"/>
      <c r="H391" s="12"/>
      <c r="I391" s="12"/>
      <c r="J391" s="12"/>
      <c r="K391" s="12"/>
      <c r="L391" s="12"/>
      <c r="M391" s="12"/>
      <c r="N391" s="12"/>
      <c r="O391" s="12"/>
      <c r="P391" s="12"/>
    </row>
    <row r="392">
      <c r="D392" s="95"/>
      <c r="E392" s="14"/>
      <c r="H392" s="12"/>
      <c r="I392" s="12"/>
      <c r="J392" s="12"/>
      <c r="K392" s="12"/>
      <c r="L392" s="12"/>
      <c r="M392" s="12"/>
      <c r="N392" s="12"/>
      <c r="O392" s="12"/>
      <c r="P392" s="12"/>
    </row>
    <row r="393">
      <c r="D393" s="95"/>
      <c r="E393" s="14"/>
      <c r="H393" s="12"/>
      <c r="I393" s="12"/>
      <c r="J393" s="12"/>
      <c r="K393" s="12"/>
      <c r="L393" s="12"/>
      <c r="M393" s="12"/>
      <c r="N393" s="12"/>
      <c r="O393" s="12"/>
      <c r="P393" s="12"/>
    </row>
    <row r="394">
      <c r="D394" s="95"/>
      <c r="E394" s="14"/>
      <c r="H394" s="12"/>
      <c r="I394" s="12"/>
      <c r="J394" s="12"/>
      <c r="K394" s="12"/>
      <c r="L394" s="12"/>
      <c r="M394" s="12"/>
      <c r="N394" s="12"/>
      <c r="O394" s="12"/>
      <c r="P394" s="12"/>
    </row>
    <row r="395">
      <c r="D395" s="95"/>
      <c r="E395" s="14"/>
      <c r="H395" s="12"/>
      <c r="I395" s="12"/>
      <c r="J395" s="12"/>
      <c r="K395" s="12"/>
      <c r="L395" s="12"/>
      <c r="M395" s="12"/>
      <c r="N395" s="12"/>
      <c r="O395" s="12"/>
      <c r="P395" s="12"/>
    </row>
    <row r="396">
      <c r="D396" s="95"/>
      <c r="E396" s="14"/>
      <c r="H396" s="12"/>
      <c r="I396" s="12"/>
      <c r="J396" s="12"/>
      <c r="K396" s="12"/>
      <c r="L396" s="12"/>
      <c r="M396" s="12"/>
      <c r="N396" s="12"/>
      <c r="O396" s="12"/>
      <c r="P396" s="12"/>
    </row>
    <row r="397">
      <c r="D397" s="95"/>
      <c r="E397" s="14"/>
      <c r="H397" s="12"/>
      <c r="I397" s="12"/>
      <c r="J397" s="12"/>
      <c r="K397" s="12"/>
      <c r="L397" s="12"/>
      <c r="M397" s="12"/>
      <c r="N397" s="12"/>
      <c r="O397" s="12"/>
      <c r="P397" s="12"/>
    </row>
    <row r="398">
      <c r="D398" s="95"/>
      <c r="E398" s="14"/>
      <c r="H398" s="12"/>
      <c r="I398" s="12"/>
      <c r="J398" s="12"/>
      <c r="K398" s="12"/>
      <c r="L398" s="12"/>
      <c r="M398" s="12"/>
      <c r="N398" s="12"/>
      <c r="O398" s="12"/>
      <c r="P398" s="12"/>
    </row>
    <row r="399">
      <c r="D399" s="95"/>
      <c r="E399" s="14"/>
      <c r="H399" s="12"/>
      <c r="I399" s="12"/>
      <c r="J399" s="12"/>
      <c r="K399" s="12"/>
      <c r="L399" s="12"/>
      <c r="M399" s="12"/>
      <c r="N399" s="12"/>
      <c r="O399" s="12"/>
      <c r="P399" s="12"/>
    </row>
    <row r="400">
      <c r="D400" s="95"/>
      <c r="E400" s="14"/>
      <c r="H400" s="12"/>
      <c r="I400" s="12"/>
      <c r="J400" s="12"/>
      <c r="K400" s="12"/>
      <c r="L400" s="12"/>
      <c r="M400" s="12"/>
      <c r="N400" s="12"/>
      <c r="O400" s="12"/>
      <c r="P400" s="12"/>
    </row>
    <row r="401">
      <c r="D401" s="95"/>
      <c r="E401" s="14"/>
      <c r="H401" s="12"/>
      <c r="I401" s="12"/>
      <c r="J401" s="12"/>
      <c r="K401" s="12"/>
      <c r="L401" s="12"/>
      <c r="M401" s="12"/>
      <c r="N401" s="12"/>
      <c r="O401" s="12"/>
      <c r="P401" s="12"/>
    </row>
    <row r="402">
      <c r="D402" s="95"/>
      <c r="E402" s="14"/>
      <c r="H402" s="12"/>
      <c r="I402" s="12"/>
      <c r="J402" s="12"/>
      <c r="K402" s="12"/>
      <c r="L402" s="12"/>
      <c r="M402" s="12"/>
      <c r="N402" s="12"/>
      <c r="O402" s="12"/>
      <c r="P402" s="12"/>
    </row>
    <row r="403">
      <c r="D403" s="95"/>
      <c r="E403" s="14"/>
      <c r="H403" s="12"/>
      <c r="I403" s="12"/>
      <c r="J403" s="12"/>
      <c r="K403" s="12"/>
      <c r="L403" s="12"/>
      <c r="M403" s="12"/>
      <c r="N403" s="12"/>
      <c r="O403" s="12"/>
      <c r="P403" s="12"/>
    </row>
    <row r="404">
      <c r="D404" s="95"/>
      <c r="E404" s="14"/>
      <c r="H404" s="12"/>
      <c r="I404" s="12"/>
      <c r="J404" s="12"/>
      <c r="K404" s="12"/>
      <c r="L404" s="12"/>
      <c r="M404" s="12"/>
      <c r="N404" s="12"/>
      <c r="O404" s="12"/>
      <c r="P404" s="12"/>
    </row>
    <row r="405">
      <c r="D405" s="95"/>
      <c r="E405" s="14"/>
      <c r="H405" s="12"/>
      <c r="I405" s="12"/>
      <c r="J405" s="12"/>
      <c r="K405" s="12"/>
      <c r="L405" s="12"/>
      <c r="M405" s="12"/>
      <c r="N405" s="12"/>
      <c r="O405" s="12"/>
      <c r="P405" s="12"/>
    </row>
    <row r="406">
      <c r="D406" s="95"/>
      <c r="E406" s="14"/>
      <c r="H406" s="12"/>
      <c r="I406" s="12"/>
      <c r="J406" s="12"/>
      <c r="K406" s="12"/>
      <c r="L406" s="12"/>
      <c r="M406" s="12"/>
      <c r="N406" s="12"/>
      <c r="O406" s="12"/>
      <c r="P406" s="12"/>
    </row>
    <row r="407">
      <c r="D407" s="95"/>
      <c r="E407" s="14"/>
      <c r="H407" s="12"/>
      <c r="I407" s="12"/>
      <c r="J407" s="12"/>
      <c r="K407" s="12"/>
      <c r="L407" s="12"/>
      <c r="M407" s="12"/>
      <c r="N407" s="12"/>
      <c r="O407" s="12"/>
      <c r="P407" s="12"/>
    </row>
    <row r="408">
      <c r="D408" s="95"/>
      <c r="E408" s="14"/>
      <c r="H408" s="12"/>
      <c r="I408" s="12"/>
      <c r="J408" s="12"/>
      <c r="K408" s="12"/>
      <c r="L408" s="12"/>
      <c r="M408" s="12"/>
      <c r="N408" s="12"/>
      <c r="O408" s="12"/>
      <c r="P408" s="12"/>
    </row>
    <row r="409">
      <c r="D409" s="95"/>
      <c r="E409" s="14"/>
      <c r="H409" s="12"/>
      <c r="I409" s="12"/>
      <c r="J409" s="12"/>
      <c r="K409" s="12"/>
      <c r="L409" s="12"/>
      <c r="M409" s="12"/>
      <c r="N409" s="12"/>
      <c r="O409" s="12"/>
      <c r="P409" s="12"/>
    </row>
    <row r="410">
      <c r="D410" s="95"/>
      <c r="E410" s="14"/>
      <c r="H410" s="12"/>
      <c r="I410" s="12"/>
      <c r="J410" s="12"/>
      <c r="K410" s="12"/>
      <c r="L410" s="12"/>
      <c r="M410" s="12"/>
      <c r="N410" s="12"/>
      <c r="O410" s="12"/>
      <c r="P410" s="12"/>
    </row>
    <row r="411">
      <c r="D411" s="95"/>
      <c r="E411" s="14"/>
      <c r="H411" s="12"/>
      <c r="I411" s="12"/>
      <c r="J411" s="12"/>
      <c r="K411" s="12"/>
      <c r="L411" s="12"/>
      <c r="M411" s="12"/>
      <c r="N411" s="12"/>
      <c r="O411" s="12"/>
      <c r="P411" s="12"/>
    </row>
    <row r="412">
      <c r="D412" s="95"/>
      <c r="E412" s="14"/>
      <c r="H412" s="12"/>
      <c r="I412" s="12"/>
      <c r="J412" s="12"/>
      <c r="K412" s="12"/>
      <c r="L412" s="12"/>
      <c r="M412" s="12"/>
      <c r="N412" s="12"/>
      <c r="O412" s="12"/>
      <c r="P412" s="12"/>
    </row>
    <row r="413">
      <c r="D413" s="95"/>
      <c r="E413" s="14"/>
      <c r="H413" s="12"/>
      <c r="I413" s="12"/>
      <c r="J413" s="12"/>
      <c r="K413" s="12"/>
      <c r="L413" s="12"/>
      <c r="M413" s="12"/>
      <c r="N413" s="12"/>
      <c r="O413" s="12"/>
      <c r="P413" s="12"/>
    </row>
    <row r="414">
      <c r="D414" s="95"/>
      <c r="E414" s="14"/>
      <c r="H414" s="12"/>
      <c r="I414" s="12"/>
      <c r="J414" s="12"/>
      <c r="K414" s="12"/>
      <c r="L414" s="12"/>
      <c r="M414" s="12"/>
      <c r="N414" s="12"/>
      <c r="O414" s="12"/>
      <c r="P414" s="12"/>
    </row>
    <row r="415">
      <c r="D415" s="95"/>
      <c r="E415" s="14"/>
      <c r="H415" s="12"/>
      <c r="I415" s="12"/>
      <c r="J415" s="12"/>
      <c r="K415" s="12"/>
      <c r="L415" s="12"/>
      <c r="M415" s="12"/>
      <c r="N415" s="12"/>
      <c r="O415" s="12"/>
      <c r="P415" s="12"/>
    </row>
    <row r="416">
      <c r="D416" s="95"/>
      <c r="E416" s="14"/>
      <c r="H416" s="12"/>
      <c r="I416" s="12"/>
      <c r="J416" s="12"/>
      <c r="K416" s="12"/>
      <c r="L416" s="12"/>
      <c r="M416" s="12"/>
      <c r="N416" s="12"/>
      <c r="O416" s="12"/>
      <c r="P416" s="12"/>
    </row>
    <row r="417">
      <c r="D417" s="95"/>
      <c r="E417" s="14"/>
      <c r="H417" s="12"/>
      <c r="I417" s="12"/>
      <c r="J417" s="12"/>
      <c r="K417" s="12"/>
      <c r="L417" s="12"/>
      <c r="M417" s="12"/>
      <c r="N417" s="12"/>
      <c r="O417" s="12"/>
      <c r="P417" s="12"/>
    </row>
    <row r="418">
      <c r="D418" s="95"/>
      <c r="E418" s="14"/>
      <c r="H418" s="12"/>
      <c r="I418" s="12"/>
      <c r="J418" s="12"/>
      <c r="K418" s="12"/>
      <c r="L418" s="12"/>
      <c r="M418" s="12"/>
      <c r="N418" s="12"/>
      <c r="O418" s="12"/>
      <c r="P418" s="12"/>
    </row>
    <row r="419">
      <c r="D419" s="95"/>
      <c r="E419" s="14"/>
      <c r="H419" s="12"/>
      <c r="I419" s="12"/>
      <c r="J419" s="12"/>
      <c r="K419" s="12"/>
      <c r="L419" s="12"/>
      <c r="M419" s="12"/>
      <c r="N419" s="12"/>
      <c r="O419" s="12"/>
      <c r="P419" s="12"/>
    </row>
    <row r="420">
      <c r="D420" s="95"/>
      <c r="E420" s="14"/>
      <c r="H420" s="12"/>
      <c r="I420" s="12"/>
      <c r="J420" s="12"/>
      <c r="K420" s="12"/>
      <c r="L420" s="12"/>
      <c r="M420" s="12"/>
      <c r="N420" s="12"/>
      <c r="O420" s="12"/>
      <c r="P420" s="12"/>
    </row>
    <row r="421">
      <c r="D421" s="95"/>
      <c r="E421" s="14"/>
      <c r="H421" s="12"/>
      <c r="I421" s="12"/>
      <c r="J421" s="12"/>
      <c r="K421" s="12"/>
      <c r="L421" s="12"/>
      <c r="M421" s="12"/>
      <c r="N421" s="12"/>
      <c r="O421" s="12"/>
      <c r="P421" s="12"/>
    </row>
    <row r="422">
      <c r="D422" s="95"/>
      <c r="E422" s="14"/>
      <c r="H422" s="12"/>
      <c r="I422" s="12"/>
      <c r="J422" s="12"/>
      <c r="K422" s="12"/>
      <c r="L422" s="12"/>
      <c r="M422" s="12"/>
      <c r="N422" s="12"/>
      <c r="O422" s="12"/>
      <c r="P422" s="12"/>
    </row>
    <row r="423">
      <c r="D423" s="95"/>
      <c r="E423" s="14"/>
      <c r="H423" s="12"/>
      <c r="I423" s="12"/>
      <c r="J423" s="12"/>
      <c r="K423" s="12"/>
      <c r="L423" s="12"/>
      <c r="M423" s="12"/>
      <c r="N423" s="12"/>
      <c r="O423" s="12"/>
      <c r="P423" s="12"/>
    </row>
    <row r="424">
      <c r="D424" s="95"/>
      <c r="E424" s="14"/>
      <c r="H424" s="12"/>
      <c r="I424" s="12"/>
      <c r="J424" s="12"/>
      <c r="K424" s="12"/>
      <c r="L424" s="12"/>
      <c r="M424" s="12"/>
      <c r="N424" s="12"/>
      <c r="O424" s="12"/>
      <c r="P424" s="12"/>
    </row>
    <row r="425">
      <c r="D425" s="95"/>
      <c r="E425" s="14"/>
      <c r="H425" s="12"/>
      <c r="I425" s="12"/>
      <c r="J425" s="12"/>
      <c r="K425" s="12"/>
      <c r="L425" s="12"/>
      <c r="M425" s="12"/>
      <c r="N425" s="12"/>
      <c r="O425" s="12"/>
      <c r="P425" s="12"/>
    </row>
    <row r="426">
      <c r="D426" s="95"/>
      <c r="E426" s="14"/>
      <c r="H426" s="12"/>
      <c r="I426" s="12"/>
      <c r="J426" s="12"/>
      <c r="K426" s="12"/>
      <c r="L426" s="12"/>
      <c r="M426" s="12"/>
      <c r="N426" s="12"/>
      <c r="O426" s="12"/>
      <c r="P426" s="12"/>
    </row>
    <row r="427">
      <c r="D427" s="95"/>
      <c r="E427" s="14"/>
      <c r="H427" s="12"/>
      <c r="I427" s="12"/>
      <c r="J427" s="12"/>
      <c r="K427" s="12"/>
      <c r="L427" s="12"/>
      <c r="M427" s="12"/>
      <c r="N427" s="12"/>
      <c r="O427" s="12"/>
      <c r="P427" s="12"/>
    </row>
    <row r="428">
      <c r="D428" s="95"/>
      <c r="E428" s="14"/>
      <c r="H428" s="12"/>
      <c r="I428" s="12"/>
      <c r="J428" s="12"/>
      <c r="K428" s="12"/>
      <c r="L428" s="12"/>
      <c r="M428" s="12"/>
      <c r="N428" s="12"/>
      <c r="O428" s="12"/>
      <c r="P428" s="12"/>
    </row>
    <row r="429">
      <c r="D429" s="95"/>
      <c r="E429" s="14"/>
      <c r="H429" s="12"/>
      <c r="I429" s="12"/>
      <c r="J429" s="12"/>
      <c r="K429" s="12"/>
      <c r="L429" s="12"/>
      <c r="M429" s="12"/>
      <c r="N429" s="12"/>
      <c r="O429" s="12"/>
      <c r="P429" s="12"/>
    </row>
    <row r="430">
      <c r="D430" s="95"/>
      <c r="E430" s="14"/>
      <c r="H430" s="12"/>
      <c r="I430" s="12"/>
      <c r="J430" s="12"/>
      <c r="K430" s="12"/>
      <c r="L430" s="12"/>
      <c r="M430" s="12"/>
      <c r="N430" s="12"/>
      <c r="O430" s="12"/>
      <c r="P430" s="12"/>
    </row>
    <row r="431">
      <c r="D431" s="95"/>
      <c r="E431" s="14"/>
      <c r="H431" s="12"/>
      <c r="I431" s="12"/>
      <c r="J431" s="12"/>
      <c r="K431" s="12"/>
      <c r="L431" s="12"/>
      <c r="M431" s="12"/>
      <c r="N431" s="12"/>
      <c r="O431" s="12"/>
      <c r="P431" s="12"/>
    </row>
    <row r="432">
      <c r="D432" s="95"/>
      <c r="E432" s="14"/>
      <c r="H432" s="12"/>
      <c r="I432" s="12"/>
      <c r="J432" s="12"/>
      <c r="K432" s="12"/>
      <c r="L432" s="12"/>
      <c r="M432" s="12"/>
      <c r="N432" s="12"/>
      <c r="O432" s="12"/>
      <c r="P432" s="12"/>
    </row>
    <row r="433">
      <c r="D433" s="95"/>
      <c r="E433" s="14"/>
      <c r="H433" s="12"/>
      <c r="I433" s="12"/>
      <c r="J433" s="12"/>
      <c r="K433" s="12"/>
      <c r="L433" s="12"/>
      <c r="M433" s="12"/>
      <c r="N433" s="12"/>
      <c r="O433" s="12"/>
      <c r="P433" s="12"/>
    </row>
    <row r="434">
      <c r="D434" s="95"/>
      <c r="E434" s="14"/>
      <c r="H434" s="12"/>
      <c r="I434" s="12"/>
      <c r="J434" s="12"/>
      <c r="K434" s="12"/>
      <c r="L434" s="12"/>
      <c r="M434" s="12"/>
      <c r="N434" s="12"/>
      <c r="O434" s="12"/>
      <c r="P434" s="12"/>
    </row>
    <row r="435">
      <c r="D435" s="95"/>
      <c r="E435" s="14"/>
      <c r="H435" s="12"/>
      <c r="I435" s="12"/>
      <c r="J435" s="12"/>
      <c r="K435" s="12"/>
      <c r="L435" s="12"/>
      <c r="M435" s="12"/>
      <c r="N435" s="12"/>
      <c r="O435" s="12"/>
      <c r="P435" s="12"/>
    </row>
    <row r="436">
      <c r="D436" s="95"/>
      <c r="E436" s="14"/>
      <c r="H436" s="12"/>
      <c r="I436" s="12"/>
      <c r="J436" s="12"/>
      <c r="K436" s="12"/>
      <c r="L436" s="12"/>
      <c r="M436" s="12"/>
      <c r="N436" s="12"/>
      <c r="O436" s="12"/>
      <c r="P436" s="12"/>
    </row>
    <row r="437">
      <c r="D437" s="95"/>
      <c r="E437" s="14"/>
      <c r="H437" s="12"/>
      <c r="I437" s="12"/>
      <c r="J437" s="12"/>
      <c r="K437" s="12"/>
      <c r="L437" s="12"/>
      <c r="M437" s="12"/>
      <c r="N437" s="12"/>
      <c r="O437" s="12"/>
      <c r="P437" s="12"/>
    </row>
    <row r="438">
      <c r="D438" s="95"/>
      <c r="E438" s="14"/>
      <c r="H438" s="12"/>
      <c r="I438" s="12"/>
      <c r="J438" s="12"/>
      <c r="K438" s="12"/>
      <c r="L438" s="12"/>
      <c r="M438" s="12"/>
      <c r="N438" s="12"/>
      <c r="O438" s="12"/>
      <c r="P438" s="12"/>
    </row>
    <row r="439">
      <c r="D439" s="95"/>
      <c r="E439" s="14"/>
      <c r="H439" s="12"/>
      <c r="I439" s="12"/>
      <c r="J439" s="12"/>
      <c r="K439" s="12"/>
      <c r="L439" s="12"/>
      <c r="M439" s="12"/>
      <c r="N439" s="12"/>
      <c r="O439" s="12"/>
      <c r="P439" s="12"/>
    </row>
    <row r="440">
      <c r="D440" s="95"/>
      <c r="E440" s="14"/>
      <c r="H440" s="12"/>
      <c r="I440" s="12"/>
      <c r="J440" s="12"/>
      <c r="K440" s="12"/>
      <c r="L440" s="12"/>
      <c r="M440" s="12"/>
      <c r="N440" s="12"/>
      <c r="O440" s="12"/>
      <c r="P440" s="12"/>
    </row>
    <row r="441">
      <c r="D441" s="95"/>
      <c r="E441" s="14"/>
      <c r="H441" s="12"/>
      <c r="I441" s="12"/>
      <c r="J441" s="12"/>
      <c r="K441" s="12"/>
      <c r="L441" s="12"/>
      <c r="M441" s="12"/>
      <c r="N441" s="12"/>
      <c r="O441" s="12"/>
      <c r="P441" s="12"/>
    </row>
    <row r="442">
      <c r="D442" s="95"/>
      <c r="E442" s="14"/>
      <c r="H442" s="12"/>
      <c r="I442" s="12"/>
      <c r="J442" s="12"/>
      <c r="K442" s="12"/>
      <c r="L442" s="12"/>
      <c r="M442" s="12"/>
      <c r="N442" s="12"/>
      <c r="O442" s="12"/>
      <c r="P442" s="12"/>
    </row>
    <row r="443">
      <c r="D443" s="95"/>
      <c r="E443" s="14"/>
      <c r="H443" s="12"/>
      <c r="I443" s="12"/>
      <c r="J443" s="12"/>
      <c r="K443" s="12"/>
      <c r="L443" s="12"/>
      <c r="M443" s="12"/>
      <c r="N443" s="12"/>
      <c r="O443" s="12"/>
      <c r="P443" s="12"/>
    </row>
    <row r="444">
      <c r="D444" s="95"/>
      <c r="E444" s="14"/>
      <c r="H444" s="12"/>
      <c r="I444" s="12"/>
      <c r="J444" s="12"/>
      <c r="K444" s="12"/>
      <c r="L444" s="12"/>
      <c r="M444" s="12"/>
      <c r="N444" s="12"/>
      <c r="O444" s="12"/>
      <c r="P444" s="12"/>
    </row>
    <row r="445">
      <c r="D445" s="95"/>
      <c r="E445" s="14"/>
      <c r="H445" s="12"/>
      <c r="I445" s="12"/>
      <c r="J445" s="12"/>
      <c r="K445" s="12"/>
      <c r="L445" s="12"/>
      <c r="M445" s="12"/>
      <c r="N445" s="12"/>
      <c r="O445" s="12"/>
      <c r="P445" s="12"/>
    </row>
    <row r="446">
      <c r="D446" s="95"/>
      <c r="E446" s="14"/>
      <c r="H446" s="12"/>
      <c r="I446" s="12"/>
      <c r="J446" s="12"/>
      <c r="K446" s="12"/>
      <c r="L446" s="12"/>
      <c r="M446" s="12"/>
      <c r="N446" s="12"/>
      <c r="O446" s="12"/>
      <c r="P446" s="12"/>
    </row>
    <row r="447">
      <c r="D447" s="95"/>
      <c r="E447" s="14"/>
      <c r="H447" s="12"/>
      <c r="I447" s="12"/>
      <c r="J447" s="12"/>
      <c r="K447" s="12"/>
      <c r="L447" s="12"/>
      <c r="M447" s="12"/>
      <c r="N447" s="12"/>
      <c r="O447" s="12"/>
      <c r="P447" s="12"/>
    </row>
    <row r="448">
      <c r="D448" s="95"/>
      <c r="E448" s="14"/>
      <c r="H448" s="12"/>
      <c r="I448" s="12"/>
      <c r="J448" s="12"/>
      <c r="K448" s="12"/>
      <c r="L448" s="12"/>
      <c r="M448" s="12"/>
      <c r="N448" s="12"/>
      <c r="O448" s="12"/>
      <c r="P448" s="12"/>
    </row>
    <row r="449">
      <c r="D449" s="95"/>
      <c r="E449" s="14"/>
      <c r="H449" s="12"/>
      <c r="I449" s="12"/>
      <c r="J449" s="12"/>
      <c r="K449" s="12"/>
      <c r="L449" s="12"/>
      <c r="M449" s="12"/>
      <c r="N449" s="12"/>
      <c r="O449" s="12"/>
      <c r="P449" s="12"/>
    </row>
    <row r="450">
      <c r="D450" s="95"/>
      <c r="E450" s="14"/>
      <c r="H450" s="12"/>
      <c r="I450" s="12"/>
      <c r="J450" s="12"/>
      <c r="K450" s="12"/>
      <c r="L450" s="12"/>
      <c r="M450" s="12"/>
      <c r="N450" s="12"/>
      <c r="O450" s="12"/>
      <c r="P450" s="12"/>
    </row>
    <row r="451">
      <c r="D451" s="95"/>
      <c r="E451" s="14"/>
      <c r="H451" s="12"/>
      <c r="I451" s="12"/>
      <c r="J451" s="12"/>
      <c r="K451" s="12"/>
      <c r="L451" s="12"/>
      <c r="M451" s="12"/>
      <c r="N451" s="12"/>
      <c r="O451" s="12"/>
      <c r="P451" s="12"/>
    </row>
    <row r="452">
      <c r="D452" s="95"/>
      <c r="E452" s="14"/>
      <c r="H452" s="12"/>
      <c r="I452" s="12"/>
      <c r="J452" s="12"/>
      <c r="K452" s="12"/>
      <c r="L452" s="12"/>
      <c r="M452" s="12"/>
      <c r="N452" s="12"/>
      <c r="O452" s="12"/>
      <c r="P452" s="12"/>
    </row>
    <row r="453">
      <c r="D453" s="95"/>
      <c r="E453" s="14"/>
      <c r="H453" s="12"/>
      <c r="I453" s="12"/>
      <c r="J453" s="12"/>
      <c r="K453" s="12"/>
      <c r="L453" s="12"/>
      <c r="M453" s="12"/>
      <c r="N453" s="12"/>
      <c r="O453" s="12"/>
      <c r="P453" s="12"/>
    </row>
    <row r="454">
      <c r="D454" s="95"/>
      <c r="E454" s="14"/>
      <c r="H454" s="12"/>
      <c r="I454" s="12"/>
      <c r="J454" s="12"/>
      <c r="K454" s="12"/>
      <c r="L454" s="12"/>
      <c r="M454" s="12"/>
      <c r="N454" s="12"/>
      <c r="O454" s="12"/>
      <c r="P454" s="12"/>
    </row>
    <row r="455">
      <c r="D455" s="95"/>
      <c r="E455" s="14"/>
      <c r="H455" s="12"/>
      <c r="I455" s="12"/>
      <c r="J455" s="12"/>
      <c r="K455" s="12"/>
      <c r="L455" s="12"/>
      <c r="M455" s="12"/>
      <c r="N455" s="12"/>
      <c r="O455" s="12"/>
      <c r="P455" s="12"/>
    </row>
    <row r="456">
      <c r="D456" s="95"/>
      <c r="E456" s="14"/>
      <c r="H456" s="12"/>
      <c r="I456" s="12"/>
      <c r="J456" s="12"/>
      <c r="K456" s="12"/>
      <c r="L456" s="12"/>
      <c r="M456" s="12"/>
      <c r="N456" s="12"/>
      <c r="O456" s="12"/>
      <c r="P456" s="12"/>
    </row>
    <row r="457">
      <c r="D457" s="95"/>
      <c r="E457" s="14"/>
      <c r="H457" s="12"/>
      <c r="I457" s="12"/>
      <c r="J457" s="12"/>
      <c r="K457" s="12"/>
      <c r="L457" s="12"/>
      <c r="M457" s="12"/>
      <c r="N457" s="12"/>
      <c r="O457" s="12"/>
      <c r="P457" s="12"/>
    </row>
    <row r="458">
      <c r="D458" s="95"/>
      <c r="E458" s="14"/>
      <c r="H458" s="12"/>
      <c r="I458" s="12"/>
      <c r="J458" s="12"/>
      <c r="K458" s="12"/>
      <c r="L458" s="12"/>
      <c r="M458" s="12"/>
      <c r="N458" s="12"/>
      <c r="O458" s="12"/>
      <c r="P458" s="12"/>
    </row>
    <row r="459">
      <c r="D459" s="95"/>
      <c r="E459" s="14"/>
      <c r="H459" s="12"/>
      <c r="I459" s="12"/>
      <c r="J459" s="12"/>
      <c r="K459" s="12"/>
      <c r="L459" s="12"/>
      <c r="M459" s="12"/>
      <c r="N459" s="12"/>
      <c r="O459" s="12"/>
      <c r="P459" s="12"/>
    </row>
    <row r="460">
      <c r="D460" s="95"/>
      <c r="E460" s="14"/>
      <c r="H460" s="12"/>
      <c r="I460" s="12"/>
      <c r="J460" s="12"/>
      <c r="K460" s="12"/>
      <c r="L460" s="12"/>
      <c r="M460" s="12"/>
      <c r="N460" s="12"/>
      <c r="O460" s="12"/>
      <c r="P460" s="12"/>
    </row>
    <row r="461">
      <c r="D461" s="95"/>
      <c r="E461" s="14"/>
      <c r="H461" s="12"/>
      <c r="I461" s="12"/>
      <c r="J461" s="12"/>
      <c r="K461" s="12"/>
      <c r="L461" s="12"/>
      <c r="M461" s="12"/>
      <c r="N461" s="12"/>
      <c r="O461" s="12"/>
      <c r="P461" s="12"/>
    </row>
    <row r="462">
      <c r="D462" s="95"/>
      <c r="E462" s="14"/>
      <c r="H462" s="12"/>
      <c r="I462" s="12"/>
      <c r="J462" s="12"/>
      <c r="K462" s="12"/>
      <c r="L462" s="12"/>
      <c r="M462" s="12"/>
      <c r="N462" s="12"/>
      <c r="O462" s="12"/>
      <c r="P462" s="12"/>
    </row>
    <row r="463">
      <c r="D463" s="95"/>
      <c r="E463" s="14"/>
      <c r="H463" s="12"/>
      <c r="I463" s="12"/>
      <c r="J463" s="12"/>
      <c r="K463" s="12"/>
      <c r="L463" s="12"/>
      <c r="M463" s="12"/>
      <c r="N463" s="12"/>
      <c r="O463" s="12"/>
      <c r="P463" s="12"/>
    </row>
    <row r="464">
      <c r="D464" s="95"/>
      <c r="E464" s="14"/>
      <c r="H464" s="12"/>
      <c r="I464" s="12"/>
      <c r="J464" s="12"/>
      <c r="K464" s="12"/>
      <c r="L464" s="12"/>
      <c r="M464" s="12"/>
      <c r="N464" s="12"/>
      <c r="O464" s="12"/>
      <c r="P464" s="12"/>
    </row>
    <row r="465">
      <c r="D465" s="95"/>
      <c r="E465" s="14"/>
      <c r="H465" s="12"/>
      <c r="I465" s="12"/>
      <c r="J465" s="12"/>
      <c r="K465" s="12"/>
      <c r="L465" s="12"/>
      <c r="M465" s="12"/>
      <c r="N465" s="12"/>
      <c r="O465" s="12"/>
      <c r="P465" s="12"/>
    </row>
    <row r="466">
      <c r="D466" s="95"/>
      <c r="E466" s="14"/>
      <c r="H466" s="12"/>
      <c r="I466" s="12"/>
      <c r="J466" s="12"/>
      <c r="K466" s="12"/>
      <c r="L466" s="12"/>
      <c r="M466" s="12"/>
      <c r="N466" s="12"/>
      <c r="O466" s="12"/>
      <c r="P466" s="12"/>
    </row>
    <row r="467">
      <c r="D467" s="95"/>
      <c r="E467" s="14"/>
      <c r="H467" s="12"/>
      <c r="I467" s="12"/>
      <c r="J467" s="12"/>
      <c r="K467" s="12"/>
      <c r="L467" s="12"/>
      <c r="M467" s="12"/>
      <c r="N467" s="12"/>
      <c r="O467" s="12"/>
      <c r="P467" s="12"/>
    </row>
    <row r="468">
      <c r="D468" s="95"/>
      <c r="E468" s="14"/>
      <c r="H468" s="12"/>
      <c r="I468" s="12"/>
      <c r="J468" s="12"/>
      <c r="K468" s="12"/>
      <c r="L468" s="12"/>
      <c r="M468" s="12"/>
      <c r="N468" s="12"/>
      <c r="O468" s="12"/>
      <c r="P468" s="12"/>
    </row>
    <row r="469">
      <c r="D469" s="95"/>
      <c r="E469" s="14"/>
      <c r="H469" s="12"/>
      <c r="I469" s="12"/>
      <c r="J469" s="12"/>
      <c r="K469" s="12"/>
      <c r="L469" s="12"/>
      <c r="M469" s="12"/>
      <c r="N469" s="12"/>
      <c r="O469" s="12"/>
      <c r="P469" s="12"/>
    </row>
    <row r="470">
      <c r="D470" s="95"/>
      <c r="E470" s="14"/>
      <c r="H470" s="12"/>
      <c r="I470" s="12"/>
      <c r="J470" s="12"/>
      <c r="K470" s="12"/>
      <c r="L470" s="12"/>
      <c r="M470" s="12"/>
      <c r="N470" s="12"/>
      <c r="O470" s="12"/>
      <c r="P470" s="12"/>
    </row>
    <row r="471">
      <c r="D471" s="95"/>
      <c r="E471" s="14"/>
      <c r="H471" s="12"/>
      <c r="I471" s="12"/>
      <c r="J471" s="12"/>
      <c r="K471" s="12"/>
      <c r="L471" s="12"/>
      <c r="M471" s="12"/>
      <c r="N471" s="12"/>
      <c r="O471" s="12"/>
      <c r="P471" s="12"/>
    </row>
    <row r="472">
      <c r="D472" s="95"/>
      <c r="E472" s="14"/>
      <c r="H472" s="12"/>
      <c r="I472" s="12"/>
      <c r="J472" s="12"/>
      <c r="K472" s="12"/>
      <c r="L472" s="12"/>
      <c r="M472" s="12"/>
      <c r="N472" s="12"/>
      <c r="O472" s="12"/>
      <c r="P472" s="12"/>
    </row>
    <row r="473">
      <c r="D473" s="95"/>
      <c r="E473" s="14"/>
      <c r="H473" s="12"/>
      <c r="I473" s="12"/>
      <c r="J473" s="12"/>
      <c r="K473" s="12"/>
      <c r="L473" s="12"/>
      <c r="M473" s="12"/>
      <c r="N473" s="12"/>
      <c r="O473" s="12"/>
      <c r="P473" s="12"/>
    </row>
    <row r="474">
      <c r="D474" s="95"/>
      <c r="E474" s="14"/>
      <c r="H474" s="12"/>
      <c r="I474" s="12"/>
      <c r="J474" s="12"/>
      <c r="K474" s="12"/>
      <c r="L474" s="12"/>
      <c r="M474" s="12"/>
      <c r="N474" s="12"/>
      <c r="O474" s="12"/>
      <c r="P474" s="12"/>
    </row>
    <row r="475">
      <c r="D475" s="95"/>
      <c r="E475" s="14"/>
      <c r="H475" s="12"/>
      <c r="I475" s="12"/>
      <c r="J475" s="12"/>
      <c r="K475" s="12"/>
      <c r="L475" s="12"/>
      <c r="M475" s="12"/>
      <c r="N475" s="12"/>
      <c r="O475" s="12"/>
      <c r="P475" s="12"/>
    </row>
    <row r="476">
      <c r="D476" s="95"/>
      <c r="E476" s="14"/>
      <c r="H476" s="12"/>
      <c r="I476" s="12"/>
      <c r="J476" s="12"/>
      <c r="K476" s="12"/>
      <c r="L476" s="12"/>
      <c r="M476" s="12"/>
      <c r="N476" s="12"/>
      <c r="O476" s="12"/>
      <c r="P476" s="12"/>
    </row>
    <row r="477">
      <c r="D477" s="95"/>
      <c r="E477" s="14"/>
      <c r="H477" s="12"/>
      <c r="I477" s="12"/>
      <c r="J477" s="12"/>
      <c r="K477" s="12"/>
      <c r="L477" s="12"/>
      <c r="M477" s="12"/>
      <c r="N477" s="12"/>
      <c r="O477" s="12"/>
      <c r="P477" s="12"/>
    </row>
    <row r="478">
      <c r="D478" s="95"/>
      <c r="E478" s="14"/>
      <c r="H478" s="12"/>
      <c r="I478" s="12"/>
      <c r="J478" s="12"/>
      <c r="K478" s="12"/>
      <c r="L478" s="12"/>
      <c r="M478" s="12"/>
      <c r="N478" s="12"/>
      <c r="O478" s="12"/>
      <c r="P478" s="12"/>
    </row>
    <row r="479">
      <c r="D479" s="95"/>
      <c r="E479" s="14"/>
      <c r="H479" s="12"/>
      <c r="I479" s="12"/>
      <c r="J479" s="12"/>
      <c r="K479" s="12"/>
      <c r="L479" s="12"/>
      <c r="M479" s="12"/>
      <c r="N479" s="12"/>
      <c r="O479" s="12"/>
      <c r="P479" s="12"/>
    </row>
    <row r="480">
      <c r="D480" s="95"/>
      <c r="E480" s="14"/>
      <c r="H480" s="12"/>
      <c r="I480" s="12"/>
      <c r="J480" s="12"/>
      <c r="K480" s="12"/>
      <c r="L480" s="12"/>
      <c r="M480" s="12"/>
      <c r="N480" s="12"/>
      <c r="O480" s="12"/>
      <c r="P480" s="12"/>
    </row>
    <row r="481">
      <c r="D481" s="95"/>
      <c r="E481" s="14"/>
      <c r="H481" s="12"/>
      <c r="I481" s="12"/>
      <c r="J481" s="12"/>
      <c r="K481" s="12"/>
      <c r="L481" s="12"/>
      <c r="M481" s="12"/>
      <c r="N481" s="12"/>
      <c r="O481" s="12"/>
      <c r="P481" s="12"/>
    </row>
    <row r="482">
      <c r="D482" s="95"/>
      <c r="E482" s="14"/>
      <c r="H482" s="12"/>
      <c r="I482" s="12"/>
      <c r="J482" s="12"/>
      <c r="K482" s="12"/>
      <c r="L482" s="12"/>
      <c r="M482" s="12"/>
      <c r="N482" s="12"/>
      <c r="O482" s="12"/>
      <c r="P482" s="12"/>
    </row>
    <row r="483">
      <c r="D483" s="95"/>
      <c r="E483" s="14"/>
      <c r="H483" s="12"/>
      <c r="I483" s="12"/>
      <c r="J483" s="12"/>
      <c r="K483" s="12"/>
      <c r="L483" s="12"/>
      <c r="M483" s="12"/>
      <c r="N483" s="12"/>
      <c r="O483" s="12"/>
      <c r="P483" s="12"/>
    </row>
    <row r="484">
      <c r="D484" s="95"/>
      <c r="E484" s="14"/>
      <c r="H484" s="12"/>
      <c r="I484" s="12"/>
      <c r="J484" s="12"/>
      <c r="K484" s="12"/>
      <c r="L484" s="12"/>
      <c r="M484" s="12"/>
      <c r="N484" s="12"/>
      <c r="O484" s="12"/>
      <c r="P484" s="12"/>
    </row>
    <row r="485">
      <c r="D485" s="95"/>
      <c r="E485" s="14"/>
      <c r="H485" s="12"/>
      <c r="I485" s="12"/>
      <c r="J485" s="12"/>
      <c r="K485" s="12"/>
      <c r="L485" s="12"/>
      <c r="M485" s="12"/>
      <c r="N485" s="12"/>
      <c r="O485" s="12"/>
      <c r="P485" s="12"/>
    </row>
    <row r="486">
      <c r="D486" s="95"/>
      <c r="E486" s="14"/>
      <c r="H486" s="12"/>
      <c r="I486" s="12"/>
      <c r="J486" s="12"/>
      <c r="K486" s="12"/>
      <c r="L486" s="12"/>
      <c r="M486" s="12"/>
      <c r="N486" s="12"/>
      <c r="O486" s="12"/>
      <c r="P486" s="12"/>
    </row>
    <row r="487">
      <c r="D487" s="95"/>
      <c r="E487" s="14"/>
      <c r="H487" s="12"/>
      <c r="I487" s="12"/>
      <c r="J487" s="12"/>
      <c r="K487" s="12"/>
      <c r="L487" s="12"/>
      <c r="M487" s="12"/>
      <c r="N487" s="12"/>
      <c r="O487" s="12"/>
      <c r="P487" s="12"/>
    </row>
    <row r="488">
      <c r="D488" s="95"/>
      <c r="E488" s="14"/>
      <c r="H488" s="12"/>
      <c r="I488" s="12"/>
      <c r="J488" s="12"/>
      <c r="K488" s="12"/>
      <c r="L488" s="12"/>
      <c r="M488" s="12"/>
      <c r="N488" s="12"/>
      <c r="O488" s="12"/>
      <c r="P488" s="12"/>
    </row>
    <row r="489">
      <c r="D489" s="95"/>
      <c r="E489" s="14"/>
      <c r="H489" s="12"/>
      <c r="I489" s="12"/>
      <c r="J489" s="12"/>
      <c r="K489" s="12"/>
      <c r="L489" s="12"/>
      <c r="M489" s="12"/>
      <c r="N489" s="12"/>
      <c r="O489" s="12"/>
      <c r="P489" s="12"/>
    </row>
    <row r="490">
      <c r="D490" s="95"/>
      <c r="E490" s="14"/>
      <c r="H490" s="12"/>
      <c r="I490" s="12"/>
      <c r="J490" s="12"/>
      <c r="K490" s="12"/>
      <c r="L490" s="12"/>
      <c r="M490" s="12"/>
      <c r="N490" s="12"/>
      <c r="O490" s="12"/>
      <c r="P490" s="12"/>
    </row>
    <row r="491">
      <c r="D491" s="95"/>
      <c r="E491" s="14"/>
      <c r="H491" s="12"/>
      <c r="I491" s="12"/>
      <c r="J491" s="12"/>
      <c r="K491" s="12"/>
      <c r="L491" s="12"/>
      <c r="M491" s="12"/>
      <c r="N491" s="12"/>
      <c r="O491" s="12"/>
      <c r="P491" s="12"/>
    </row>
    <row r="492">
      <c r="D492" s="95"/>
      <c r="E492" s="14"/>
      <c r="H492" s="12"/>
      <c r="I492" s="12"/>
      <c r="J492" s="12"/>
      <c r="K492" s="12"/>
      <c r="L492" s="12"/>
      <c r="M492" s="12"/>
      <c r="N492" s="12"/>
      <c r="O492" s="12"/>
      <c r="P492" s="12"/>
    </row>
    <row r="493">
      <c r="D493" s="95"/>
      <c r="E493" s="14"/>
      <c r="H493" s="12"/>
      <c r="I493" s="12"/>
      <c r="J493" s="12"/>
      <c r="K493" s="12"/>
      <c r="L493" s="12"/>
      <c r="M493" s="12"/>
      <c r="N493" s="12"/>
      <c r="O493" s="12"/>
      <c r="P493" s="12"/>
    </row>
    <row r="494">
      <c r="D494" s="95"/>
      <c r="E494" s="14"/>
      <c r="H494" s="12"/>
      <c r="I494" s="12"/>
      <c r="J494" s="12"/>
      <c r="K494" s="12"/>
      <c r="L494" s="12"/>
      <c r="M494" s="12"/>
      <c r="N494" s="12"/>
      <c r="O494" s="12"/>
      <c r="P494" s="12"/>
    </row>
    <row r="495">
      <c r="D495" s="95"/>
      <c r="E495" s="14"/>
      <c r="H495" s="12"/>
      <c r="I495" s="12"/>
      <c r="J495" s="12"/>
      <c r="K495" s="12"/>
      <c r="L495" s="12"/>
      <c r="M495" s="12"/>
      <c r="N495" s="12"/>
      <c r="O495" s="12"/>
      <c r="P495" s="12"/>
    </row>
    <row r="496">
      <c r="D496" s="95"/>
      <c r="E496" s="14"/>
      <c r="H496" s="12"/>
      <c r="I496" s="12"/>
      <c r="J496" s="12"/>
      <c r="K496" s="12"/>
      <c r="L496" s="12"/>
      <c r="M496" s="12"/>
      <c r="N496" s="12"/>
      <c r="O496" s="12"/>
      <c r="P496" s="12"/>
    </row>
    <row r="497">
      <c r="D497" s="95"/>
      <c r="E497" s="14"/>
      <c r="H497" s="12"/>
      <c r="I497" s="12"/>
      <c r="J497" s="12"/>
      <c r="K497" s="12"/>
      <c r="L497" s="12"/>
      <c r="M497" s="12"/>
      <c r="N497" s="12"/>
      <c r="O497" s="12"/>
      <c r="P497" s="12"/>
    </row>
    <row r="498">
      <c r="D498" s="95"/>
      <c r="E498" s="14"/>
      <c r="H498" s="12"/>
      <c r="I498" s="12"/>
      <c r="J498" s="12"/>
      <c r="K498" s="12"/>
      <c r="L498" s="12"/>
      <c r="M498" s="12"/>
      <c r="N498" s="12"/>
      <c r="O498" s="12"/>
      <c r="P498" s="12"/>
    </row>
    <row r="499">
      <c r="D499" s="95"/>
      <c r="E499" s="14"/>
      <c r="H499" s="12"/>
      <c r="I499" s="12"/>
      <c r="J499" s="12"/>
      <c r="K499" s="12"/>
      <c r="L499" s="12"/>
      <c r="M499" s="12"/>
      <c r="N499" s="12"/>
      <c r="O499" s="12"/>
      <c r="P499" s="12"/>
    </row>
    <row r="500">
      <c r="D500" s="95"/>
      <c r="E500" s="14"/>
      <c r="H500" s="12"/>
      <c r="I500" s="12"/>
      <c r="J500" s="12"/>
      <c r="K500" s="12"/>
      <c r="L500" s="12"/>
      <c r="M500" s="12"/>
      <c r="N500" s="12"/>
      <c r="O500" s="12"/>
      <c r="P500" s="12"/>
    </row>
    <row r="501">
      <c r="D501" s="95"/>
      <c r="E501" s="14"/>
      <c r="H501" s="12"/>
      <c r="I501" s="12"/>
      <c r="J501" s="12"/>
      <c r="K501" s="12"/>
      <c r="L501" s="12"/>
      <c r="M501" s="12"/>
      <c r="N501" s="12"/>
      <c r="O501" s="12"/>
      <c r="P501" s="12"/>
    </row>
    <row r="502">
      <c r="D502" s="95"/>
      <c r="E502" s="14"/>
      <c r="H502" s="12"/>
      <c r="I502" s="12"/>
      <c r="J502" s="12"/>
      <c r="K502" s="12"/>
      <c r="L502" s="12"/>
      <c r="M502" s="12"/>
      <c r="N502" s="12"/>
      <c r="O502" s="12"/>
      <c r="P502" s="12"/>
    </row>
    <row r="503">
      <c r="D503" s="95"/>
      <c r="E503" s="14"/>
      <c r="H503" s="12"/>
      <c r="I503" s="12"/>
      <c r="J503" s="12"/>
      <c r="K503" s="12"/>
      <c r="L503" s="12"/>
      <c r="M503" s="12"/>
      <c r="N503" s="12"/>
      <c r="O503" s="12"/>
      <c r="P503" s="12"/>
    </row>
    <row r="504">
      <c r="D504" s="95"/>
      <c r="E504" s="14"/>
      <c r="H504" s="12"/>
      <c r="I504" s="12"/>
      <c r="J504" s="12"/>
      <c r="K504" s="12"/>
      <c r="L504" s="12"/>
      <c r="M504" s="12"/>
      <c r="N504" s="12"/>
      <c r="O504" s="12"/>
      <c r="P504" s="12"/>
    </row>
    <row r="505">
      <c r="D505" s="95"/>
      <c r="E505" s="14"/>
      <c r="H505" s="12"/>
      <c r="I505" s="12"/>
      <c r="J505" s="12"/>
      <c r="K505" s="12"/>
      <c r="L505" s="12"/>
      <c r="M505" s="12"/>
      <c r="N505" s="12"/>
      <c r="O505" s="12"/>
      <c r="P505" s="12"/>
    </row>
    <row r="506">
      <c r="D506" s="95"/>
      <c r="E506" s="14"/>
      <c r="H506" s="12"/>
      <c r="I506" s="12"/>
      <c r="J506" s="12"/>
      <c r="K506" s="12"/>
      <c r="L506" s="12"/>
      <c r="M506" s="12"/>
      <c r="N506" s="12"/>
      <c r="O506" s="12"/>
      <c r="P506" s="12"/>
    </row>
    <row r="507">
      <c r="D507" s="95"/>
      <c r="E507" s="14"/>
      <c r="H507" s="12"/>
      <c r="I507" s="12"/>
      <c r="J507" s="12"/>
      <c r="K507" s="12"/>
      <c r="L507" s="12"/>
      <c r="M507" s="12"/>
      <c r="N507" s="12"/>
      <c r="O507" s="12"/>
      <c r="P507" s="12"/>
    </row>
    <row r="508">
      <c r="D508" s="95"/>
      <c r="E508" s="14"/>
      <c r="H508" s="12"/>
      <c r="I508" s="12"/>
      <c r="J508" s="12"/>
      <c r="K508" s="12"/>
      <c r="L508" s="12"/>
      <c r="M508" s="12"/>
      <c r="N508" s="12"/>
      <c r="O508" s="12"/>
      <c r="P508" s="12"/>
    </row>
    <row r="509">
      <c r="D509" s="95"/>
      <c r="E509" s="14"/>
      <c r="H509" s="12"/>
      <c r="I509" s="12"/>
      <c r="J509" s="12"/>
      <c r="K509" s="12"/>
      <c r="L509" s="12"/>
      <c r="M509" s="12"/>
      <c r="N509" s="12"/>
      <c r="O509" s="12"/>
      <c r="P509" s="12"/>
    </row>
    <row r="510">
      <c r="D510" s="95"/>
      <c r="E510" s="14"/>
      <c r="H510" s="12"/>
      <c r="I510" s="12"/>
      <c r="J510" s="12"/>
      <c r="K510" s="12"/>
      <c r="L510" s="12"/>
      <c r="M510" s="12"/>
      <c r="N510" s="12"/>
      <c r="O510" s="12"/>
      <c r="P510" s="12"/>
    </row>
    <row r="511">
      <c r="D511" s="95"/>
      <c r="E511" s="14"/>
      <c r="H511" s="12"/>
      <c r="I511" s="12"/>
      <c r="J511" s="12"/>
      <c r="K511" s="12"/>
      <c r="L511" s="12"/>
      <c r="M511" s="12"/>
      <c r="N511" s="12"/>
      <c r="O511" s="12"/>
      <c r="P511" s="12"/>
    </row>
    <row r="512">
      <c r="D512" s="95"/>
      <c r="E512" s="14"/>
      <c r="H512" s="12"/>
      <c r="I512" s="12"/>
      <c r="J512" s="12"/>
      <c r="K512" s="12"/>
      <c r="L512" s="12"/>
      <c r="M512" s="12"/>
      <c r="N512" s="12"/>
      <c r="O512" s="12"/>
      <c r="P512" s="12"/>
    </row>
    <row r="513">
      <c r="D513" s="95"/>
      <c r="E513" s="14"/>
      <c r="H513" s="12"/>
      <c r="I513" s="12"/>
      <c r="J513" s="12"/>
      <c r="K513" s="12"/>
      <c r="L513" s="12"/>
      <c r="M513" s="12"/>
      <c r="N513" s="12"/>
      <c r="O513" s="12"/>
      <c r="P513" s="12"/>
    </row>
    <row r="514">
      <c r="D514" s="95"/>
      <c r="E514" s="14"/>
      <c r="H514" s="12"/>
      <c r="I514" s="12"/>
      <c r="J514" s="12"/>
      <c r="K514" s="12"/>
      <c r="L514" s="12"/>
      <c r="M514" s="12"/>
      <c r="N514" s="12"/>
      <c r="O514" s="12"/>
      <c r="P514" s="12"/>
    </row>
    <row r="515">
      <c r="D515" s="95"/>
      <c r="E515" s="14"/>
      <c r="H515" s="12"/>
      <c r="I515" s="12"/>
      <c r="J515" s="12"/>
      <c r="K515" s="12"/>
      <c r="L515" s="12"/>
      <c r="M515" s="12"/>
      <c r="N515" s="12"/>
      <c r="O515" s="12"/>
      <c r="P515" s="12"/>
    </row>
    <row r="516">
      <c r="D516" s="95"/>
      <c r="E516" s="14"/>
      <c r="H516" s="12"/>
      <c r="I516" s="12"/>
      <c r="J516" s="12"/>
      <c r="K516" s="12"/>
      <c r="L516" s="12"/>
      <c r="M516" s="12"/>
      <c r="N516" s="12"/>
      <c r="O516" s="12"/>
      <c r="P516" s="12"/>
    </row>
    <row r="517">
      <c r="D517" s="95"/>
      <c r="E517" s="14"/>
      <c r="H517" s="12"/>
      <c r="I517" s="12"/>
      <c r="J517" s="12"/>
      <c r="K517" s="12"/>
      <c r="L517" s="12"/>
      <c r="M517" s="12"/>
      <c r="N517" s="12"/>
      <c r="O517" s="12"/>
      <c r="P517" s="12"/>
    </row>
    <row r="518">
      <c r="D518" s="95"/>
      <c r="E518" s="14"/>
      <c r="H518" s="12"/>
      <c r="I518" s="12"/>
      <c r="J518" s="12"/>
      <c r="K518" s="12"/>
      <c r="L518" s="12"/>
      <c r="M518" s="12"/>
      <c r="N518" s="12"/>
      <c r="O518" s="12"/>
      <c r="P518" s="12"/>
    </row>
    <row r="519">
      <c r="D519" s="95"/>
      <c r="E519" s="14"/>
      <c r="H519" s="12"/>
      <c r="I519" s="12"/>
      <c r="J519" s="12"/>
      <c r="K519" s="12"/>
      <c r="L519" s="12"/>
      <c r="M519" s="12"/>
      <c r="N519" s="12"/>
      <c r="O519" s="12"/>
      <c r="P519" s="12"/>
    </row>
    <row r="520">
      <c r="D520" s="95"/>
      <c r="E520" s="14"/>
      <c r="H520" s="12"/>
      <c r="I520" s="12"/>
      <c r="J520" s="12"/>
      <c r="K520" s="12"/>
      <c r="L520" s="12"/>
      <c r="M520" s="12"/>
      <c r="N520" s="12"/>
      <c r="O520" s="12"/>
      <c r="P520" s="12"/>
    </row>
    <row r="521">
      <c r="D521" s="95"/>
      <c r="E521" s="14"/>
      <c r="H521" s="12"/>
      <c r="I521" s="12"/>
      <c r="J521" s="12"/>
      <c r="K521" s="12"/>
      <c r="L521" s="12"/>
      <c r="M521" s="12"/>
      <c r="N521" s="12"/>
      <c r="O521" s="12"/>
      <c r="P521" s="12"/>
    </row>
    <row r="522">
      <c r="D522" s="95"/>
      <c r="E522" s="14"/>
      <c r="H522" s="12"/>
      <c r="I522" s="12"/>
      <c r="J522" s="12"/>
      <c r="K522" s="12"/>
      <c r="L522" s="12"/>
      <c r="M522" s="12"/>
      <c r="N522" s="12"/>
      <c r="O522" s="12"/>
      <c r="P522" s="12"/>
    </row>
    <row r="523">
      <c r="D523" s="95"/>
      <c r="E523" s="14"/>
      <c r="H523" s="12"/>
      <c r="I523" s="12"/>
      <c r="J523" s="12"/>
      <c r="K523" s="12"/>
      <c r="L523" s="12"/>
      <c r="M523" s="12"/>
      <c r="N523" s="12"/>
      <c r="O523" s="12"/>
      <c r="P523" s="12"/>
    </row>
    <row r="524">
      <c r="D524" s="95"/>
      <c r="E524" s="14"/>
      <c r="H524" s="12"/>
      <c r="I524" s="12"/>
      <c r="J524" s="12"/>
      <c r="K524" s="12"/>
      <c r="L524" s="12"/>
      <c r="M524" s="12"/>
      <c r="N524" s="12"/>
      <c r="O524" s="12"/>
      <c r="P524" s="12"/>
    </row>
    <row r="525">
      <c r="D525" s="95"/>
      <c r="E525" s="14"/>
      <c r="H525" s="12"/>
      <c r="I525" s="12"/>
      <c r="J525" s="12"/>
      <c r="K525" s="12"/>
      <c r="L525" s="12"/>
      <c r="M525" s="12"/>
      <c r="N525" s="12"/>
      <c r="O525" s="12"/>
      <c r="P525" s="12"/>
    </row>
    <row r="526">
      <c r="D526" s="95"/>
      <c r="E526" s="14"/>
      <c r="H526" s="12"/>
      <c r="I526" s="12"/>
      <c r="J526" s="12"/>
      <c r="K526" s="12"/>
      <c r="L526" s="12"/>
      <c r="M526" s="12"/>
      <c r="N526" s="12"/>
      <c r="O526" s="12"/>
      <c r="P526" s="12"/>
    </row>
    <row r="527">
      <c r="D527" s="95"/>
      <c r="E527" s="14"/>
      <c r="H527" s="12"/>
      <c r="I527" s="12"/>
      <c r="J527" s="12"/>
      <c r="K527" s="12"/>
      <c r="L527" s="12"/>
      <c r="M527" s="12"/>
      <c r="N527" s="12"/>
      <c r="O527" s="12"/>
      <c r="P527" s="12"/>
    </row>
    <row r="528">
      <c r="D528" s="95"/>
      <c r="E528" s="14"/>
      <c r="H528" s="12"/>
      <c r="I528" s="12"/>
      <c r="J528" s="12"/>
      <c r="K528" s="12"/>
      <c r="L528" s="12"/>
      <c r="M528" s="12"/>
      <c r="N528" s="12"/>
      <c r="O528" s="12"/>
      <c r="P528" s="12"/>
    </row>
    <row r="529">
      <c r="D529" s="95"/>
      <c r="E529" s="14"/>
      <c r="H529" s="12"/>
      <c r="I529" s="12"/>
      <c r="J529" s="12"/>
      <c r="K529" s="12"/>
      <c r="L529" s="12"/>
      <c r="M529" s="12"/>
      <c r="N529" s="12"/>
      <c r="O529" s="12"/>
      <c r="P529" s="12"/>
    </row>
    <row r="530">
      <c r="D530" s="95"/>
      <c r="E530" s="14"/>
      <c r="H530" s="12"/>
      <c r="I530" s="12"/>
      <c r="J530" s="12"/>
      <c r="K530" s="12"/>
      <c r="L530" s="12"/>
      <c r="M530" s="12"/>
      <c r="N530" s="12"/>
      <c r="O530" s="12"/>
      <c r="P530" s="12"/>
    </row>
    <row r="531">
      <c r="D531" s="95"/>
      <c r="E531" s="14"/>
      <c r="H531" s="12"/>
      <c r="I531" s="12"/>
      <c r="J531" s="12"/>
      <c r="K531" s="12"/>
      <c r="L531" s="12"/>
      <c r="M531" s="12"/>
      <c r="N531" s="12"/>
      <c r="O531" s="12"/>
      <c r="P531" s="12"/>
    </row>
    <row r="532">
      <c r="D532" s="95"/>
      <c r="E532" s="14"/>
      <c r="H532" s="12"/>
      <c r="I532" s="12"/>
      <c r="J532" s="12"/>
      <c r="K532" s="12"/>
      <c r="L532" s="12"/>
      <c r="M532" s="12"/>
      <c r="N532" s="12"/>
      <c r="O532" s="12"/>
      <c r="P532" s="12"/>
    </row>
    <row r="533">
      <c r="D533" s="95"/>
      <c r="E533" s="14"/>
      <c r="H533" s="12"/>
      <c r="I533" s="12"/>
      <c r="J533" s="12"/>
      <c r="K533" s="12"/>
      <c r="L533" s="12"/>
      <c r="M533" s="12"/>
      <c r="N533" s="12"/>
      <c r="O533" s="12"/>
      <c r="P533" s="12"/>
    </row>
    <row r="534">
      <c r="D534" s="95"/>
      <c r="E534" s="14"/>
      <c r="H534" s="12"/>
      <c r="I534" s="12"/>
      <c r="J534" s="12"/>
      <c r="K534" s="12"/>
      <c r="L534" s="12"/>
      <c r="M534" s="12"/>
      <c r="N534" s="12"/>
      <c r="O534" s="12"/>
      <c r="P534" s="12"/>
    </row>
    <row r="535">
      <c r="D535" s="95"/>
      <c r="E535" s="14"/>
      <c r="H535" s="12"/>
      <c r="I535" s="12"/>
      <c r="J535" s="12"/>
      <c r="K535" s="12"/>
      <c r="L535" s="12"/>
      <c r="M535" s="12"/>
      <c r="N535" s="12"/>
      <c r="O535" s="12"/>
      <c r="P535" s="12"/>
    </row>
    <row r="536">
      <c r="D536" s="95"/>
      <c r="E536" s="14"/>
      <c r="H536" s="12"/>
      <c r="I536" s="12"/>
      <c r="J536" s="12"/>
      <c r="K536" s="12"/>
      <c r="L536" s="12"/>
      <c r="M536" s="12"/>
      <c r="N536" s="12"/>
      <c r="O536" s="12"/>
      <c r="P536" s="12"/>
    </row>
    <row r="537">
      <c r="D537" s="95"/>
      <c r="E537" s="14"/>
      <c r="H537" s="12"/>
      <c r="I537" s="12"/>
      <c r="J537" s="12"/>
      <c r="K537" s="12"/>
      <c r="L537" s="12"/>
      <c r="M537" s="12"/>
      <c r="N537" s="12"/>
      <c r="O537" s="12"/>
      <c r="P537" s="12"/>
    </row>
    <row r="538">
      <c r="D538" s="95"/>
      <c r="E538" s="14"/>
      <c r="H538" s="12"/>
      <c r="I538" s="12"/>
      <c r="J538" s="12"/>
      <c r="K538" s="12"/>
      <c r="L538" s="12"/>
      <c r="M538" s="12"/>
      <c r="N538" s="12"/>
      <c r="O538" s="12"/>
      <c r="P538" s="12"/>
    </row>
    <row r="539">
      <c r="D539" s="95"/>
      <c r="E539" s="14"/>
      <c r="H539" s="12"/>
      <c r="I539" s="12"/>
      <c r="J539" s="12"/>
      <c r="K539" s="12"/>
      <c r="L539" s="12"/>
      <c r="M539" s="12"/>
      <c r="N539" s="12"/>
      <c r="O539" s="12"/>
      <c r="P539" s="12"/>
    </row>
    <row r="540">
      <c r="D540" s="95"/>
      <c r="E540" s="14"/>
      <c r="H540" s="12"/>
      <c r="I540" s="12"/>
      <c r="J540" s="12"/>
      <c r="K540" s="12"/>
      <c r="L540" s="12"/>
      <c r="M540" s="12"/>
      <c r="N540" s="12"/>
      <c r="O540" s="12"/>
      <c r="P540" s="12"/>
    </row>
    <row r="541">
      <c r="D541" s="95"/>
      <c r="E541" s="14"/>
      <c r="H541" s="12"/>
      <c r="I541" s="12"/>
      <c r="J541" s="12"/>
      <c r="K541" s="12"/>
      <c r="L541" s="12"/>
      <c r="M541" s="12"/>
      <c r="N541" s="12"/>
      <c r="O541" s="12"/>
      <c r="P541" s="12"/>
    </row>
    <row r="542">
      <c r="D542" s="95"/>
      <c r="E542" s="14"/>
      <c r="H542" s="12"/>
      <c r="I542" s="12"/>
      <c r="J542" s="12"/>
      <c r="K542" s="12"/>
      <c r="L542" s="12"/>
      <c r="M542" s="12"/>
      <c r="N542" s="12"/>
      <c r="O542" s="12"/>
      <c r="P542" s="12"/>
    </row>
    <row r="543">
      <c r="D543" s="95"/>
      <c r="E543" s="14"/>
      <c r="H543" s="12"/>
      <c r="I543" s="12"/>
      <c r="J543" s="12"/>
      <c r="K543" s="12"/>
      <c r="L543" s="12"/>
      <c r="M543" s="12"/>
      <c r="N543" s="12"/>
      <c r="O543" s="12"/>
      <c r="P543" s="12"/>
    </row>
    <row r="544">
      <c r="D544" s="95"/>
      <c r="E544" s="14"/>
      <c r="H544" s="12"/>
      <c r="I544" s="12"/>
      <c r="J544" s="12"/>
      <c r="K544" s="12"/>
      <c r="L544" s="12"/>
      <c r="M544" s="12"/>
      <c r="N544" s="12"/>
      <c r="O544" s="12"/>
      <c r="P544" s="12"/>
    </row>
    <row r="545">
      <c r="D545" s="95"/>
      <c r="E545" s="14"/>
      <c r="H545" s="12"/>
      <c r="I545" s="12"/>
      <c r="J545" s="12"/>
      <c r="K545" s="12"/>
      <c r="L545" s="12"/>
      <c r="M545" s="12"/>
      <c r="N545" s="12"/>
      <c r="O545" s="12"/>
      <c r="P545" s="12"/>
    </row>
    <row r="546">
      <c r="D546" s="95"/>
      <c r="E546" s="14"/>
      <c r="H546" s="12"/>
      <c r="I546" s="12"/>
      <c r="J546" s="12"/>
      <c r="K546" s="12"/>
      <c r="L546" s="12"/>
      <c r="M546" s="12"/>
      <c r="N546" s="12"/>
      <c r="O546" s="12"/>
      <c r="P546" s="12"/>
    </row>
    <row r="547">
      <c r="D547" s="95"/>
      <c r="E547" s="14"/>
      <c r="H547" s="12"/>
      <c r="I547" s="12"/>
      <c r="J547" s="12"/>
      <c r="K547" s="12"/>
      <c r="L547" s="12"/>
      <c r="M547" s="12"/>
      <c r="N547" s="12"/>
      <c r="O547" s="12"/>
      <c r="P547" s="12"/>
    </row>
    <row r="548">
      <c r="D548" s="95"/>
      <c r="E548" s="14"/>
      <c r="H548" s="12"/>
      <c r="I548" s="12"/>
      <c r="J548" s="12"/>
      <c r="K548" s="12"/>
      <c r="L548" s="12"/>
      <c r="M548" s="12"/>
      <c r="N548" s="12"/>
      <c r="O548" s="12"/>
      <c r="P548" s="12"/>
    </row>
    <row r="549">
      <c r="D549" s="95"/>
      <c r="E549" s="14"/>
      <c r="H549" s="12"/>
      <c r="I549" s="12"/>
      <c r="J549" s="12"/>
      <c r="K549" s="12"/>
      <c r="L549" s="12"/>
      <c r="M549" s="12"/>
      <c r="N549" s="12"/>
      <c r="O549" s="12"/>
      <c r="P549" s="12"/>
    </row>
    <row r="550">
      <c r="D550" s="95"/>
      <c r="E550" s="14"/>
      <c r="H550" s="12"/>
      <c r="I550" s="12"/>
      <c r="J550" s="12"/>
      <c r="K550" s="12"/>
      <c r="L550" s="12"/>
      <c r="M550" s="12"/>
      <c r="N550" s="12"/>
      <c r="O550" s="12"/>
      <c r="P550" s="12"/>
    </row>
    <row r="551">
      <c r="D551" s="95"/>
      <c r="E551" s="14"/>
      <c r="H551" s="12"/>
      <c r="I551" s="12"/>
      <c r="J551" s="12"/>
      <c r="K551" s="12"/>
      <c r="L551" s="12"/>
      <c r="M551" s="12"/>
      <c r="N551" s="12"/>
      <c r="O551" s="12"/>
      <c r="P551" s="12"/>
    </row>
    <row r="552">
      <c r="D552" s="95"/>
      <c r="E552" s="14"/>
      <c r="H552" s="12"/>
      <c r="I552" s="12"/>
      <c r="J552" s="12"/>
      <c r="K552" s="12"/>
      <c r="L552" s="12"/>
      <c r="M552" s="12"/>
      <c r="N552" s="12"/>
      <c r="O552" s="12"/>
      <c r="P552" s="12"/>
    </row>
    <row r="553">
      <c r="D553" s="95"/>
      <c r="E553" s="14"/>
      <c r="H553" s="12"/>
      <c r="I553" s="12"/>
      <c r="J553" s="12"/>
      <c r="K553" s="12"/>
      <c r="L553" s="12"/>
      <c r="M553" s="12"/>
      <c r="N553" s="12"/>
      <c r="O553" s="12"/>
      <c r="P553" s="12"/>
    </row>
    <row r="554">
      <c r="D554" s="95"/>
      <c r="E554" s="14"/>
      <c r="H554" s="12"/>
      <c r="I554" s="12"/>
      <c r="J554" s="12"/>
      <c r="K554" s="12"/>
      <c r="L554" s="12"/>
      <c r="M554" s="12"/>
      <c r="N554" s="12"/>
      <c r="O554" s="12"/>
      <c r="P554" s="12"/>
    </row>
    <row r="555">
      <c r="D555" s="95"/>
      <c r="E555" s="14"/>
      <c r="H555" s="12"/>
      <c r="I555" s="12"/>
      <c r="J555" s="12"/>
      <c r="K555" s="12"/>
      <c r="L555" s="12"/>
      <c r="M555" s="12"/>
      <c r="N555" s="12"/>
      <c r="O555" s="12"/>
      <c r="P555" s="12"/>
    </row>
    <row r="556">
      <c r="D556" s="95"/>
      <c r="E556" s="14"/>
      <c r="H556" s="12"/>
      <c r="I556" s="12"/>
      <c r="J556" s="12"/>
      <c r="K556" s="12"/>
      <c r="L556" s="12"/>
      <c r="M556" s="12"/>
      <c r="N556" s="12"/>
      <c r="O556" s="12"/>
      <c r="P556" s="12"/>
    </row>
    <row r="557">
      <c r="D557" s="95"/>
      <c r="E557" s="14"/>
      <c r="H557" s="12"/>
      <c r="I557" s="12"/>
      <c r="J557" s="12"/>
      <c r="K557" s="12"/>
      <c r="L557" s="12"/>
      <c r="M557" s="12"/>
      <c r="N557" s="12"/>
      <c r="O557" s="12"/>
      <c r="P557" s="12"/>
    </row>
    <row r="558">
      <c r="D558" s="95"/>
      <c r="E558" s="14"/>
      <c r="H558" s="12"/>
      <c r="I558" s="12"/>
      <c r="J558" s="12"/>
      <c r="K558" s="12"/>
      <c r="L558" s="12"/>
      <c r="M558" s="12"/>
      <c r="N558" s="12"/>
      <c r="O558" s="12"/>
      <c r="P558" s="12"/>
    </row>
    <row r="559">
      <c r="D559" s="95"/>
      <c r="E559" s="14"/>
      <c r="H559" s="12"/>
      <c r="I559" s="12"/>
      <c r="J559" s="12"/>
      <c r="K559" s="12"/>
      <c r="L559" s="12"/>
      <c r="M559" s="12"/>
      <c r="N559" s="12"/>
      <c r="O559" s="12"/>
      <c r="P559" s="12"/>
    </row>
    <row r="560">
      <c r="D560" s="95"/>
      <c r="E560" s="14"/>
      <c r="H560" s="12"/>
      <c r="I560" s="12"/>
      <c r="J560" s="12"/>
      <c r="K560" s="12"/>
      <c r="L560" s="12"/>
      <c r="M560" s="12"/>
      <c r="N560" s="12"/>
      <c r="O560" s="12"/>
      <c r="P560" s="12"/>
    </row>
    <row r="561">
      <c r="D561" s="95"/>
      <c r="E561" s="14"/>
      <c r="H561" s="12"/>
      <c r="I561" s="12"/>
      <c r="J561" s="12"/>
      <c r="K561" s="12"/>
      <c r="L561" s="12"/>
      <c r="M561" s="12"/>
      <c r="N561" s="12"/>
      <c r="O561" s="12"/>
      <c r="P561" s="12"/>
    </row>
    <row r="562">
      <c r="D562" s="95"/>
      <c r="E562" s="14"/>
      <c r="H562" s="12"/>
      <c r="I562" s="12"/>
      <c r="J562" s="12"/>
      <c r="K562" s="12"/>
      <c r="L562" s="12"/>
      <c r="M562" s="12"/>
      <c r="N562" s="12"/>
      <c r="O562" s="12"/>
      <c r="P562" s="12"/>
    </row>
    <row r="563">
      <c r="D563" s="95"/>
      <c r="E563" s="14"/>
      <c r="H563" s="12"/>
      <c r="I563" s="12"/>
      <c r="J563" s="12"/>
      <c r="K563" s="12"/>
      <c r="L563" s="12"/>
      <c r="M563" s="12"/>
      <c r="N563" s="12"/>
      <c r="O563" s="12"/>
      <c r="P563" s="12"/>
    </row>
    <row r="564">
      <c r="D564" s="95"/>
      <c r="E564" s="14"/>
      <c r="H564" s="12"/>
      <c r="I564" s="12"/>
      <c r="J564" s="12"/>
      <c r="K564" s="12"/>
      <c r="L564" s="12"/>
      <c r="M564" s="12"/>
      <c r="N564" s="12"/>
      <c r="O564" s="12"/>
      <c r="P564" s="12"/>
    </row>
    <row r="565">
      <c r="D565" s="95"/>
      <c r="E565" s="14"/>
      <c r="H565" s="12"/>
      <c r="I565" s="12"/>
      <c r="J565" s="12"/>
      <c r="K565" s="12"/>
      <c r="L565" s="12"/>
      <c r="M565" s="12"/>
      <c r="N565" s="12"/>
      <c r="O565" s="12"/>
      <c r="P565" s="12"/>
    </row>
    <row r="566">
      <c r="D566" s="95"/>
      <c r="E566" s="14"/>
      <c r="H566" s="12"/>
      <c r="I566" s="12"/>
      <c r="J566" s="12"/>
      <c r="K566" s="12"/>
      <c r="L566" s="12"/>
      <c r="M566" s="12"/>
      <c r="N566" s="12"/>
      <c r="O566" s="12"/>
      <c r="P566" s="12"/>
    </row>
    <row r="567">
      <c r="D567" s="95"/>
      <c r="E567" s="14"/>
      <c r="H567" s="12"/>
      <c r="I567" s="12"/>
      <c r="J567" s="12"/>
      <c r="K567" s="12"/>
      <c r="L567" s="12"/>
      <c r="M567" s="12"/>
      <c r="N567" s="12"/>
      <c r="O567" s="12"/>
      <c r="P567" s="12"/>
    </row>
    <row r="568">
      <c r="D568" s="95"/>
      <c r="E568" s="14"/>
      <c r="H568" s="12"/>
      <c r="I568" s="12"/>
      <c r="J568" s="12"/>
      <c r="K568" s="12"/>
      <c r="L568" s="12"/>
      <c r="M568" s="12"/>
      <c r="N568" s="12"/>
      <c r="O568" s="12"/>
      <c r="P568" s="12"/>
    </row>
    <row r="569">
      <c r="D569" s="95"/>
      <c r="E569" s="14"/>
      <c r="H569" s="12"/>
      <c r="I569" s="12"/>
      <c r="J569" s="12"/>
      <c r="K569" s="12"/>
      <c r="L569" s="12"/>
      <c r="M569" s="12"/>
      <c r="N569" s="12"/>
      <c r="O569" s="12"/>
      <c r="P569" s="12"/>
    </row>
    <row r="570">
      <c r="D570" s="95"/>
      <c r="E570" s="14"/>
      <c r="H570" s="12"/>
      <c r="I570" s="12"/>
      <c r="J570" s="12"/>
      <c r="K570" s="12"/>
      <c r="L570" s="12"/>
      <c r="M570" s="12"/>
      <c r="N570" s="12"/>
      <c r="O570" s="12"/>
      <c r="P570" s="12"/>
    </row>
    <row r="571">
      <c r="D571" s="95"/>
      <c r="E571" s="14"/>
      <c r="H571" s="12"/>
      <c r="I571" s="12"/>
      <c r="J571" s="12"/>
      <c r="K571" s="12"/>
      <c r="L571" s="12"/>
      <c r="M571" s="12"/>
      <c r="N571" s="12"/>
      <c r="O571" s="12"/>
      <c r="P571" s="12"/>
    </row>
    <row r="572">
      <c r="D572" s="95"/>
      <c r="E572" s="14"/>
      <c r="H572" s="12"/>
      <c r="I572" s="12"/>
      <c r="J572" s="12"/>
      <c r="K572" s="12"/>
      <c r="L572" s="12"/>
      <c r="M572" s="12"/>
      <c r="N572" s="12"/>
      <c r="O572" s="12"/>
      <c r="P572" s="12"/>
    </row>
    <row r="573">
      <c r="D573" s="95"/>
      <c r="E573" s="14"/>
      <c r="H573" s="12"/>
      <c r="I573" s="12"/>
      <c r="J573" s="12"/>
      <c r="K573" s="12"/>
      <c r="L573" s="12"/>
      <c r="M573" s="12"/>
      <c r="N573" s="12"/>
      <c r="O573" s="12"/>
      <c r="P573" s="12"/>
    </row>
    <row r="574">
      <c r="D574" s="95"/>
      <c r="E574" s="14"/>
      <c r="H574" s="12"/>
      <c r="I574" s="12"/>
      <c r="J574" s="12"/>
      <c r="K574" s="12"/>
      <c r="L574" s="12"/>
      <c r="M574" s="12"/>
      <c r="N574" s="12"/>
      <c r="O574" s="12"/>
      <c r="P574" s="12"/>
    </row>
    <row r="575">
      <c r="D575" s="95"/>
      <c r="E575" s="14"/>
      <c r="H575" s="12"/>
      <c r="I575" s="12"/>
      <c r="J575" s="12"/>
      <c r="K575" s="12"/>
      <c r="L575" s="12"/>
      <c r="M575" s="12"/>
      <c r="N575" s="12"/>
      <c r="O575" s="12"/>
      <c r="P575" s="12"/>
    </row>
    <row r="576">
      <c r="D576" s="95"/>
      <c r="E576" s="14"/>
      <c r="H576" s="12"/>
      <c r="I576" s="12"/>
      <c r="J576" s="12"/>
      <c r="K576" s="12"/>
      <c r="L576" s="12"/>
      <c r="M576" s="12"/>
      <c r="N576" s="12"/>
      <c r="O576" s="12"/>
      <c r="P576" s="12"/>
    </row>
    <row r="577">
      <c r="D577" s="95"/>
      <c r="E577" s="14"/>
      <c r="H577" s="12"/>
      <c r="I577" s="12"/>
      <c r="J577" s="12"/>
      <c r="K577" s="12"/>
      <c r="L577" s="12"/>
      <c r="M577" s="12"/>
      <c r="N577" s="12"/>
      <c r="O577" s="12"/>
      <c r="P577" s="12"/>
    </row>
    <row r="578">
      <c r="D578" s="95"/>
      <c r="E578" s="14"/>
      <c r="H578" s="12"/>
      <c r="I578" s="12"/>
      <c r="J578" s="12"/>
      <c r="K578" s="12"/>
      <c r="L578" s="12"/>
      <c r="M578" s="12"/>
      <c r="N578" s="12"/>
      <c r="O578" s="12"/>
      <c r="P578" s="12"/>
    </row>
    <row r="579">
      <c r="D579" s="95"/>
      <c r="E579" s="14"/>
      <c r="H579" s="12"/>
      <c r="I579" s="12"/>
      <c r="J579" s="12"/>
      <c r="K579" s="12"/>
      <c r="L579" s="12"/>
      <c r="M579" s="12"/>
      <c r="N579" s="12"/>
      <c r="O579" s="12"/>
      <c r="P579" s="12"/>
    </row>
    <row r="580">
      <c r="D580" s="95"/>
      <c r="E580" s="14"/>
      <c r="H580" s="12"/>
      <c r="I580" s="12"/>
      <c r="J580" s="12"/>
      <c r="K580" s="12"/>
      <c r="L580" s="12"/>
      <c r="M580" s="12"/>
      <c r="N580" s="12"/>
      <c r="O580" s="12"/>
      <c r="P580" s="12"/>
    </row>
    <row r="581">
      <c r="D581" s="95"/>
      <c r="E581" s="14"/>
      <c r="H581" s="12"/>
      <c r="I581" s="12"/>
      <c r="J581" s="12"/>
      <c r="K581" s="12"/>
      <c r="L581" s="12"/>
      <c r="M581" s="12"/>
      <c r="N581" s="12"/>
      <c r="O581" s="12"/>
      <c r="P581" s="12"/>
    </row>
    <row r="582">
      <c r="D582" s="95"/>
      <c r="E582" s="14"/>
      <c r="H582" s="12"/>
      <c r="I582" s="12"/>
      <c r="J582" s="12"/>
      <c r="K582" s="12"/>
      <c r="L582" s="12"/>
      <c r="M582" s="12"/>
      <c r="N582" s="12"/>
      <c r="O582" s="12"/>
      <c r="P582" s="12"/>
    </row>
    <row r="583">
      <c r="D583" s="95"/>
      <c r="E583" s="14"/>
      <c r="H583" s="12"/>
      <c r="I583" s="12"/>
      <c r="J583" s="12"/>
      <c r="K583" s="12"/>
      <c r="L583" s="12"/>
      <c r="M583" s="12"/>
      <c r="N583" s="12"/>
      <c r="O583" s="12"/>
      <c r="P583" s="12"/>
    </row>
    <row r="584">
      <c r="D584" s="95"/>
      <c r="E584" s="14"/>
      <c r="H584" s="12"/>
      <c r="I584" s="12"/>
      <c r="J584" s="12"/>
      <c r="K584" s="12"/>
      <c r="L584" s="12"/>
      <c r="M584" s="12"/>
      <c r="N584" s="12"/>
      <c r="O584" s="12"/>
      <c r="P584" s="12"/>
    </row>
    <row r="585">
      <c r="D585" s="95"/>
      <c r="E585" s="14"/>
      <c r="H585" s="12"/>
      <c r="I585" s="12"/>
      <c r="J585" s="12"/>
      <c r="K585" s="12"/>
      <c r="L585" s="12"/>
      <c r="M585" s="12"/>
      <c r="N585" s="12"/>
      <c r="O585" s="12"/>
      <c r="P585" s="12"/>
    </row>
    <row r="586">
      <c r="D586" s="95"/>
      <c r="E586" s="14"/>
      <c r="H586" s="12"/>
      <c r="I586" s="12"/>
      <c r="J586" s="12"/>
      <c r="K586" s="12"/>
      <c r="L586" s="12"/>
      <c r="M586" s="12"/>
      <c r="N586" s="12"/>
      <c r="O586" s="12"/>
      <c r="P586" s="12"/>
    </row>
    <row r="587">
      <c r="D587" s="95"/>
      <c r="E587" s="14"/>
      <c r="H587" s="12"/>
      <c r="I587" s="12"/>
      <c r="J587" s="12"/>
      <c r="K587" s="12"/>
      <c r="L587" s="12"/>
      <c r="M587" s="12"/>
      <c r="N587" s="12"/>
      <c r="O587" s="12"/>
      <c r="P587" s="12"/>
    </row>
    <row r="588">
      <c r="D588" s="95"/>
      <c r="E588" s="14"/>
      <c r="H588" s="12"/>
      <c r="I588" s="12"/>
      <c r="J588" s="12"/>
      <c r="K588" s="12"/>
      <c r="L588" s="12"/>
      <c r="M588" s="12"/>
      <c r="N588" s="12"/>
      <c r="O588" s="12"/>
      <c r="P588" s="12"/>
    </row>
    <row r="589">
      <c r="D589" s="95"/>
      <c r="E589" s="14"/>
      <c r="H589" s="12"/>
      <c r="I589" s="12"/>
      <c r="J589" s="12"/>
      <c r="K589" s="12"/>
      <c r="L589" s="12"/>
      <c r="M589" s="12"/>
      <c r="N589" s="12"/>
      <c r="O589" s="12"/>
      <c r="P589" s="12"/>
    </row>
    <row r="590">
      <c r="D590" s="95"/>
      <c r="E590" s="14"/>
      <c r="H590" s="12"/>
      <c r="I590" s="12"/>
      <c r="J590" s="12"/>
      <c r="K590" s="12"/>
      <c r="L590" s="12"/>
      <c r="M590" s="12"/>
      <c r="N590" s="12"/>
      <c r="O590" s="12"/>
      <c r="P590" s="12"/>
    </row>
    <row r="591">
      <c r="D591" s="95"/>
      <c r="E591" s="14"/>
      <c r="H591" s="12"/>
      <c r="I591" s="12"/>
      <c r="J591" s="12"/>
      <c r="K591" s="12"/>
      <c r="L591" s="12"/>
      <c r="M591" s="12"/>
      <c r="N591" s="12"/>
      <c r="O591" s="12"/>
      <c r="P591" s="12"/>
    </row>
    <row r="592">
      <c r="D592" s="95"/>
      <c r="E592" s="14"/>
      <c r="H592" s="12"/>
      <c r="I592" s="12"/>
      <c r="J592" s="12"/>
      <c r="K592" s="12"/>
      <c r="L592" s="12"/>
      <c r="M592" s="12"/>
      <c r="N592" s="12"/>
      <c r="O592" s="12"/>
      <c r="P592" s="12"/>
    </row>
    <row r="593">
      <c r="D593" s="95"/>
      <c r="E593" s="14"/>
      <c r="H593" s="12"/>
      <c r="I593" s="12"/>
      <c r="J593" s="12"/>
      <c r="K593" s="12"/>
      <c r="L593" s="12"/>
      <c r="M593" s="12"/>
      <c r="N593" s="12"/>
      <c r="O593" s="12"/>
      <c r="P593" s="12"/>
    </row>
    <row r="594">
      <c r="D594" s="95"/>
      <c r="E594" s="14"/>
      <c r="H594" s="12"/>
      <c r="I594" s="12"/>
      <c r="J594" s="12"/>
      <c r="K594" s="12"/>
      <c r="L594" s="12"/>
      <c r="M594" s="12"/>
      <c r="N594" s="12"/>
      <c r="O594" s="12"/>
      <c r="P594" s="12"/>
    </row>
    <row r="595">
      <c r="D595" s="95"/>
      <c r="E595" s="14"/>
      <c r="H595" s="12"/>
      <c r="I595" s="12"/>
      <c r="J595" s="12"/>
      <c r="K595" s="12"/>
      <c r="L595" s="12"/>
      <c r="M595" s="12"/>
      <c r="N595" s="12"/>
      <c r="O595" s="12"/>
      <c r="P595" s="12"/>
    </row>
    <row r="596">
      <c r="D596" s="95"/>
      <c r="E596" s="14"/>
      <c r="H596" s="12"/>
      <c r="I596" s="12"/>
      <c r="J596" s="12"/>
      <c r="K596" s="12"/>
      <c r="L596" s="12"/>
      <c r="M596" s="12"/>
      <c r="N596" s="12"/>
      <c r="O596" s="12"/>
      <c r="P596" s="12"/>
    </row>
    <row r="597">
      <c r="D597" s="95"/>
      <c r="E597" s="14"/>
      <c r="H597" s="12"/>
      <c r="I597" s="12"/>
      <c r="J597" s="12"/>
      <c r="K597" s="12"/>
      <c r="L597" s="12"/>
      <c r="M597" s="12"/>
      <c r="N597" s="12"/>
      <c r="O597" s="12"/>
      <c r="P597" s="12"/>
    </row>
    <row r="598">
      <c r="D598" s="95"/>
      <c r="E598" s="14"/>
      <c r="H598" s="12"/>
      <c r="I598" s="12"/>
      <c r="J598" s="12"/>
      <c r="K598" s="12"/>
      <c r="L598" s="12"/>
      <c r="M598" s="12"/>
      <c r="N598" s="12"/>
      <c r="O598" s="12"/>
      <c r="P598" s="12"/>
    </row>
    <row r="599">
      <c r="D599" s="95"/>
      <c r="E599" s="14"/>
      <c r="H599" s="12"/>
      <c r="I599" s="12"/>
      <c r="J599" s="12"/>
      <c r="K599" s="12"/>
      <c r="L599" s="12"/>
      <c r="M599" s="12"/>
      <c r="N599" s="12"/>
      <c r="O599" s="12"/>
      <c r="P599" s="12"/>
    </row>
    <row r="600">
      <c r="D600" s="95"/>
      <c r="E600" s="14"/>
      <c r="H600" s="12"/>
      <c r="I600" s="12"/>
      <c r="J600" s="12"/>
      <c r="K600" s="12"/>
      <c r="L600" s="12"/>
      <c r="M600" s="12"/>
      <c r="N600" s="12"/>
      <c r="O600" s="12"/>
      <c r="P600" s="12"/>
    </row>
    <row r="601">
      <c r="D601" s="95"/>
      <c r="E601" s="14"/>
      <c r="H601" s="12"/>
      <c r="I601" s="12"/>
      <c r="J601" s="12"/>
      <c r="K601" s="12"/>
      <c r="L601" s="12"/>
      <c r="M601" s="12"/>
      <c r="N601" s="12"/>
      <c r="O601" s="12"/>
      <c r="P601" s="12"/>
    </row>
    <row r="602">
      <c r="D602" s="95"/>
      <c r="E602" s="14"/>
      <c r="H602" s="12"/>
      <c r="I602" s="12"/>
      <c r="J602" s="12"/>
      <c r="K602" s="12"/>
      <c r="L602" s="12"/>
      <c r="M602" s="12"/>
      <c r="N602" s="12"/>
      <c r="O602" s="12"/>
      <c r="P602" s="12"/>
    </row>
    <row r="603">
      <c r="D603" s="95"/>
      <c r="E603" s="14"/>
      <c r="H603" s="12"/>
      <c r="I603" s="12"/>
      <c r="J603" s="12"/>
      <c r="K603" s="12"/>
      <c r="L603" s="12"/>
      <c r="M603" s="12"/>
      <c r="N603" s="12"/>
      <c r="O603" s="12"/>
      <c r="P603" s="12"/>
    </row>
    <row r="604">
      <c r="D604" s="95"/>
      <c r="E604" s="14"/>
      <c r="H604" s="12"/>
      <c r="I604" s="12"/>
      <c r="J604" s="12"/>
      <c r="K604" s="12"/>
      <c r="L604" s="12"/>
      <c r="M604" s="12"/>
      <c r="N604" s="12"/>
      <c r="O604" s="12"/>
      <c r="P604" s="12"/>
    </row>
    <row r="605">
      <c r="D605" s="95"/>
      <c r="E605" s="14"/>
      <c r="H605" s="12"/>
      <c r="I605" s="12"/>
      <c r="J605" s="12"/>
      <c r="K605" s="12"/>
      <c r="L605" s="12"/>
      <c r="M605" s="12"/>
      <c r="N605" s="12"/>
      <c r="O605" s="12"/>
      <c r="P605" s="12"/>
    </row>
    <row r="606">
      <c r="D606" s="95"/>
      <c r="E606" s="14"/>
      <c r="H606" s="12"/>
      <c r="I606" s="12"/>
      <c r="J606" s="12"/>
      <c r="K606" s="12"/>
      <c r="L606" s="12"/>
      <c r="M606" s="12"/>
      <c r="N606" s="12"/>
      <c r="O606" s="12"/>
      <c r="P606" s="12"/>
    </row>
    <row r="607">
      <c r="D607" s="95"/>
      <c r="E607" s="14"/>
      <c r="H607" s="12"/>
      <c r="I607" s="12"/>
      <c r="J607" s="12"/>
      <c r="K607" s="12"/>
      <c r="L607" s="12"/>
      <c r="M607" s="12"/>
      <c r="N607" s="12"/>
      <c r="O607" s="12"/>
      <c r="P607" s="12"/>
    </row>
    <row r="608">
      <c r="D608" s="95"/>
      <c r="E608" s="14"/>
      <c r="H608" s="12"/>
      <c r="I608" s="12"/>
      <c r="J608" s="12"/>
      <c r="K608" s="12"/>
      <c r="L608" s="12"/>
      <c r="M608" s="12"/>
      <c r="N608" s="12"/>
      <c r="O608" s="12"/>
      <c r="P608" s="12"/>
    </row>
    <row r="609">
      <c r="D609" s="95"/>
      <c r="E609" s="14"/>
      <c r="H609" s="12"/>
      <c r="I609" s="12"/>
      <c r="J609" s="12"/>
      <c r="K609" s="12"/>
      <c r="L609" s="12"/>
      <c r="M609" s="12"/>
      <c r="N609" s="12"/>
      <c r="O609" s="12"/>
      <c r="P609" s="12"/>
    </row>
    <row r="610">
      <c r="D610" s="95"/>
      <c r="E610" s="14"/>
      <c r="H610" s="12"/>
      <c r="I610" s="12"/>
      <c r="J610" s="12"/>
      <c r="K610" s="12"/>
      <c r="L610" s="12"/>
      <c r="M610" s="12"/>
      <c r="N610" s="12"/>
      <c r="O610" s="12"/>
      <c r="P610" s="12"/>
    </row>
    <row r="611">
      <c r="D611" s="95"/>
      <c r="E611" s="14"/>
      <c r="H611" s="12"/>
      <c r="I611" s="12"/>
      <c r="J611" s="12"/>
      <c r="K611" s="12"/>
      <c r="L611" s="12"/>
      <c r="M611" s="12"/>
      <c r="N611" s="12"/>
      <c r="O611" s="12"/>
      <c r="P611" s="12"/>
    </row>
    <row r="612">
      <c r="D612" s="95"/>
      <c r="E612" s="14"/>
      <c r="H612" s="12"/>
      <c r="I612" s="12"/>
      <c r="J612" s="12"/>
      <c r="K612" s="12"/>
      <c r="L612" s="12"/>
      <c r="M612" s="12"/>
      <c r="N612" s="12"/>
      <c r="O612" s="12"/>
      <c r="P612" s="12"/>
    </row>
    <row r="613">
      <c r="D613" s="95"/>
      <c r="E613" s="14"/>
      <c r="H613" s="12"/>
      <c r="I613" s="12"/>
      <c r="J613" s="12"/>
      <c r="K613" s="12"/>
      <c r="L613" s="12"/>
      <c r="M613" s="12"/>
      <c r="N613" s="12"/>
      <c r="O613" s="12"/>
      <c r="P613" s="12"/>
    </row>
    <row r="614">
      <c r="D614" s="95"/>
      <c r="E614" s="14"/>
      <c r="H614" s="12"/>
      <c r="I614" s="12"/>
      <c r="J614" s="12"/>
      <c r="K614" s="12"/>
      <c r="L614" s="12"/>
      <c r="M614" s="12"/>
      <c r="N614" s="12"/>
      <c r="O614" s="12"/>
      <c r="P614" s="12"/>
    </row>
    <row r="615">
      <c r="D615" s="95"/>
      <c r="E615" s="14"/>
      <c r="H615" s="12"/>
      <c r="I615" s="12"/>
      <c r="J615" s="12"/>
      <c r="K615" s="12"/>
      <c r="L615" s="12"/>
      <c r="M615" s="12"/>
      <c r="N615" s="12"/>
      <c r="O615" s="12"/>
      <c r="P615" s="12"/>
    </row>
    <row r="616">
      <c r="D616" s="95"/>
      <c r="E616" s="14"/>
      <c r="H616" s="12"/>
      <c r="I616" s="12"/>
      <c r="J616" s="12"/>
      <c r="K616" s="12"/>
      <c r="L616" s="12"/>
      <c r="M616" s="12"/>
      <c r="N616" s="12"/>
      <c r="O616" s="12"/>
      <c r="P616" s="12"/>
    </row>
    <row r="617">
      <c r="D617" s="95"/>
      <c r="E617" s="14"/>
      <c r="H617" s="12"/>
      <c r="I617" s="12"/>
      <c r="J617" s="12"/>
      <c r="K617" s="12"/>
      <c r="L617" s="12"/>
      <c r="M617" s="12"/>
      <c r="N617" s="12"/>
      <c r="O617" s="12"/>
      <c r="P617" s="12"/>
    </row>
    <row r="618">
      <c r="D618" s="95"/>
      <c r="E618" s="14"/>
      <c r="H618" s="12"/>
      <c r="I618" s="12"/>
      <c r="J618" s="12"/>
      <c r="K618" s="12"/>
      <c r="L618" s="12"/>
      <c r="M618" s="12"/>
      <c r="N618" s="12"/>
      <c r="O618" s="12"/>
      <c r="P618" s="12"/>
    </row>
    <row r="619">
      <c r="D619" s="95"/>
      <c r="E619" s="14"/>
      <c r="H619" s="12"/>
      <c r="I619" s="12"/>
      <c r="J619" s="12"/>
      <c r="K619" s="12"/>
      <c r="L619" s="12"/>
      <c r="M619" s="12"/>
      <c r="N619" s="12"/>
      <c r="O619" s="12"/>
      <c r="P619" s="12"/>
    </row>
    <row r="620">
      <c r="D620" s="95"/>
      <c r="E620" s="14"/>
      <c r="H620" s="12"/>
      <c r="I620" s="12"/>
      <c r="J620" s="12"/>
      <c r="K620" s="12"/>
      <c r="L620" s="12"/>
      <c r="M620" s="12"/>
      <c r="N620" s="12"/>
      <c r="O620" s="12"/>
      <c r="P620" s="12"/>
    </row>
    <row r="621">
      <c r="D621" s="95"/>
      <c r="E621" s="14"/>
      <c r="H621" s="12"/>
      <c r="I621" s="12"/>
      <c r="J621" s="12"/>
      <c r="K621" s="12"/>
      <c r="L621" s="12"/>
      <c r="M621" s="12"/>
      <c r="N621" s="12"/>
      <c r="O621" s="12"/>
      <c r="P621" s="12"/>
    </row>
    <row r="622">
      <c r="D622" s="95"/>
      <c r="E622" s="14"/>
      <c r="H622" s="12"/>
      <c r="I622" s="12"/>
      <c r="J622" s="12"/>
      <c r="K622" s="12"/>
      <c r="L622" s="12"/>
      <c r="M622" s="12"/>
      <c r="N622" s="12"/>
      <c r="O622" s="12"/>
      <c r="P622" s="12"/>
    </row>
    <row r="623">
      <c r="D623" s="95"/>
      <c r="E623" s="14"/>
      <c r="H623" s="12"/>
      <c r="I623" s="12"/>
      <c r="J623" s="12"/>
      <c r="K623" s="12"/>
      <c r="L623" s="12"/>
      <c r="M623" s="12"/>
      <c r="N623" s="12"/>
      <c r="O623" s="12"/>
      <c r="P623" s="12"/>
    </row>
    <row r="624">
      <c r="D624" s="95"/>
      <c r="E624" s="14"/>
      <c r="H624" s="12"/>
      <c r="I624" s="12"/>
      <c r="J624" s="12"/>
      <c r="K624" s="12"/>
      <c r="L624" s="12"/>
      <c r="M624" s="12"/>
      <c r="N624" s="12"/>
      <c r="O624" s="12"/>
      <c r="P624" s="12"/>
    </row>
    <row r="625">
      <c r="D625" s="95"/>
      <c r="E625" s="14"/>
      <c r="H625" s="12"/>
      <c r="I625" s="12"/>
      <c r="J625" s="12"/>
      <c r="K625" s="12"/>
      <c r="L625" s="12"/>
      <c r="M625" s="12"/>
      <c r="N625" s="12"/>
      <c r="O625" s="12"/>
      <c r="P625" s="12"/>
    </row>
    <row r="626">
      <c r="D626" s="95"/>
      <c r="E626" s="14"/>
      <c r="H626" s="12"/>
      <c r="I626" s="12"/>
      <c r="J626" s="12"/>
      <c r="K626" s="12"/>
      <c r="L626" s="12"/>
      <c r="M626" s="12"/>
      <c r="N626" s="12"/>
      <c r="O626" s="12"/>
      <c r="P626" s="12"/>
    </row>
    <row r="627">
      <c r="D627" s="95"/>
      <c r="E627" s="14"/>
      <c r="H627" s="12"/>
      <c r="I627" s="12"/>
      <c r="J627" s="12"/>
      <c r="K627" s="12"/>
      <c r="L627" s="12"/>
      <c r="M627" s="12"/>
      <c r="N627" s="12"/>
      <c r="O627" s="12"/>
      <c r="P627" s="12"/>
    </row>
    <row r="628">
      <c r="D628" s="95"/>
      <c r="E628" s="14"/>
      <c r="H628" s="12"/>
      <c r="I628" s="12"/>
      <c r="J628" s="12"/>
      <c r="K628" s="12"/>
      <c r="L628" s="12"/>
      <c r="M628" s="12"/>
      <c r="N628" s="12"/>
      <c r="O628" s="12"/>
      <c r="P628" s="12"/>
    </row>
    <row r="629">
      <c r="D629" s="95"/>
      <c r="E629" s="14"/>
      <c r="H629" s="12"/>
      <c r="I629" s="12"/>
      <c r="J629" s="12"/>
      <c r="K629" s="12"/>
      <c r="L629" s="12"/>
      <c r="M629" s="12"/>
      <c r="N629" s="12"/>
      <c r="O629" s="12"/>
      <c r="P629" s="12"/>
    </row>
    <row r="630">
      <c r="D630" s="95"/>
      <c r="E630" s="14"/>
      <c r="H630" s="12"/>
      <c r="I630" s="12"/>
      <c r="J630" s="12"/>
      <c r="K630" s="12"/>
      <c r="L630" s="12"/>
      <c r="M630" s="12"/>
      <c r="N630" s="12"/>
      <c r="O630" s="12"/>
      <c r="P630" s="12"/>
    </row>
    <row r="631">
      <c r="D631" s="95"/>
      <c r="E631" s="14"/>
      <c r="H631" s="12"/>
      <c r="I631" s="12"/>
      <c r="J631" s="12"/>
      <c r="K631" s="12"/>
      <c r="L631" s="12"/>
      <c r="M631" s="12"/>
      <c r="N631" s="12"/>
      <c r="O631" s="12"/>
      <c r="P631" s="12"/>
    </row>
    <row r="632">
      <c r="D632" s="95"/>
      <c r="E632" s="14"/>
      <c r="H632" s="12"/>
      <c r="I632" s="12"/>
      <c r="J632" s="12"/>
      <c r="K632" s="12"/>
      <c r="L632" s="12"/>
      <c r="M632" s="12"/>
      <c r="N632" s="12"/>
      <c r="O632" s="12"/>
      <c r="P632" s="12"/>
    </row>
    <row r="633">
      <c r="D633" s="95"/>
      <c r="E633" s="14"/>
      <c r="H633" s="12"/>
      <c r="I633" s="12"/>
      <c r="J633" s="12"/>
      <c r="K633" s="12"/>
      <c r="L633" s="12"/>
      <c r="M633" s="12"/>
      <c r="N633" s="12"/>
      <c r="O633" s="12"/>
      <c r="P633" s="12"/>
    </row>
    <row r="634">
      <c r="D634" s="95"/>
      <c r="E634" s="14"/>
      <c r="H634" s="12"/>
      <c r="I634" s="12"/>
      <c r="J634" s="12"/>
      <c r="K634" s="12"/>
      <c r="L634" s="12"/>
      <c r="M634" s="12"/>
      <c r="N634" s="12"/>
      <c r="O634" s="12"/>
      <c r="P634" s="12"/>
    </row>
    <row r="635">
      <c r="D635" s="95"/>
      <c r="E635" s="14"/>
      <c r="H635" s="12"/>
      <c r="I635" s="12"/>
      <c r="J635" s="12"/>
      <c r="K635" s="12"/>
      <c r="L635" s="12"/>
      <c r="M635" s="12"/>
      <c r="N635" s="12"/>
      <c r="O635" s="12"/>
      <c r="P635" s="12"/>
    </row>
    <row r="636">
      <c r="D636" s="95"/>
      <c r="E636" s="14"/>
      <c r="H636" s="12"/>
      <c r="I636" s="12"/>
      <c r="J636" s="12"/>
      <c r="K636" s="12"/>
      <c r="L636" s="12"/>
      <c r="M636" s="12"/>
      <c r="N636" s="12"/>
      <c r="O636" s="12"/>
      <c r="P636" s="12"/>
    </row>
    <row r="637">
      <c r="D637" s="95"/>
      <c r="E637" s="14"/>
      <c r="H637" s="12"/>
      <c r="I637" s="12"/>
      <c r="J637" s="12"/>
      <c r="K637" s="12"/>
      <c r="L637" s="12"/>
      <c r="M637" s="12"/>
      <c r="N637" s="12"/>
      <c r="O637" s="12"/>
      <c r="P637" s="12"/>
    </row>
    <row r="638">
      <c r="D638" s="95"/>
      <c r="E638" s="14"/>
      <c r="H638" s="12"/>
      <c r="I638" s="12"/>
      <c r="J638" s="12"/>
      <c r="K638" s="12"/>
      <c r="L638" s="12"/>
      <c r="M638" s="12"/>
      <c r="N638" s="12"/>
      <c r="O638" s="12"/>
      <c r="P638" s="12"/>
    </row>
    <row r="639">
      <c r="D639" s="95"/>
      <c r="E639" s="14"/>
      <c r="H639" s="12"/>
      <c r="I639" s="12"/>
      <c r="J639" s="12"/>
      <c r="K639" s="12"/>
      <c r="L639" s="12"/>
      <c r="M639" s="12"/>
      <c r="N639" s="12"/>
      <c r="O639" s="12"/>
      <c r="P639" s="12"/>
    </row>
    <row r="640">
      <c r="D640" s="95"/>
      <c r="E640" s="14"/>
      <c r="H640" s="12"/>
      <c r="I640" s="12"/>
      <c r="J640" s="12"/>
      <c r="K640" s="12"/>
      <c r="L640" s="12"/>
      <c r="M640" s="12"/>
      <c r="N640" s="12"/>
      <c r="O640" s="12"/>
      <c r="P640" s="12"/>
    </row>
    <row r="641">
      <c r="D641" s="95"/>
      <c r="E641" s="14"/>
      <c r="H641" s="12"/>
      <c r="I641" s="12"/>
      <c r="J641" s="12"/>
      <c r="K641" s="12"/>
      <c r="L641" s="12"/>
      <c r="M641" s="12"/>
      <c r="N641" s="12"/>
      <c r="O641" s="12"/>
      <c r="P641" s="12"/>
    </row>
    <row r="642">
      <c r="D642" s="95"/>
      <c r="E642" s="14"/>
      <c r="H642" s="12"/>
      <c r="I642" s="12"/>
      <c r="J642" s="12"/>
      <c r="K642" s="12"/>
      <c r="L642" s="12"/>
      <c r="M642" s="12"/>
      <c r="N642" s="12"/>
      <c r="O642" s="12"/>
      <c r="P642" s="12"/>
    </row>
    <row r="643">
      <c r="D643" s="95"/>
      <c r="E643" s="14"/>
      <c r="H643" s="12"/>
      <c r="I643" s="12"/>
      <c r="J643" s="12"/>
      <c r="K643" s="12"/>
      <c r="L643" s="12"/>
      <c r="M643" s="12"/>
      <c r="N643" s="12"/>
      <c r="O643" s="12"/>
      <c r="P643" s="12"/>
    </row>
    <row r="644">
      <c r="D644" s="95"/>
      <c r="E644" s="14"/>
      <c r="H644" s="12"/>
      <c r="I644" s="12"/>
      <c r="J644" s="12"/>
      <c r="K644" s="12"/>
      <c r="L644" s="12"/>
      <c r="M644" s="12"/>
      <c r="N644" s="12"/>
      <c r="O644" s="12"/>
      <c r="P644" s="12"/>
    </row>
    <row r="645">
      <c r="D645" s="95"/>
      <c r="E645" s="14"/>
      <c r="H645" s="12"/>
      <c r="I645" s="12"/>
      <c r="J645" s="12"/>
      <c r="K645" s="12"/>
      <c r="L645" s="12"/>
      <c r="M645" s="12"/>
      <c r="N645" s="12"/>
      <c r="O645" s="12"/>
      <c r="P645" s="12"/>
    </row>
    <row r="646">
      <c r="D646" s="95"/>
      <c r="E646" s="14"/>
      <c r="H646" s="12"/>
      <c r="I646" s="12"/>
      <c r="J646" s="12"/>
      <c r="K646" s="12"/>
      <c r="L646" s="12"/>
      <c r="M646" s="12"/>
      <c r="N646" s="12"/>
      <c r="O646" s="12"/>
      <c r="P646" s="12"/>
    </row>
    <row r="647">
      <c r="D647" s="95"/>
      <c r="E647" s="14"/>
      <c r="H647" s="12"/>
      <c r="I647" s="12"/>
      <c r="J647" s="12"/>
      <c r="K647" s="12"/>
      <c r="L647" s="12"/>
      <c r="M647" s="12"/>
      <c r="N647" s="12"/>
      <c r="O647" s="12"/>
      <c r="P647" s="12"/>
    </row>
    <row r="648">
      <c r="D648" s="95"/>
      <c r="E648" s="14"/>
      <c r="H648" s="12"/>
      <c r="I648" s="12"/>
      <c r="J648" s="12"/>
      <c r="K648" s="12"/>
      <c r="L648" s="12"/>
      <c r="M648" s="12"/>
      <c r="N648" s="12"/>
      <c r="O648" s="12"/>
      <c r="P648" s="12"/>
    </row>
    <row r="649">
      <c r="D649" s="95"/>
      <c r="E649" s="14"/>
      <c r="H649" s="12"/>
      <c r="I649" s="12"/>
      <c r="J649" s="12"/>
      <c r="K649" s="12"/>
      <c r="L649" s="12"/>
      <c r="M649" s="12"/>
      <c r="N649" s="12"/>
      <c r="O649" s="12"/>
      <c r="P649" s="12"/>
    </row>
    <row r="650">
      <c r="D650" s="95"/>
      <c r="E650" s="14"/>
      <c r="H650" s="12"/>
      <c r="I650" s="12"/>
      <c r="J650" s="12"/>
      <c r="K650" s="12"/>
      <c r="L650" s="12"/>
      <c r="M650" s="12"/>
      <c r="N650" s="12"/>
      <c r="O650" s="12"/>
      <c r="P650" s="12"/>
    </row>
    <row r="651">
      <c r="D651" s="95"/>
      <c r="E651" s="14"/>
      <c r="H651" s="12"/>
      <c r="I651" s="12"/>
      <c r="J651" s="12"/>
      <c r="K651" s="12"/>
      <c r="L651" s="12"/>
      <c r="M651" s="12"/>
      <c r="N651" s="12"/>
      <c r="O651" s="12"/>
      <c r="P651" s="12"/>
    </row>
    <row r="652">
      <c r="D652" s="95"/>
      <c r="E652" s="14"/>
      <c r="H652" s="12"/>
      <c r="I652" s="12"/>
      <c r="J652" s="12"/>
      <c r="K652" s="12"/>
      <c r="L652" s="12"/>
      <c r="M652" s="12"/>
      <c r="N652" s="12"/>
      <c r="O652" s="12"/>
      <c r="P652" s="12"/>
    </row>
    <row r="653">
      <c r="D653" s="95"/>
      <c r="E653" s="14"/>
      <c r="H653" s="12"/>
      <c r="I653" s="12"/>
      <c r="J653" s="12"/>
      <c r="K653" s="12"/>
      <c r="L653" s="12"/>
      <c r="M653" s="12"/>
      <c r="N653" s="12"/>
      <c r="O653" s="12"/>
      <c r="P653" s="12"/>
    </row>
    <row r="654">
      <c r="D654" s="95"/>
      <c r="E654" s="14"/>
      <c r="H654" s="12"/>
      <c r="I654" s="12"/>
      <c r="J654" s="12"/>
      <c r="K654" s="12"/>
      <c r="L654" s="12"/>
      <c r="M654" s="12"/>
      <c r="N654" s="12"/>
      <c r="O654" s="12"/>
      <c r="P654" s="12"/>
    </row>
    <row r="655">
      <c r="D655" s="95"/>
      <c r="E655" s="14"/>
      <c r="H655" s="12"/>
      <c r="I655" s="12"/>
      <c r="J655" s="12"/>
      <c r="K655" s="12"/>
      <c r="L655" s="12"/>
      <c r="M655" s="12"/>
      <c r="N655" s="12"/>
      <c r="O655" s="12"/>
      <c r="P655" s="12"/>
    </row>
    <row r="656">
      <c r="D656" s="95"/>
      <c r="E656" s="14"/>
      <c r="H656" s="12"/>
      <c r="I656" s="12"/>
      <c r="J656" s="12"/>
      <c r="K656" s="12"/>
      <c r="L656" s="12"/>
      <c r="M656" s="12"/>
      <c r="N656" s="12"/>
      <c r="O656" s="12"/>
      <c r="P656" s="12"/>
    </row>
    <row r="657">
      <c r="D657" s="95"/>
      <c r="E657" s="14"/>
      <c r="H657" s="12"/>
      <c r="I657" s="12"/>
      <c r="J657" s="12"/>
      <c r="K657" s="12"/>
      <c r="L657" s="12"/>
      <c r="M657" s="12"/>
      <c r="N657" s="12"/>
      <c r="O657" s="12"/>
      <c r="P657" s="12"/>
    </row>
    <row r="658">
      <c r="D658" s="95"/>
      <c r="E658" s="14"/>
      <c r="H658" s="12"/>
      <c r="I658" s="12"/>
      <c r="J658" s="12"/>
      <c r="K658" s="12"/>
      <c r="L658" s="12"/>
      <c r="M658" s="12"/>
      <c r="N658" s="12"/>
      <c r="O658" s="12"/>
      <c r="P658" s="12"/>
    </row>
    <row r="659">
      <c r="D659" s="95"/>
      <c r="E659" s="14"/>
      <c r="H659" s="12"/>
      <c r="I659" s="12"/>
      <c r="J659" s="12"/>
      <c r="K659" s="12"/>
      <c r="L659" s="12"/>
      <c r="M659" s="12"/>
      <c r="N659" s="12"/>
      <c r="O659" s="12"/>
      <c r="P659" s="12"/>
    </row>
    <row r="660">
      <c r="D660" s="95"/>
      <c r="E660" s="14"/>
      <c r="H660" s="12"/>
      <c r="I660" s="12"/>
      <c r="J660" s="12"/>
      <c r="K660" s="12"/>
      <c r="L660" s="12"/>
      <c r="M660" s="12"/>
      <c r="N660" s="12"/>
      <c r="O660" s="12"/>
      <c r="P660" s="12"/>
    </row>
    <row r="661">
      <c r="D661" s="95"/>
      <c r="E661" s="14"/>
      <c r="H661" s="12"/>
      <c r="I661" s="12"/>
      <c r="J661" s="12"/>
      <c r="K661" s="12"/>
      <c r="L661" s="12"/>
      <c r="M661" s="12"/>
      <c r="N661" s="12"/>
      <c r="O661" s="12"/>
      <c r="P661" s="12"/>
    </row>
    <row r="662">
      <c r="D662" s="95"/>
      <c r="E662" s="14"/>
      <c r="H662" s="12"/>
      <c r="I662" s="12"/>
      <c r="J662" s="12"/>
      <c r="K662" s="12"/>
      <c r="L662" s="12"/>
      <c r="M662" s="12"/>
      <c r="N662" s="12"/>
      <c r="O662" s="12"/>
      <c r="P662" s="12"/>
    </row>
    <row r="663">
      <c r="D663" s="95"/>
      <c r="E663" s="14"/>
      <c r="H663" s="12"/>
      <c r="I663" s="12"/>
      <c r="J663" s="12"/>
      <c r="K663" s="12"/>
      <c r="L663" s="12"/>
      <c r="M663" s="12"/>
      <c r="N663" s="12"/>
      <c r="O663" s="12"/>
      <c r="P663" s="12"/>
    </row>
    <row r="664">
      <c r="D664" s="95"/>
      <c r="E664" s="14"/>
      <c r="H664" s="12"/>
      <c r="I664" s="12"/>
      <c r="J664" s="12"/>
      <c r="K664" s="12"/>
      <c r="L664" s="12"/>
      <c r="M664" s="12"/>
      <c r="N664" s="12"/>
      <c r="O664" s="12"/>
      <c r="P664" s="12"/>
    </row>
    <row r="665">
      <c r="D665" s="95"/>
      <c r="E665" s="14"/>
      <c r="H665" s="12"/>
      <c r="I665" s="12"/>
      <c r="J665" s="12"/>
      <c r="K665" s="12"/>
      <c r="L665" s="12"/>
      <c r="M665" s="12"/>
      <c r="N665" s="12"/>
      <c r="O665" s="12"/>
      <c r="P665" s="12"/>
    </row>
    <row r="666">
      <c r="D666" s="95"/>
      <c r="E666" s="14"/>
      <c r="H666" s="12"/>
      <c r="I666" s="12"/>
      <c r="J666" s="12"/>
      <c r="K666" s="12"/>
      <c r="L666" s="12"/>
      <c r="M666" s="12"/>
      <c r="N666" s="12"/>
      <c r="O666" s="12"/>
      <c r="P666" s="12"/>
    </row>
    <row r="667">
      <c r="D667" s="95"/>
      <c r="E667" s="14"/>
      <c r="H667" s="12"/>
      <c r="I667" s="12"/>
      <c r="J667" s="12"/>
      <c r="K667" s="12"/>
      <c r="L667" s="12"/>
      <c r="M667" s="12"/>
      <c r="N667" s="12"/>
      <c r="O667" s="12"/>
      <c r="P667" s="12"/>
    </row>
    <row r="668">
      <c r="D668" s="95"/>
      <c r="E668" s="14"/>
      <c r="H668" s="12"/>
      <c r="I668" s="12"/>
      <c r="J668" s="12"/>
      <c r="K668" s="12"/>
      <c r="L668" s="12"/>
      <c r="M668" s="12"/>
      <c r="N668" s="12"/>
      <c r="O668" s="12"/>
      <c r="P668" s="12"/>
    </row>
    <row r="669">
      <c r="D669" s="95"/>
      <c r="E669" s="14"/>
      <c r="H669" s="12"/>
      <c r="I669" s="12"/>
      <c r="J669" s="12"/>
      <c r="K669" s="12"/>
      <c r="L669" s="12"/>
      <c r="M669" s="12"/>
      <c r="N669" s="12"/>
      <c r="O669" s="12"/>
      <c r="P669" s="12"/>
    </row>
    <row r="670">
      <c r="D670" s="95"/>
      <c r="E670" s="14"/>
      <c r="H670" s="12"/>
      <c r="I670" s="12"/>
      <c r="J670" s="12"/>
      <c r="K670" s="12"/>
      <c r="L670" s="12"/>
      <c r="M670" s="12"/>
      <c r="N670" s="12"/>
      <c r="O670" s="12"/>
      <c r="P670" s="12"/>
    </row>
    <row r="671">
      <c r="D671" s="95"/>
      <c r="E671" s="14"/>
      <c r="H671" s="12"/>
      <c r="I671" s="12"/>
      <c r="J671" s="12"/>
      <c r="K671" s="12"/>
      <c r="L671" s="12"/>
      <c r="M671" s="12"/>
      <c r="N671" s="12"/>
      <c r="O671" s="12"/>
      <c r="P671" s="12"/>
    </row>
    <row r="672">
      <c r="D672" s="95"/>
      <c r="E672" s="14"/>
      <c r="H672" s="12"/>
      <c r="I672" s="12"/>
      <c r="J672" s="12"/>
      <c r="K672" s="12"/>
      <c r="L672" s="12"/>
      <c r="M672" s="12"/>
      <c r="N672" s="12"/>
      <c r="O672" s="12"/>
      <c r="P672" s="12"/>
    </row>
    <row r="673">
      <c r="D673" s="95"/>
      <c r="E673" s="14"/>
      <c r="H673" s="12"/>
      <c r="I673" s="12"/>
      <c r="J673" s="12"/>
      <c r="K673" s="12"/>
      <c r="L673" s="12"/>
      <c r="M673" s="12"/>
      <c r="N673" s="12"/>
      <c r="O673" s="12"/>
      <c r="P673" s="12"/>
    </row>
    <row r="674">
      <c r="D674" s="95"/>
      <c r="E674" s="14"/>
      <c r="H674" s="12"/>
      <c r="I674" s="12"/>
      <c r="J674" s="12"/>
      <c r="K674" s="12"/>
      <c r="L674" s="12"/>
      <c r="M674" s="12"/>
      <c r="N674" s="12"/>
      <c r="O674" s="12"/>
      <c r="P674" s="12"/>
    </row>
    <row r="675">
      <c r="D675" s="95"/>
      <c r="E675" s="14"/>
      <c r="H675" s="12"/>
      <c r="I675" s="12"/>
      <c r="J675" s="12"/>
      <c r="K675" s="12"/>
      <c r="L675" s="12"/>
      <c r="M675" s="12"/>
      <c r="N675" s="12"/>
      <c r="O675" s="12"/>
      <c r="P675" s="12"/>
    </row>
    <row r="676">
      <c r="D676" s="95"/>
      <c r="E676" s="14"/>
      <c r="H676" s="12"/>
      <c r="I676" s="12"/>
      <c r="J676" s="12"/>
      <c r="K676" s="12"/>
      <c r="L676" s="12"/>
      <c r="M676" s="12"/>
      <c r="N676" s="12"/>
      <c r="O676" s="12"/>
      <c r="P676" s="12"/>
    </row>
    <row r="677">
      <c r="D677" s="95"/>
      <c r="E677" s="14"/>
      <c r="H677" s="12"/>
      <c r="I677" s="12"/>
      <c r="J677" s="12"/>
      <c r="K677" s="12"/>
      <c r="L677" s="12"/>
      <c r="M677" s="12"/>
      <c r="N677" s="12"/>
      <c r="O677" s="12"/>
      <c r="P677" s="12"/>
    </row>
    <row r="678">
      <c r="D678" s="95"/>
      <c r="E678" s="14"/>
      <c r="H678" s="12"/>
      <c r="I678" s="12"/>
      <c r="J678" s="12"/>
      <c r="K678" s="12"/>
      <c r="L678" s="12"/>
      <c r="M678" s="12"/>
      <c r="N678" s="12"/>
      <c r="O678" s="12"/>
      <c r="P678" s="12"/>
    </row>
    <row r="679">
      <c r="D679" s="95"/>
      <c r="E679" s="14"/>
      <c r="H679" s="12"/>
      <c r="I679" s="12"/>
      <c r="J679" s="12"/>
      <c r="K679" s="12"/>
      <c r="L679" s="12"/>
      <c r="M679" s="12"/>
      <c r="N679" s="12"/>
      <c r="O679" s="12"/>
      <c r="P679" s="12"/>
    </row>
    <row r="680">
      <c r="D680" s="95"/>
      <c r="E680" s="14"/>
      <c r="H680" s="12"/>
      <c r="I680" s="12"/>
      <c r="J680" s="12"/>
      <c r="K680" s="12"/>
      <c r="L680" s="12"/>
      <c r="M680" s="12"/>
      <c r="N680" s="12"/>
      <c r="O680" s="12"/>
      <c r="P680" s="12"/>
    </row>
    <row r="681">
      <c r="D681" s="95"/>
      <c r="E681" s="14"/>
      <c r="H681" s="12"/>
      <c r="I681" s="12"/>
      <c r="J681" s="12"/>
      <c r="K681" s="12"/>
      <c r="L681" s="12"/>
      <c r="M681" s="12"/>
      <c r="N681" s="12"/>
      <c r="O681" s="12"/>
      <c r="P681" s="12"/>
    </row>
    <row r="682">
      <c r="D682" s="95"/>
      <c r="E682" s="14"/>
      <c r="H682" s="12"/>
      <c r="I682" s="12"/>
      <c r="J682" s="12"/>
      <c r="K682" s="12"/>
      <c r="L682" s="12"/>
      <c r="M682" s="12"/>
      <c r="N682" s="12"/>
      <c r="O682" s="12"/>
      <c r="P682" s="12"/>
    </row>
    <row r="683">
      <c r="D683" s="95"/>
      <c r="E683" s="14"/>
      <c r="H683" s="12"/>
      <c r="I683" s="12"/>
      <c r="J683" s="12"/>
      <c r="K683" s="12"/>
      <c r="L683" s="12"/>
      <c r="M683" s="12"/>
      <c r="N683" s="12"/>
      <c r="O683" s="12"/>
      <c r="P683" s="12"/>
    </row>
    <row r="684">
      <c r="D684" s="95"/>
      <c r="E684" s="14"/>
      <c r="H684" s="12"/>
      <c r="I684" s="12"/>
      <c r="J684" s="12"/>
      <c r="K684" s="12"/>
      <c r="L684" s="12"/>
      <c r="M684" s="12"/>
      <c r="N684" s="12"/>
      <c r="O684" s="12"/>
      <c r="P684" s="12"/>
    </row>
    <row r="685">
      <c r="D685" s="95"/>
      <c r="E685" s="14"/>
      <c r="H685" s="12"/>
      <c r="I685" s="12"/>
      <c r="J685" s="12"/>
      <c r="K685" s="12"/>
      <c r="L685" s="12"/>
      <c r="M685" s="12"/>
      <c r="N685" s="12"/>
      <c r="O685" s="12"/>
      <c r="P685" s="12"/>
    </row>
    <row r="686">
      <c r="D686" s="95"/>
      <c r="E686" s="14"/>
      <c r="H686" s="12"/>
      <c r="I686" s="12"/>
      <c r="J686" s="12"/>
      <c r="K686" s="12"/>
      <c r="L686" s="12"/>
      <c r="M686" s="12"/>
      <c r="N686" s="12"/>
      <c r="O686" s="12"/>
      <c r="P686" s="12"/>
    </row>
    <row r="687">
      <c r="D687" s="95"/>
      <c r="E687" s="14"/>
      <c r="H687" s="12"/>
      <c r="I687" s="12"/>
      <c r="J687" s="12"/>
      <c r="K687" s="12"/>
      <c r="L687" s="12"/>
      <c r="M687" s="12"/>
      <c r="N687" s="12"/>
      <c r="O687" s="12"/>
      <c r="P687" s="12"/>
    </row>
    <row r="688">
      <c r="D688" s="95"/>
      <c r="E688" s="14"/>
      <c r="H688" s="12"/>
      <c r="I688" s="12"/>
      <c r="J688" s="12"/>
      <c r="K688" s="12"/>
      <c r="L688" s="12"/>
      <c r="M688" s="12"/>
      <c r="N688" s="12"/>
      <c r="O688" s="12"/>
      <c r="P688" s="12"/>
    </row>
    <row r="689">
      <c r="D689" s="95"/>
      <c r="E689" s="14"/>
      <c r="H689" s="12"/>
      <c r="I689" s="12"/>
      <c r="J689" s="12"/>
      <c r="K689" s="12"/>
      <c r="L689" s="12"/>
      <c r="M689" s="12"/>
      <c r="N689" s="12"/>
      <c r="O689" s="12"/>
      <c r="P689" s="12"/>
    </row>
    <row r="690">
      <c r="D690" s="95"/>
      <c r="E690" s="14"/>
      <c r="H690" s="12"/>
      <c r="I690" s="12"/>
      <c r="J690" s="12"/>
      <c r="K690" s="12"/>
      <c r="L690" s="12"/>
      <c r="M690" s="12"/>
      <c r="N690" s="12"/>
      <c r="O690" s="12"/>
      <c r="P690" s="12"/>
    </row>
    <row r="691">
      <c r="D691" s="95"/>
      <c r="E691" s="14"/>
      <c r="H691" s="12"/>
      <c r="I691" s="12"/>
      <c r="J691" s="12"/>
      <c r="K691" s="12"/>
      <c r="L691" s="12"/>
      <c r="M691" s="12"/>
      <c r="N691" s="12"/>
      <c r="O691" s="12"/>
      <c r="P691" s="12"/>
    </row>
    <row r="692">
      <c r="D692" s="95"/>
      <c r="E692" s="14"/>
      <c r="H692" s="12"/>
      <c r="I692" s="12"/>
      <c r="J692" s="12"/>
      <c r="K692" s="12"/>
      <c r="L692" s="12"/>
      <c r="M692" s="12"/>
      <c r="N692" s="12"/>
      <c r="O692" s="12"/>
      <c r="P692" s="12"/>
    </row>
    <row r="693">
      <c r="D693" s="95"/>
      <c r="E693" s="14"/>
      <c r="H693" s="12"/>
      <c r="I693" s="12"/>
      <c r="J693" s="12"/>
      <c r="K693" s="12"/>
      <c r="L693" s="12"/>
      <c r="M693" s="12"/>
      <c r="N693" s="12"/>
      <c r="O693" s="12"/>
      <c r="P693" s="12"/>
    </row>
    <row r="694">
      <c r="D694" s="95"/>
      <c r="E694" s="14"/>
      <c r="H694" s="12"/>
      <c r="I694" s="12"/>
      <c r="J694" s="12"/>
      <c r="K694" s="12"/>
      <c r="L694" s="12"/>
      <c r="M694" s="12"/>
      <c r="N694" s="12"/>
      <c r="O694" s="12"/>
      <c r="P694" s="12"/>
    </row>
    <row r="695">
      <c r="D695" s="95"/>
      <c r="E695" s="14"/>
      <c r="H695" s="12"/>
      <c r="I695" s="12"/>
      <c r="J695" s="12"/>
      <c r="K695" s="12"/>
      <c r="L695" s="12"/>
      <c r="M695" s="12"/>
      <c r="N695" s="12"/>
      <c r="O695" s="12"/>
      <c r="P695" s="12"/>
    </row>
    <row r="696">
      <c r="D696" s="95"/>
      <c r="E696" s="14"/>
      <c r="H696" s="12"/>
      <c r="I696" s="12"/>
      <c r="J696" s="12"/>
      <c r="K696" s="12"/>
      <c r="L696" s="12"/>
      <c r="M696" s="12"/>
      <c r="N696" s="12"/>
      <c r="O696" s="12"/>
      <c r="P696" s="12"/>
    </row>
    <row r="697">
      <c r="D697" s="95"/>
      <c r="E697" s="14"/>
      <c r="H697" s="12"/>
      <c r="I697" s="12"/>
      <c r="J697" s="12"/>
      <c r="K697" s="12"/>
      <c r="L697" s="12"/>
      <c r="M697" s="12"/>
      <c r="N697" s="12"/>
      <c r="O697" s="12"/>
      <c r="P697" s="12"/>
    </row>
    <row r="698">
      <c r="D698" s="95"/>
      <c r="E698" s="14"/>
      <c r="H698" s="12"/>
      <c r="I698" s="12"/>
      <c r="J698" s="12"/>
      <c r="K698" s="12"/>
      <c r="L698" s="12"/>
      <c r="M698" s="12"/>
      <c r="N698" s="12"/>
      <c r="O698" s="12"/>
      <c r="P698" s="12"/>
    </row>
    <row r="699">
      <c r="D699" s="95"/>
      <c r="E699" s="14"/>
      <c r="H699" s="12"/>
      <c r="I699" s="12"/>
      <c r="J699" s="12"/>
      <c r="K699" s="12"/>
      <c r="L699" s="12"/>
      <c r="M699" s="12"/>
      <c r="N699" s="12"/>
      <c r="O699" s="12"/>
      <c r="P699" s="12"/>
    </row>
    <row r="700">
      <c r="D700" s="95"/>
      <c r="E700" s="14"/>
      <c r="H700" s="12"/>
      <c r="I700" s="12"/>
      <c r="J700" s="12"/>
      <c r="K700" s="12"/>
      <c r="L700" s="12"/>
      <c r="M700" s="12"/>
      <c r="N700" s="12"/>
      <c r="O700" s="12"/>
      <c r="P700" s="12"/>
    </row>
    <row r="701">
      <c r="D701" s="95"/>
      <c r="E701" s="14"/>
      <c r="H701" s="12"/>
      <c r="I701" s="12"/>
      <c r="J701" s="12"/>
      <c r="K701" s="12"/>
      <c r="L701" s="12"/>
      <c r="M701" s="12"/>
      <c r="N701" s="12"/>
      <c r="O701" s="12"/>
      <c r="P701" s="12"/>
    </row>
    <row r="702">
      <c r="D702" s="95"/>
      <c r="E702" s="14"/>
      <c r="H702" s="12"/>
      <c r="I702" s="12"/>
      <c r="J702" s="12"/>
      <c r="K702" s="12"/>
      <c r="L702" s="12"/>
      <c r="M702" s="12"/>
      <c r="N702" s="12"/>
      <c r="O702" s="12"/>
      <c r="P702" s="12"/>
    </row>
    <row r="703">
      <c r="D703" s="95"/>
      <c r="E703" s="14"/>
      <c r="H703" s="12"/>
      <c r="I703" s="12"/>
      <c r="J703" s="12"/>
      <c r="K703" s="12"/>
      <c r="L703" s="12"/>
      <c r="M703" s="12"/>
      <c r="N703" s="12"/>
      <c r="O703" s="12"/>
      <c r="P703" s="12"/>
    </row>
    <row r="704">
      <c r="D704" s="95"/>
      <c r="E704" s="14"/>
      <c r="H704" s="12"/>
      <c r="I704" s="12"/>
      <c r="J704" s="12"/>
      <c r="K704" s="12"/>
      <c r="L704" s="12"/>
      <c r="M704" s="12"/>
      <c r="N704" s="12"/>
      <c r="O704" s="12"/>
      <c r="P704" s="12"/>
    </row>
    <row r="705">
      <c r="D705" s="95"/>
      <c r="E705" s="14"/>
      <c r="H705" s="12"/>
      <c r="I705" s="12"/>
      <c r="J705" s="12"/>
      <c r="K705" s="12"/>
      <c r="L705" s="12"/>
      <c r="M705" s="12"/>
      <c r="N705" s="12"/>
      <c r="O705" s="12"/>
      <c r="P705" s="12"/>
    </row>
    <row r="706">
      <c r="D706" s="95"/>
      <c r="E706" s="14"/>
      <c r="H706" s="12"/>
      <c r="I706" s="12"/>
      <c r="J706" s="12"/>
      <c r="K706" s="12"/>
      <c r="L706" s="12"/>
      <c r="M706" s="12"/>
      <c r="N706" s="12"/>
      <c r="O706" s="12"/>
      <c r="P706" s="12"/>
    </row>
    <row r="707">
      <c r="D707" s="95"/>
      <c r="E707" s="14"/>
      <c r="H707" s="12"/>
      <c r="I707" s="12"/>
      <c r="J707" s="12"/>
      <c r="K707" s="12"/>
      <c r="L707" s="12"/>
      <c r="M707" s="12"/>
      <c r="N707" s="12"/>
      <c r="O707" s="12"/>
      <c r="P707" s="12"/>
    </row>
    <row r="708">
      <c r="D708" s="95"/>
      <c r="E708" s="14"/>
      <c r="H708" s="12"/>
      <c r="I708" s="12"/>
      <c r="J708" s="12"/>
      <c r="K708" s="12"/>
      <c r="L708" s="12"/>
      <c r="M708" s="12"/>
      <c r="N708" s="12"/>
      <c r="O708" s="12"/>
      <c r="P708" s="12"/>
    </row>
    <row r="709">
      <c r="D709" s="95"/>
      <c r="E709" s="14"/>
      <c r="H709" s="12"/>
      <c r="I709" s="12"/>
      <c r="J709" s="12"/>
      <c r="K709" s="12"/>
      <c r="L709" s="12"/>
      <c r="M709" s="12"/>
      <c r="N709" s="12"/>
      <c r="O709" s="12"/>
      <c r="P709" s="12"/>
    </row>
    <row r="710">
      <c r="D710" s="95"/>
      <c r="E710" s="14"/>
      <c r="H710" s="12"/>
      <c r="I710" s="12"/>
      <c r="J710" s="12"/>
      <c r="K710" s="12"/>
      <c r="L710" s="12"/>
      <c r="M710" s="12"/>
      <c r="N710" s="12"/>
      <c r="O710" s="12"/>
      <c r="P710" s="12"/>
    </row>
    <row r="711">
      <c r="D711" s="95"/>
      <c r="E711" s="14"/>
      <c r="H711" s="12"/>
      <c r="I711" s="12"/>
      <c r="J711" s="12"/>
      <c r="K711" s="12"/>
      <c r="L711" s="12"/>
      <c r="M711" s="12"/>
      <c r="N711" s="12"/>
      <c r="O711" s="12"/>
      <c r="P711" s="12"/>
    </row>
    <row r="712">
      <c r="D712" s="95"/>
      <c r="E712" s="14"/>
      <c r="H712" s="12"/>
      <c r="I712" s="12"/>
      <c r="J712" s="12"/>
      <c r="K712" s="12"/>
      <c r="L712" s="12"/>
      <c r="M712" s="12"/>
      <c r="N712" s="12"/>
      <c r="O712" s="12"/>
      <c r="P712" s="12"/>
    </row>
    <row r="713">
      <c r="D713" s="95"/>
      <c r="E713" s="14"/>
      <c r="H713" s="12"/>
      <c r="I713" s="12"/>
      <c r="J713" s="12"/>
      <c r="K713" s="12"/>
      <c r="L713" s="12"/>
      <c r="M713" s="12"/>
      <c r="N713" s="12"/>
      <c r="O713" s="12"/>
      <c r="P713" s="12"/>
    </row>
    <row r="714">
      <c r="D714" s="95"/>
      <c r="E714" s="14"/>
      <c r="H714" s="12"/>
      <c r="I714" s="12"/>
      <c r="J714" s="12"/>
      <c r="K714" s="12"/>
      <c r="L714" s="12"/>
      <c r="M714" s="12"/>
      <c r="N714" s="12"/>
      <c r="O714" s="12"/>
      <c r="P714" s="12"/>
    </row>
    <row r="715">
      <c r="D715" s="95"/>
      <c r="E715" s="14"/>
      <c r="H715" s="12"/>
      <c r="I715" s="12"/>
      <c r="J715" s="12"/>
      <c r="K715" s="12"/>
      <c r="L715" s="12"/>
      <c r="M715" s="12"/>
      <c r="N715" s="12"/>
      <c r="O715" s="12"/>
      <c r="P715" s="12"/>
    </row>
    <row r="716">
      <c r="D716" s="95"/>
      <c r="E716" s="14"/>
      <c r="H716" s="12"/>
      <c r="I716" s="12"/>
      <c r="J716" s="12"/>
      <c r="K716" s="12"/>
      <c r="L716" s="12"/>
      <c r="M716" s="12"/>
      <c r="N716" s="12"/>
      <c r="O716" s="12"/>
      <c r="P716" s="12"/>
    </row>
    <row r="717">
      <c r="D717" s="95"/>
      <c r="E717" s="14"/>
      <c r="H717" s="12"/>
      <c r="I717" s="12"/>
      <c r="J717" s="12"/>
      <c r="K717" s="12"/>
      <c r="L717" s="12"/>
      <c r="M717" s="12"/>
      <c r="N717" s="12"/>
      <c r="O717" s="12"/>
      <c r="P717" s="12"/>
    </row>
    <row r="718">
      <c r="D718" s="95"/>
      <c r="E718" s="14"/>
      <c r="H718" s="12"/>
      <c r="I718" s="12"/>
      <c r="J718" s="12"/>
      <c r="K718" s="12"/>
      <c r="L718" s="12"/>
      <c r="M718" s="12"/>
      <c r="N718" s="12"/>
      <c r="O718" s="12"/>
      <c r="P718" s="12"/>
    </row>
    <row r="719">
      <c r="D719" s="95"/>
      <c r="E719" s="14"/>
      <c r="H719" s="12"/>
      <c r="I719" s="12"/>
      <c r="J719" s="12"/>
      <c r="K719" s="12"/>
      <c r="L719" s="12"/>
      <c r="M719" s="12"/>
      <c r="N719" s="12"/>
      <c r="O719" s="12"/>
      <c r="P719" s="12"/>
    </row>
    <row r="720">
      <c r="D720" s="95"/>
      <c r="E720" s="14"/>
      <c r="H720" s="12"/>
      <c r="I720" s="12"/>
      <c r="J720" s="12"/>
      <c r="K720" s="12"/>
      <c r="L720" s="12"/>
      <c r="M720" s="12"/>
      <c r="N720" s="12"/>
      <c r="O720" s="12"/>
      <c r="P720" s="12"/>
    </row>
    <row r="721">
      <c r="D721" s="95"/>
      <c r="E721" s="14"/>
      <c r="H721" s="12"/>
      <c r="I721" s="12"/>
      <c r="J721" s="12"/>
      <c r="K721" s="12"/>
      <c r="L721" s="12"/>
      <c r="M721" s="12"/>
      <c r="N721" s="12"/>
      <c r="O721" s="12"/>
      <c r="P721" s="12"/>
    </row>
    <row r="722">
      <c r="D722" s="95"/>
      <c r="E722" s="14"/>
      <c r="H722" s="12"/>
      <c r="I722" s="12"/>
      <c r="J722" s="12"/>
      <c r="K722" s="12"/>
      <c r="L722" s="12"/>
      <c r="M722" s="12"/>
      <c r="N722" s="12"/>
      <c r="O722" s="12"/>
      <c r="P722" s="12"/>
    </row>
    <row r="723">
      <c r="D723" s="95"/>
      <c r="E723" s="14"/>
      <c r="H723" s="12"/>
      <c r="I723" s="12"/>
      <c r="J723" s="12"/>
      <c r="K723" s="12"/>
      <c r="L723" s="12"/>
      <c r="M723" s="12"/>
      <c r="N723" s="12"/>
      <c r="O723" s="12"/>
      <c r="P723" s="12"/>
    </row>
    <row r="724">
      <c r="D724" s="95"/>
      <c r="E724" s="14"/>
      <c r="H724" s="12"/>
      <c r="I724" s="12"/>
      <c r="J724" s="12"/>
      <c r="K724" s="12"/>
      <c r="L724" s="12"/>
      <c r="M724" s="12"/>
      <c r="N724" s="12"/>
      <c r="O724" s="12"/>
      <c r="P724" s="12"/>
    </row>
    <row r="725">
      <c r="D725" s="95"/>
      <c r="E725" s="14"/>
      <c r="H725" s="12"/>
      <c r="I725" s="12"/>
      <c r="J725" s="12"/>
      <c r="K725" s="12"/>
      <c r="L725" s="12"/>
      <c r="M725" s="12"/>
      <c r="N725" s="12"/>
      <c r="O725" s="12"/>
      <c r="P725" s="12"/>
    </row>
    <row r="726">
      <c r="D726" s="95"/>
      <c r="E726" s="14"/>
      <c r="H726" s="12"/>
      <c r="I726" s="12"/>
      <c r="J726" s="12"/>
      <c r="K726" s="12"/>
      <c r="L726" s="12"/>
      <c r="M726" s="12"/>
      <c r="N726" s="12"/>
      <c r="O726" s="12"/>
      <c r="P726" s="12"/>
    </row>
    <row r="727">
      <c r="D727" s="95"/>
      <c r="E727" s="14"/>
      <c r="H727" s="12"/>
      <c r="I727" s="12"/>
      <c r="J727" s="12"/>
      <c r="K727" s="12"/>
      <c r="L727" s="12"/>
      <c r="M727" s="12"/>
      <c r="N727" s="12"/>
      <c r="O727" s="12"/>
      <c r="P727" s="12"/>
    </row>
    <row r="728">
      <c r="D728" s="95"/>
      <c r="E728" s="14"/>
      <c r="H728" s="12"/>
      <c r="I728" s="12"/>
      <c r="J728" s="12"/>
      <c r="K728" s="12"/>
      <c r="L728" s="12"/>
      <c r="M728" s="12"/>
      <c r="N728" s="12"/>
      <c r="O728" s="12"/>
      <c r="P728" s="12"/>
    </row>
    <row r="729">
      <c r="D729" s="95"/>
      <c r="E729" s="14"/>
      <c r="H729" s="12"/>
      <c r="I729" s="12"/>
      <c r="J729" s="12"/>
      <c r="K729" s="12"/>
      <c r="L729" s="12"/>
      <c r="M729" s="12"/>
      <c r="N729" s="12"/>
      <c r="O729" s="12"/>
      <c r="P729" s="12"/>
    </row>
    <row r="730">
      <c r="D730" s="95"/>
      <c r="E730" s="14"/>
      <c r="H730" s="12"/>
      <c r="I730" s="12"/>
      <c r="J730" s="12"/>
      <c r="K730" s="12"/>
      <c r="L730" s="12"/>
      <c r="M730" s="12"/>
      <c r="N730" s="12"/>
      <c r="O730" s="12"/>
      <c r="P730" s="12"/>
    </row>
    <row r="731">
      <c r="D731" s="95"/>
      <c r="E731" s="14"/>
      <c r="H731" s="12"/>
      <c r="I731" s="12"/>
      <c r="J731" s="12"/>
      <c r="K731" s="12"/>
      <c r="L731" s="12"/>
      <c r="M731" s="12"/>
      <c r="N731" s="12"/>
      <c r="O731" s="12"/>
      <c r="P731" s="12"/>
    </row>
    <row r="732">
      <c r="D732" s="95"/>
      <c r="E732" s="14"/>
      <c r="H732" s="12"/>
      <c r="I732" s="12"/>
      <c r="J732" s="12"/>
      <c r="K732" s="12"/>
      <c r="L732" s="12"/>
      <c r="M732" s="12"/>
      <c r="N732" s="12"/>
      <c r="O732" s="12"/>
      <c r="P732" s="12"/>
    </row>
    <row r="733">
      <c r="D733" s="95"/>
      <c r="E733" s="14"/>
      <c r="H733" s="12"/>
      <c r="I733" s="12"/>
      <c r="J733" s="12"/>
      <c r="K733" s="12"/>
      <c r="L733" s="12"/>
      <c r="M733" s="12"/>
      <c r="N733" s="12"/>
      <c r="O733" s="12"/>
      <c r="P733" s="12"/>
    </row>
    <row r="734">
      <c r="D734" s="95"/>
      <c r="E734" s="14"/>
      <c r="H734" s="12"/>
      <c r="I734" s="12"/>
      <c r="J734" s="12"/>
      <c r="K734" s="12"/>
      <c r="L734" s="12"/>
      <c r="M734" s="12"/>
      <c r="N734" s="12"/>
      <c r="O734" s="12"/>
      <c r="P734" s="12"/>
    </row>
    <row r="735">
      <c r="D735" s="95"/>
      <c r="E735" s="14"/>
      <c r="H735" s="12"/>
      <c r="I735" s="12"/>
      <c r="J735" s="12"/>
      <c r="K735" s="12"/>
      <c r="L735" s="12"/>
      <c r="M735" s="12"/>
      <c r="N735" s="12"/>
      <c r="O735" s="12"/>
      <c r="P735" s="12"/>
    </row>
    <row r="736">
      <c r="D736" s="95"/>
      <c r="E736" s="14"/>
      <c r="H736" s="12"/>
      <c r="I736" s="12"/>
      <c r="J736" s="12"/>
      <c r="K736" s="12"/>
      <c r="L736" s="12"/>
      <c r="M736" s="12"/>
      <c r="N736" s="12"/>
      <c r="O736" s="12"/>
      <c r="P736" s="12"/>
    </row>
    <row r="737">
      <c r="D737" s="95"/>
      <c r="E737" s="14"/>
      <c r="H737" s="12"/>
      <c r="I737" s="12"/>
      <c r="J737" s="12"/>
      <c r="K737" s="12"/>
      <c r="L737" s="12"/>
      <c r="M737" s="12"/>
      <c r="N737" s="12"/>
      <c r="O737" s="12"/>
      <c r="P737" s="12"/>
    </row>
    <row r="738">
      <c r="D738" s="95"/>
      <c r="E738" s="14"/>
      <c r="H738" s="12"/>
      <c r="I738" s="12"/>
      <c r="J738" s="12"/>
      <c r="K738" s="12"/>
      <c r="L738" s="12"/>
      <c r="M738" s="12"/>
      <c r="N738" s="12"/>
      <c r="O738" s="12"/>
      <c r="P738" s="12"/>
    </row>
    <row r="739">
      <c r="D739" s="95"/>
      <c r="E739" s="14"/>
      <c r="H739" s="12"/>
      <c r="I739" s="12"/>
      <c r="J739" s="12"/>
      <c r="K739" s="12"/>
      <c r="L739" s="12"/>
      <c r="M739" s="12"/>
      <c r="N739" s="12"/>
      <c r="O739" s="12"/>
      <c r="P739" s="12"/>
    </row>
    <row r="740">
      <c r="D740" s="95"/>
      <c r="E740" s="14"/>
      <c r="H740" s="12"/>
      <c r="I740" s="12"/>
      <c r="J740" s="12"/>
      <c r="K740" s="12"/>
      <c r="L740" s="12"/>
      <c r="M740" s="12"/>
      <c r="N740" s="12"/>
      <c r="O740" s="12"/>
      <c r="P740" s="12"/>
    </row>
    <row r="741">
      <c r="D741" s="95"/>
      <c r="E741" s="14"/>
      <c r="H741" s="12"/>
      <c r="I741" s="12"/>
      <c r="J741" s="12"/>
      <c r="K741" s="12"/>
      <c r="L741" s="12"/>
      <c r="M741" s="12"/>
      <c r="N741" s="12"/>
      <c r="O741" s="12"/>
      <c r="P741" s="12"/>
    </row>
    <row r="742">
      <c r="D742" s="95"/>
      <c r="E742" s="14"/>
      <c r="H742" s="12"/>
      <c r="I742" s="12"/>
      <c r="J742" s="12"/>
      <c r="K742" s="12"/>
      <c r="L742" s="12"/>
      <c r="M742" s="12"/>
      <c r="N742" s="12"/>
      <c r="O742" s="12"/>
      <c r="P742" s="12"/>
    </row>
    <row r="743">
      <c r="D743" s="95"/>
      <c r="E743" s="14"/>
      <c r="H743" s="12"/>
      <c r="I743" s="12"/>
      <c r="J743" s="12"/>
      <c r="K743" s="12"/>
      <c r="L743" s="12"/>
      <c r="M743" s="12"/>
      <c r="N743" s="12"/>
      <c r="O743" s="12"/>
      <c r="P743" s="12"/>
    </row>
    <row r="744">
      <c r="D744" s="95"/>
      <c r="E744" s="14"/>
      <c r="H744" s="12"/>
      <c r="I744" s="12"/>
      <c r="J744" s="12"/>
      <c r="K744" s="12"/>
      <c r="L744" s="12"/>
      <c r="M744" s="12"/>
      <c r="N744" s="12"/>
      <c r="O744" s="12"/>
      <c r="P744" s="12"/>
    </row>
    <row r="745">
      <c r="D745" s="95"/>
      <c r="E745" s="14"/>
      <c r="H745" s="12"/>
      <c r="I745" s="12"/>
      <c r="J745" s="12"/>
      <c r="K745" s="12"/>
      <c r="L745" s="12"/>
      <c r="M745" s="12"/>
      <c r="N745" s="12"/>
      <c r="O745" s="12"/>
      <c r="P745" s="12"/>
    </row>
    <row r="746">
      <c r="D746" s="95"/>
      <c r="E746" s="14"/>
      <c r="H746" s="12"/>
      <c r="I746" s="12"/>
      <c r="J746" s="12"/>
      <c r="K746" s="12"/>
      <c r="L746" s="12"/>
      <c r="M746" s="12"/>
      <c r="N746" s="12"/>
      <c r="O746" s="12"/>
      <c r="P746" s="12"/>
    </row>
    <row r="747">
      <c r="D747" s="95"/>
      <c r="E747" s="14"/>
      <c r="H747" s="12"/>
      <c r="I747" s="12"/>
      <c r="J747" s="12"/>
      <c r="K747" s="12"/>
      <c r="L747" s="12"/>
      <c r="M747" s="12"/>
      <c r="N747" s="12"/>
      <c r="O747" s="12"/>
      <c r="P747" s="12"/>
    </row>
    <row r="748">
      <c r="D748" s="95"/>
      <c r="E748" s="14"/>
      <c r="H748" s="12"/>
      <c r="I748" s="12"/>
      <c r="J748" s="12"/>
      <c r="K748" s="12"/>
      <c r="L748" s="12"/>
      <c r="M748" s="12"/>
      <c r="N748" s="12"/>
      <c r="O748" s="12"/>
      <c r="P748" s="12"/>
    </row>
    <row r="749">
      <c r="D749" s="95"/>
      <c r="E749" s="14"/>
      <c r="H749" s="12"/>
      <c r="I749" s="12"/>
      <c r="J749" s="12"/>
      <c r="K749" s="12"/>
      <c r="L749" s="12"/>
      <c r="M749" s="12"/>
      <c r="N749" s="12"/>
      <c r="O749" s="12"/>
      <c r="P749" s="12"/>
    </row>
    <row r="750">
      <c r="D750" s="95"/>
      <c r="E750" s="14"/>
      <c r="H750" s="12"/>
      <c r="I750" s="12"/>
      <c r="J750" s="12"/>
      <c r="K750" s="12"/>
      <c r="L750" s="12"/>
      <c r="M750" s="12"/>
      <c r="N750" s="12"/>
      <c r="O750" s="12"/>
      <c r="P750" s="12"/>
    </row>
    <row r="751">
      <c r="D751" s="95"/>
      <c r="E751" s="14"/>
      <c r="H751" s="12"/>
      <c r="I751" s="12"/>
      <c r="J751" s="12"/>
      <c r="K751" s="12"/>
      <c r="L751" s="12"/>
      <c r="M751" s="12"/>
      <c r="N751" s="12"/>
      <c r="O751" s="12"/>
      <c r="P751" s="12"/>
    </row>
    <row r="752">
      <c r="D752" s="95"/>
      <c r="E752" s="14"/>
      <c r="H752" s="12"/>
      <c r="I752" s="12"/>
      <c r="J752" s="12"/>
      <c r="K752" s="12"/>
      <c r="L752" s="12"/>
      <c r="M752" s="12"/>
      <c r="N752" s="12"/>
      <c r="O752" s="12"/>
      <c r="P752" s="12"/>
    </row>
    <row r="753">
      <c r="D753" s="95"/>
      <c r="E753" s="14"/>
      <c r="H753" s="12"/>
      <c r="I753" s="12"/>
      <c r="J753" s="12"/>
      <c r="K753" s="12"/>
      <c r="L753" s="12"/>
      <c r="M753" s="12"/>
      <c r="N753" s="12"/>
      <c r="O753" s="12"/>
      <c r="P753" s="12"/>
    </row>
    <row r="754">
      <c r="D754" s="95"/>
      <c r="E754" s="14"/>
      <c r="H754" s="12"/>
      <c r="I754" s="12"/>
      <c r="J754" s="12"/>
      <c r="K754" s="12"/>
      <c r="L754" s="12"/>
      <c r="M754" s="12"/>
      <c r="N754" s="12"/>
      <c r="O754" s="12"/>
      <c r="P754" s="12"/>
    </row>
    <row r="755">
      <c r="D755" s="95"/>
      <c r="E755" s="14"/>
      <c r="H755" s="12"/>
      <c r="I755" s="12"/>
      <c r="J755" s="12"/>
      <c r="K755" s="12"/>
      <c r="L755" s="12"/>
      <c r="M755" s="12"/>
      <c r="N755" s="12"/>
      <c r="O755" s="12"/>
      <c r="P755" s="12"/>
    </row>
    <row r="756">
      <c r="D756" s="95"/>
      <c r="E756" s="14"/>
      <c r="H756" s="12"/>
      <c r="I756" s="12"/>
      <c r="J756" s="12"/>
      <c r="K756" s="12"/>
      <c r="L756" s="12"/>
      <c r="M756" s="12"/>
      <c r="N756" s="12"/>
      <c r="O756" s="12"/>
      <c r="P756" s="12"/>
    </row>
    <row r="757">
      <c r="D757" s="95"/>
      <c r="E757" s="14"/>
      <c r="H757" s="12"/>
      <c r="I757" s="12"/>
      <c r="J757" s="12"/>
      <c r="K757" s="12"/>
      <c r="L757" s="12"/>
      <c r="M757" s="12"/>
      <c r="N757" s="12"/>
      <c r="O757" s="12"/>
      <c r="P757" s="12"/>
    </row>
    <row r="758">
      <c r="D758" s="95"/>
      <c r="E758" s="14"/>
      <c r="H758" s="12"/>
      <c r="I758" s="12"/>
      <c r="J758" s="12"/>
      <c r="K758" s="12"/>
      <c r="L758" s="12"/>
      <c r="M758" s="12"/>
      <c r="N758" s="12"/>
      <c r="O758" s="12"/>
      <c r="P758" s="12"/>
    </row>
    <row r="759">
      <c r="D759" s="95"/>
      <c r="E759" s="14"/>
      <c r="H759" s="12"/>
      <c r="I759" s="12"/>
      <c r="J759" s="12"/>
      <c r="K759" s="12"/>
      <c r="L759" s="12"/>
      <c r="M759" s="12"/>
      <c r="N759" s="12"/>
      <c r="O759" s="12"/>
      <c r="P759" s="12"/>
    </row>
    <row r="760">
      <c r="D760" s="95"/>
      <c r="E760" s="14"/>
      <c r="H760" s="12"/>
      <c r="I760" s="12"/>
      <c r="J760" s="12"/>
      <c r="K760" s="12"/>
      <c r="L760" s="12"/>
      <c r="M760" s="12"/>
      <c r="N760" s="12"/>
      <c r="O760" s="12"/>
      <c r="P760" s="12"/>
    </row>
    <row r="761">
      <c r="D761" s="95"/>
      <c r="E761" s="14"/>
      <c r="H761" s="12"/>
      <c r="I761" s="12"/>
      <c r="J761" s="12"/>
      <c r="K761" s="12"/>
      <c r="L761" s="12"/>
      <c r="M761" s="12"/>
      <c r="N761" s="12"/>
      <c r="O761" s="12"/>
      <c r="P761" s="12"/>
    </row>
    <row r="762">
      <c r="D762" s="95"/>
      <c r="E762" s="14"/>
      <c r="H762" s="12"/>
      <c r="I762" s="12"/>
      <c r="J762" s="12"/>
      <c r="K762" s="12"/>
      <c r="L762" s="12"/>
      <c r="M762" s="12"/>
      <c r="N762" s="12"/>
      <c r="O762" s="12"/>
      <c r="P762" s="12"/>
    </row>
    <row r="763">
      <c r="D763" s="95"/>
      <c r="E763" s="14"/>
      <c r="H763" s="12"/>
      <c r="I763" s="12"/>
      <c r="J763" s="12"/>
      <c r="K763" s="12"/>
      <c r="L763" s="12"/>
      <c r="M763" s="12"/>
      <c r="N763" s="12"/>
      <c r="O763" s="12"/>
      <c r="P763" s="12"/>
    </row>
    <row r="764">
      <c r="D764" s="95"/>
      <c r="E764" s="14"/>
      <c r="H764" s="12"/>
      <c r="I764" s="12"/>
      <c r="J764" s="12"/>
      <c r="K764" s="12"/>
      <c r="L764" s="12"/>
      <c r="M764" s="12"/>
      <c r="N764" s="12"/>
      <c r="O764" s="12"/>
      <c r="P764" s="12"/>
    </row>
    <row r="765">
      <c r="D765" s="95"/>
      <c r="E765" s="14"/>
      <c r="H765" s="12"/>
      <c r="I765" s="12"/>
      <c r="J765" s="12"/>
      <c r="K765" s="12"/>
      <c r="L765" s="12"/>
      <c r="M765" s="12"/>
      <c r="N765" s="12"/>
      <c r="O765" s="12"/>
      <c r="P765" s="12"/>
    </row>
    <row r="766">
      <c r="D766" s="95"/>
      <c r="E766" s="14"/>
      <c r="H766" s="12"/>
      <c r="I766" s="12"/>
      <c r="J766" s="12"/>
      <c r="K766" s="12"/>
      <c r="L766" s="12"/>
      <c r="M766" s="12"/>
      <c r="N766" s="12"/>
      <c r="O766" s="12"/>
      <c r="P766" s="12"/>
    </row>
    <row r="767">
      <c r="D767" s="95"/>
      <c r="E767" s="14"/>
      <c r="H767" s="12"/>
      <c r="I767" s="12"/>
      <c r="J767" s="12"/>
      <c r="K767" s="12"/>
      <c r="L767" s="12"/>
      <c r="M767" s="12"/>
      <c r="N767" s="12"/>
      <c r="O767" s="12"/>
      <c r="P767" s="12"/>
    </row>
    <row r="768">
      <c r="D768" s="95"/>
      <c r="E768" s="14"/>
      <c r="H768" s="12"/>
      <c r="I768" s="12"/>
      <c r="J768" s="12"/>
      <c r="K768" s="12"/>
      <c r="L768" s="12"/>
      <c r="M768" s="12"/>
      <c r="N768" s="12"/>
      <c r="O768" s="12"/>
      <c r="P768" s="12"/>
    </row>
    <row r="769">
      <c r="D769" s="95"/>
      <c r="E769" s="14"/>
      <c r="H769" s="12"/>
      <c r="I769" s="12"/>
      <c r="J769" s="12"/>
      <c r="K769" s="12"/>
      <c r="L769" s="12"/>
      <c r="M769" s="12"/>
      <c r="N769" s="12"/>
      <c r="O769" s="12"/>
      <c r="P769" s="12"/>
    </row>
    <row r="770">
      <c r="D770" s="95"/>
      <c r="E770" s="14"/>
      <c r="H770" s="12"/>
      <c r="I770" s="12"/>
      <c r="J770" s="12"/>
      <c r="K770" s="12"/>
      <c r="L770" s="12"/>
      <c r="M770" s="12"/>
      <c r="N770" s="12"/>
      <c r="O770" s="12"/>
      <c r="P770" s="12"/>
    </row>
    <row r="771">
      <c r="D771" s="95"/>
      <c r="E771" s="14"/>
      <c r="H771" s="12"/>
      <c r="I771" s="12"/>
      <c r="J771" s="12"/>
      <c r="K771" s="12"/>
      <c r="L771" s="12"/>
      <c r="M771" s="12"/>
      <c r="N771" s="12"/>
      <c r="O771" s="12"/>
      <c r="P771" s="12"/>
    </row>
    <row r="772">
      <c r="D772" s="95"/>
      <c r="E772" s="14"/>
      <c r="H772" s="12"/>
      <c r="I772" s="12"/>
      <c r="J772" s="12"/>
      <c r="K772" s="12"/>
      <c r="L772" s="12"/>
      <c r="M772" s="12"/>
      <c r="N772" s="12"/>
      <c r="O772" s="12"/>
      <c r="P772" s="12"/>
    </row>
    <row r="773">
      <c r="D773" s="95"/>
      <c r="E773" s="14"/>
      <c r="H773" s="12"/>
      <c r="I773" s="12"/>
      <c r="J773" s="12"/>
      <c r="K773" s="12"/>
      <c r="L773" s="12"/>
      <c r="M773" s="12"/>
      <c r="N773" s="12"/>
      <c r="O773" s="12"/>
      <c r="P773" s="12"/>
    </row>
    <row r="774">
      <c r="D774" s="95"/>
      <c r="E774" s="14"/>
      <c r="H774" s="12"/>
      <c r="I774" s="12"/>
      <c r="J774" s="12"/>
      <c r="K774" s="12"/>
      <c r="L774" s="12"/>
      <c r="M774" s="12"/>
      <c r="N774" s="12"/>
      <c r="O774" s="12"/>
      <c r="P774" s="12"/>
    </row>
    <row r="775">
      <c r="D775" s="95"/>
      <c r="E775" s="14"/>
      <c r="H775" s="12"/>
      <c r="I775" s="12"/>
      <c r="J775" s="12"/>
      <c r="K775" s="12"/>
      <c r="L775" s="12"/>
      <c r="M775" s="12"/>
      <c r="N775" s="12"/>
      <c r="O775" s="12"/>
      <c r="P775" s="12"/>
    </row>
    <row r="776">
      <c r="D776" s="95"/>
      <c r="E776" s="14"/>
      <c r="H776" s="12"/>
      <c r="I776" s="12"/>
      <c r="J776" s="12"/>
      <c r="K776" s="12"/>
      <c r="L776" s="12"/>
      <c r="M776" s="12"/>
      <c r="N776" s="12"/>
      <c r="O776" s="12"/>
      <c r="P776" s="12"/>
    </row>
    <row r="777">
      <c r="D777" s="95"/>
      <c r="E777" s="14"/>
      <c r="H777" s="12"/>
      <c r="I777" s="12"/>
      <c r="J777" s="12"/>
      <c r="K777" s="12"/>
      <c r="L777" s="12"/>
      <c r="M777" s="12"/>
      <c r="N777" s="12"/>
      <c r="O777" s="12"/>
      <c r="P777" s="12"/>
    </row>
    <row r="778">
      <c r="D778" s="95"/>
      <c r="E778" s="14"/>
      <c r="H778" s="12"/>
      <c r="I778" s="12"/>
      <c r="J778" s="12"/>
      <c r="K778" s="12"/>
      <c r="L778" s="12"/>
      <c r="M778" s="12"/>
      <c r="N778" s="12"/>
      <c r="O778" s="12"/>
      <c r="P778" s="12"/>
    </row>
    <row r="779">
      <c r="D779" s="95"/>
      <c r="E779" s="14"/>
      <c r="H779" s="12"/>
      <c r="I779" s="12"/>
      <c r="J779" s="12"/>
      <c r="K779" s="12"/>
      <c r="L779" s="12"/>
      <c r="M779" s="12"/>
      <c r="N779" s="12"/>
      <c r="O779" s="12"/>
      <c r="P779" s="12"/>
    </row>
    <row r="780">
      <c r="D780" s="95"/>
      <c r="E780" s="14"/>
      <c r="H780" s="12"/>
      <c r="I780" s="12"/>
      <c r="J780" s="12"/>
      <c r="K780" s="12"/>
      <c r="L780" s="12"/>
      <c r="M780" s="12"/>
      <c r="N780" s="12"/>
      <c r="O780" s="12"/>
      <c r="P780" s="12"/>
    </row>
    <row r="781">
      <c r="D781" s="95"/>
      <c r="E781" s="14"/>
      <c r="H781" s="12"/>
      <c r="I781" s="12"/>
      <c r="J781" s="12"/>
      <c r="K781" s="12"/>
      <c r="L781" s="12"/>
      <c r="M781" s="12"/>
      <c r="N781" s="12"/>
      <c r="O781" s="12"/>
      <c r="P781" s="12"/>
    </row>
    <row r="782">
      <c r="D782" s="95"/>
      <c r="E782" s="14"/>
      <c r="H782" s="12"/>
      <c r="I782" s="12"/>
      <c r="J782" s="12"/>
      <c r="K782" s="12"/>
      <c r="L782" s="12"/>
      <c r="M782" s="12"/>
      <c r="N782" s="12"/>
      <c r="O782" s="12"/>
      <c r="P782" s="12"/>
    </row>
    <row r="783">
      <c r="D783" s="95"/>
      <c r="E783" s="14"/>
      <c r="H783" s="12"/>
      <c r="I783" s="12"/>
      <c r="J783" s="12"/>
      <c r="K783" s="12"/>
      <c r="L783" s="12"/>
      <c r="M783" s="12"/>
      <c r="N783" s="12"/>
      <c r="O783" s="12"/>
      <c r="P783" s="12"/>
    </row>
    <row r="784">
      <c r="D784" s="95"/>
      <c r="E784" s="14"/>
      <c r="H784" s="12"/>
      <c r="I784" s="12"/>
      <c r="J784" s="12"/>
      <c r="K784" s="12"/>
      <c r="L784" s="12"/>
      <c r="M784" s="12"/>
      <c r="N784" s="12"/>
      <c r="O784" s="12"/>
      <c r="P784" s="12"/>
    </row>
    <row r="785">
      <c r="D785" s="95"/>
      <c r="E785" s="14"/>
      <c r="H785" s="12"/>
      <c r="I785" s="12"/>
      <c r="J785" s="12"/>
      <c r="K785" s="12"/>
      <c r="L785" s="12"/>
      <c r="M785" s="12"/>
      <c r="N785" s="12"/>
      <c r="O785" s="12"/>
      <c r="P785" s="12"/>
    </row>
    <row r="786">
      <c r="D786" s="95"/>
      <c r="E786" s="14"/>
      <c r="H786" s="12"/>
      <c r="I786" s="12"/>
      <c r="J786" s="12"/>
      <c r="K786" s="12"/>
      <c r="L786" s="12"/>
      <c r="M786" s="12"/>
      <c r="N786" s="12"/>
      <c r="O786" s="12"/>
      <c r="P786" s="12"/>
    </row>
    <row r="787">
      <c r="D787" s="95"/>
      <c r="E787" s="14"/>
      <c r="H787" s="12"/>
      <c r="I787" s="12"/>
      <c r="J787" s="12"/>
      <c r="K787" s="12"/>
      <c r="L787" s="12"/>
      <c r="M787" s="12"/>
      <c r="N787" s="12"/>
      <c r="O787" s="12"/>
      <c r="P787" s="12"/>
    </row>
    <row r="788">
      <c r="D788" s="95"/>
      <c r="E788" s="14"/>
      <c r="H788" s="12"/>
      <c r="I788" s="12"/>
      <c r="J788" s="12"/>
      <c r="K788" s="12"/>
      <c r="L788" s="12"/>
      <c r="M788" s="12"/>
      <c r="N788" s="12"/>
      <c r="O788" s="12"/>
      <c r="P788" s="12"/>
    </row>
    <row r="789">
      <c r="D789" s="95"/>
      <c r="E789" s="14"/>
      <c r="H789" s="12"/>
      <c r="I789" s="12"/>
      <c r="J789" s="12"/>
      <c r="K789" s="12"/>
      <c r="L789" s="12"/>
      <c r="M789" s="12"/>
      <c r="N789" s="12"/>
      <c r="O789" s="12"/>
      <c r="P789" s="12"/>
    </row>
    <row r="790">
      <c r="D790" s="95"/>
      <c r="E790" s="14"/>
      <c r="H790" s="12"/>
      <c r="I790" s="12"/>
      <c r="J790" s="12"/>
      <c r="K790" s="12"/>
      <c r="L790" s="12"/>
      <c r="M790" s="12"/>
      <c r="N790" s="12"/>
      <c r="O790" s="12"/>
      <c r="P790" s="12"/>
    </row>
    <row r="791">
      <c r="D791" s="95"/>
      <c r="E791" s="14"/>
      <c r="H791" s="12"/>
      <c r="I791" s="12"/>
      <c r="J791" s="12"/>
      <c r="K791" s="12"/>
      <c r="L791" s="12"/>
      <c r="M791" s="12"/>
      <c r="N791" s="12"/>
      <c r="O791" s="12"/>
      <c r="P791" s="12"/>
    </row>
    <row r="792">
      <c r="D792" s="95"/>
      <c r="E792" s="14"/>
      <c r="H792" s="12"/>
      <c r="I792" s="12"/>
      <c r="J792" s="12"/>
      <c r="K792" s="12"/>
      <c r="L792" s="12"/>
      <c r="M792" s="12"/>
      <c r="N792" s="12"/>
      <c r="O792" s="12"/>
      <c r="P792" s="12"/>
    </row>
    <row r="793">
      <c r="D793" s="95"/>
      <c r="E793" s="14"/>
      <c r="H793" s="12"/>
      <c r="I793" s="12"/>
      <c r="J793" s="12"/>
      <c r="K793" s="12"/>
      <c r="L793" s="12"/>
      <c r="M793" s="12"/>
      <c r="N793" s="12"/>
      <c r="O793" s="12"/>
      <c r="P793" s="12"/>
    </row>
    <row r="794">
      <c r="D794" s="95"/>
      <c r="E794" s="14"/>
      <c r="H794" s="12"/>
      <c r="I794" s="12"/>
      <c r="J794" s="12"/>
      <c r="K794" s="12"/>
      <c r="L794" s="12"/>
      <c r="M794" s="12"/>
      <c r="N794" s="12"/>
      <c r="O794" s="12"/>
      <c r="P794" s="12"/>
    </row>
    <row r="795">
      <c r="D795" s="95"/>
      <c r="E795" s="14"/>
      <c r="H795" s="12"/>
      <c r="I795" s="12"/>
      <c r="J795" s="12"/>
      <c r="K795" s="12"/>
      <c r="L795" s="12"/>
      <c r="M795" s="12"/>
      <c r="N795" s="12"/>
      <c r="O795" s="12"/>
      <c r="P795" s="12"/>
    </row>
    <row r="796">
      <c r="D796" s="95"/>
      <c r="E796" s="14"/>
      <c r="H796" s="12"/>
      <c r="I796" s="12"/>
      <c r="J796" s="12"/>
      <c r="K796" s="12"/>
      <c r="L796" s="12"/>
      <c r="M796" s="12"/>
      <c r="N796" s="12"/>
      <c r="O796" s="12"/>
      <c r="P796" s="12"/>
    </row>
    <row r="797">
      <c r="D797" s="95"/>
      <c r="E797" s="14"/>
      <c r="H797" s="12"/>
      <c r="I797" s="12"/>
      <c r="J797" s="12"/>
      <c r="K797" s="12"/>
      <c r="L797" s="12"/>
      <c r="M797" s="12"/>
      <c r="N797" s="12"/>
      <c r="O797" s="12"/>
      <c r="P797" s="12"/>
    </row>
    <row r="798">
      <c r="D798" s="95"/>
      <c r="E798" s="14"/>
      <c r="H798" s="12"/>
      <c r="I798" s="12"/>
      <c r="J798" s="12"/>
      <c r="K798" s="12"/>
      <c r="L798" s="12"/>
      <c r="M798" s="12"/>
      <c r="N798" s="12"/>
      <c r="O798" s="12"/>
      <c r="P798" s="12"/>
    </row>
    <row r="799">
      <c r="D799" s="95"/>
      <c r="E799" s="14"/>
      <c r="H799" s="12"/>
      <c r="I799" s="12"/>
      <c r="J799" s="12"/>
      <c r="K799" s="12"/>
      <c r="L799" s="12"/>
      <c r="M799" s="12"/>
      <c r="N799" s="12"/>
      <c r="O799" s="12"/>
      <c r="P799" s="12"/>
    </row>
    <row r="800">
      <c r="D800" s="95"/>
      <c r="E800" s="14"/>
      <c r="H800" s="12"/>
      <c r="I800" s="12"/>
      <c r="J800" s="12"/>
      <c r="K800" s="12"/>
      <c r="L800" s="12"/>
      <c r="M800" s="12"/>
      <c r="N800" s="12"/>
      <c r="O800" s="12"/>
      <c r="P800" s="12"/>
    </row>
    <row r="801">
      <c r="D801" s="95"/>
      <c r="E801" s="14"/>
      <c r="H801" s="12"/>
      <c r="I801" s="12"/>
      <c r="J801" s="12"/>
      <c r="K801" s="12"/>
      <c r="L801" s="12"/>
      <c r="M801" s="12"/>
      <c r="N801" s="12"/>
      <c r="O801" s="12"/>
      <c r="P801" s="12"/>
    </row>
    <row r="802">
      <c r="D802" s="95"/>
      <c r="E802" s="14"/>
      <c r="H802" s="12"/>
      <c r="I802" s="12"/>
      <c r="J802" s="12"/>
      <c r="K802" s="12"/>
      <c r="L802" s="12"/>
      <c r="M802" s="12"/>
      <c r="N802" s="12"/>
      <c r="O802" s="12"/>
      <c r="P802" s="12"/>
    </row>
    <row r="803">
      <c r="D803" s="95"/>
      <c r="E803" s="14"/>
      <c r="H803" s="12"/>
      <c r="I803" s="12"/>
      <c r="J803" s="12"/>
      <c r="K803" s="12"/>
      <c r="L803" s="12"/>
      <c r="M803" s="12"/>
      <c r="N803" s="12"/>
      <c r="O803" s="12"/>
      <c r="P803" s="12"/>
    </row>
    <row r="804">
      <c r="D804" s="95"/>
      <c r="E804" s="14"/>
      <c r="H804" s="12"/>
      <c r="I804" s="12"/>
      <c r="J804" s="12"/>
      <c r="K804" s="12"/>
      <c r="L804" s="12"/>
      <c r="M804" s="12"/>
      <c r="N804" s="12"/>
      <c r="O804" s="12"/>
      <c r="P804" s="12"/>
    </row>
    <row r="805">
      <c r="D805" s="95"/>
      <c r="E805" s="14"/>
      <c r="H805" s="12"/>
      <c r="I805" s="12"/>
      <c r="J805" s="12"/>
      <c r="K805" s="12"/>
      <c r="L805" s="12"/>
      <c r="M805" s="12"/>
      <c r="N805" s="12"/>
      <c r="O805" s="12"/>
      <c r="P805" s="12"/>
    </row>
    <row r="806">
      <c r="D806" s="95"/>
      <c r="E806" s="14"/>
      <c r="H806" s="12"/>
      <c r="I806" s="12"/>
      <c r="J806" s="12"/>
      <c r="K806" s="12"/>
      <c r="L806" s="12"/>
      <c r="M806" s="12"/>
      <c r="N806" s="12"/>
      <c r="O806" s="12"/>
      <c r="P806" s="12"/>
    </row>
    <row r="807">
      <c r="D807" s="95"/>
      <c r="E807" s="14"/>
      <c r="H807" s="12"/>
      <c r="I807" s="12"/>
      <c r="J807" s="12"/>
      <c r="K807" s="12"/>
      <c r="L807" s="12"/>
      <c r="M807" s="12"/>
      <c r="N807" s="12"/>
      <c r="O807" s="12"/>
      <c r="P807" s="12"/>
    </row>
    <row r="808">
      <c r="D808" s="95"/>
      <c r="E808" s="14"/>
      <c r="H808" s="12"/>
      <c r="I808" s="12"/>
      <c r="J808" s="12"/>
      <c r="K808" s="12"/>
      <c r="L808" s="12"/>
      <c r="M808" s="12"/>
      <c r="N808" s="12"/>
      <c r="O808" s="12"/>
      <c r="P808" s="12"/>
    </row>
    <row r="809">
      <c r="D809" s="95"/>
      <c r="E809" s="14"/>
      <c r="H809" s="12"/>
      <c r="I809" s="12"/>
      <c r="J809" s="12"/>
      <c r="K809" s="12"/>
      <c r="L809" s="12"/>
      <c r="M809" s="12"/>
      <c r="N809" s="12"/>
      <c r="O809" s="12"/>
      <c r="P809" s="12"/>
    </row>
    <row r="810">
      <c r="D810" s="95"/>
      <c r="E810" s="14"/>
      <c r="H810" s="12"/>
      <c r="I810" s="12"/>
      <c r="J810" s="12"/>
      <c r="K810" s="12"/>
      <c r="L810" s="12"/>
      <c r="M810" s="12"/>
      <c r="N810" s="12"/>
      <c r="O810" s="12"/>
      <c r="P810" s="12"/>
    </row>
    <row r="811">
      <c r="D811" s="95"/>
      <c r="E811" s="14"/>
      <c r="H811" s="12"/>
      <c r="I811" s="12"/>
      <c r="J811" s="12"/>
      <c r="K811" s="12"/>
      <c r="L811" s="12"/>
      <c r="M811" s="12"/>
      <c r="N811" s="12"/>
      <c r="O811" s="12"/>
      <c r="P811" s="12"/>
    </row>
    <row r="812">
      <c r="D812" s="95"/>
      <c r="E812" s="14"/>
      <c r="H812" s="12"/>
      <c r="I812" s="12"/>
      <c r="J812" s="12"/>
      <c r="K812" s="12"/>
      <c r="L812" s="12"/>
      <c r="M812" s="12"/>
      <c r="N812" s="12"/>
      <c r="O812" s="12"/>
      <c r="P812" s="12"/>
    </row>
    <row r="813">
      <c r="D813" s="95"/>
      <c r="E813" s="14"/>
      <c r="H813" s="12"/>
      <c r="I813" s="12"/>
      <c r="J813" s="12"/>
      <c r="K813" s="12"/>
      <c r="L813" s="12"/>
      <c r="M813" s="12"/>
      <c r="N813" s="12"/>
      <c r="O813" s="12"/>
      <c r="P813" s="12"/>
    </row>
    <row r="814">
      <c r="D814" s="95"/>
      <c r="E814" s="14"/>
      <c r="H814" s="12"/>
      <c r="I814" s="12"/>
      <c r="J814" s="12"/>
      <c r="K814" s="12"/>
      <c r="L814" s="12"/>
      <c r="M814" s="12"/>
      <c r="N814" s="12"/>
      <c r="O814" s="12"/>
      <c r="P814" s="12"/>
    </row>
    <row r="815">
      <c r="D815" s="95"/>
      <c r="E815" s="14"/>
      <c r="H815" s="12"/>
      <c r="I815" s="12"/>
      <c r="J815" s="12"/>
      <c r="K815" s="12"/>
      <c r="L815" s="12"/>
      <c r="M815" s="12"/>
      <c r="N815" s="12"/>
      <c r="O815" s="12"/>
      <c r="P815" s="12"/>
    </row>
    <row r="816">
      <c r="D816" s="95"/>
      <c r="E816" s="14"/>
      <c r="H816" s="12"/>
      <c r="I816" s="12"/>
      <c r="J816" s="12"/>
      <c r="K816" s="12"/>
      <c r="L816" s="12"/>
      <c r="M816" s="12"/>
      <c r="N816" s="12"/>
      <c r="O816" s="12"/>
      <c r="P816" s="12"/>
    </row>
    <row r="817">
      <c r="D817" s="95"/>
      <c r="E817" s="14"/>
      <c r="H817" s="12"/>
      <c r="I817" s="12"/>
      <c r="J817" s="12"/>
      <c r="K817" s="12"/>
      <c r="L817" s="12"/>
      <c r="M817" s="12"/>
      <c r="N817" s="12"/>
      <c r="O817" s="12"/>
      <c r="P817" s="12"/>
    </row>
    <row r="818">
      <c r="D818" s="95"/>
      <c r="E818" s="14"/>
      <c r="H818" s="12"/>
      <c r="I818" s="12"/>
      <c r="J818" s="12"/>
      <c r="K818" s="12"/>
      <c r="L818" s="12"/>
      <c r="M818" s="12"/>
      <c r="N818" s="12"/>
      <c r="O818" s="12"/>
      <c r="P818" s="12"/>
    </row>
    <row r="819">
      <c r="D819" s="95"/>
      <c r="E819" s="14"/>
      <c r="H819" s="12"/>
      <c r="I819" s="12"/>
      <c r="J819" s="12"/>
      <c r="K819" s="12"/>
      <c r="L819" s="12"/>
      <c r="M819" s="12"/>
      <c r="N819" s="12"/>
      <c r="O819" s="12"/>
      <c r="P819" s="12"/>
    </row>
    <row r="820">
      <c r="D820" s="95"/>
      <c r="E820" s="14"/>
      <c r="H820" s="12"/>
      <c r="I820" s="12"/>
      <c r="J820" s="12"/>
      <c r="K820" s="12"/>
      <c r="L820" s="12"/>
      <c r="M820" s="12"/>
      <c r="N820" s="12"/>
      <c r="O820" s="12"/>
      <c r="P820" s="12"/>
    </row>
    <row r="821">
      <c r="D821" s="95"/>
      <c r="E821" s="14"/>
      <c r="H821" s="12"/>
      <c r="I821" s="12"/>
      <c r="J821" s="12"/>
      <c r="K821" s="12"/>
      <c r="L821" s="12"/>
      <c r="M821" s="12"/>
      <c r="N821" s="12"/>
      <c r="O821" s="12"/>
      <c r="P821" s="12"/>
    </row>
    <row r="822">
      <c r="D822" s="95"/>
      <c r="E822" s="14"/>
      <c r="H822" s="12"/>
      <c r="I822" s="12"/>
      <c r="J822" s="12"/>
      <c r="K822" s="12"/>
      <c r="L822" s="12"/>
      <c r="M822" s="12"/>
      <c r="N822" s="12"/>
      <c r="O822" s="12"/>
      <c r="P822" s="12"/>
    </row>
    <row r="823">
      <c r="D823" s="95"/>
      <c r="E823" s="14"/>
      <c r="H823" s="12"/>
      <c r="I823" s="12"/>
      <c r="J823" s="12"/>
      <c r="K823" s="12"/>
      <c r="L823" s="12"/>
      <c r="M823" s="12"/>
      <c r="N823" s="12"/>
      <c r="O823" s="12"/>
      <c r="P823" s="12"/>
    </row>
    <row r="824">
      <c r="D824" s="95"/>
      <c r="E824" s="14"/>
      <c r="H824" s="12"/>
      <c r="I824" s="12"/>
      <c r="J824" s="12"/>
      <c r="K824" s="12"/>
      <c r="L824" s="12"/>
      <c r="M824" s="12"/>
      <c r="N824" s="12"/>
      <c r="O824" s="12"/>
      <c r="P824" s="12"/>
    </row>
    <row r="825">
      <c r="D825" s="95"/>
      <c r="E825" s="14"/>
      <c r="H825" s="12"/>
      <c r="I825" s="12"/>
      <c r="J825" s="12"/>
      <c r="K825" s="12"/>
      <c r="L825" s="12"/>
      <c r="M825" s="12"/>
      <c r="N825" s="12"/>
      <c r="O825" s="12"/>
      <c r="P825" s="12"/>
    </row>
    <row r="826">
      <c r="D826" s="95"/>
      <c r="E826" s="14"/>
      <c r="H826" s="12"/>
      <c r="I826" s="12"/>
      <c r="J826" s="12"/>
      <c r="K826" s="12"/>
      <c r="L826" s="12"/>
      <c r="M826" s="12"/>
      <c r="N826" s="12"/>
      <c r="O826" s="12"/>
      <c r="P826" s="12"/>
    </row>
    <row r="827">
      <c r="D827" s="95"/>
      <c r="E827" s="14"/>
      <c r="H827" s="12"/>
      <c r="I827" s="12"/>
      <c r="J827" s="12"/>
      <c r="K827" s="12"/>
      <c r="L827" s="12"/>
      <c r="M827" s="12"/>
      <c r="N827" s="12"/>
      <c r="O827" s="12"/>
      <c r="P827" s="12"/>
    </row>
    <row r="828">
      <c r="D828" s="95"/>
      <c r="E828" s="14"/>
      <c r="H828" s="12"/>
      <c r="I828" s="12"/>
      <c r="J828" s="12"/>
      <c r="K828" s="12"/>
      <c r="L828" s="12"/>
      <c r="M828" s="12"/>
      <c r="N828" s="12"/>
      <c r="O828" s="12"/>
      <c r="P828" s="12"/>
    </row>
    <row r="829">
      <c r="D829" s="95"/>
      <c r="E829" s="14"/>
      <c r="H829" s="12"/>
      <c r="I829" s="12"/>
      <c r="J829" s="12"/>
      <c r="K829" s="12"/>
      <c r="L829" s="12"/>
      <c r="M829" s="12"/>
      <c r="N829" s="12"/>
      <c r="O829" s="12"/>
      <c r="P829" s="12"/>
    </row>
    <row r="830">
      <c r="D830" s="95"/>
      <c r="E830" s="14"/>
      <c r="H830" s="12"/>
      <c r="I830" s="12"/>
      <c r="J830" s="12"/>
      <c r="K830" s="12"/>
      <c r="L830" s="12"/>
      <c r="M830" s="12"/>
      <c r="N830" s="12"/>
      <c r="O830" s="12"/>
      <c r="P830" s="12"/>
    </row>
    <row r="831">
      <c r="D831" s="95"/>
      <c r="E831" s="14"/>
      <c r="H831" s="12"/>
      <c r="I831" s="12"/>
      <c r="J831" s="12"/>
      <c r="K831" s="12"/>
      <c r="L831" s="12"/>
      <c r="M831" s="12"/>
      <c r="N831" s="12"/>
      <c r="O831" s="12"/>
      <c r="P831" s="12"/>
    </row>
    <row r="832">
      <c r="D832" s="95"/>
      <c r="E832" s="14"/>
      <c r="H832" s="12"/>
      <c r="I832" s="12"/>
      <c r="J832" s="12"/>
      <c r="K832" s="12"/>
      <c r="L832" s="12"/>
      <c r="M832" s="12"/>
      <c r="N832" s="12"/>
      <c r="O832" s="12"/>
      <c r="P832" s="12"/>
    </row>
    <row r="833">
      <c r="D833" s="95"/>
      <c r="E833" s="14"/>
      <c r="H833" s="12"/>
      <c r="I833" s="12"/>
      <c r="J833" s="12"/>
      <c r="K833" s="12"/>
      <c r="L833" s="12"/>
      <c r="M833" s="12"/>
      <c r="N833" s="12"/>
      <c r="O833" s="12"/>
      <c r="P833" s="12"/>
    </row>
    <row r="834">
      <c r="D834" s="95"/>
      <c r="E834" s="14"/>
      <c r="H834" s="12"/>
      <c r="I834" s="12"/>
      <c r="J834" s="12"/>
      <c r="K834" s="12"/>
      <c r="L834" s="12"/>
      <c r="M834" s="12"/>
      <c r="N834" s="12"/>
      <c r="O834" s="12"/>
      <c r="P834" s="12"/>
    </row>
    <row r="835">
      <c r="D835" s="95"/>
      <c r="E835" s="14"/>
      <c r="H835" s="12"/>
      <c r="I835" s="12"/>
      <c r="J835" s="12"/>
      <c r="K835" s="12"/>
      <c r="L835" s="12"/>
      <c r="M835" s="12"/>
      <c r="N835" s="12"/>
      <c r="O835" s="12"/>
      <c r="P835" s="12"/>
    </row>
    <row r="836">
      <c r="D836" s="95"/>
      <c r="E836" s="14"/>
      <c r="H836" s="12"/>
      <c r="I836" s="12"/>
      <c r="J836" s="12"/>
      <c r="K836" s="12"/>
      <c r="L836" s="12"/>
      <c r="M836" s="12"/>
      <c r="N836" s="12"/>
      <c r="O836" s="12"/>
      <c r="P836" s="12"/>
    </row>
    <row r="837">
      <c r="D837" s="95"/>
      <c r="E837" s="14"/>
      <c r="H837" s="12"/>
      <c r="I837" s="12"/>
      <c r="J837" s="12"/>
      <c r="K837" s="12"/>
      <c r="L837" s="12"/>
      <c r="M837" s="12"/>
      <c r="N837" s="12"/>
      <c r="O837" s="12"/>
      <c r="P837" s="12"/>
    </row>
    <row r="838">
      <c r="D838" s="95"/>
      <c r="E838" s="14"/>
      <c r="H838" s="12"/>
      <c r="I838" s="12"/>
      <c r="J838" s="12"/>
      <c r="K838" s="12"/>
      <c r="L838" s="12"/>
      <c r="M838" s="12"/>
      <c r="N838" s="12"/>
      <c r="O838" s="12"/>
      <c r="P838" s="12"/>
    </row>
    <row r="839">
      <c r="D839" s="95"/>
      <c r="E839" s="14"/>
      <c r="H839" s="12"/>
      <c r="I839" s="12"/>
      <c r="J839" s="12"/>
      <c r="K839" s="12"/>
      <c r="L839" s="12"/>
      <c r="M839" s="12"/>
      <c r="N839" s="12"/>
      <c r="O839" s="12"/>
      <c r="P839" s="12"/>
    </row>
    <row r="840">
      <c r="D840" s="95"/>
      <c r="E840" s="14"/>
      <c r="H840" s="12"/>
      <c r="I840" s="12"/>
      <c r="J840" s="12"/>
      <c r="K840" s="12"/>
      <c r="L840" s="12"/>
      <c r="M840" s="12"/>
      <c r="N840" s="12"/>
      <c r="O840" s="12"/>
      <c r="P840" s="12"/>
    </row>
    <row r="841">
      <c r="D841" s="95"/>
      <c r="E841" s="14"/>
      <c r="H841" s="12"/>
      <c r="I841" s="12"/>
      <c r="J841" s="12"/>
      <c r="K841" s="12"/>
      <c r="L841" s="12"/>
      <c r="M841" s="12"/>
      <c r="N841" s="12"/>
      <c r="O841" s="12"/>
      <c r="P841" s="12"/>
    </row>
    <row r="842">
      <c r="D842" s="95"/>
      <c r="E842" s="14"/>
      <c r="H842" s="12"/>
      <c r="I842" s="12"/>
      <c r="J842" s="12"/>
      <c r="K842" s="12"/>
      <c r="L842" s="12"/>
      <c r="M842" s="12"/>
      <c r="N842" s="12"/>
      <c r="O842" s="12"/>
      <c r="P842" s="12"/>
    </row>
    <row r="843">
      <c r="D843" s="95"/>
      <c r="E843" s="14"/>
      <c r="H843" s="12"/>
      <c r="I843" s="12"/>
      <c r="J843" s="12"/>
      <c r="K843" s="12"/>
      <c r="L843" s="12"/>
      <c r="M843" s="12"/>
      <c r="N843" s="12"/>
      <c r="O843" s="12"/>
      <c r="P843" s="12"/>
    </row>
    <row r="844">
      <c r="D844" s="95"/>
      <c r="E844" s="14"/>
      <c r="H844" s="12"/>
      <c r="I844" s="12"/>
      <c r="J844" s="12"/>
      <c r="K844" s="12"/>
      <c r="L844" s="12"/>
      <c r="M844" s="12"/>
      <c r="N844" s="12"/>
      <c r="O844" s="12"/>
      <c r="P844" s="12"/>
    </row>
    <row r="845">
      <c r="D845" s="95"/>
      <c r="E845" s="14"/>
      <c r="H845" s="12"/>
      <c r="I845" s="12"/>
      <c r="J845" s="12"/>
      <c r="K845" s="12"/>
      <c r="L845" s="12"/>
      <c r="M845" s="12"/>
      <c r="N845" s="12"/>
      <c r="O845" s="12"/>
      <c r="P845" s="12"/>
    </row>
    <row r="846">
      <c r="D846" s="95"/>
      <c r="E846" s="14"/>
      <c r="H846" s="12"/>
      <c r="I846" s="12"/>
      <c r="J846" s="12"/>
      <c r="K846" s="12"/>
      <c r="L846" s="12"/>
      <c r="M846" s="12"/>
      <c r="N846" s="12"/>
      <c r="O846" s="12"/>
      <c r="P846" s="12"/>
    </row>
    <row r="847">
      <c r="D847" s="95"/>
      <c r="E847" s="14"/>
      <c r="H847" s="12"/>
      <c r="I847" s="12"/>
      <c r="J847" s="12"/>
      <c r="K847" s="12"/>
      <c r="L847" s="12"/>
      <c r="M847" s="12"/>
      <c r="N847" s="12"/>
      <c r="O847" s="12"/>
      <c r="P847" s="12"/>
    </row>
    <row r="848">
      <c r="D848" s="95"/>
      <c r="E848" s="14"/>
      <c r="H848" s="12"/>
      <c r="I848" s="12"/>
      <c r="J848" s="12"/>
      <c r="K848" s="12"/>
      <c r="L848" s="12"/>
      <c r="M848" s="12"/>
      <c r="N848" s="12"/>
      <c r="O848" s="12"/>
      <c r="P848" s="12"/>
    </row>
    <row r="849">
      <c r="D849" s="95"/>
      <c r="E849" s="14"/>
      <c r="H849" s="12"/>
      <c r="I849" s="12"/>
      <c r="J849" s="12"/>
      <c r="K849" s="12"/>
      <c r="L849" s="12"/>
      <c r="M849" s="12"/>
      <c r="N849" s="12"/>
      <c r="O849" s="12"/>
      <c r="P849" s="12"/>
    </row>
    <row r="850">
      <c r="D850" s="95"/>
      <c r="E850" s="14"/>
      <c r="H850" s="12"/>
      <c r="I850" s="12"/>
      <c r="J850" s="12"/>
      <c r="K850" s="12"/>
      <c r="L850" s="12"/>
      <c r="M850" s="12"/>
      <c r="N850" s="12"/>
      <c r="O850" s="12"/>
      <c r="P850" s="12"/>
    </row>
    <row r="851">
      <c r="D851" s="95"/>
      <c r="E851" s="14"/>
      <c r="H851" s="12"/>
      <c r="I851" s="12"/>
      <c r="J851" s="12"/>
      <c r="K851" s="12"/>
      <c r="L851" s="12"/>
      <c r="M851" s="12"/>
      <c r="N851" s="12"/>
      <c r="O851" s="12"/>
      <c r="P851" s="12"/>
    </row>
    <row r="852">
      <c r="D852" s="95"/>
      <c r="E852" s="14"/>
      <c r="H852" s="12"/>
      <c r="I852" s="12"/>
      <c r="J852" s="12"/>
      <c r="K852" s="12"/>
      <c r="L852" s="12"/>
      <c r="M852" s="12"/>
      <c r="N852" s="12"/>
      <c r="O852" s="12"/>
      <c r="P852" s="12"/>
    </row>
    <row r="853">
      <c r="D853" s="95"/>
      <c r="E853" s="14"/>
      <c r="H853" s="12"/>
      <c r="I853" s="12"/>
      <c r="J853" s="12"/>
      <c r="K853" s="12"/>
      <c r="L853" s="12"/>
      <c r="M853" s="12"/>
      <c r="N853" s="12"/>
      <c r="O853" s="12"/>
      <c r="P853" s="12"/>
    </row>
    <row r="854">
      <c r="D854" s="95"/>
      <c r="E854" s="14"/>
      <c r="H854" s="12"/>
      <c r="I854" s="12"/>
      <c r="J854" s="12"/>
      <c r="K854" s="12"/>
      <c r="L854" s="12"/>
      <c r="M854" s="12"/>
      <c r="N854" s="12"/>
      <c r="O854" s="12"/>
      <c r="P854" s="12"/>
    </row>
    <row r="855">
      <c r="D855" s="95"/>
      <c r="E855" s="14"/>
      <c r="H855" s="12"/>
      <c r="I855" s="12"/>
      <c r="J855" s="12"/>
      <c r="K855" s="12"/>
      <c r="L855" s="12"/>
      <c r="M855" s="12"/>
      <c r="N855" s="12"/>
      <c r="O855" s="12"/>
      <c r="P855" s="12"/>
    </row>
    <row r="856">
      <c r="D856" s="95"/>
      <c r="E856" s="14"/>
      <c r="H856" s="12"/>
      <c r="I856" s="12"/>
      <c r="J856" s="12"/>
      <c r="K856" s="12"/>
      <c r="L856" s="12"/>
      <c r="M856" s="12"/>
      <c r="N856" s="12"/>
      <c r="O856" s="12"/>
      <c r="P856" s="12"/>
    </row>
    <row r="857">
      <c r="D857" s="95"/>
      <c r="E857" s="14"/>
      <c r="H857" s="12"/>
      <c r="I857" s="12"/>
      <c r="J857" s="12"/>
      <c r="K857" s="12"/>
      <c r="L857" s="12"/>
      <c r="M857" s="12"/>
      <c r="N857" s="12"/>
      <c r="O857" s="12"/>
      <c r="P857" s="12"/>
    </row>
    <row r="858">
      <c r="D858" s="95"/>
      <c r="E858" s="14"/>
      <c r="H858" s="12"/>
      <c r="I858" s="12"/>
      <c r="J858" s="12"/>
      <c r="K858" s="12"/>
      <c r="L858" s="12"/>
      <c r="M858" s="12"/>
      <c r="N858" s="12"/>
      <c r="O858" s="12"/>
      <c r="P858" s="12"/>
    </row>
    <row r="859">
      <c r="D859" s="95"/>
      <c r="E859" s="14"/>
      <c r="H859" s="12"/>
      <c r="I859" s="12"/>
      <c r="J859" s="12"/>
      <c r="K859" s="12"/>
      <c r="L859" s="12"/>
      <c r="M859" s="12"/>
      <c r="N859" s="12"/>
      <c r="O859" s="12"/>
      <c r="P859" s="12"/>
    </row>
    <row r="860">
      <c r="D860" s="95"/>
      <c r="E860" s="14"/>
      <c r="H860" s="12"/>
      <c r="I860" s="12"/>
      <c r="J860" s="12"/>
      <c r="K860" s="12"/>
      <c r="L860" s="12"/>
      <c r="M860" s="12"/>
      <c r="N860" s="12"/>
      <c r="O860" s="12"/>
      <c r="P860" s="12"/>
    </row>
    <row r="861">
      <c r="D861" s="95"/>
      <c r="E861" s="14"/>
      <c r="H861" s="12"/>
      <c r="I861" s="12"/>
      <c r="J861" s="12"/>
      <c r="K861" s="12"/>
      <c r="L861" s="12"/>
      <c r="M861" s="12"/>
      <c r="N861" s="12"/>
      <c r="O861" s="12"/>
      <c r="P861" s="12"/>
    </row>
    <row r="862">
      <c r="D862" s="95"/>
      <c r="E862" s="14"/>
      <c r="H862" s="12"/>
      <c r="I862" s="12"/>
      <c r="J862" s="12"/>
      <c r="K862" s="12"/>
      <c r="L862" s="12"/>
      <c r="M862" s="12"/>
      <c r="N862" s="12"/>
      <c r="O862" s="12"/>
      <c r="P862" s="12"/>
    </row>
    <row r="863">
      <c r="D863" s="95"/>
      <c r="E863" s="14"/>
      <c r="H863" s="12"/>
      <c r="I863" s="12"/>
      <c r="J863" s="12"/>
      <c r="K863" s="12"/>
      <c r="L863" s="12"/>
      <c r="M863" s="12"/>
      <c r="N863" s="12"/>
      <c r="O863" s="12"/>
      <c r="P863" s="12"/>
    </row>
    <row r="864">
      <c r="D864" s="95"/>
      <c r="E864" s="14"/>
      <c r="H864" s="12"/>
      <c r="I864" s="12"/>
      <c r="J864" s="12"/>
      <c r="K864" s="12"/>
      <c r="L864" s="12"/>
      <c r="M864" s="12"/>
      <c r="N864" s="12"/>
      <c r="O864" s="12"/>
      <c r="P864" s="12"/>
    </row>
    <row r="865">
      <c r="D865" s="95"/>
      <c r="E865" s="14"/>
      <c r="H865" s="12"/>
      <c r="I865" s="12"/>
      <c r="J865" s="12"/>
      <c r="K865" s="12"/>
      <c r="L865" s="12"/>
      <c r="M865" s="12"/>
      <c r="N865" s="12"/>
      <c r="O865" s="12"/>
      <c r="P865" s="12"/>
    </row>
    <row r="866">
      <c r="D866" s="95"/>
      <c r="E866" s="14"/>
      <c r="H866" s="12"/>
      <c r="I866" s="12"/>
      <c r="J866" s="12"/>
      <c r="K866" s="12"/>
      <c r="L866" s="12"/>
      <c r="M866" s="12"/>
      <c r="N866" s="12"/>
      <c r="O866" s="12"/>
      <c r="P866" s="12"/>
    </row>
    <row r="867">
      <c r="D867" s="95"/>
      <c r="E867" s="14"/>
      <c r="H867" s="12"/>
      <c r="I867" s="12"/>
      <c r="J867" s="12"/>
      <c r="K867" s="12"/>
      <c r="L867" s="12"/>
      <c r="M867" s="12"/>
      <c r="N867" s="12"/>
      <c r="O867" s="12"/>
      <c r="P867" s="12"/>
    </row>
    <row r="868">
      <c r="D868" s="95"/>
      <c r="E868" s="14"/>
      <c r="H868" s="12"/>
      <c r="I868" s="12"/>
      <c r="J868" s="12"/>
      <c r="K868" s="12"/>
      <c r="L868" s="12"/>
      <c r="M868" s="12"/>
      <c r="N868" s="12"/>
      <c r="O868" s="12"/>
      <c r="P868" s="12"/>
    </row>
    <row r="869">
      <c r="D869" s="95"/>
      <c r="E869" s="14"/>
      <c r="H869" s="12"/>
      <c r="I869" s="12"/>
      <c r="J869" s="12"/>
      <c r="K869" s="12"/>
      <c r="L869" s="12"/>
      <c r="M869" s="12"/>
      <c r="N869" s="12"/>
      <c r="O869" s="12"/>
      <c r="P869" s="12"/>
    </row>
    <row r="870">
      <c r="D870" s="95"/>
      <c r="E870" s="14"/>
      <c r="H870" s="12"/>
      <c r="I870" s="12"/>
      <c r="J870" s="12"/>
      <c r="K870" s="12"/>
      <c r="L870" s="12"/>
      <c r="M870" s="12"/>
      <c r="N870" s="12"/>
      <c r="O870" s="12"/>
      <c r="P870" s="12"/>
    </row>
    <row r="871">
      <c r="D871" s="95"/>
      <c r="E871" s="14"/>
      <c r="H871" s="12"/>
      <c r="I871" s="12"/>
      <c r="J871" s="12"/>
      <c r="K871" s="12"/>
      <c r="L871" s="12"/>
      <c r="M871" s="12"/>
      <c r="N871" s="12"/>
      <c r="O871" s="12"/>
      <c r="P871" s="12"/>
    </row>
    <row r="872">
      <c r="D872" s="95"/>
      <c r="E872" s="14"/>
      <c r="H872" s="12"/>
      <c r="I872" s="12"/>
      <c r="J872" s="12"/>
      <c r="K872" s="12"/>
      <c r="L872" s="12"/>
      <c r="M872" s="12"/>
      <c r="N872" s="12"/>
      <c r="O872" s="12"/>
      <c r="P872" s="12"/>
    </row>
    <row r="873">
      <c r="D873" s="95"/>
      <c r="E873" s="14"/>
      <c r="H873" s="12"/>
      <c r="I873" s="12"/>
      <c r="J873" s="12"/>
      <c r="K873" s="12"/>
      <c r="L873" s="12"/>
      <c r="M873" s="12"/>
      <c r="N873" s="12"/>
      <c r="O873" s="12"/>
      <c r="P873" s="12"/>
    </row>
    <row r="874">
      <c r="D874" s="95"/>
      <c r="E874" s="14"/>
      <c r="H874" s="12"/>
      <c r="I874" s="12"/>
      <c r="J874" s="12"/>
      <c r="K874" s="12"/>
      <c r="L874" s="12"/>
      <c r="M874" s="12"/>
      <c r="N874" s="12"/>
      <c r="O874" s="12"/>
      <c r="P874" s="12"/>
    </row>
    <row r="875">
      <c r="D875" s="95"/>
      <c r="E875" s="14"/>
      <c r="H875" s="12"/>
      <c r="I875" s="12"/>
      <c r="J875" s="12"/>
      <c r="K875" s="12"/>
      <c r="L875" s="12"/>
      <c r="M875" s="12"/>
      <c r="N875" s="12"/>
      <c r="O875" s="12"/>
      <c r="P875" s="12"/>
    </row>
    <row r="876">
      <c r="D876" s="95"/>
      <c r="E876" s="14"/>
      <c r="H876" s="12"/>
      <c r="I876" s="12"/>
      <c r="J876" s="12"/>
      <c r="K876" s="12"/>
      <c r="L876" s="12"/>
      <c r="M876" s="12"/>
      <c r="N876" s="12"/>
      <c r="O876" s="12"/>
      <c r="P876" s="12"/>
    </row>
    <row r="877">
      <c r="D877" s="95"/>
      <c r="E877" s="14"/>
      <c r="H877" s="12"/>
      <c r="I877" s="12"/>
      <c r="J877" s="12"/>
      <c r="K877" s="12"/>
      <c r="L877" s="12"/>
      <c r="M877" s="12"/>
      <c r="N877" s="12"/>
      <c r="O877" s="12"/>
      <c r="P877" s="12"/>
    </row>
    <row r="878">
      <c r="D878" s="95"/>
      <c r="E878" s="14"/>
      <c r="H878" s="12"/>
      <c r="I878" s="12"/>
      <c r="J878" s="12"/>
      <c r="K878" s="12"/>
      <c r="L878" s="12"/>
      <c r="M878" s="12"/>
      <c r="N878" s="12"/>
      <c r="O878" s="12"/>
      <c r="P878" s="12"/>
    </row>
    <row r="879">
      <c r="D879" s="95"/>
      <c r="E879" s="14"/>
      <c r="H879" s="12"/>
      <c r="I879" s="12"/>
      <c r="J879" s="12"/>
      <c r="K879" s="12"/>
      <c r="L879" s="12"/>
      <c r="M879" s="12"/>
      <c r="N879" s="12"/>
      <c r="O879" s="12"/>
      <c r="P879" s="12"/>
    </row>
    <row r="880">
      <c r="D880" s="95"/>
      <c r="E880" s="14"/>
      <c r="H880" s="12"/>
      <c r="I880" s="12"/>
      <c r="J880" s="12"/>
      <c r="K880" s="12"/>
      <c r="L880" s="12"/>
      <c r="M880" s="12"/>
      <c r="N880" s="12"/>
      <c r="O880" s="12"/>
      <c r="P880" s="12"/>
    </row>
    <row r="881">
      <c r="D881" s="95"/>
      <c r="E881" s="14"/>
      <c r="H881" s="12"/>
      <c r="I881" s="12"/>
      <c r="J881" s="12"/>
      <c r="K881" s="12"/>
      <c r="L881" s="12"/>
      <c r="M881" s="12"/>
      <c r="N881" s="12"/>
      <c r="O881" s="12"/>
      <c r="P881" s="12"/>
    </row>
    <row r="882">
      <c r="D882" s="95"/>
      <c r="E882" s="14"/>
      <c r="H882" s="12"/>
      <c r="I882" s="12"/>
      <c r="J882" s="12"/>
      <c r="K882" s="12"/>
      <c r="L882" s="12"/>
      <c r="M882" s="12"/>
      <c r="N882" s="12"/>
      <c r="O882" s="12"/>
      <c r="P882" s="12"/>
    </row>
    <row r="883">
      <c r="D883" s="95"/>
      <c r="E883" s="14"/>
      <c r="H883" s="12"/>
      <c r="I883" s="12"/>
      <c r="J883" s="12"/>
      <c r="K883" s="12"/>
      <c r="L883" s="12"/>
      <c r="M883" s="12"/>
      <c r="N883" s="12"/>
      <c r="O883" s="12"/>
      <c r="P883" s="12"/>
    </row>
    <row r="884">
      <c r="D884" s="95"/>
      <c r="E884" s="14"/>
      <c r="H884" s="12"/>
      <c r="I884" s="12"/>
      <c r="J884" s="12"/>
      <c r="K884" s="12"/>
      <c r="L884" s="12"/>
      <c r="M884" s="12"/>
      <c r="N884" s="12"/>
      <c r="O884" s="12"/>
      <c r="P884" s="12"/>
    </row>
    <row r="885">
      <c r="D885" s="95"/>
      <c r="E885" s="14"/>
      <c r="H885" s="12"/>
      <c r="I885" s="12"/>
      <c r="J885" s="12"/>
      <c r="K885" s="12"/>
      <c r="L885" s="12"/>
      <c r="M885" s="12"/>
      <c r="N885" s="12"/>
      <c r="O885" s="12"/>
      <c r="P885" s="12"/>
    </row>
    <row r="886">
      <c r="D886" s="95"/>
      <c r="E886" s="14"/>
      <c r="H886" s="12"/>
      <c r="I886" s="12"/>
      <c r="J886" s="12"/>
      <c r="K886" s="12"/>
      <c r="L886" s="12"/>
      <c r="M886" s="12"/>
      <c r="N886" s="12"/>
      <c r="O886" s="12"/>
      <c r="P886" s="12"/>
    </row>
    <row r="887">
      <c r="D887" s="95"/>
      <c r="E887" s="14"/>
      <c r="H887" s="12"/>
      <c r="I887" s="12"/>
      <c r="J887" s="12"/>
      <c r="K887" s="12"/>
      <c r="L887" s="12"/>
      <c r="M887" s="12"/>
      <c r="N887" s="12"/>
      <c r="O887" s="12"/>
      <c r="P887" s="12"/>
    </row>
    <row r="888">
      <c r="D888" s="95"/>
      <c r="E888" s="14"/>
      <c r="H888" s="12"/>
      <c r="I888" s="12"/>
      <c r="J888" s="12"/>
      <c r="K888" s="12"/>
      <c r="L888" s="12"/>
      <c r="M888" s="12"/>
      <c r="N888" s="12"/>
      <c r="O888" s="12"/>
      <c r="P888" s="12"/>
    </row>
    <row r="889">
      <c r="D889" s="95"/>
      <c r="E889" s="14"/>
      <c r="H889" s="12"/>
      <c r="I889" s="12"/>
      <c r="J889" s="12"/>
      <c r="K889" s="12"/>
      <c r="L889" s="12"/>
      <c r="M889" s="12"/>
      <c r="N889" s="12"/>
      <c r="O889" s="12"/>
      <c r="P889" s="12"/>
    </row>
    <row r="890">
      <c r="D890" s="95"/>
      <c r="E890" s="14"/>
      <c r="H890" s="12"/>
      <c r="I890" s="12"/>
      <c r="J890" s="12"/>
      <c r="K890" s="12"/>
      <c r="L890" s="12"/>
      <c r="M890" s="12"/>
      <c r="N890" s="12"/>
      <c r="O890" s="12"/>
      <c r="P890" s="12"/>
    </row>
    <row r="891">
      <c r="D891" s="95"/>
      <c r="E891" s="14"/>
      <c r="H891" s="12"/>
      <c r="I891" s="12"/>
      <c r="J891" s="12"/>
      <c r="K891" s="12"/>
      <c r="L891" s="12"/>
      <c r="M891" s="12"/>
      <c r="N891" s="12"/>
      <c r="O891" s="12"/>
      <c r="P891" s="12"/>
    </row>
    <row r="892">
      <c r="D892" s="95"/>
      <c r="E892" s="14"/>
      <c r="H892" s="12"/>
      <c r="I892" s="12"/>
      <c r="J892" s="12"/>
      <c r="K892" s="12"/>
      <c r="L892" s="12"/>
      <c r="M892" s="12"/>
      <c r="N892" s="12"/>
      <c r="O892" s="12"/>
      <c r="P892" s="12"/>
    </row>
    <row r="893">
      <c r="D893" s="95"/>
      <c r="E893" s="14"/>
      <c r="H893" s="12"/>
      <c r="I893" s="12"/>
      <c r="J893" s="12"/>
      <c r="K893" s="12"/>
      <c r="L893" s="12"/>
      <c r="M893" s="12"/>
      <c r="N893" s="12"/>
      <c r="O893" s="12"/>
      <c r="P893" s="12"/>
    </row>
    <row r="894">
      <c r="D894" s="95"/>
      <c r="E894" s="14"/>
      <c r="H894" s="12"/>
      <c r="I894" s="12"/>
      <c r="J894" s="12"/>
      <c r="K894" s="12"/>
      <c r="L894" s="12"/>
      <c r="M894" s="12"/>
      <c r="N894" s="12"/>
      <c r="O894" s="12"/>
      <c r="P894" s="12"/>
    </row>
    <row r="895">
      <c r="D895" s="95"/>
      <c r="E895" s="14"/>
      <c r="H895" s="12"/>
      <c r="I895" s="12"/>
      <c r="J895" s="12"/>
      <c r="K895" s="12"/>
      <c r="L895" s="12"/>
      <c r="M895" s="12"/>
      <c r="N895" s="12"/>
      <c r="O895" s="12"/>
      <c r="P895" s="12"/>
    </row>
    <row r="896">
      <c r="D896" s="95"/>
      <c r="E896" s="14"/>
      <c r="H896" s="12"/>
      <c r="I896" s="12"/>
      <c r="J896" s="12"/>
      <c r="K896" s="12"/>
      <c r="L896" s="12"/>
      <c r="M896" s="12"/>
      <c r="N896" s="12"/>
      <c r="O896" s="12"/>
      <c r="P896" s="12"/>
    </row>
    <row r="897">
      <c r="D897" s="95"/>
      <c r="E897" s="14"/>
      <c r="H897" s="12"/>
      <c r="I897" s="12"/>
      <c r="J897" s="12"/>
      <c r="K897" s="12"/>
      <c r="L897" s="12"/>
      <c r="M897" s="12"/>
      <c r="N897" s="12"/>
      <c r="O897" s="12"/>
      <c r="P897" s="12"/>
    </row>
    <row r="898">
      <c r="D898" s="95"/>
      <c r="E898" s="14"/>
      <c r="H898" s="12"/>
      <c r="I898" s="12"/>
      <c r="J898" s="12"/>
      <c r="K898" s="12"/>
      <c r="L898" s="12"/>
      <c r="M898" s="12"/>
      <c r="N898" s="12"/>
      <c r="O898" s="12"/>
      <c r="P898" s="12"/>
    </row>
    <row r="899">
      <c r="D899" s="95"/>
      <c r="E899" s="14"/>
      <c r="H899" s="12"/>
      <c r="I899" s="12"/>
      <c r="J899" s="12"/>
      <c r="K899" s="12"/>
      <c r="L899" s="12"/>
      <c r="M899" s="12"/>
      <c r="N899" s="12"/>
      <c r="O899" s="12"/>
      <c r="P899" s="12"/>
    </row>
    <row r="900">
      <c r="D900" s="95"/>
      <c r="E900" s="14"/>
      <c r="H900" s="12"/>
      <c r="I900" s="12"/>
      <c r="J900" s="12"/>
      <c r="K900" s="12"/>
      <c r="L900" s="12"/>
      <c r="M900" s="12"/>
      <c r="N900" s="12"/>
      <c r="O900" s="12"/>
      <c r="P900" s="12"/>
    </row>
    <row r="901">
      <c r="D901" s="95"/>
      <c r="E901" s="14"/>
      <c r="H901" s="12"/>
      <c r="I901" s="12"/>
      <c r="J901" s="12"/>
      <c r="K901" s="12"/>
      <c r="L901" s="12"/>
      <c r="M901" s="12"/>
      <c r="N901" s="12"/>
      <c r="O901" s="12"/>
      <c r="P901" s="12"/>
    </row>
    <row r="902">
      <c r="D902" s="95"/>
      <c r="E902" s="14"/>
      <c r="H902" s="12"/>
      <c r="I902" s="12"/>
      <c r="J902" s="12"/>
      <c r="K902" s="12"/>
      <c r="L902" s="12"/>
      <c r="M902" s="12"/>
      <c r="N902" s="12"/>
      <c r="O902" s="12"/>
      <c r="P902" s="12"/>
    </row>
    <row r="903">
      <c r="D903" s="95"/>
      <c r="E903" s="14"/>
      <c r="H903" s="12"/>
      <c r="I903" s="12"/>
      <c r="J903" s="12"/>
      <c r="K903" s="12"/>
      <c r="L903" s="12"/>
      <c r="M903" s="12"/>
      <c r="N903" s="12"/>
      <c r="O903" s="12"/>
      <c r="P903" s="12"/>
    </row>
    <row r="904">
      <c r="D904" s="95"/>
      <c r="E904" s="14"/>
      <c r="H904" s="12"/>
      <c r="I904" s="12"/>
      <c r="J904" s="12"/>
      <c r="K904" s="12"/>
      <c r="L904" s="12"/>
      <c r="M904" s="12"/>
      <c r="N904" s="12"/>
      <c r="O904" s="12"/>
      <c r="P904" s="12"/>
    </row>
    <row r="905">
      <c r="D905" s="95"/>
      <c r="E905" s="14"/>
      <c r="H905" s="12"/>
      <c r="I905" s="12"/>
      <c r="J905" s="12"/>
      <c r="K905" s="12"/>
      <c r="L905" s="12"/>
      <c r="M905" s="12"/>
      <c r="N905" s="12"/>
      <c r="O905" s="12"/>
      <c r="P905" s="12"/>
    </row>
    <row r="906">
      <c r="D906" s="95"/>
      <c r="E906" s="14"/>
      <c r="H906" s="12"/>
      <c r="I906" s="12"/>
      <c r="J906" s="12"/>
      <c r="K906" s="12"/>
      <c r="L906" s="12"/>
      <c r="M906" s="12"/>
      <c r="N906" s="12"/>
      <c r="O906" s="12"/>
      <c r="P906" s="12"/>
    </row>
    <row r="907">
      <c r="D907" s="95"/>
      <c r="E907" s="14"/>
      <c r="H907" s="12"/>
      <c r="I907" s="12"/>
      <c r="J907" s="12"/>
      <c r="K907" s="12"/>
      <c r="L907" s="12"/>
      <c r="M907" s="12"/>
      <c r="N907" s="12"/>
      <c r="O907" s="12"/>
      <c r="P907" s="12"/>
    </row>
    <row r="908">
      <c r="D908" s="95"/>
      <c r="E908" s="14"/>
      <c r="H908" s="12"/>
      <c r="I908" s="12"/>
      <c r="J908" s="12"/>
      <c r="K908" s="12"/>
      <c r="L908" s="12"/>
      <c r="M908" s="12"/>
      <c r="N908" s="12"/>
      <c r="O908" s="12"/>
      <c r="P908" s="12"/>
    </row>
    <row r="909">
      <c r="D909" s="95"/>
      <c r="E909" s="14"/>
      <c r="H909" s="12"/>
      <c r="I909" s="12"/>
      <c r="J909" s="12"/>
      <c r="K909" s="12"/>
      <c r="L909" s="12"/>
      <c r="M909" s="12"/>
      <c r="N909" s="12"/>
      <c r="O909" s="12"/>
      <c r="P909" s="12"/>
    </row>
    <row r="910">
      <c r="D910" s="95"/>
      <c r="E910" s="14"/>
      <c r="H910" s="12"/>
      <c r="I910" s="12"/>
      <c r="J910" s="12"/>
      <c r="K910" s="12"/>
      <c r="L910" s="12"/>
      <c r="M910" s="12"/>
      <c r="N910" s="12"/>
      <c r="O910" s="12"/>
      <c r="P910" s="12"/>
    </row>
    <row r="911">
      <c r="D911" s="95"/>
      <c r="E911" s="14"/>
      <c r="H911" s="12"/>
      <c r="I911" s="12"/>
      <c r="J911" s="12"/>
      <c r="K911" s="12"/>
      <c r="L911" s="12"/>
      <c r="M911" s="12"/>
      <c r="N911" s="12"/>
      <c r="O911" s="12"/>
      <c r="P911" s="12"/>
    </row>
    <row r="912">
      <c r="D912" s="95"/>
      <c r="E912" s="14"/>
      <c r="H912" s="12"/>
      <c r="I912" s="12"/>
      <c r="J912" s="12"/>
      <c r="K912" s="12"/>
      <c r="L912" s="12"/>
      <c r="M912" s="12"/>
      <c r="N912" s="12"/>
      <c r="O912" s="12"/>
      <c r="P912" s="12"/>
    </row>
    <row r="913">
      <c r="D913" s="95"/>
      <c r="E913" s="14"/>
      <c r="H913" s="12"/>
      <c r="I913" s="12"/>
      <c r="J913" s="12"/>
      <c r="K913" s="12"/>
      <c r="L913" s="12"/>
      <c r="M913" s="12"/>
      <c r="N913" s="12"/>
      <c r="O913" s="12"/>
      <c r="P913" s="12"/>
    </row>
    <row r="914">
      <c r="D914" s="95"/>
      <c r="E914" s="14"/>
      <c r="H914" s="12"/>
      <c r="I914" s="12"/>
      <c r="J914" s="12"/>
      <c r="K914" s="12"/>
      <c r="L914" s="12"/>
      <c r="M914" s="12"/>
      <c r="N914" s="12"/>
      <c r="O914" s="12"/>
      <c r="P914" s="12"/>
    </row>
    <row r="915">
      <c r="D915" s="95"/>
      <c r="E915" s="14"/>
      <c r="H915" s="12"/>
      <c r="I915" s="12"/>
      <c r="J915" s="12"/>
      <c r="K915" s="12"/>
      <c r="L915" s="12"/>
      <c r="M915" s="12"/>
      <c r="N915" s="12"/>
      <c r="O915" s="12"/>
      <c r="P915" s="12"/>
    </row>
    <row r="916">
      <c r="D916" s="95"/>
      <c r="E916" s="14"/>
      <c r="H916" s="12"/>
      <c r="I916" s="12"/>
      <c r="J916" s="12"/>
      <c r="K916" s="12"/>
      <c r="L916" s="12"/>
      <c r="M916" s="12"/>
      <c r="N916" s="12"/>
      <c r="O916" s="12"/>
      <c r="P916" s="12"/>
    </row>
    <row r="917">
      <c r="D917" s="95"/>
      <c r="E917" s="14"/>
      <c r="H917" s="12"/>
      <c r="I917" s="12"/>
      <c r="J917" s="12"/>
      <c r="K917" s="12"/>
      <c r="L917" s="12"/>
      <c r="M917" s="12"/>
      <c r="N917" s="12"/>
      <c r="O917" s="12"/>
      <c r="P917" s="12"/>
    </row>
    <row r="918">
      <c r="D918" s="95"/>
      <c r="E918" s="14"/>
      <c r="H918" s="12"/>
      <c r="I918" s="12"/>
      <c r="J918" s="12"/>
      <c r="K918" s="12"/>
      <c r="L918" s="12"/>
      <c r="M918" s="12"/>
      <c r="N918" s="12"/>
      <c r="O918" s="12"/>
      <c r="P918" s="12"/>
    </row>
    <row r="919">
      <c r="D919" s="95"/>
      <c r="E919" s="14"/>
      <c r="H919" s="12"/>
      <c r="I919" s="12"/>
      <c r="J919" s="12"/>
      <c r="K919" s="12"/>
      <c r="L919" s="12"/>
      <c r="M919" s="12"/>
      <c r="N919" s="12"/>
      <c r="O919" s="12"/>
      <c r="P919" s="12"/>
    </row>
    <row r="920">
      <c r="D920" s="95"/>
      <c r="E920" s="14"/>
      <c r="H920" s="12"/>
      <c r="I920" s="12"/>
      <c r="J920" s="12"/>
      <c r="K920" s="12"/>
      <c r="L920" s="12"/>
      <c r="M920" s="12"/>
      <c r="N920" s="12"/>
      <c r="O920" s="12"/>
      <c r="P920" s="12"/>
    </row>
    <row r="921">
      <c r="D921" s="95"/>
      <c r="E921" s="14"/>
      <c r="H921" s="12"/>
      <c r="I921" s="12"/>
      <c r="J921" s="12"/>
      <c r="K921" s="12"/>
      <c r="L921" s="12"/>
      <c r="M921" s="12"/>
      <c r="N921" s="12"/>
      <c r="O921" s="12"/>
      <c r="P921" s="12"/>
    </row>
    <row r="922">
      <c r="D922" s="95"/>
      <c r="E922" s="14"/>
      <c r="H922" s="12"/>
      <c r="I922" s="12"/>
      <c r="J922" s="12"/>
      <c r="K922" s="12"/>
      <c r="L922" s="12"/>
      <c r="M922" s="12"/>
      <c r="N922" s="12"/>
      <c r="O922" s="12"/>
      <c r="P922" s="12"/>
    </row>
    <row r="923">
      <c r="D923" s="95"/>
      <c r="E923" s="14"/>
      <c r="H923" s="12"/>
      <c r="I923" s="12"/>
      <c r="J923" s="12"/>
      <c r="K923" s="12"/>
      <c r="L923" s="12"/>
      <c r="M923" s="12"/>
      <c r="N923" s="12"/>
      <c r="O923" s="12"/>
      <c r="P923" s="12"/>
    </row>
    <row r="924">
      <c r="D924" s="95"/>
      <c r="E924" s="14"/>
      <c r="H924" s="12"/>
      <c r="I924" s="12"/>
      <c r="J924" s="12"/>
      <c r="K924" s="12"/>
      <c r="L924" s="12"/>
      <c r="M924" s="12"/>
      <c r="N924" s="12"/>
      <c r="O924" s="12"/>
      <c r="P924" s="12"/>
    </row>
    <row r="925">
      <c r="D925" s="95"/>
      <c r="E925" s="14"/>
      <c r="H925" s="12"/>
      <c r="I925" s="12"/>
      <c r="J925" s="12"/>
      <c r="K925" s="12"/>
      <c r="L925" s="12"/>
      <c r="M925" s="12"/>
      <c r="N925" s="12"/>
      <c r="O925" s="12"/>
      <c r="P925" s="12"/>
    </row>
    <row r="926">
      <c r="D926" s="95"/>
      <c r="E926" s="14"/>
      <c r="H926" s="12"/>
      <c r="I926" s="12"/>
      <c r="J926" s="12"/>
      <c r="K926" s="12"/>
      <c r="L926" s="12"/>
      <c r="M926" s="12"/>
      <c r="N926" s="12"/>
      <c r="O926" s="12"/>
      <c r="P926" s="12"/>
    </row>
    <row r="927">
      <c r="D927" s="95"/>
      <c r="E927" s="14"/>
      <c r="H927" s="12"/>
      <c r="I927" s="12"/>
      <c r="J927" s="12"/>
      <c r="K927" s="12"/>
      <c r="L927" s="12"/>
      <c r="M927" s="12"/>
      <c r="N927" s="12"/>
      <c r="O927" s="12"/>
      <c r="P927" s="12"/>
    </row>
    <row r="928">
      <c r="D928" s="95"/>
      <c r="E928" s="14"/>
      <c r="H928" s="12"/>
      <c r="I928" s="12"/>
      <c r="J928" s="12"/>
      <c r="K928" s="12"/>
      <c r="L928" s="12"/>
      <c r="M928" s="12"/>
      <c r="N928" s="12"/>
      <c r="O928" s="12"/>
      <c r="P928" s="12"/>
    </row>
    <row r="929">
      <c r="D929" s="95"/>
      <c r="E929" s="14"/>
      <c r="H929" s="12"/>
      <c r="I929" s="12"/>
      <c r="J929" s="12"/>
      <c r="K929" s="12"/>
      <c r="L929" s="12"/>
      <c r="M929" s="12"/>
      <c r="N929" s="12"/>
      <c r="O929" s="12"/>
      <c r="P929" s="12"/>
    </row>
    <row r="930">
      <c r="D930" s="95"/>
      <c r="E930" s="14"/>
      <c r="H930" s="12"/>
      <c r="I930" s="12"/>
      <c r="J930" s="12"/>
      <c r="K930" s="12"/>
      <c r="L930" s="12"/>
      <c r="M930" s="12"/>
      <c r="N930" s="12"/>
      <c r="O930" s="12"/>
      <c r="P930" s="12"/>
    </row>
    <row r="931">
      <c r="D931" s="95"/>
      <c r="E931" s="14"/>
      <c r="H931" s="12"/>
      <c r="I931" s="12"/>
      <c r="J931" s="12"/>
      <c r="K931" s="12"/>
      <c r="L931" s="12"/>
      <c r="M931" s="12"/>
      <c r="N931" s="12"/>
      <c r="O931" s="12"/>
      <c r="P931" s="12"/>
    </row>
    <row r="932">
      <c r="D932" s="95"/>
      <c r="E932" s="14"/>
      <c r="H932" s="12"/>
      <c r="I932" s="12"/>
      <c r="J932" s="12"/>
      <c r="K932" s="12"/>
      <c r="L932" s="12"/>
      <c r="M932" s="12"/>
      <c r="N932" s="12"/>
      <c r="O932" s="12"/>
      <c r="P932" s="12"/>
    </row>
    <row r="933">
      <c r="D933" s="95"/>
      <c r="E933" s="14"/>
      <c r="H933" s="12"/>
      <c r="I933" s="12"/>
      <c r="J933" s="12"/>
      <c r="K933" s="12"/>
      <c r="L933" s="12"/>
      <c r="M933" s="12"/>
      <c r="N933" s="12"/>
      <c r="O933" s="12"/>
      <c r="P933" s="12"/>
    </row>
    <row r="934">
      <c r="D934" s="95"/>
      <c r="E934" s="14"/>
      <c r="H934" s="12"/>
      <c r="I934" s="12"/>
      <c r="J934" s="12"/>
      <c r="K934" s="12"/>
      <c r="L934" s="12"/>
      <c r="M934" s="12"/>
      <c r="N934" s="12"/>
      <c r="O934" s="12"/>
      <c r="P934" s="12"/>
    </row>
    <row r="935">
      <c r="D935" s="95"/>
      <c r="E935" s="14"/>
      <c r="H935" s="12"/>
      <c r="I935" s="12"/>
      <c r="J935" s="12"/>
      <c r="K935" s="12"/>
      <c r="L935" s="12"/>
      <c r="M935" s="12"/>
      <c r="N935" s="12"/>
      <c r="O935" s="12"/>
      <c r="P935" s="12"/>
    </row>
    <row r="936">
      <c r="D936" s="95"/>
      <c r="E936" s="14"/>
      <c r="H936" s="12"/>
      <c r="I936" s="12"/>
      <c r="J936" s="12"/>
      <c r="K936" s="12"/>
      <c r="L936" s="12"/>
      <c r="M936" s="12"/>
      <c r="N936" s="12"/>
      <c r="O936" s="12"/>
      <c r="P936" s="12"/>
    </row>
    <row r="937">
      <c r="D937" s="95"/>
      <c r="E937" s="14"/>
      <c r="H937" s="12"/>
      <c r="I937" s="12"/>
      <c r="J937" s="12"/>
      <c r="K937" s="12"/>
      <c r="L937" s="12"/>
      <c r="M937" s="12"/>
      <c r="N937" s="12"/>
      <c r="O937" s="12"/>
      <c r="P937" s="12"/>
    </row>
    <row r="938">
      <c r="D938" s="95"/>
      <c r="E938" s="14"/>
      <c r="H938" s="12"/>
      <c r="I938" s="12"/>
      <c r="J938" s="12"/>
      <c r="K938" s="12"/>
      <c r="L938" s="12"/>
      <c r="M938" s="12"/>
      <c r="N938" s="12"/>
      <c r="O938" s="12"/>
      <c r="P938" s="12"/>
    </row>
    <row r="939">
      <c r="D939" s="95"/>
      <c r="E939" s="14"/>
      <c r="H939" s="12"/>
      <c r="I939" s="12"/>
      <c r="J939" s="12"/>
      <c r="K939" s="12"/>
      <c r="L939" s="12"/>
      <c r="M939" s="12"/>
      <c r="N939" s="12"/>
      <c r="O939" s="12"/>
      <c r="P939" s="12"/>
    </row>
    <row r="940">
      <c r="D940" s="95"/>
      <c r="E940" s="14"/>
      <c r="H940" s="12"/>
      <c r="I940" s="12"/>
      <c r="J940" s="12"/>
      <c r="K940" s="12"/>
      <c r="L940" s="12"/>
      <c r="M940" s="12"/>
      <c r="N940" s="12"/>
      <c r="O940" s="12"/>
      <c r="P940" s="12"/>
    </row>
    <row r="941">
      <c r="D941" s="95"/>
      <c r="E941" s="14"/>
      <c r="H941" s="12"/>
      <c r="I941" s="12"/>
      <c r="J941" s="12"/>
      <c r="K941" s="12"/>
      <c r="L941" s="12"/>
      <c r="M941" s="12"/>
      <c r="N941" s="12"/>
      <c r="O941" s="12"/>
      <c r="P941" s="12"/>
    </row>
    <row r="942">
      <c r="D942" s="95"/>
      <c r="E942" s="14"/>
      <c r="H942" s="12"/>
      <c r="I942" s="12"/>
      <c r="J942" s="12"/>
      <c r="K942" s="12"/>
      <c r="L942" s="12"/>
      <c r="M942" s="12"/>
      <c r="N942" s="12"/>
      <c r="O942" s="12"/>
      <c r="P942" s="12"/>
    </row>
    <row r="943">
      <c r="D943" s="95"/>
      <c r="E943" s="14"/>
      <c r="H943" s="12"/>
      <c r="I943" s="12"/>
      <c r="J943" s="12"/>
      <c r="K943" s="12"/>
      <c r="L943" s="12"/>
      <c r="M943" s="12"/>
      <c r="N943" s="12"/>
      <c r="O943" s="12"/>
      <c r="P943" s="12"/>
    </row>
    <row r="944">
      <c r="D944" s="95"/>
      <c r="E944" s="14"/>
      <c r="H944" s="12"/>
      <c r="I944" s="12"/>
      <c r="J944" s="12"/>
      <c r="K944" s="12"/>
      <c r="L944" s="12"/>
      <c r="M944" s="12"/>
      <c r="N944" s="12"/>
      <c r="O944" s="12"/>
      <c r="P944" s="12"/>
    </row>
    <row r="945">
      <c r="D945" s="95"/>
      <c r="E945" s="14"/>
      <c r="H945" s="12"/>
      <c r="I945" s="12"/>
      <c r="J945" s="12"/>
      <c r="K945" s="12"/>
      <c r="L945" s="12"/>
      <c r="M945" s="12"/>
      <c r="N945" s="12"/>
      <c r="O945" s="12"/>
      <c r="P945" s="12"/>
    </row>
    <row r="946">
      <c r="D946" s="95"/>
      <c r="E946" s="14"/>
      <c r="H946" s="12"/>
      <c r="I946" s="12"/>
      <c r="J946" s="12"/>
      <c r="K946" s="12"/>
      <c r="L946" s="12"/>
      <c r="M946" s="12"/>
      <c r="N946" s="12"/>
      <c r="O946" s="12"/>
      <c r="P946" s="12"/>
    </row>
    <row r="947">
      <c r="D947" s="95"/>
      <c r="E947" s="14"/>
      <c r="H947" s="12"/>
      <c r="I947" s="12"/>
      <c r="J947" s="12"/>
      <c r="K947" s="12"/>
      <c r="L947" s="12"/>
      <c r="M947" s="12"/>
      <c r="N947" s="12"/>
      <c r="O947" s="12"/>
      <c r="P947" s="12"/>
    </row>
    <row r="948">
      <c r="D948" s="95"/>
      <c r="E948" s="14"/>
      <c r="H948" s="12"/>
      <c r="I948" s="12"/>
      <c r="J948" s="12"/>
      <c r="K948" s="12"/>
      <c r="L948" s="12"/>
      <c r="M948" s="12"/>
      <c r="N948" s="12"/>
      <c r="O948" s="12"/>
      <c r="P948" s="12"/>
    </row>
    <row r="949">
      <c r="D949" s="95"/>
      <c r="E949" s="14"/>
      <c r="H949" s="12"/>
      <c r="I949" s="12"/>
      <c r="J949" s="12"/>
      <c r="K949" s="12"/>
      <c r="L949" s="12"/>
      <c r="M949" s="12"/>
      <c r="N949" s="12"/>
      <c r="O949" s="12"/>
      <c r="P949" s="12"/>
    </row>
    <row r="950">
      <c r="D950" s="95"/>
      <c r="E950" s="14"/>
      <c r="H950" s="12"/>
      <c r="I950" s="12"/>
      <c r="J950" s="12"/>
      <c r="K950" s="12"/>
      <c r="L950" s="12"/>
      <c r="M950" s="12"/>
      <c r="N950" s="12"/>
      <c r="O950" s="12"/>
      <c r="P950" s="12"/>
    </row>
    <row r="951">
      <c r="D951" s="95"/>
      <c r="E951" s="14"/>
      <c r="H951" s="12"/>
      <c r="I951" s="12"/>
      <c r="J951" s="12"/>
      <c r="K951" s="12"/>
      <c r="L951" s="12"/>
      <c r="M951" s="12"/>
      <c r="N951" s="12"/>
      <c r="O951" s="12"/>
      <c r="P951" s="12"/>
    </row>
    <row r="952">
      <c r="D952" s="95"/>
      <c r="E952" s="14"/>
      <c r="H952" s="12"/>
      <c r="I952" s="12"/>
      <c r="J952" s="12"/>
      <c r="K952" s="12"/>
      <c r="L952" s="12"/>
      <c r="M952" s="12"/>
      <c r="N952" s="12"/>
      <c r="O952" s="12"/>
      <c r="P952" s="12"/>
    </row>
    <row r="953">
      <c r="D953" s="95"/>
      <c r="E953" s="14"/>
      <c r="H953" s="12"/>
      <c r="I953" s="12"/>
      <c r="J953" s="12"/>
      <c r="K953" s="12"/>
      <c r="L953" s="12"/>
      <c r="M953" s="12"/>
      <c r="N953" s="12"/>
      <c r="O953" s="12"/>
      <c r="P953" s="12"/>
    </row>
    <row r="954">
      <c r="D954" s="95"/>
      <c r="E954" s="14"/>
      <c r="H954" s="12"/>
      <c r="I954" s="12"/>
      <c r="J954" s="12"/>
      <c r="K954" s="12"/>
      <c r="L954" s="12"/>
      <c r="M954" s="12"/>
      <c r="N954" s="12"/>
      <c r="O954" s="12"/>
      <c r="P954" s="12"/>
    </row>
    <row r="955">
      <c r="D955" s="95"/>
      <c r="E955" s="14"/>
      <c r="H955" s="12"/>
      <c r="I955" s="12"/>
      <c r="J955" s="12"/>
      <c r="K955" s="12"/>
      <c r="L955" s="12"/>
      <c r="M955" s="12"/>
      <c r="N955" s="12"/>
      <c r="O955" s="12"/>
      <c r="P955" s="12"/>
    </row>
    <row r="956">
      <c r="D956" s="95"/>
      <c r="E956" s="14"/>
      <c r="H956" s="12"/>
      <c r="I956" s="12"/>
      <c r="J956" s="12"/>
      <c r="K956" s="12"/>
      <c r="L956" s="12"/>
      <c r="M956" s="12"/>
      <c r="N956" s="12"/>
      <c r="O956" s="12"/>
      <c r="P956" s="12"/>
    </row>
    <row r="957">
      <c r="D957" s="95"/>
      <c r="E957" s="14"/>
      <c r="H957" s="12"/>
      <c r="I957" s="12"/>
      <c r="J957" s="12"/>
      <c r="K957" s="12"/>
      <c r="L957" s="12"/>
      <c r="M957" s="12"/>
      <c r="N957" s="12"/>
      <c r="O957" s="12"/>
      <c r="P957" s="12"/>
    </row>
    <row r="958">
      <c r="D958" s="95"/>
      <c r="E958" s="14"/>
      <c r="H958" s="12"/>
      <c r="I958" s="12"/>
      <c r="J958" s="12"/>
      <c r="K958" s="12"/>
      <c r="L958" s="12"/>
      <c r="M958" s="12"/>
      <c r="N958" s="12"/>
      <c r="O958" s="12"/>
      <c r="P958" s="12"/>
    </row>
    <row r="959">
      <c r="D959" s="95"/>
      <c r="E959" s="14"/>
      <c r="H959" s="12"/>
      <c r="I959" s="12"/>
      <c r="J959" s="12"/>
      <c r="K959" s="12"/>
      <c r="L959" s="12"/>
      <c r="M959" s="12"/>
      <c r="N959" s="12"/>
      <c r="O959" s="12"/>
      <c r="P959" s="12"/>
    </row>
    <row r="960">
      <c r="D960" s="95"/>
      <c r="E960" s="14"/>
      <c r="H960" s="12"/>
      <c r="I960" s="12"/>
      <c r="J960" s="12"/>
      <c r="K960" s="12"/>
      <c r="L960" s="12"/>
      <c r="M960" s="12"/>
      <c r="N960" s="12"/>
      <c r="O960" s="12"/>
      <c r="P960" s="12"/>
    </row>
    <row r="961">
      <c r="D961" s="95"/>
      <c r="E961" s="14"/>
      <c r="H961" s="12"/>
      <c r="I961" s="12"/>
      <c r="J961" s="12"/>
      <c r="K961" s="12"/>
      <c r="L961" s="12"/>
      <c r="M961" s="12"/>
      <c r="N961" s="12"/>
      <c r="O961" s="12"/>
      <c r="P961" s="12"/>
    </row>
    <row r="962">
      <c r="D962" s="95"/>
      <c r="E962" s="14"/>
      <c r="H962" s="12"/>
      <c r="I962" s="12"/>
      <c r="J962" s="12"/>
      <c r="K962" s="12"/>
      <c r="L962" s="12"/>
      <c r="M962" s="12"/>
      <c r="N962" s="12"/>
      <c r="O962" s="12"/>
      <c r="P962" s="12"/>
    </row>
    <row r="963">
      <c r="D963" s="95"/>
      <c r="E963" s="14"/>
      <c r="H963" s="12"/>
      <c r="I963" s="12"/>
      <c r="J963" s="12"/>
      <c r="K963" s="12"/>
      <c r="L963" s="12"/>
      <c r="M963" s="12"/>
      <c r="N963" s="12"/>
      <c r="O963" s="12"/>
      <c r="P963" s="12"/>
    </row>
    <row r="964">
      <c r="D964" s="95"/>
      <c r="E964" s="14"/>
      <c r="H964" s="12"/>
      <c r="I964" s="12"/>
      <c r="J964" s="12"/>
      <c r="K964" s="12"/>
      <c r="L964" s="12"/>
      <c r="M964" s="12"/>
      <c r="N964" s="12"/>
      <c r="O964" s="12"/>
      <c r="P964" s="12"/>
    </row>
    <row r="965">
      <c r="D965" s="95"/>
      <c r="E965" s="14"/>
      <c r="H965" s="12"/>
      <c r="I965" s="12"/>
      <c r="J965" s="12"/>
      <c r="K965" s="12"/>
      <c r="L965" s="12"/>
      <c r="M965" s="12"/>
      <c r="N965" s="12"/>
      <c r="O965" s="12"/>
      <c r="P965" s="12"/>
    </row>
    <row r="966">
      <c r="D966" s="95"/>
      <c r="E966" s="14"/>
      <c r="H966" s="12"/>
      <c r="I966" s="12"/>
      <c r="J966" s="12"/>
      <c r="K966" s="12"/>
      <c r="L966" s="12"/>
      <c r="M966" s="12"/>
      <c r="N966" s="12"/>
      <c r="O966" s="12"/>
      <c r="P966" s="12"/>
    </row>
    <row r="967">
      <c r="D967" s="95"/>
      <c r="E967" s="14"/>
      <c r="H967" s="12"/>
      <c r="I967" s="12"/>
      <c r="J967" s="12"/>
      <c r="K967" s="12"/>
      <c r="L967" s="12"/>
      <c r="M967" s="12"/>
      <c r="N967" s="12"/>
      <c r="O967" s="12"/>
      <c r="P967" s="12"/>
    </row>
    <row r="968">
      <c r="D968" s="95"/>
      <c r="E968" s="14"/>
      <c r="H968" s="12"/>
      <c r="I968" s="12"/>
      <c r="J968" s="12"/>
      <c r="K968" s="12"/>
      <c r="L968" s="12"/>
      <c r="M968" s="12"/>
      <c r="N968" s="12"/>
      <c r="O968" s="12"/>
      <c r="P968" s="12"/>
    </row>
    <row r="969">
      <c r="D969" s="95"/>
      <c r="E969" s="14"/>
      <c r="H969" s="12"/>
      <c r="I969" s="12"/>
      <c r="J969" s="12"/>
      <c r="K969" s="12"/>
      <c r="L969" s="12"/>
      <c r="M969" s="12"/>
      <c r="N969" s="12"/>
      <c r="O969" s="12"/>
      <c r="P969" s="12"/>
    </row>
    <row r="970">
      <c r="D970" s="95"/>
      <c r="E970" s="14"/>
      <c r="H970" s="12"/>
      <c r="I970" s="12"/>
      <c r="J970" s="12"/>
      <c r="K970" s="12"/>
      <c r="L970" s="12"/>
      <c r="M970" s="12"/>
      <c r="N970" s="12"/>
      <c r="O970" s="12"/>
      <c r="P970" s="12"/>
    </row>
    <row r="971">
      <c r="D971" s="95"/>
      <c r="E971" s="14"/>
      <c r="H971" s="12"/>
      <c r="I971" s="12"/>
      <c r="J971" s="12"/>
      <c r="K971" s="12"/>
      <c r="L971" s="12"/>
      <c r="M971" s="12"/>
      <c r="N971" s="12"/>
      <c r="O971" s="12"/>
      <c r="P971" s="12"/>
    </row>
    <row r="972">
      <c r="D972" s="95"/>
      <c r="E972" s="14"/>
      <c r="H972" s="12"/>
      <c r="I972" s="12"/>
      <c r="J972" s="12"/>
      <c r="K972" s="12"/>
      <c r="L972" s="12"/>
      <c r="M972" s="12"/>
      <c r="N972" s="12"/>
      <c r="O972" s="12"/>
      <c r="P972" s="12"/>
    </row>
    <row r="973">
      <c r="D973" s="95"/>
      <c r="E973" s="14"/>
      <c r="H973" s="12"/>
      <c r="I973" s="12"/>
      <c r="J973" s="12"/>
      <c r="K973" s="12"/>
      <c r="L973" s="12"/>
      <c r="M973" s="12"/>
      <c r="N973" s="12"/>
      <c r="O973" s="12"/>
      <c r="P973" s="12"/>
    </row>
    <row r="974">
      <c r="D974" s="95"/>
      <c r="E974" s="14"/>
      <c r="H974" s="12"/>
      <c r="I974" s="12"/>
      <c r="J974" s="12"/>
      <c r="K974" s="12"/>
      <c r="L974" s="12"/>
      <c r="M974" s="12"/>
      <c r="N974" s="12"/>
      <c r="O974" s="12"/>
      <c r="P974" s="12"/>
    </row>
    <row r="975">
      <c r="D975" s="95"/>
      <c r="E975" s="14"/>
      <c r="H975" s="12"/>
      <c r="I975" s="12"/>
      <c r="J975" s="12"/>
      <c r="K975" s="12"/>
      <c r="L975" s="12"/>
      <c r="M975" s="12"/>
      <c r="N975" s="12"/>
      <c r="O975" s="12"/>
      <c r="P975" s="12"/>
    </row>
    <row r="976">
      <c r="D976" s="95"/>
      <c r="E976" s="14"/>
      <c r="H976" s="12"/>
      <c r="I976" s="12"/>
      <c r="J976" s="12"/>
      <c r="K976" s="12"/>
      <c r="L976" s="12"/>
      <c r="M976" s="12"/>
      <c r="N976" s="12"/>
      <c r="O976" s="12"/>
      <c r="P976" s="12"/>
    </row>
    <row r="977">
      <c r="D977" s="95"/>
      <c r="E977" s="14"/>
      <c r="H977" s="12"/>
      <c r="I977" s="12"/>
      <c r="J977" s="12"/>
      <c r="K977" s="12"/>
      <c r="L977" s="12"/>
      <c r="M977" s="12"/>
      <c r="N977" s="12"/>
      <c r="O977" s="12"/>
      <c r="P977" s="12"/>
    </row>
    <row r="978">
      <c r="D978" s="95"/>
      <c r="E978" s="14"/>
      <c r="H978" s="12"/>
      <c r="I978" s="12"/>
      <c r="J978" s="12"/>
      <c r="K978" s="12"/>
      <c r="L978" s="12"/>
      <c r="M978" s="12"/>
      <c r="N978" s="12"/>
      <c r="O978" s="12"/>
      <c r="P978" s="12"/>
    </row>
    <row r="979">
      <c r="D979" s="95"/>
      <c r="E979" s="14"/>
      <c r="H979" s="12"/>
      <c r="I979" s="12"/>
      <c r="J979" s="12"/>
      <c r="K979" s="12"/>
      <c r="L979" s="12"/>
      <c r="M979" s="12"/>
      <c r="N979" s="12"/>
      <c r="O979" s="12"/>
      <c r="P979" s="12"/>
    </row>
    <row r="980">
      <c r="D980" s="95"/>
      <c r="E980" s="14"/>
      <c r="H980" s="12"/>
      <c r="I980" s="12"/>
      <c r="J980" s="12"/>
      <c r="K980" s="12"/>
      <c r="L980" s="12"/>
      <c r="M980" s="12"/>
      <c r="N980" s="12"/>
      <c r="O980" s="12"/>
      <c r="P980" s="12"/>
    </row>
    <row r="981">
      <c r="D981" s="95"/>
      <c r="E981" s="14"/>
      <c r="H981" s="12"/>
      <c r="I981" s="12"/>
      <c r="J981" s="12"/>
      <c r="K981" s="12"/>
      <c r="L981" s="12"/>
      <c r="M981" s="12"/>
      <c r="N981" s="12"/>
      <c r="O981" s="12"/>
      <c r="P981" s="12"/>
    </row>
    <row r="982">
      <c r="D982" s="95"/>
      <c r="E982" s="14"/>
      <c r="H982" s="12"/>
      <c r="I982" s="12"/>
      <c r="J982" s="12"/>
      <c r="K982" s="12"/>
      <c r="L982" s="12"/>
      <c r="M982" s="12"/>
      <c r="N982" s="12"/>
      <c r="O982" s="12"/>
      <c r="P982" s="12"/>
    </row>
    <row r="983">
      <c r="D983" s="95"/>
      <c r="E983" s="14"/>
      <c r="H983" s="12"/>
      <c r="I983" s="12"/>
      <c r="J983" s="12"/>
      <c r="K983" s="12"/>
      <c r="L983" s="12"/>
      <c r="M983" s="12"/>
      <c r="N983" s="12"/>
      <c r="O983" s="12"/>
      <c r="P983" s="12"/>
    </row>
    <row r="984">
      <c r="D984" s="95"/>
      <c r="E984" s="14"/>
      <c r="H984" s="12"/>
      <c r="I984" s="12"/>
      <c r="J984" s="12"/>
      <c r="K984" s="12"/>
      <c r="L984" s="12"/>
      <c r="M984" s="12"/>
      <c r="N984" s="12"/>
      <c r="O984" s="12"/>
      <c r="P984" s="12"/>
    </row>
    <row r="985">
      <c r="D985" s="95"/>
      <c r="E985" s="14"/>
      <c r="H985" s="12"/>
      <c r="I985" s="12"/>
      <c r="J985" s="12"/>
      <c r="K985" s="12"/>
      <c r="L985" s="12"/>
      <c r="M985" s="12"/>
      <c r="N985" s="12"/>
      <c r="O985" s="12"/>
      <c r="P985" s="12"/>
    </row>
    <row r="986">
      <c r="D986" s="95"/>
      <c r="E986" s="14"/>
      <c r="H986" s="12"/>
      <c r="I986" s="12"/>
      <c r="J986" s="12"/>
      <c r="K986" s="12"/>
      <c r="L986" s="12"/>
      <c r="M986" s="12"/>
      <c r="N986" s="12"/>
      <c r="O986" s="12"/>
      <c r="P986" s="12"/>
    </row>
    <row r="987">
      <c r="D987" s="95"/>
      <c r="E987" s="14"/>
      <c r="H987" s="12"/>
      <c r="I987" s="12"/>
      <c r="J987" s="12"/>
      <c r="K987" s="12"/>
      <c r="L987" s="12"/>
      <c r="M987" s="12"/>
      <c r="N987" s="12"/>
      <c r="O987" s="12"/>
      <c r="P987" s="12"/>
    </row>
    <row r="988">
      <c r="D988" s="95"/>
      <c r="E988" s="14"/>
      <c r="H988" s="12"/>
      <c r="I988" s="12"/>
      <c r="J988" s="12"/>
      <c r="K988" s="12"/>
      <c r="L988" s="12"/>
      <c r="M988" s="12"/>
      <c r="N988" s="12"/>
      <c r="O988" s="12"/>
      <c r="P988" s="12"/>
    </row>
    <row r="989">
      <c r="D989" s="95"/>
      <c r="E989" s="14"/>
      <c r="H989" s="12"/>
      <c r="I989" s="12"/>
      <c r="J989" s="12"/>
      <c r="K989" s="12"/>
      <c r="L989" s="12"/>
      <c r="M989" s="12"/>
      <c r="N989" s="12"/>
      <c r="O989" s="12"/>
      <c r="P989" s="12"/>
    </row>
    <row r="990">
      <c r="D990" s="95"/>
      <c r="E990" s="14"/>
      <c r="H990" s="12"/>
      <c r="I990" s="12"/>
      <c r="J990" s="12"/>
      <c r="K990" s="12"/>
      <c r="L990" s="12"/>
      <c r="M990" s="12"/>
      <c r="N990" s="12"/>
      <c r="O990" s="12"/>
      <c r="P990" s="12"/>
    </row>
    <row r="991">
      <c r="D991" s="95"/>
      <c r="E991" s="14"/>
      <c r="H991" s="12"/>
      <c r="I991" s="12"/>
      <c r="J991" s="12"/>
      <c r="K991" s="12"/>
      <c r="L991" s="12"/>
      <c r="M991" s="12"/>
      <c r="N991" s="12"/>
      <c r="O991" s="12"/>
      <c r="P991" s="12"/>
    </row>
    <row r="992">
      <c r="D992" s="95"/>
      <c r="E992" s="14"/>
      <c r="H992" s="12"/>
      <c r="I992" s="12"/>
      <c r="J992" s="12"/>
      <c r="K992" s="12"/>
      <c r="L992" s="12"/>
      <c r="M992" s="12"/>
      <c r="N992" s="12"/>
      <c r="O992" s="12"/>
      <c r="P992" s="12"/>
    </row>
    <row r="993">
      <c r="D993" s="95"/>
      <c r="E993" s="14"/>
      <c r="H993" s="12"/>
      <c r="I993" s="12"/>
      <c r="J993" s="12"/>
      <c r="K993" s="12"/>
      <c r="L993" s="12"/>
      <c r="M993" s="12"/>
      <c r="N993" s="12"/>
      <c r="O993" s="12"/>
      <c r="P993" s="12"/>
    </row>
    <row r="994">
      <c r="D994" s="95"/>
      <c r="E994" s="14"/>
      <c r="H994" s="12"/>
      <c r="I994" s="12"/>
      <c r="J994" s="12"/>
      <c r="K994" s="12"/>
      <c r="L994" s="12"/>
      <c r="M994" s="12"/>
      <c r="N994" s="12"/>
      <c r="O994" s="12"/>
      <c r="P994" s="12"/>
    </row>
    <row r="995">
      <c r="D995" s="95"/>
      <c r="E995" s="14"/>
      <c r="H995" s="12"/>
      <c r="I995" s="12"/>
      <c r="J995" s="12"/>
      <c r="K995" s="12"/>
      <c r="L995" s="12"/>
      <c r="M995" s="12"/>
      <c r="N995" s="12"/>
      <c r="O995" s="12"/>
      <c r="P995" s="12"/>
    </row>
    <row r="996">
      <c r="D996" s="95"/>
      <c r="E996" s="14"/>
      <c r="H996" s="12"/>
      <c r="I996" s="12"/>
      <c r="J996" s="12"/>
      <c r="K996" s="12"/>
      <c r="L996" s="12"/>
      <c r="M996" s="12"/>
      <c r="N996" s="12"/>
      <c r="O996" s="12"/>
      <c r="P996" s="12"/>
    </row>
    <row r="997">
      <c r="D997" s="95"/>
      <c r="E997" s="14"/>
      <c r="H997" s="12"/>
      <c r="I997" s="12"/>
      <c r="J997" s="12"/>
      <c r="K997" s="12"/>
      <c r="L997" s="12"/>
      <c r="M997" s="12"/>
      <c r="N997" s="12"/>
      <c r="O997" s="12"/>
      <c r="P997" s="12"/>
    </row>
    <row r="998">
      <c r="D998" s="95"/>
      <c r="E998" s="14"/>
      <c r="H998" s="12"/>
      <c r="I998" s="12"/>
      <c r="J998" s="12"/>
      <c r="K998" s="12"/>
      <c r="L998" s="12"/>
      <c r="M998" s="12"/>
      <c r="N998" s="12"/>
      <c r="O998" s="12"/>
      <c r="P998" s="12"/>
    </row>
    <row r="999">
      <c r="D999" s="95"/>
      <c r="E999" s="14"/>
      <c r="H999" s="12"/>
      <c r="I999" s="12"/>
      <c r="J999" s="12"/>
      <c r="K999" s="12"/>
      <c r="L999" s="12"/>
      <c r="M999" s="12"/>
      <c r="N999" s="12"/>
      <c r="O999" s="12"/>
      <c r="P999" s="12"/>
    </row>
    <row r="1000">
      <c r="D1000" s="95"/>
      <c r="E1000" s="14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>
      <c r="D1001" s="95"/>
      <c r="E1001" s="14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>
      <c r="D1002" s="95"/>
      <c r="E1002" s="14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>
      <c r="D1003" s="95"/>
      <c r="E1003" s="14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>
      <c r="D1004" s="95"/>
      <c r="E1004" s="14"/>
      <c r="H1004" s="12"/>
      <c r="I1004" s="12"/>
      <c r="J1004" s="12"/>
      <c r="K1004" s="12"/>
      <c r="L1004" s="12"/>
      <c r="M1004" s="12"/>
      <c r="N1004" s="12"/>
      <c r="O1004" s="12"/>
      <c r="P1004" s="12"/>
    </row>
  </sheetData>
  <conditionalFormatting sqref="H2:P28">
    <cfRule type="cellIs" dxfId="28" priority="1" operator="equal">
      <formula>0</formula>
    </cfRule>
  </conditionalFormatting>
  <conditionalFormatting sqref="H2:H28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28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28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28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28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28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28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4:C41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4:F41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1">
      <formula1>OR(NOT(ISERROR(DATEVALUE(F31))), AND(ISNUMBER(F31), LEFT(CELL("format", F31))="D"))</formula1>
    </dataValidation>
    <dataValidation type="list" allowBlank="1" showDropDown="1" sqref="C2:C28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9.25"/>
    <col customWidth="1" min="3" max="3" width="15.5"/>
    <col customWidth="1" min="4" max="4" width="32.5"/>
    <col customWidth="1" min="5" max="5" width="9.25"/>
    <col customWidth="1" min="6" max="6" width="26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806" t="s">
        <v>48</v>
      </c>
      <c r="B1" s="807" t="s">
        <v>49</v>
      </c>
      <c r="C1" s="807" t="s">
        <v>50</v>
      </c>
      <c r="D1" s="808" t="s">
        <v>56</v>
      </c>
      <c r="E1" s="806" t="s">
        <v>57</v>
      </c>
      <c r="F1" s="809" t="s">
        <v>52</v>
      </c>
      <c r="G1" s="810" t="s">
        <v>53</v>
      </c>
      <c r="H1" s="806" t="s">
        <v>4</v>
      </c>
      <c r="I1" s="806" t="s">
        <v>58</v>
      </c>
      <c r="J1" s="806" t="s">
        <v>59</v>
      </c>
      <c r="K1" s="806" t="s">
        <v>60</v>
      </c>
      <c r="L1" s="806" t="s">
        <v>61</v>
      </c>
      <c r="M1" s="806" t="s">
        <v>62</v>
      </c>
      <c r="N1" s="806" t="s">
        <v>63</v>
      </c>
      <c r="O1" s="811" t="s">
        <v>64</v>
      </c>
      <c r="P1" s="806" t="s">
        <v>65</v>
      </c>
    </row>
    <row r="2" ht="22.5" customHeight="1">
      <c r="A2" s="812">
        <v>1.0</v>
      </c>
      <c r="B2" s="813" t="s">
        <v>1262</v>
      </c>
      <c r="C2" s="814" t="s">
        <v>67</v>
      </c>
      <c r="D2" s="815" t="s">
        <v>94</v>
      </c>
      <c r="E2" s="816" t="str">
        <f>IMAGE("https://flagcdn.com/w320/gb-eng.png")</f>
        <v/>
      </c>
      <c r="F2" s="817">
        <v>37539.0</v>
      </c>
      <c r="G2" s="818">
        <f t="shared" ref="G2:G32" si="1">DATEDIF(F2,TODAY(),"Y")</f>
        <v>23</v>
      </c>
      <c r="H2" s="819">
        <f>1</f>
        <v>1</v>
      </c>
      <c r="I2" s="819">
        <f>90</f>
        <v>90</v>
      </c>
      <c r="J2" s="820"/>
      <c r="K2" s="820"/>
      <c r="L2" s="820"/>
      <c r="M2" s="820"/>
      <c r="N2" s="820"/>
      <c r="O2" s="820">
        <f t="shared" ref="O2:O32" si="2">J2+K2</f>
        <v>0</v>
      </c>
      <c r="P2" s="820"/>
    </row>
    <row r="3" ht="22.5" customHeight="1">
      <c r="A3" s="812">
        <v>3.0</v>
      </c>
      <c r="B3" s="821" t="s">
        <v>1263</v>
      </c>
      <c r="C3" s="814" t="s">
        <v>70</v>
      </c>
      <c r="D3" s="815" t="s">
        <v>477</v>
      </c>
      <c r="E3" s="816" t="str">
        <f>IMAGE("https://flagcdn.com/w320/pt.png")</f>
        <v/>
      </c>
      <c r="F3" s="817">
        <v>35564.0</v>
      </c>
      <c r="G3" s="818">
        <f t="shared" si="1"/>
        <v>28</v>
      </c>
      <c r="H3" s="820">
        <f>1+1+1+1+1</f>
        <v>5</v>
      </c>
      <c r="I3" s="820">
        <f>90+90+90+12+90</f>
        <v>372</v>
      </c>
      <c r="J3" s="820"/>
      <c r="K3" s="820"/>
      <c r="L3" s="820">
        <f>1</f>
        <v>1</v>
      </c>
      <c r="M3" s="820"/>
      <c r="N3" s="820"/>
      <c r="O3" s="820">
        <f t="shared" si="2"/>
        <v>0</v>
      </c>
      <c r="P3" s="820"/>
    </row>
    <row r="4" ht="22.5" customHeight="1">
      <c r="A4" s="812">
        <v>4.0</v>
      </c>
      <c r="B4" s="813" t="s">
        <v>1264</v>
      </c>
      <c r="C4" s="814" t="s">
        <v>79</v>
      </c>
      <c r="D4" s="815" t="s">
        <v>80</v>
      </c>
      <c r="E4" s="816" t="str">
        <f>IMAGE("https://flagcdn.com/w320/nl.png")</f>
        <v/>
      </c>
      <c r="F4" s="817">
        <v>36005.0</v>
      </c>
      <c r="G4" s="818">
        <f t="shared" si="1"/>
        <v>27</v>
      </c>
      <c r="H4" s="820">
        <f>1+1+1+1+1+1+1</f>
        <v>7</v>
      </c>
      <c r="I4" s="820">
        <f>79+90+18+78+90+21+90</f>
        <v>466</v>
      </c>
      <c r="J4" s="820"/>
      <c r="K4" s="820">
        <f>1+2</f>
        <v>3</v>
      </c>
      <c r="L4" s="820"/>
      <c r="M4" s="820"/>
      <c r="N4" s="820"/>
      <c r="O4" s="820">
        <f t="shared" si="2"/>
        <v>3</v>
      </c>
      <c r="P4" s="820"/>
    </row>
    <row r="5" ht="22.5" customHeight="1">
      <c r="A5" s="812">
        <v>5.0</v>
      </c>
      <c r="B5" s="813" t="s">
        <v>1265</v>
      </c>
      <c r="C5" s="814" t="s">
        <v>70</v>
      </c>
      <c r="D5" s="815" t="s">
        <v>94</v>
      </c>
      <c r="E5" s="816" t="str">
        <f>IMAGE("https://flagcdn.com/w320/gb-eng.png")</f>
        <v/>
      </c>
      <c r="F5" s="817">
        <v>34482.0</v>
      </c>
      <c r="G5" s="818">
        <f t="shared" si="1"/>
        <v>31</v>
      </c>
      <c r="H5" s="820">
        <f>1+1+1+1</f>
        <v>4</v>
      </c>
      <c r="I5" s="820">
        <f>72+90+90+90</f>
        <v>342</v>
      </c>
      <c r="J5" s="820"/>
      <c r="K5" s="820"/>
      <c r="L5" s="820"/>
      <c r="M5" s="820"/>
      <c r="N5" s="820"/>
      <c r="O5" s="820">
        <f t="shared" si="2"/>
        <v>0</v>
      </c>
      <c r="P5" s="820"/>
    </row>
    <row r="6" ht="22.5" customHeight="1">
      <c r="A6" s="812">
        <v>6.0</v>
      </c>
      <c r="B6" s="813" t="s">
        <v>1266</v>
      </c>
      <c r="C6" s="814" t="s">
        <v>70</v>
      </c>
      <c r="D6" s="815" t="s">
        <v>1267</v>
      </c>
      <c r="E6" s="816" t="str">
        <f>IMAGE("https://flagcdn.com/w320/nl.png")</f>
        <v/>
      </c>
      <c r="F6" s="817">
        <v>34748.0</v>
      </c>
      <c r="G6" s="818">
        <f t="shared" si="1"/>
        <v>30</v>
      </c>
      <c r="H6" s="820">
        <f>1+1+1</f>
        <v>3</v>
      </c>
      <c r="I6" s="820">
        <f>11+90+3</f>
        <v>104</v>
      </c>
      <c r="J6" s="820"/>
      <c r="K6" s="820"/>
      <c r="L6" s="820"/>
      <c r="M6" s="820"/>
      <c r="N6" s="820"/>
      <c r="O6" s="820">
        <f t="shared" si="2"/>
        <v>0</v>
      </c>
      <c r="P6" s="820"/>
    </row>
    <row r="7" ht="22.5" customHeight="1">
      <c r="A7" s="812">
        <v>7.0</v>
      </c>
      <c r="B7" s="813" t="s">
        <v>1268</v>
      </c>
      <c r="C7" s="814" t="s">
        <v>82</v>
      </c>
      <c r="D7" s="815" t="s">
        <v>1269</v>
      </c>
      <c r="E7" s="816" t="str">
        <f>IMAGE("https://flagcdn.com/w320/eg.png")</f>
        <v/>
      </c>
      <c r="F7" s="817">
        <v>36198.0</v>
      </c>
      <c r="G7" s="818">
        <f t="shared" si="1"/>
        <v>26</v>
      </c>
      <c r="H7" s="820">
        <f>1+1+1+1+1</f>
        <v>5</v>
      </c>
      <c r="I7" s="820">
        <f>5+5+64+21+21</f>
        <v>116</v>
      </c>
      <c r="J7" s="820"/>
      <c r="K7" s="820"/>
      <c r="L7" s="820"/>
      <c r="M7" s="820"/>
      <c r="N7" s="820"/>
      <c r="O7" s="820">
        <f t="shared" si="2"/>
        <v>0</v>
      </c>
      <c r="P7" s="820"/>
    </row>
    <row r="8" ht="22.5" customHeight="1">
      <c r="A8" s="812">
        <v>8.0</v>
      </c>
      <c r="B8" s="813" t="s">
        <v>1270</v>
      </c>
      <c r="C8" s="814" t="s">
        <v>79</v>
      </c>
      <c r="D8" s="815" t="s">
        <v>111</v>
      </c>
      <c r="E8" s="816" t="str">
        <f>IMAGE("https://flagcdn.com/w320/hr.png")</f>
        <v/>
      </c>
      <c r="F8" s="817">
        <v>34460.0</v>
      </c>
      <c r="G8" s="818">
        <f t="shared" si="1"/>
        <v>31</v>
      </c>
      <c r="H8" s="819">
        <f>1</f>
        <v>1</v>
      </c>
      <c r="I8" s="819">
        <f>34</f>
        <v>34</v>
      </c>
      <c r="J8" s="820"/>
      <c r="K8" s="820"/>
      <c r="L8" s="820"/>
      <c r="M8" s="820"/>
      <c r="N8" s="820"/>
      <c r="O8" s="820">
        <f t="shared" si="2"/>
        <v>0</v>
      </c>
      <c r="P8" s="820"/>
    </row>
    <row r="9" ht="22.5" customHeight="1">
      <c r="A9" s="812">
        <v>9.0</v>
      </c>
      <c r="B9" s="813" t="s">
        <v>1271</v>
      </c>
      <c r="C9" s="814" t="s">
        <v>82</v>
      </c>
      <c r="D9" s="815" t="s">
        <v>96</v>
      </c>
      <c r="E9" s="816" t="str">
        <f>IMAGE("https://flagcdn.com/w320/no.png")</f>
        <v/>
      </c>
      <c r="F9" s="817">
        <v>36728.0</v>
      </c>
      <c r="G9" s="818">
        <f t="shared" si="1"/>
        <v>25</v>
      </c>
      <c r="H9" s="820">
        <f>1+1+1+1+1+1+1</f>
        <v>7</v>
      </c>
      <c r="I9" s="820">
        <f>79+90+85+85+26+69+90</f>
        <v>524</v>
      </c>
      <c r="J9" s="820">
        <f>1+2+1+1+1</f>
        <v>6</v>
      </c>
      <c r="K9" s="820"/>
      <c r="L9" s="820"/>
      <c r="M9" s="820"/>
      <c r="N9" s="820"/>
      <c r="O9" s="820">
        <f t="shared" si="2"/>
        <v>6</v>
      </c>
      <c r="P9" s="820"/>
    </row>
    <row r="10" ht="22.5" customHeight="1">
      <c r="A10" s="812">
        <v>10.0</v>
      </c>
      <c r="B10" s="813" t="s">
        <v>1272</v>
      </c>
      <c r="C10" s="814" t="s">
        <v>79</v>
      </c>
      <c r="D10" s="815" t="s">
        <v>1273</v>
      </c>
      <c r="E10" s="816" t="str">
        <f>IMAGE("https://flagcdn.com/w320/fr.png")</f>
        <v/>
      </c>
      <c r="F10" s="817">
        <v>37850.0</v>
      </c>
      <c r="G10" s="818">
        <f t="shared" si="1"/>
        <v>22</v>
      </c>
      <c r="H10" s="820">
        <f>1+1+1+1+1</f>
        <v>5</v>
      </c>
      <c r="I10" s="820">
        <f>5+12+26+69+90</f>
        <v>202</v>
      </c>
      <c r="J10" s="820">
        <f>1+1</f>
        <v>2</v>
      </c>
      <c r="K10" s="820"/>
      <c r="L10" s="820">
        <f>1</f>
        <v>1</v>
      </c>
      <c r="M10" s="820"/>
      <c r="N10" s="820"/>
      <c r="O10" s="820">
        <f t="shared" si="2"/>
        <v>2</v>
      </c>
      <c r="P10" s="820"/>
    </row>
    <row r="11" ht="22.5" customHeight="1">
      <c r="A11" s="812">
        <v>11.0</v>
      </c>
      <c r="B11" s="813" t="s">
        <v>1274</v>
      </c>
      <c r="C11" s="814" t="s">
        <v>82</v>
      </c>
      <c r="D11" s="815" t="s">
        <v>1275</v>
      </c>
      <c r="E11" s="816" t="str">
        <f>IMAGE("https://flagcdn.com/w320/be.png")</f>
        <v/>
      </c>
      <c r="F11" s="817">
        <v>37403.0</v>
      </c>
      <c r="G11" s="818">
        <f t="shared" si="1"/>
        <v>23</v>
      </c>
      <c r="H11" s="820">
        <f>1+1+1+1+1+1</f>
        <v>6</v>
      </c>
      <c r="I11" s="820">
        <f>68+60+72+78+45+87</f>
        <v>410</v>
      </c>
      <c r="J11" s="820">
        <f t="shared" ref="J11:K11" si="3">1</f>
        <v>1</v>
      </c>
      <c r="K11" s="820">
        <f t="shared" si="3"/>
        <v>1</v>
      </c>
      <c r="L11" s="820"/>
      <c r="M11" s="820"/>
      <c r="N11" s="820"/>
      <c r="O11" s="820">
        <f t="shared" si="2"/>
        <v>2</v>
      </c>
      <c r="P11" s="820"/>
    </row>
    <row r="12" ht="22.5" customHeight="1">
      <c r="A12" s="812">
        <v>13.0</v>
      </c>
      <c r="B12" s="813" t="s">
        <v>1276</v>
      </c>
      <c r="C12" s="814" t="s">
        <v>67</v>
      </c>
      <c r="D12" s="815" t="s">
        <v>1277</v>
      </c>
      <c r="E12" s="816" t="str">
        <f>IMAGE("https://flagcdn.com/w320/gb-eng.png")</f>
        <v/>
      </c>
      <c r="F12" s="817">
        <v>33748.0</v>
      </c>
      <c r="G12" s="818">
        <f t="shared" si="1"/>
        <v>33</v>
      </c>
      <c r="H12" s="819">
        <v>0.0</v>
      </c>
      <c r="I12" s="819">
        <v>0.0</v>
      </c>
      <c r="J12" s="820"/>
      <c r="K12" s="820"/>
      <c r="L12" s="820"/>
      <c r="M12" s="820"/>
      <c r="N12" s="820"/>
      <c r="O12" s="820">
        <f t="shared" si="2"/>
        <v>0</v>
      </c>
      <c r="P12" s="820"/>
    </row>
    <row r="13" ht="22.5" customHeight="1">
      <c r="A13" s="812">
        <v>14.0</v>
      </c>
      <c r="B13" s="822" t="s">
        <v>1278</v>
      </c>
      <c r="C13" s="814" t="s">
        <v>79</v>
      </c>
      <c r="D13" s="815" t="s">
        <v>83</v>
      </c>
      <c r="E13" s="816" t="str">
        <f t="shared" ref="E13:E14" si="4">IMAGE("https://flagcdn.com/w320/es.png")</f>
        <v/>
      </c>
      <c r="F13" s="817">
        <v>37259.0</v>
      </c>
      <c r="G13" s="818">
        <f t="shared" si="1"/>
        <v>24</v>
      </c>
      <c r="H13" s="820">
        <f>1+1+1+1+1+1</f>
        <v>6</v>
      </c>
      <c r="I13" s="820">
        <f>31+30+56+90+90+90</f>
        <v>387</v>
      </c>
      <c r="J13" s="820"/>
      <c r="K13" s="820"/>
      <c r="L13" s="820">
        <f>1</f>
        <v>1</v>
      </c>
      <c r="M13" s="820"/>
      <c r="N13" s="820"/>
      <c r="O13" s="820">
        <f t="shared" si="2"/>
        <v>0</v>
      </c>
      <c r="P13" s="820"/>
    </row>
    <row r="14" ht="22.5" customHeight="1">
      <c r="A14" s="812">
        <v>16.0</v>
      </c>
      <c r="B14" s="821" t="s">
        <v>1279</v>
      </c>
      <c r="C14" s="814" t="s">
        <v>79</v>
      </c>
      <c r="D14" s="815" t="s">
        <v>83</v>
      </c>
      <c r="E14" s="816" t="str">
        <f t="shared" si="4"/>
        <v/>
      </c>
      <c r="F14" s="817">
        <v>35238.0</v>
      </c>
      <c r="G14" s="818">
        <f t="shared" si="1"/>
        <v>29</v>
      </c>
      <c r="H14" s="820">
        <f>1+1+1</f>
        <v>3</v>
      </c>
      <c r="I14" s="820">
        <f>59+60+61</f>
        <v>180</v>
      </c>
      <c r="J14" s="820"/>
      <c r="K14" s="820"/>
      <c r="L14" s="820">
        <f>1+2</f>
        <v>3</v>
      </c>
      <c r="M14" s="820">
        <f>1</f>
        <v>1</v>
      </c>
      <c r="N14" s="820"/>
      <c r="O14" s="820">
        <f t="shared" si="2"/>
        <v>0</v>
      </c>
      <c r="P14" s="820"/>
    </row>
    <row r="15" ht="22.5" customHeight="1">
      <c r="A15" s="812">
        <v>18.0</v>
      </c>
      <c r="B15" s="813" t="s">
        <v>1280</v>
      </c>
      <c r="C15" s="814" t="s">
        <v>67</v>
      </c>
      <c r="D15" s="815" t="s">
        <v>1281</v>
      </c>
      <c r="E15" s="816" t="str">
        <f>IMAGE("https://flagcdn.com/w320/de.png")</f>
        <v/>
      </c>
      <c r="F15" s="817">
        <v>33914.0</v>
      </c>
      <c r="G15" s="818">
        <f t="shared" si="1"/>
        <v>33</v>
      </c>
      <c r="H15" s="820"/>
      <c r="I15" s="820"/>
      <c r="J15" s="820"/>
      <c r="K15" s="820"/>
      <c r="L15" s="820"/>
      <c r="M15" s="820"/>
      <c r="N15" s="820"/>
      <c r="O15" s="820">
        <f t="shared" si="2"/>
        <v>0</v>
      </c>
      <c r="P15" s="820"/>
    </row>
    <row r="16" ht="22.5" customHeight="1">
      <c r="A16" s="812">
        <v>20.0</v>
      </c>
      <c r="B16" s="821" t="s">
        <v>1282</v>
      </c>
      <c r="C16" s="814" t="s">
        <v>79</v>
      </c>
      <c r="D16" s="815" t="s">
        <v>477</v>
      </c>
      <c r="E16" s="816" t="str">
        <f>IMAGE("https://flagcdn.com/w320/pt.png")</f>
        <v/>
      </c>
      <c r="F16" s="817">
        <v>34556.0</v>
      </c>
      <c r="G16" s="818">
        <f t="shared" si="1"/>
        <v>31</v>
      </c>
      <c r="H16" s="820">
        <f>1+1+1+1+1</f>
        <v>5</v>
      </c>
      <c r="I16" s="820">
        <f>90+90+90+12+90</f>
        <v>372</v>
      </c>
      <c r="J16" s="820">
        <f>1</f>
        <v>1</v>
      </c>
      <c r="K16" s="820"/>
      <c r="L16" s="820">
        <f>1+1</f>
        <v>2</v>
      </c>
      <c r="M16" s="820"/>
      <c r="N16" s="820"/>
      <c r="O16" s="820">
        <f t="shared" si="2"/>
        <v>1</v>
      </c>
      <c r="P16" s="820"/>
    </row>
    <row r="17" ht="22.5" customHeight="1">
      <c r="A17" s="812">
        <v>21.0</v>
      </c>
      <c r="B17" s="813" t="s">
        <v>1283</v>
      </c>
      <c r="C17" s="814" t="s">
        <v>70</v>
      </c>
      <c r="D17" s="815" t="s">
        <v>1284</v>
      </c>
      <c r="E17" s="816" t="str">
        <f>IMAGE("https://flagcdn.com/w320/dz.png")</f>
        <v/>
      </c>
      <c r="F17" s="817">
        <v>37048.0</v>
      </c>
      <c r="G17" s="818">
        <f t="shared" si="1"/>
        <v>24</v>
      </c>
      <c r="H17" s="820">
        <f>1+1+1</f>
        <v>3</v>
      </c>
      <c r="I17" s="820">
        <f>5+45+90</f>
        <v>140</v>
      </c>
      <c r="J17" s="820"/>
      <c r="K17" s="820"/>
      <c r="L17" s="820"/>
      <c r="M17" s="820"/>
      <c r="N17" s="820"/>
      <c r="O17" s="820">
        <f t="shared" si="2"/>
        <v>0</v>
      </c>
      <c r="P17" s="820"/>
    </row>
    <row r="18" ht="22.5" customHeight="1">
      <c r="A18" s="812">
        <v>24.0</v>
      </c>
      <c r="B18" s="813" t="s">
        <v>1285</v>
      </c>
      <c r="C18" s="814" t="s">
        <v>70</v>
      </c>
      <c r="D18" s="815" t="s">
        <v>111</v>
      </c>
      <c r="E18" s="816" t="str">
        <f>IMAGE("https://flagcdn.com/w320/hr.png")</f>
        <v/>
      </c>
      <c r="F18" s="817">
        <v>37279.0</v>
      </c>
      <c r="G18" s="818">
        <f t="shared" si="1"/>
        <v>24</v>
      </c>
      <c r="H18" s="820">
        <f>1+1+1+1+1</f>
        <v>5</v>
      </c>
      <c r="I18" s="820">
        <f>79+90+90+90+90</f>
        <v>439</v>
      </c>
      <c r="J18" s="820"/>
      <c r="K18" s="820">
        <f>1+1</f>
        <v>2</v>
      </c>
      <c r="L18" s="820"/>
      <c r="M18" s="820"/>
      <c r="N18" s="820"/>
      <c r="O18" s="820">
        <f t="shared" si="2"/>
        <v>2</v>
      </c>
      <c r="P18" s="820"/>
    </row>
    <row r="19" ht="22.5" customHeight="1">
      <c r="A19" s="812">
        <v>25.0</v>
      </c>
      <c r="B19" s="813" t="s">
        <v>1286</v>
      </c>
      <c r="C19" s="814" t="s">
        <v>67</v>
      </c>
      <c r="D19" s="815" t="s">
        <v>206</v>
      </c>
      <c r="E19" s="816" t="str">
        <f>IMAGE("https://flagcdn.com/w320/it.png")</f>
        <v/>
      </c>
      <c r="F19" s="817">
        <v>36216.0</v>
      </c>
      <c r="G19" s="818">
        <f t="shared" si="1"/>
        <v>26</v>
      </c>
      <c r="H19" s="820">
        <f t="shared" ref="H19:H20" si="5">1+1+1+1+1+1</f>
        <v>6</v>
      </c>
      <c r="I19" s="820">
        <f>90+90+90+90+90+90</f>
        <v>540</v>
      </c>
      <c r="J19" s="820"/>
      <c r="K19" s="820"/>
      <c r="L19" s="820">
        <f>1</f>
        <v>1</v>
      </c>
      <c r="M19" s="820"/>
      <c r="N19" s="820">
        <f>1+1</f>
        <v>2</v>
      </c>
      <c r="O19" s="820">
        <f t="shared" si="2"/>
        <v>0</v>
      </c>
      <c r="P19" s="820"/>
    </row>
    <row r="20" ht="22.5" customHeight="1">
      <c r="A20" s="812">
        <v>26.0</v>
      </c>
      <c r="B20" s="821" t="s">
        <v>1287</v>
      </c>
      <c r="C20" s="814" t="s">
        <v>82</v>
      </c>
      <c r="D20" s="815" t="s">
        <v>182</v>
      </c>
      <c r="E20" s="816" t="str">
        <f>IMAGE("https://flagcdn.com/w320/br.png")</f>
        <v/>
      </c>
      <c r="F20" s="817">
        <v>38087.0</v>
      </c>
      <c r="G20" s="818">
        <f t="shared" si="1"/>
        <v>21</v>
      </c>
      <c r="H20" s="820">
        <f t="shared" si="5"/>
        <v>6</v>
      </c>
      <c r="I20" s="820">
        <f>22+30+85+78+90+21</f>
        <v>326</v>
      </c>
      <c r="J20" s="820"/>
      <c r="K20" s="820">
        <f>1</f>
        <v>1</v>
      </c>
      <c r="L20" s="820">
        <f>1+1</f>
        <v>2</v>
      </c>
      <c r="M20" s="820"/>
      <c r="N20" s="820"/>
      <c r="O20" s="820">
        <f t="shared" si="2"/>
        <v>1</v>
      </c>
      <c r="P20" s="820"/>
    </row>
    <row r="21" ht="22.5" customHeight="1">
      <c r="A21" s="812">
        <v>27.0</v>
      </c>
      <c r="B21" s="821" t="s">
        <v>1288</v>
      </c>
      <c r="C21" s="814" t="s">
        <v>79</v>
      </c>
      <c r="D21" s="815" t="s">
        <v>1289</v>
      </c>
      <c r="E21" s="816" t="str">
        <f>IMAGE("https://flagcdn.com/w320/pt.png")</f>
        <v/>
      </c>
      <c r="F21" s="817">
        <v>36034.0</v>
      </c>
      <c r="G21" s="818">
        <f t="shared" si="1"/>
        <v>27</v>
      </c>
      <c r="H21" s="819">
        <f>1+1+1+1</f>
        <v>4</v>
      </c>
      <c r="I21" s="819">
        <f>18+90+90+90</f>
        <v>288</v>
      </c>
      <c r="J21" s="820"/>
      <c r="K21" s="820"/>
      <c r="L21" s="820"/>
      <c r="M21" s="820"/>
      <c r="N21" s="820"/>
      <c r="O21" s="820">
        <f t="shared" si="2"/>
        <v>0</v>
      </c>
      <c r="P21" s="820"/>
    </row>
    <row r="22" ht="22.5" customHeight="1">
      <c r="A22" s="823">
        <v>33.0</v>
      </c>
      <c r="B22" s="824" t="s">
        <v>1290</v>
      </c>
      <c r="C22" s="825" t="s">
        <v>79</v>
      </c>
      <c r="D22" s="826" t="s">
        <v>94</v>
      </c>
      <c r="E22" s="827" t="str">
        <f>IMAGE("https://flagcdn.com/w320/gb-eng.png")</f>
        <v/>
      </c>
      <c r="F22" s="828">
        <v>38432.0</v>
      </c>
      <c r="G22" s="829">
        <f t="shared" si="1"/>
        <v>20</v>
      </c>
      <c r="H22" s="830">
        <f>1+1+1+1+1+1</f>
        <v>6</v>
      </c>
      <c r="I22" s="830">
        <f>90+90+85+45+90+90</f>
        <v>490</v>
      </c>
      <c r="J22" s="830">
        <f>1</f>
        <v>1</v>
      </c>
      <c r="K22" s="830">
        <f t="shared" ref="K22:L22" si="6">1+1</f>
        <v>2</v>
      </c>
      <c r="L22" s="830">
        <f t="shared" si="6"/>
        <v>2</v>
      </c>
      <c r="M22" s="830"/>
      <c r="N22" s="830"/>
      <c r="O22" s="830">
        <f t="shared" si="2"/>
        <v>3</v>
      </c>
      <c r="P22" s="830"/>
    </row>
    <row r="23" ht="22.5" customHeight="1">
      <c r="A23" s="812">
        <v>45.0</v>
      </c>
      <c r="B23" s="813" t="s">
        <v>1291</v>
      </c>
      <c r="C23" s="814" t="s">
        <v>70</v>
      </c>
      <c r="D23" s="815" t="s">
        <v>1292</v>
      </c>
      <c r="E23" s="816" t="str">
        <f>IMAGE("https://flagcdn.com/w320/uz.png")</f>
        <v/>
      </c>
      <c r="F23" s="817">
        <v>38046.0</v>
      </c>
      <c r="G23" s="818">
        <f t="shared" si="1"/>
        <v>21</v>
      </c>
      <c r="H23" s="820">
        <f>1+1+1</f>
        <v>3</v>
      </c>
      <c r="I23" s="820">
        <f>90+64+90</f>
        <v>244</v>
      </c>
      <c r="J23" s="820"/>
      <c r="K23" s="820"/>
      <c r="L23" s="820"/>
      <c r="M23" s="820"/>
      <c r="N23" s="820"/>
      <c r="O23" s="820">
        <f t="shared" si="2"/>
        <v>0</v>
      </c>
      <c r="P23" s="820"/>
    </row>
    <row r="24" ht="22.5" customHeight="1">
      <c r="A24" s="812">
        <v>47.0</v>
      </c>
      <c r="B24" s="813" t="s">
        <v>1293</v>
      </c>
      <c r="C24" s="814" t="s">
        <v>79</v>
      </c>
      <c r="D24" s="815" t="s">
        <v>94</v>
      </c>
      <c r="E24" s="816" t="str">
        <f>IMAGE("https://flagcdn.com/w320/gb-eng.png")</f>
        <v/>
      </c>
      <c r="F24" s="817">
        <v>36674.0</v>
      </c>
      <c r="G24" s="818">
        <f t="shared" si="1"/>
        <v>25</v>
      </c>
      <c r="H24" s="820">
        <f>1+1+1+1+1+1</f>
        <v>6</v>
      </c>
      <c r="I24" s="820">
        <f>90+90+90+45+69+69</f>
        <v>453</v>
      </c>
      <c r="J24" s="820">
        <f>2</f>
        <v>2</v>
      </c>
      <c r="K24" s="820">
        <f t="shared" ref="K24:L24" si="7">1</f>
        <v>1</v>
      </c>
      <c r="L24" s="820">
        <f t="shared" si="7"/>
        <v>1</v>
      </c>
      <c r="M24" s="820"/>
      <c r="N24" s="820"/>
      <c r="O24" s="820">
        <f t="shared" si="2"/>
        <v>3</v>
      </c>
      <c r="P24" s="820"/>
    </row>
    <row r="25" ht="22.5" customHeight="1">
      <c r="A25" s="812">
        <v>52.0</v>
      </c>
      <c r="B25" s="813" t="s">
        <v>1294</v>
      </c>
      <c r="C25" s="814" t="s">
        <v>79</v>
      </c>
      <c r="D25" s="815" t="s">
        <v>1295</v>
      </c>
      <c r="E25" s="816" t="str">
        <f>IMAGE("https://flagcdn.com/w320/no.png")</f>
        <v/>
      </c>
      <c r="F25" s="817">
        <v>37814.0</v>
      </c>
      <c r="G25" s="818">
        <f t="shared" si="1"/>
        <v>22</v>
      </c>
      <c r="H25" s="820">
        <f>1+1+1</f>
        <v>3</v>
      </c>
      <c r="I25" s="820">
        <f>11+18+45</f>
        <v>74</v>
      </c>
      <c r="J25" s="820"/>
      <c r="K25" s="820"/>
      <c r="L25" s="820"/>
      <c r="M25" s="820"/>
      <c r="N25" s="820"/>
      <c r="O25" s="820">
        <f t="shared" si="2"/>
        <v>0</v>
      </c>
      <c r="P25" s="820"/>
    </row>
    <row r="26" ht="22.5" customHeight="1">
      <c r="A26" s="831">
        <v>59.0</v>
      </c>
      <c r="B26" s="832" t="s">
        <v>1296</v>
      </c>
      <c r="C26" s="833" t="s">
        <v>79</v>
      </c>
      <c r="D26" s="834" t="s">
        <v>94</v>
      </c>
      <c r="E26" s="835" t="str">
        <f t="shared" ref="E26:E31" si="8">IMAGE("https://flagcdn.com/w320/gb-eng.png")</f>
        <v/>
      </c>
      <c r="F26" s="836">
        <v>38770.0</v>
      </c>
      <c r="G26" s="829">
        <f t="shared" si="1"/>
        <v>19</v>
      </c>
      <c r="H26" s="837">
        <v>0.0</v>
      </c>
      <c r="I26" s="837">
        <v>0.0</v>
      </c>
      <c r="J26" s="830"/>
      <c r="K26" s="830"/>
      <c r="L26" s="830"/>
      <c r="M26" s="830"/>
      <c r="N26" s="830"/>
      <c r="O26" s="830">
        <f t="shared" si="2"/>
        <v>0</v>
      </c>
      <c r="P26" s="830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22.5" customHeight="1">
      <c r="A27" s="831">
        <v>63.0</v>
      </c>
      <c r="B27" s="813" t="s">
        <v>1297</v>
      </c>
      <c r="C27" s="814" t="s">
        <v>79</v>
      </c>
      <c r="D27" s="815" t="s">
        <v>94</v>
      </c>
      <c r="E27" s="838" t="str">
        <f t="shared" si="8"/>
        <v/>
      </c>
      <c r="F27" s="817">
        <v>39316.0</v>
      </c>
      <c r="G27" s="829">
        <f t="shared" si="1"/>
        <v>18</v>
      </c>
      <c r="H27" s="837">
        <v>0.0</v>
      </c>
      <c r="I27" s="837">
        <v>0.0</v>
      </c>
      <c r="J27" s="830"/>
      <c r="K27" s="830"/>
      <c r="L27" s="830"/>
      <c r="M27" s="830"/>
      <c r="N27" s="830"/>
      <c r="O27" s="830">
        <f t="shared" si="2"/>
        <v>0</v>
      </c>
      <c r="P27" s="830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831">
        <v>68.0</v>
      </c>
      <c r="B28" s="832" t="s">
        <v>1298</v>
      </c>
      <c r="C28" s="833" t="s">
        <v>70</v>
      </c>
      <c r="D28" s="834" t="s">
        <v>1299</v>
      </c>
      <c r="E28" s="835" t="str">
        <f t="shared" si="8"/>
        <v/>
      </c>
      <c r="F28" s="836">
        <v>38554.0</v>
      </c>
      <c r="G28" s="829">
        <f t="shared" si="1"/>
        <v>20</v>
      </c>
      <c r="H28" s="837">
        <f>1</f>
        <v>1</v>
      </c>
      <c r="I28" s="837">
        <f>90</f>
        <v>90</v>
      </c>
      <c r="J28" s="830"/>
      <c r="K28" s="830"/>
      <c r="L28" s="830"/>
      <c r="M28" s="830"/>
      <c r="N28" s="830"/>
      <c r="O28" s="830">
        <f t="shared" si="2"/>
        <v>0</v>
      </c>
      <c r="P28" s="830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22.5" customHeight="1">
      <c r="A29" s="812">
        <v>82.0</v>
      </c>
      <c r="B29" s="813" t="s">
        <v>1300</v>
      </c>
      <c r="C29" s="814" t="s">
        <v>70</v>
      </c>
      <c r="D29" s="815" t="s">
        <v>94</v>
      </c>
      <c r="E29" s="816" t="str">
        <f t="shared" si="8"/>
        <v/>
      </c>
      <c r="F29" s="817">
        <v>38312.0</v>
      </c>
      <c r="G29" s="818">
        <f t="shared" si="1"/>
        <v>21</v>
      </c>
      <c r="H29" s="820">
        <f>1+1+1+1</f>
        <v>4</v>
      </c>
      <c r="I29" s="820">
        <f>11+72+45+90</f>
        <v>218</v>
      </c>
      <c r="J29" s="820"/>
      <c r="K29" s="820">
        <f>1</f>
        <v>1</v>
      </c>
      <c r="L29" s="820"/>
      <c r="M29" s="820"/>
      <c r="N29" s="820"/>
      <c r="O29" s="820">
        <f t="shared" si="2"/>
        <v>1</v>
      </c>
      <c r="P29" s="820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22.5" customHeight="1">
      <c r="A30" s="831">
        <v>90.0</v>
      </c>
      <c r="B30" s="832" t="s">
        <v>1301</v>
      </c>
      <c r="C30" s="833" t="s">
        <v>70</v>
      </c>
      <c r="D30" s="834" t="s">
        <v>94</v>
      </c>
      <c r="E30" s="835" t="str">
        <f t="shared" si="8"/>
        <v/>
      </c>
      <c r="F30" s="836">
        <v>39139.0</v>
      </c>
      <c r="G30" s="829">
        <f t="shared" si="1"/>
        <v>18</v>
      </c>
      <c r="H30" s="837">
        <v>0.0</v>
      </c>
      <c r="I30" s="837">
        <v>0.0</v>
      </c>
      <c r="J30" s="830"/>
      <c r="K30" s="830"/>
      <c r="L30" s="830"/>
      <c r="M30" s="830"/>
      <c r="N30" s="830"/>
      <c r="O30" s="830">
        <f t="shared" si="2"/>
        <v>0</v>
      </c>
      <c r="P30" s="830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ht="22.5" customHeight="1">
      <c r="A31" s="831">
        <v>91.0</v>
      </c>
      <c r="B31" s="813" t="s">
        <v>1302</v>
      </c>
      <c r="C31" s="814" t="s">
        <v>70</v>
      </c>
      <c r="D31" s="815" t="s">
        <v>1303</v>
      </c>
      <c r="E31" s="838" t="str">
        <f t="shared" si="8"/>
        <v/>
      </c>
      <c r="F31" s="817">
        <v>39490.0</v>
      </c>
      <c r="G31" s="829">
        <f t="shared" si="1"/>
        <v>17</v>
      </c>
      <c r="H31" s="837">
        <v>0.0</v>
      </c>
      <c r="I31" s="837">
        <v>0.0</v>
      </c>
      <c r="J31" s="830"/>
      <c r="K31" s="830"/>
      <c r="L31" s="830"/>
      <c r="M31" s="830"/>
      <c r="N31" s="830"/>
      <c r="O31" s="830">
        <f t="shared" si="2"/>
        <v>0</v>
      </c>
      <c r="P31" s="830"/>
    </row>
    <row r="32" ht="22.5" customHeight="1">
      <c r="A32" s="831">
        <v>97.0</v>
      </c>
      <c r="B32" s="832" t="s">
        <v>1304</v>
      </c>
      <c r="C32" s="833" t="s">
        <v>82</v>
      </c>
      <c r="D32" s="834" t="s">
        <v>1305</v>
      </c>
      <c r="E32" s="835" t="str">
        <f>IMAGE("https://flagcdn.com/w320/fr.png")</f>
        <v/>
      </c>
      <c r="F32" s="836">
        <v>39447.0</v>
      </c>
      <c r="G32" s="829">
        <f t="shared" si="1"/>
        <v>18</v>
      </c>
      <c r="H32" s="837">
        <v>0.0</v>
      </c>
      <c r="I32" s="837">
        <v>0.0</v>
      </c>
      <c r="J32" s="830"/>
      <c r="K32" s="830"/>
      <c r="L32" s="830"/>
      <c r="M32" s="830"/>
      <c r="N32" s="830"/>
      <c r="O32" s="830">
        <f t="shared" si="2"/>
        <v>0</v>
      </c>
      <c r="P32" s="830"/>
    </row>
    <row r="33">
      <c r="A33" s="187"/>
      <c r="B33" s="18"/>
      <c r="C33" s="18"/>
      <c r="D33" s="64"/>
      <c r="E33" s="65"/>
      <c r="F33" s="18"/>
      <c r="G33" s="18"/>
      <c r="H33" s="11">
        <f>SUM(H2:H32)</f>
        <v>105</v>
      </c>
      <c r="I33" s="11">
        <f>SUM(I2:I32)+29</f>
        <v>6930</v>
      </c>
      <c r="J33" s="11">
        <f t="shared" ref="J33:P33" si="9">SUM(J2:J32)</f>
        <v>13</v>
      </c>
      <c r="K33" s="11">
        <f t="shared" si="9"/>
        <v>11</v>
      </c>
      <c r="L33" s="11">
        <f t="shared" si="9"/>
        <v>14</v>
      </c>
      <c r="M33" s="11">
        <f t="shared" si="9"/>
        <v>1</v>
      </c>
      <c r="N33" s="11">
        <f t="shared" si="9"/>
        <v>2</v>
      </c>
      <c r="O33" s="11">
        <f t="shared" si="9"/>
        <v>24</v>
      </c>
      <c r="P33" s="11">
        <f t="shared" si="9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22.5" customHeight="1">
      <c r="A34" s="806" t="s">
        <v>150</v>
      </c>
      <c r="B34" s="807" t="s">
        <v>49</v>
      </c>
      <c r="C34" s="807" t="s">
        <v>265</v>
      </c>
      <c r="D34" s="839" t="s">
        <v>56</v>
      </c>
      <c r="E34" s="840" t="s">
        <v>57</v>
      </c>
      <c r="F34" s="807" t="s">
        <v>52</v>
      </c>
      <c r="G34" s="807" t="s">
        <v>53</v>
      </c>
      <c r="H34" s="840" t="s">
        <v>4</v>
      </c>
      <c r="I34" s="840" t="s">
        <v>5</v>
      </c>
      <c r="J34" s="840" t="s">
        <v>6</v>
      </c>
      <c r="K34" s="840" t="s">
        <v>7</v>
      </c>
      <c r="L34" s="840" t="s">
        <v>8</v>
      </c>
      <c r="M34" s="840" t="s">
        <v>9</v>
      </c>
      <c r="N34" s="840" t="s">
        <v>10</v>
      </c>
      <c r="O34" s="12"/>
      <c r="P34" s="12"/>
    </row>
    <row r="35" ht="22.5" customHeight="1">
      <c r="A35" s="841"/>
      <c r="B35" s="841" t="s">
        <v>1306</v>
      </c>
      <c r="C35" s="842" t="s">
        <v>153</v>
      </c>
      <c r="D35" s="843" t="s">
        <v>83</v>
      </c>
      <c r="E35" s="844" t="str">
        <f>IMAGE("https://flagcdn.com/w320/es.png")</f>
        <v/>
      </c>
      <c r="F35" s="845">
        <v>25951.0</v>
      </c>
      <c r="G35" s="846">
        <f>DATEDIF(F35,TODAY(),"Y")</f>
        <v>55</v>
      </c>
      <c r="H35" s="157">
        <f>L35+M35+N35</f>
        <v>7</v>
      </c>
      <c r="I35" s="157">
        <f>(3*L35)+M35</f>
        <v>13</v>
      </c>
      <c r="J35" s="157">
        <f>2+2+2+4+2+1</f>
        <v>13</v>
      </c>
      <c r="K35" s="157">
        <f>2+1+2+1+3</f>
        <v>9</v>
      </c>
      <c r="L35" s="158">
        <f>1+1+1+1</f>
        <v>4</v>
      </c>
      <c r="M35" s="159">
        <f>1</f>
        <v>1</v>
      </c>
      <c r="N35" s="487">
        <f>1+1</f>
        <v>2</v>
      </c>
      <c r="O35" s="12"/>
      <c r="P35" s="12"/>
    </row>
    <row r="36">
      <c r="A36" s="187"/>
      <c r="B36" s="18"/>
      <c r="C36" s="18"/>
      <c r="D36" s="64"/>
      <c r="E36" s="65"/>
      <c r="F36" s="18"/>
      <c r="G36" s="18"/>
      <c r="H36" s="11">
        <f t="shared" ref="H36:N36" si="10">SUM(H35)</f>
        <v>7</v>
      </c>
      <c r="I36" s="11">
        <f t="shared" si="10"/>
        <v>13</v>
      </c>
      <c r="J36" s="11">
        <f t="shared" si="10"/>
        <v>13</v>
      </c>
      <c r="K36" s="11">
        <f t="shared" si="10"/>
        <v>9</v>
      </c>
      <c r="L36" s="11">
        <f t="shared" si="10"/>
        <v>4</v>
      </c>
      <c r="M36" s="11">
        <f t="shared" si="10"/>
        <v>1</v>
      </c>
      <c r="N36" s="11">
        <f t="shared" si="10"/>
        <v>2</v>
      </c>
      <c r="O36" s="11"/>
      <c r="P36" s="11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22.5" customHeight="1">
      <c r="A37" s="806" t="s">
        <v>156</v>
      </c>
      <c r="B37" s="806" t="s">
        <v>157</v>
      </c>
      <c r="C37" s="806" t="s">
        <v>158</v>
      </c>
      <c r="D37" s="810" t="s">
        <v>1307</v>
      </c>
      <c r="E37" s="806" t="s">
        <v>160</v>
      </c>
      <c r="F37" s="806" t="s">
        <v>161</v>
      </c>
      <c r="H37" s="12"/>
      <c r="I37" s="12"/>
      <c r="J37" s="12"/>
      <c r="K37" s="12"/>
      <c r="L37" s="12"/>
      <c r="M37" s="12"/>
      <c r="N37" s="12"/>
      <c r="O37" s="12"/>
      <c r="P37" s="12"/>
    </row>
    <row r="38" ht="22.5" customHeight="1">
      <c r="A38" s="86">
        <v>1.0</v>
      </c>
      <c r="B38" s="87" t="s">
        <v>23</v>
      </c>
      <c r="C38" s="87" t="s">
        <v>33</v>
      </c>
      <c r="D38" s="88" t="s">
        <v>1308</v>
      </c>
      <c r="E38" s="161" t="s">
        <v>271</v>
      </c>
      <c r="F38" s="522" t="s">
        <v>507</v>
      </c>
      <c r="H38" s="12"/>
      <c r="I38" s="12"/>
      <c r="J38" s="12"/>
      <c r="K38" s="12"/>
      <c r="L38" s="12"/>
      <c r="M38" s="12"/>
      <c r="N38" s="12"/>
      <c r="O38" s="12"/>
      <c r="P38" s="12"/>
    </row>
    <row r="39" ht="22.5" customHeight="1">
      <c r="A39" s="197">
        <v>2.0</v>
      </c>
      <c r="B39" s="727" t="s">
        <v>29</v>
      </c>
      <c r="C39" s="198" t="s">
        <v>23</v>
      </c>
      <c r="D39" s="264" t="s">
        <v>1309</v>
      </c>
      <c r="E39" s="265">
        <v>45690.0</v>
      </c>
      <c r="F39" s="198" t="s">
        <v>997</v>
      </c>
      <c r="H39" s="12"/>
      <c r="I39" s="12"/>
      <c r="J39" s="12"/>
      <c r="K39" s="12"/>
      <c r="L39" s="12"/>
      <c r="M39" s="12"/>
      <c r="N39" s="12"/>
      <c r="O39" s="12"/>
      <c r="P39" s="12"/>
    </row>
    <row r="40" ht="22.5" customHeight="1">
      <c r="A40" s="86">
        <v>3.0</v>
      </c>
      <c r="B40" s="87" t="s">
        <v>46</v>
      </c>
      <c r="C40" s="87" t="s">
        <v>23</v>
      </c>
      <c r="D40" s="88" t="s">
        <v>1310</v>
      </c>
      <c r="E40" s="161" t="s">
        <v>162</v>
      </c>
      <c r="F40" s="87" t="s">
        <v>172</v>
      </c>
      <c r="H40" s="12"/>
      <c r="I40" s="12"/>
      <c r="J40" s="12"/>
      <c r="K40" s="12"/>
      <c r="L40" s="12"/>
      <c r="M40" s="12"/>
      <c r="N40" s="12"/>
      <c r="O40" s="12"/>
      <c r="P40" s="12"/>
    </row>
    <row r="41" ht="22.5" customHeight="1">
      <c r="A41" s="86">
        <v>4.0</v>
      </c>
      <c r="B41" s="847" t="s">
        <v>23</v>
      </c>
      <c r="C41" s="87" t="s">
        <v>21</v>
      </c>
      <c r="D41" s="88" t="s">
        <v>1311</v>
      </c>
      <c r="E41" s="89">
        <v>45748.0</v>
      </c>
      <c r="F41" s="87" t="s">
        <v>507</v>
      </c>
      <c r="H41" s="12"/>
      <c r="I41" s="12"/>
      <c r="J41" s="12"/>
      <c r="K41" s="12"/>
      <c r="L41" s="12"/>
      <c r="M41" s="12"/>
      <c r="N41" s="12"/>
      <c r="O41" s="12"/>
      <c r="P41" s="12"/>
    </row>
    <row r="42" ht="22.5" customHeight="1">
      <c r="A42" s="77">
        <v>5.0</v>
      </c>
      <c r="B42" s="78" t="s">
        <v>23</v>
      </c>
      <c r="C42" s="78" t="s">
        <v>31</v>
      </c>
      <c r="D42" s="79"/>
      <c r="E42" s="80" t="s">
        <v>162</v>
      </c>
      <c r="F42" s="78" t="s">
        <v>507</v>
      </c>
      <c r="H42" s="12"/>
      <c r="I42" s="12"/>
      <c r="J42" s="12"/>
      <c r="K42" s="12"/>
      <c r="L42" s="12"/>
      <c r="M42" s="12"/>
      <c r="N42" s="12"/>
      <c r="O42" s="12"/>
      <c r="P42" s="12"/>
    </row>
    <row r="43" ht="22.5" customHeight="1">
      <c r="A43" s="86">
        <v>6.0</v>
      </c>
      <c r="B43" s="87" t="s">
        <v>17</v>
      </c>
      <c r="C43" s="87" t="s">
        <v>23</v>
      </c>
      <c r="D43" s="88" t="s">
        <v>1312</v>
      </c>
      <c r="E43" s="89">
        <v>45659.0</v>
      </c>
      <c r="F43" s="87" t="s">
        <v>1145</v>
      </c>
      <c r="H43" s="12"/>
      <c r="I43" s="12"/>
      <c r="J43" s="12"/>
      <c r="K43" s="12"/>
      <c r="L43" s="12"/>
      <c r="M43" s="12"/>
      <c r="N43" s="12"/>
      <c r="O43" s="12"/>
      <c r="P43" s="12"/>
    </row>
    <row r="44" ht="22.5" customHeight="1">
      <c r="A44" s="77">
        <v>7.0</v>
      </c>
      <c r="B44" s="78" t="s">
        <v>44</v>
      </c>
      <c r="C44" s="78" t="s">
        <v>23</v>
      </c>
      <c r="D44" s="83" t="s">
        <v>1313</v>
      </c>
      <c r="E44" s="84">
        <v>46082.0</v>
      </c>
      <c r="F44" s="78" t="s">
        <v>719</v>
      </c>
      <c r="H44" s="12"/>
      <c r="I44" s="12"/>
      <c r="J44" s="12"/>
      <c r="K44" s="12"/>
      <c r="L44" s="12"/>
      <c r="M44" s="12"/>
      <c r="N44" s="12"/>
      <c r="O44" s="12"/>
      <c r="P44" s="12"/>
    </row>
    <row r="45" ht="22.5" customHeight="1">
      <c r="A45" s="90">
        <v>8.0</v>
      </c>
      <c r="B45" s="91" t="s">
        <v>23</v>
      </c>
      <c r="C45" s="91" t="s">
        <v>27</v>
      </c>
      <c r="D45" s="92"/>
      <c r="E45" s="93"/>
      <c r="F45" s="94" t="s">
        <v>507</v>
      </c>
      <c r="H45" s="12"/>
      <c r="I45" s="12"/>
      <c r="J45" s="12"/>
      <c r="K45" s="12"/>
      <c r="L45" s="12"/>
      <c r="M45" s="12"/>
      <c r="N45" s="12"/>
      <c r="O45" s="12"/>
      <c r="P45" s="12"/>
    </row>
    <row r="46">
      <c r="A46" s="15"/>
      <c r="D46" s="95"/>
      <c r="E46" s="14"/>
      <c r="H46" s="12"/>
      <c r="I46" s="12"/>
      <c r="J46" s="12"/>
      <c r="K46" s="12"/>
      <c r="L46" s="12"/>
      <c r="M46" s="12"/>
      <c r="N46" s="12"/>
      <c r="O46" s="12"/>
      <c r="P46" s="12"/>
    </row>
    <row r="47">
      <c r="A47" s="15"/>
      <c r="D47" s="95"/>
      <c r="E47" s="14"/>
      <c r="H47" s="12"/>
      <c r="I47" s="12"/>
      <c r="J47" s="12"/>
      <c r="K47" s="12"/>
      <c r="L47" s="12"/>
      <c r="M47" s="12"/>
      <c r="N47" s="12"/>
      <c r="O47" s="12"/>
      <c r="P47" s="12"/>
    </row>
    <row r="48">
      <c r="A48" s="15"/>
      <c r="D48" s="95"/>
      <c r="E48" s="14"/>
      <c r="H48" s="12"/>
      <c r="I48" s="12"/>
      <c r="J48" s="12"/>
      <c r="K48" s="12"/>
      <c r="L48" s="12"/>
      <c r="M48" s="12"/>
      <c r="N48" s="12"/>
      <c r="O48" s="12"/>
      <c r="P48" s="12"/>
    </row>
    <row r="49">
      <c r="A49" s="15"/>
      <c r="D49" s="95"/>
      <c r="E49" s="14"/>
      <c r="H49" s="12"/>
      <c r="I49" s="12"/>
      <c r="J49" s="12"/>
      <c r="K49" s="12"/>
      <c r="L49" s="12"/>
      <c r="M49" s="12"/>
      <c r="N49" s="12"/>
      <c r="O49" s="12"/>
      <c r="P49" s="12"/>
    </row>
    <row r="50">
      <c r="A50" s="15"/>
      <c r="D50" s="95"/>
      <c r="E50" s="14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15"/>
      <c r="D51" s="95"/>
      <c r="E51" s="14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5"/>
      <c r="D52" s="95"/>
      <c r="E52" s="14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5"/>
      <c r="D53" s="95"/>
      <c r="E53" s="14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5"/>
      <c r="D54" s="95"/>
      <c r="E54" s="14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5"/>
      <c r="D55" s="95"/>
      <c r="E55" s="14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5"/>
      <c r="D56" s="95"/>
      <c r="E56" s="14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15"/>
      <c r="D57" s="95"/>
      <c r="E57" s="14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15"/>
      <c r="D58" s="95"/>
      <c r="E58" s="14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5"/>
      <c r="D59" s="95"/>
      <c r="E59" s="14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15"/>
      <c r="D60" s="95"/>
      <c r="E60" s="14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15"/>
      <c r="D61" s="95"/>
      <c r="E61" s="14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15"/>
      <c r="D62" s="95"/>
      <c r="E62" s="14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5"/>
      <c r="D63" s="95"/>
      <c r="E63" s="14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15"/>
      <c r="D64" s="95"/>
      <c r="E64" s="14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15"/>
      <c r="D65" s="95"/>
      <c r="E65" s="14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15"/>
      <c r="D66" s="95"/>
      <c r="E66" s="14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15"/>
      <c r="D67" s="95"/>
      <c r="E67" s="14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5"/>
      <c r="D68" s="95"/>
      <c r="E68" s="14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5"/>
      <c r="D69" s="95"/>
      <c r="E69" s="14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15"/>
      <c r="D70" s="95"/>
      <c r="E70" s="14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15"/>
      <c r="D71" s="95"/>
      <c r="E71" s="14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15"/>
      <c r="D72" s="95"/>
      <c r="E72" s="14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15"/>
      <c r="D73" s="95"/>
      <c r="E73" s="14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15"/>
      <c r="D74" s="95"/>
      <c r="E74" s="14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15"/>
      <c r="D75" s="95"/>
      <c r="E75" s="14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15"/>
      <c r="D76" s="95"/>
      <c r="E76" s="14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5"/>
      <c r="D77" s="95"/>
      <c r="E77" s="14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5"/>
      <c r="D78" s="95"/>
      <c r="E78" s="14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5"/>
      <c r="D79" s="95"/>
      <c r="E79" s="14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5"/>
      <c r="D80" s="95"/>
      <c r="E80" s="14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5"/>
      <c r="D81" s="95"/>
      <c r="E81" s="14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5"/>
      <c r="D82" s="95"/>
      <c r="E82" s="14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15"/>
      <c r="D83" s="95"/>
      <c r="E83" s="14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15"/>
      <c r="D84" s="95"/>
      <c r="E84" s="14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5"/>
      <c r="D85" s="95"/>
      <c r="E85" s="14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15"/>
      <c r="D86" s="95"/>
      <c r="E86" s="14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5"/>
      <c r="D87" s="95"/>
      <c r="E87" s="14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15"/>
      <c r="D88" s="95"/>
      <c r="E88" s="14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15"/>
      <c r="D89" s="95"/>
      <c r="E89" s="14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5"/>
      <c r="D90" s="95"/>
      <c r="E90" s="14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15"/>
      <c r="D91" s="95"/>
      <c r="E91" s="14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15"/>
      <c r="D92" s="95"/>
      <c r="E92" s="14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15"/>
      <c r="D93" s="95"/>
      <c r="E93" s="14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15"/>
      <c r="D94" s="95"/>
      <c r="E94" s="14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15"/>
      <c r="D95" s="95"/>
      <c r="E95" s="14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5"/>
      <c r="D96" s="95"/>
      <c r="E96" s="14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15"/>
      <c r="D97" s="95"/>
      <c r="E97" s="14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15"/>
      <c r="D98" s="95"/>
      <c r="E98" s="14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15"/>
      <c r="D99" s="95"/>
      <c r="E99" s="14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5"/>
      <c r="D100" s="95"/>
      <c r="E100" s="14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A101" s="15"/>
      <c r="D101" s="95"/>
      <c r="E101" s="14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A102" s="15"/>
      <c r="D102" s="95"/>
      <c r="E102" s="14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5"/>
      <c r="D103" s="95"/>
      <c r="E103" s="14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A104" s="15"/>
      <c r="D104" s="95"/>
      <c r="E104" s="14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A105" s="15"/>
      <c r="D105" s="95"/>
      <c r="E105" s="14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A106" s="15"/>
      <c r="D106" s="95"/>
      <c r="E106" s="14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A107" s="15"/>
      <c r="D107" s="95"/>
      <c r="E107" s="14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A108" s="15"/>
      <c r="D108" s="95"/>
      <c r="E108" s="14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A109" s="15"/>
      <c r="D109" s="95"/>
      <c r="E109" s="14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A110" s="15"/>
      <c r="D110" s="95"/>
      <c r="E110" s="14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A111" s="15"/>
      <c r="D111" s="95"/>
      <c r="E111" s="14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A112" s="15"/>
      <c r="D112" s="95"/>
      <c r="E112" s="14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A113" s="15"/>
      <c r="D113" s="95"/>
      <c r="E113" s="14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A114" s="15"/>
      <c r="D114" s="95"/>
      <c r="E114" s="14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A115" s="15"/>
      <c r="D115" s="95"/>
      <c r="E115" s="14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A116" s="15"/>
      <c r="D116" s="95"/>
      <c r="E116" s="14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A117" s="15"/>
      <c r="D117" s="95"/>
      <c r="E117" s="14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A118" s="15"/>
      <c r="D118" s="95"/>
      <c r="E118" s="14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A119" s="15"/>
      <c r="D119" s="95"/>
      <c r="E119" s="14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A120" s="15"/>
      <c r="D120" s="95"/>
      <c r="E120" s="14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A121" s="15"/>
      <c r="D121" s="95"/>
      <c r="E121" s="14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A122" s="15"/>
      <c r="D122" s="95"/>
      <c r="E122" s="14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A123" s="15"/>
      <c r="D123" s="95"/>
      <c r="E123" s="14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A124" s="15"/>
      <c r="D124" s="95"/>
      <c r="E124" s="14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A125" s="15"/>
      <c r="D125" s="95"/>
      <c r="E125" s="14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A126" s="15"/>
      <c r="D126" s="95"/>
      <c r="E126" s="14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A127" s="15"/>
      <c r="D127" s="95"/>
      <c r="E127" s="14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A128" s="15"/>
      <c r="D128" s="95"/>
      <c r="E128" s="14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A129" s="15"/>
      <c r="D129" s="95"/>
      <c r="E129" s="14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A130" s="15"/>
      <c r="D130" s="95"/>
      <c r="E130" s="14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A131" s="15"/>
      <c r="D131" s="95"/>
      <c r="E131" s="14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A132" s="15"/>
      <c r="D132" s="95"/>
      <c r="E132" s="14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A133" s="15"/>
      <c r="D133" s="95"/>
      <c r="E133" s="14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A134" s="15"/>
      <c r="D134" s="95"/>
      <c r="E134" s="14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A135" s="15"/>
      <c r="D135" s="95"/>
      <c r="E135" s="14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A136" s="15"/>
      <c r="D136" s="95"/>
      <c r="E136" s="14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A137" s="15"/>
      <c r="D137" s="95"/>
      <c r="E137" s="14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A138" s="15"/>
      <c r="D138" s="95"/>
      <c r="E138" s="14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A139" s="15"/>
      <c r="D139" s="95"/>
      <c r="E139" s="14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A140" s="15"/>
      <c r="D140" s="95"/>
      <c r="E140" s="14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A141" s="15"/>
      <c r="D141" s="95"/>
      <c r="E141" s="14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A142" s="15"/>
      <c r="D142" s="95"/>
      <c r="E142" s="14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A143" s="15"/>
      <c r="D143" s="95"/>
      <c r="E143" s="14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A144" s="15"/>
      <c r="D144" s="95"/>
      <c r="E144" s="14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A145" s="15"/>
      <c r="D145" s="95"/>
      <c r="E145" s="14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A146" s="15"/>
      <c r="D146" s="95"/>
      <c r="E146" s="14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A147" s="15"/>
      <c r="D147" s="95"/>
      <c r="E147" s="14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A148" s="15"/>
      <c r="D148" s="95"/>
      <c r="E148" s="14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A149" s="15"/>
      <c r="D149" s="95"/>
      <c r="E149" s="14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A150" s="15"/>
      <c r="D150" s="95"/>
      <c r="E150" s="14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A151" s="15"/>
      <c r="D151" s="95"/>
      <c r="E151" s="14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A152" s="15"/>
      <c r="D152" s="95"/>
      <c r="E152" s="14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A153" s="15"/>
      <c r="D153" s="95"/>
      <c r="E153" s="14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A154" s="15"/>
      <c r="D154" s="95"/>
      <c r="E154" s="14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A155" s="15"/>
      <c r="D155" s="95"/>
      <c r="E155" s="14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A156" s="15"/>
      <c r="D156" s="95"/>
      <c r="E156" s="14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A157" s="15"/>
      <c r="D157" s="95"/>
      <c r="E157" s="14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A158" s="15"/>
      <c r="D158" s="95"/>
      <c r="E158" s="14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A159" s="15"/>
      <c r="D159" s="95"/>
      <c r="E159" s="14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A160" s="15"/>
      <c r="D160" s="95"/>
      <c r="E160" s="14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A161" s="15"/>
      <c r="D161" s="95"/>
      <c r="E161" s="14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A162" s="15"/>
      <c r="D162" s="95"/>
      <c r="E162" s="14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A163" s="15"/>
      <c r="D163" s="95"/>
      <c r="E163" s="14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A164" s="15"/>
      <c r="D164" s="95"/>
      <c r="E164" s="14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A165" s="15"/>
      <c r="D165" s="95"/>
      <c r="E165" s="14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A166" s="15"/>
      <c r="D166" s="95"/>
      <c r="E166" s="14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A167" s="15"/>
      <c r="D167" s="95"/>
      <c r="E167" s="14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A168" s="15"/>
      <c r="D168" s="95"/>
      <c r="E168" s="14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A169" s="15"/>
      <c r="D169" s="95"/>
      <c r="E169" s="14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A170" s="15"/>
      <c r="D170" s="95"/>
      <c r="E170" s="14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A171" s="15"/>
      <c r="D171" s="95"/>
      <c r="E171" s="14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A172" s="15"/>
      <c r="D172" s="95"/>
      <c r="E172" s="14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A173" s="15"/>
      <c r="D173" s="95"/>
      <c r="E173" s="14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A174" s="15"/>
      <c r="D174" s="95"/>
      <c r="E174" s="14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A175" s="15"/>
      <c r="D175" s="95"/>
      <c r="E175" s="14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A176" s="15"/>
      <c r="D176" s="95"/>
      <c r="E176" s="14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A177" s="15"/>
      <c r="D177" s="95"/>
      <c r="E177" s="14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A178" s="15"/>
      <c r="D178" s="95"/>
      <c r="E178" s="14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A179" s="15"/>
      <c r="D179" s="95"/>
      <c r="E179" s="14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A180" s="15"/>
      <c r="D180" s="95"/>
      <c r="E180" s="14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A181" s="15"/>
      <c r="D181" s="95"/>
      <c r="E181" s="14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A182" s="15"/>
      <c r="D182" s="95"/>
      <c r="E182" s="14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A183" s="15"/>
      <c r="D183" s="95"/>
      <c r="E183" s="14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A184" s="15"/>
      <c r="D184" s="95"/>
      <c r="E184" s="14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A185" s="15"/>
      <c r="D185" s="95"/>
      <c r="E185" s="14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A186" s="15"/>
      <c r="D186" s="95"/>
      <c r="E186" s="14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A187" s="15"/>
      <c r="D187" s="95"/>
      <c r="E187" s="14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A188" s="15"/>
      <c r="D188" s="95"/>
      <c r="E188" s="14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A189" s="15"/>
      <c r="D189" s="95"/>
      <c r="E189" s="14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A190" s="15"/>
      <c r="D190" s="95"/>
      <c r="E190" s="14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A191" s="15"/>
      <c r="D191" s="95"/>
      <c r="E191" s="14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A192" s="15"/>
      <c r="D192" s="95"/>
      <c r="E192" s="14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A193" s="15"/>
      <c r="D193" s="95"/>
      <c r="E193" s="14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A194" s="15"/>
      <c r="D194" s="95"/>
      <c r="E194" s="14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A195" s="15"/>
      <c r="D195" s="95"/>
      <c r="E195" s="14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A196" s="15"/>
      <c r="D196" s="95"/>
      <c r="E196" s="14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A197" s="15"/>
      <c r="D197" s="95"/>
      <c r="E197" s="14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A198" s="15"/>
      <c r="D198" s="95"/>
      <c r="E198" s="14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A199" s="15"/>
      <c r="D199" s="95"/>
      <c r="E199" s="14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A200" s="15"/>
      <c r="D200" s="95"/>
      <c r="E200" s="14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A201" s="15"/>
      <c r="D201" s="95"/>
      <c r="E201" s="14"/>
      <c r="H201" s="12"/>
      <c r="I201" s="12"/>
      <c r="J201" s="12"/>
      <c r="K201" s="12"/>
      <c r="L201" s="12"/>
      <c r="M201" s="12"/>
      <c r="N201" s="12"/>
      <c r="O201" s="12"/>
      <c r="P201" s="12"/>
    </row>
    <row r="202">
      <c r="A202" s="15"/>
      <c r="D202" s="95"/>
      <c r="E202" s="14"/>
      <c r="H202" s="12"/>
      <c r="I202" s="12"/>
      <c r="J202" s="12"/>
      <c r="K202" s="12"/>
      <c r="L202" s="12"/>
      <c r="M202" s="12"/>
      <c r="N202" s="12"/>
      <c r="O202" s="12"/>
      <c r="P202" s="12"/>
    </row>
    <row r="203">
      <c r="A203" s="15"/>
      <c r="D203" s="95"/>
      <c r="E203" s="14"/>
      <c r="H203" s="12"/>
      <c r="I203" s="12"/>
      <c r="J203" s="12"/>
      <c r="K203" s="12"/>
      <c r="L203" s="12"/>
      <c r="M203" s="12"/>
      <c r="N203" s="12"/>
      <c r="O203" s="12"/>
      <c r="P203" s="12"/>
    </row>
    <row r="204">
      <c r="A204" s="15"/>
      <c r="D204" s="95"/>
      <c r="E204" s="14"/>
      <c r="H204" s="12"/>
      <c r="I204" s="12"/>
      <c r="J204" s="12"/>
      <c r="K204" s="12"/>
      <c r="L204" s="12"/>
      <c r="M204" s="12"/>
      <c r="N204" s="12"/>
      <c r="O204" s="12"/>
      <c r="P204" s="12"/>
    </row>
    <row r="205">
      <c r="A205" s="15"/>
      <c r="D205" s="95"/>
      <c r="E205" s="14"/>
      <c r="H205" s="12"/>
      <c r="I205" s="12"/>
      <c r="J205" s="12"/>
      <c r="K205" s="12"/>
      <c r="L205" s="12"/>
      <c r="M205" s="12"/>
      <c r="N205" s="12"/>
      <c r="O205" s="12"/>
      <c r="P205" s="12"/>
    </row>
    <row r="206">
      <c r="A206" s="15"/>
      <c r="D206" s="95"/>
      <c r="E206" s="14"/>
      <c r="H206" s="12"/>
      <c r="I206" s="12"/>
      <c r="J206" s="12"/>
      <c r="K206" s="12"/>
      <c r="L206" s="12"/>
      <c r="M206" s="12"/>
      <c r="N206" s="12"/>
      <c r="O206" s="12"/>
      <c r="P206" s="12"/>
    </row>
    <row r="207">
      <c r="A207" s="15"/>
      <c r="D207" s="95"/>
      <c r="E207" s="14"/>
      <c r="H207" s="12"/>
      <c r="I207" s="12"/>
      <c r="J207" s="12"/>
      <c r="K207" s="12"/>
      <c r="L207" s="12"/>
      <c r="M207" s="12"/>
      <c r="N207" s="12"/>
      <c r="O207" s="12"/>
      <c r="P207" s="12"/>
    </row>
    <row r="208">
      <c r="A208" s="15"/>
      <c r="D208" s="95"/>
      <c r="E208" s="14"/>
      <c r="H208" s="12"/>
      <c r="I208" s="12"/>
      <c r="J208" s="12"/>
      <c r="K208" s="12"/>
      <c r="L208" s="12"/>
      <c r="M208" s="12"/>
      <c r="N208" s="12"/>
      <c r="O208" s="12"/>
      <c r="P208" s="12"/>
    </row>
    <row r="209">
      <c r="A209" s="15"/>
      <c r="D209" s="95"/>
      <c r="E209" s="14"/>
      <c r="H209" s="12"/>
      <c r="I209" s="12"/>
      <c r="J209" s="12"/>
      <c r="K209" s="12"/>
      <c r="L209" s="12"/>
      <c r="M209" s="12"/>
      <c r="N209" s="12"/>
      <c r="O209" s="12"/>
      <c r="P209" s="12"/>
    </row>
    <row r="210">
      <c r="A210" s="15"/>
      <c r="D210" s="95"/>
      <c r="E210" s="14"/>
      <c r="H210" s="12"/>
      <c r="I210" s="12"/>
      <c r="J210" s="12"/>
      <c r="K210" s="12"/>
      <c r="L210" s="12"/>
      <c r="M210" s="12"/>
      <c r="N210" s="12"/>
      <c r="O210" s="12"/>
      <c r="P210" s="12"/>
    </row>
    <row r="211">
      <c r="A211" s="15"/>
      <c r="D211" s="95"/>
      <c r="E211" s="14"/>
      <c r="H211" s="12"/>
      <c r="I211" s="12"/>
      <c r="J211" s="12"/>
      <c r="K211" s="12"/>
      <c r="L211" s="12"/>
      <c r="M211" s="12"/>
      <c r="N211" s="12"/>
      <c r="O211" s="12"/>
      <c r="P211" s="12"/>
    </row>
    <row r="212">
      <c r="A212" s="15"/>
      <c r="D212" s="95"/>
      <c r="E212" s="14"/>
      <c r="H212" s="12"/>
      <c r="I212" s="12"/>
      <c r="J212" s="12"/>
      <c r="K212" s="12"/>
      <c r="L212" s="12"/>
      <c r="M212" s="12"/>
      <c r="N212" s="12"/>
      <c r="O212" s="12"/>
      <c r="P212" s="12"/>
    </row>
    <row r="213">
      <c r="A213" s="15"/>
      <c r="D213" s="95"/>
      <c r="E213" s="14"/>
      <c r="H213" s="12"/>
      <c r="I213" s="12"/>
      <c r="J213" s="12"/>
      <c r="K213" s="12"/>
      <c r="L213" s="12"/>
      <c r="M213" s="12"/>
      <c r="N213" s="12"/>
      <c r="O213" s="12"/>
      <c r="P213" s="12"/>
    </row>
    <row r="214">
      <c r="A214" s="15"/>
      <c r="D214" s="95"/>
      <c r="E214" s="14"/>
      <c r="H214" s="12"/>
      <c r="I214" s="12"/>
      <c r="J214" s="12"/>
      <c r="K214" s="12"/>
      <c r="L214" s="12"/>
      <c r="M214" s="12"/>
      <c r="N214" s="12"/>
      <c r="O214" s="12"/>
      <c r="P214" s="12"/>
    </row>
    <row r="215">
      <c r="A215" s="15"/>
      <c r="D215" s="95"/>
      <c r="E215" s="14"/>
      <c r="H215" s="12"/>
      <c r="I215" s="12"/>
      <c r="J215" s="12"/>
      <c r="K215" s="12"/>
      <c r="L215" s="12"/>
      <c r="M215" s="12"/>
      <c r="N215" s="12"/>
      <c r="O215" s="12"/>
      <c r="P215" s="12"/>
    </row>
    <row r="216">
      <c r="A216" s="15"/>
      <c r="D216" s="95"/>
      <c r="E216" s="14"/>
      <c r="H216" s="12"/>
      <c r="I216" s="12"/>
      <c r="J216" s="12"/>
      <c r="K216" s="12"/>
      <c r="L216" s="12"/>
      <c r="M216" s="12"/>
      <c r="N216" s="12"/>
      <c r="O216" s="12"/>
      <c r="P216" s="12"/>
    </row>
    <row r="217">
      <c r="A217" s="15"/>
      <c r="D217" s="95"/>
      <c r="E217" s="14"/>
      <c r="H217" s="12"/>
      <c r="I217" s="12"/>
      <c r="J217" s="12"/>
      <c r="K217" s="12"/>
      <c r="L217" s="12"/>
      <c r="M217" s="12"/>
      <c r="N217" s="12"/>
      <c r="O217" s="12"/>
      <c r="P217" s="12"/>
    </row>
    <row r="218">
      <c r="A218" s="15"/>
      <c r="D218" s="95"/>
      <c r="E218" s="14"/>
      <c r="H218" s="12"/>
      <c r="I218" s="12"/>
      <c r="J218" s="12"/>
      <c r="K218" s="12"/>
      <c r="L218" s="12"/>
      <c r="M218" s="12"/>
      <c r="N218" s="12"/>
      <c r="O218" s="12"/>
      <c r="P218" s="12"/>
    </row>
    <row r="219">
      <c r="A219" s="15"/>
      <c r="D219" s="95"/>
      <c r="E219" s="14"/>
      <c r="H219" s="12"/>
      <c r="I219" s="12"/>
      <c r="J219" s="12"/>
      <c r="K219" s="12"/>
      <c r="L219" s="12"/>
      <c r="M219" s="12"/>
      <c r="N219" s="12"/>
      <c r="O219" s="12"/>
      <c r="P219" s="12"/>
    </row>
    <row r="220">
      <c r="A220" s="15"/>
      <c r="D220" s="95"/>
      <c r="E220" s="14"/>
      <c r="H220" s="12"/>
      <c r="I220" s="12"/>
      <c r="J220" s="12"/>
      <c r="K220" s="12"/>
      <c r="L220" s="12"/>
      <c r="M220" s="12"/>
      <c r="N220" s="12"/>
      <c r="O220" s="12"/>
      <c r="P220" s="12"/>
    </row>
    <row r="221">
      <c r="A221" s="15"/>
      <c r="D221" s="95"/>
      <c r="E221" s="14"/>
      <c r="H221" s="12"/>
      <c r="I221" s="12"/>
      <c r="J221" s="12"/>
      <c r="K221" s="12"/>
      <c r="L221" s="12"/>
      <c r="M221" s="12"/>
      <c r="N221" s="12"/>
      <c r="O221" s="12"/>
      <c r="P221" s="12"/>
    </row>
    <row r="222">
      <c r="A222" s="15"/>
      <c r="D222" s="95"/>
      <c r="E222" s="14"/>
      <c r="H222" s="12"/>
      <c r="I222" s="12"/>
      <c r="J222" s="12"/>
      <c r="K222" s="12"/>
      <c r="L222" s="12"/>
      <c r="M222" s="12"/>
      <c r="N222" s="12"/>
      <c r="O222" s="12"/>
      <c r="P222" s="12"/>
    </row>
    <row r="223">
      <c r="A223" s="15"/>
      <c r="D223" s="95"/>
      <c r="E223" s="14"/>
      <c r="H223" s="12"/>
      <c r="I223" s="12"/>
      <c r="J223" s="12"/>
      <c r="K223" s="12"/>
      <c r="L223" s="12"/>
      <c r="M223" s="12"/>
      <c r="N223" s="12"/>
      <c r="O223" s="12"/>
      <c r="P223" s="12"/>
    </row>
    <row r="224">
      <c r="A224" s="15"/>
      <c r="D224" s="95"/>
      <c r="E224" s="14"/>
      <c r="H224" s="12"/>
      <c r="I224" s="12"/>
      <c r="J224" s="12"/>
      <c r="K224" s="12"/>
      <c r="L224" s="12"/>
      <c r="M224" s="12"/>
      <c r="N224" s="12"/>
      <c r="O224" s="12"/>
      <c r="P224" s="12"/>
    </row>
    <row r="225">
      <c r="A225" s="15"/>
      <c r="D225" s="95"/>
      <c r="E225" s="14"/>
      <c r="H225" s="12"/>
      <c r="I225" s="12"/>
      <c r="J225" s="12"/>
      <c r="K225" s="12"/>
      <c r="L225" s="12"/>
      <c r="M225" s="12"/>
      <c r="N225" s="12"/>
      <c r="O225" s="12"/>
      <c r="P225" s="12"/>
    </row>
    <row r="226">
      <c r="A226" s="15"/>
      <c r="D226" s="95"/>
      <c r="E226" s="14"/>
      <c r="H226" s="12"/>
      <c r="I226" s="12"/>
      <c r="J226" s="12"/>
      <c r="K226" s="12"/>
      <c r="L226" s="12"/>
      <c r="M226" s="12"/>
      <c r="N226" s="12"/>
      <c r="O226" s="12"/>
      <c r="P226" s="12"/>
    </row>
    <row r="227">
      <c r="A227" s="15"/>
      <c r="D227" s="95"/>
      <c r="E227" s="14"/>
      <c r="H227" s="12"/>
      <c r="I227" s="12"/>
      <c r="J227" s="12"/>
      <c r="K227" s="12"/>
      <c r="L227" s="12"/>
      <c r="M227" s="12"/>
      <c r="N227" s="12"/>
      <c r="O227" s="12"/>
      <c r="P227" s="12"/>
    </row>
    <row r="228">
      <c r="A228" s="15"/>
      <c r="D228" s="95"/>
      <c r="E228" s="14"/>
      <c r="H228" s="12"/>
      <c r="I228" s="12"/>
      <c r="J228" s="12"/>
      <c r="K228" s="12"/>
      <c r="L228" s="12"/>
      <c r="M228" s="12"/>
      <c r="N228" s="12"/>
      <c r="O228" s="12"/>
      <c r="P228" s="12"/>
    </row>
    <row r="229">
      <c r="A229" s="15"/>
      <c r="D229" s="95"/>
      <c r="E229" s="14"/>
      <c r="H229" s="12"/>
      <c r="I229" s="12"/>
      <c r="J229" s="12"/>
      <c r="K229" s="12"/>
      <c r="L229" s="12"/>
      <c r="M229" s="12"/>
      <c r="N229" s="12"/>
      <c r="O229" s="12"/>
      <c r="P229" s="12"/>
    </row>
    <row r="230">
      <c r="A230" s="15"/>
      <c r="D230" s="95"/>
      <c r="E230" s="14"/>
      <c r="H230" s="12"/>
      <c r="I230" s="12"/>
      <c r="J230" s="12"/>
      <c r="K230" s="12"/>
      <c r="L230" s="12"/>
      <c r="M230" s="12"/>
      <c r="N230" s="12"/>
      <c r="O230" s="12"/>
      <c r="P230" s="12"/>
    </row>
    <row r="231">
      <c r="A231" s="15"/>
      <c r="D231" s="95"/>
      <c r="E231" s="14"/>
      <c r="H231" s="12"/>
      <c r="I231" s="12"/>
      <c r="J231" s="12"/>
      <c r="K231" s="12"/>
      <c r="L231" s="12"/>
      <c r="M231" s="12"/>
      <c r="N231" s="12"/>
      <c r="O231" s="12"/>
      <c r="P231" s="12"/>
    </row>
    <row r="232">
      <c r="A232" s="15"/>
      <c r="D232" s="95"/>
      <c r="E232" s="14"/>
      <c r="H232" s="12"/>
      <c r="I232" s="12"/>
      <c r="J232" s="12"/>
      <c r="K232" s="12"/>
      <c r="L232" s="12"/>
      <c r="M232" s="12"/>
      <c r="N232" s="12"/>
      <c r="O232" s="12"/>
      <c r="P232" s="12"/>
    </row>
    <row r="233">
      <c r="A233" s="15"/>
      <c r="D233" s="95"/>
      <c r="E233" s="14"/>
      <c r="H233" s="12"/>
      <c r="I233" s="12"/>
      <c r="J233" s="12"/>
      <c r="K233" s="12"/>
      <c r="L233" s="12"/>
      <c r="M233" s="12"/>
      <c r="N233" s="12"/>
      <c r="O233" s="12"/>
      <c r="P233" s="12"/>
    </row>
    <row r="234">
      <c r="A234" s="15"/>
      <c r="D234" s="95"/>
      <c r="E234" s="14"/>
      <c r="H234" s="12"/>
      <c r="I234" s="12"/>
      <c r="J234" s="12"/>
      <c r="K234" s="12"/>
      <c r="L234" s="12"/>
      <c r="M234" s="12"/>
      <c r="N234" s="12"/>
      <c r="O234" s="12"/>
      <c r="P234" s="12"/>
    </row>
    <row r="235">
      <c r="A235" s="15"/>
      <c r="D235" s="95"/>
      <c r="E235" s="14"/>
      <c r="H235" s="12"/>
      <c r="I235" s="12"/>
      <c r="J235" s="12"/>
      <c r="K235" s="12"/>
      <c r="L235" s="12"/>
      <c r="M235" s="12"/>
      <c r="N235" s="12"/>
      <c r="O235" s="12"/>
      <c r="P235" s="12"/>
    </row>
    <row r="236">
      <c r="A236" s="15"/>
      <c r="D236" s="95"/>
      <c r="E236" s="14"/>
      <c r="H236" s="12"/>
      <c r="I236" s="12"/>
      <c r="J236" s="12"/>
      <c r="K236" s="12"/>
      <c r="L236" s="12"/>
      <c r="M236" s="12"/>
      <c r="N236" s="12"/>
      <c r="O236" s="12"/>
      <c r="P236" s="12"/>
    </row>
    <row r="237">
      <c r="A237" s="15"/>
      <c r="D237" s="95"/>
      <c r="E237" s="14"/>
      <c r="H237" s="12"/>
      <c r="I237" s="12"/>
      <c r="J237" s="12"/>
      <c r="K237" s="12"/>
      <c r="L237" s="12"/>
      <c r="M237" s="12"/>
      <c r="N237" s="12"/>
      <c r="O237" s="12"/>
      <c r="P237" s="12"/>
    </row>
    <row r="238">
      <c r="A238" s="15"/>
      <c r="D238" s="95"/>
      <c r="E238" s="14"/>
      <c r="H238" s="12"/>
      <c r="I238" s="12"/>
      <c r="J238" s="12"/>
      <c r="K238" s="12"/>
      <c r="L238" s="12"/>
      <c r="M238" s="12"/>
      <c r="N238" s="12"/>
      <c r="O238" s="12"/>
      <c r="P238" s="12"/>
    </row>
    <row r="239">
      <c r="A239" s="15"/>
      <c r="D239" s="95"/>
      <c r="E239" s="14"/>
      <c r="H239" s="12"/>
      <c r="I239" s="12"/>
      <c r="J239" s="12"/>
      <c r="K239" s="12"/>
      <c r="L239" s="12"/>
      <c r="M239" s="12"/>
      <c r="N239" s="12"/>
      <c r="O239" s="12"/>
      <c r="P239" s="12"/>
    </row>
    <row r="240">
      <c r="A240" s="15"/>
      <c r="D240" s="95"/>
      <c r="E240" s="14"/>
      <c r="H240" s="12"/>
      <c r="I240" s="12"/>
      <c r="J240" s="12"/>
      <c r="K240" s="12"/>
      <c r="L240" s="12"/>
      <c r="M240" s="12"/>
      <c r="N240" s="12"/>
      <c r="O240" s="12"/>
      <c r="P240" s="12"/>
    </row>
    <row r="241">
      <c r="A241" s="15"/>
      <c r="D241" s="95"/>
      <c r="E241" s="14"/>
      <c r="H241" s="12"/>
      <c r="I241" s="12"/>
      <c r="J241" s="12"/>
      <c r="K241" s="12"/>
      <c r="L241" s="12"/>
      <c r="M241" s="12"/>
      <c r="N241" s="12"/>
      <c r="O241" s="12"/>
      <c r="P241" s="12"/>
    </row>
    <row r="242">
      <c r="A242" s="15"/>
      <c r="D242" s="95"/>
      <c r="E242" s="14"/>
      <c r="H242" s="12"/>
      <c r="I242" s="12"/>
      <c r="J242" s="12"/>
      <c r="K242" s="12"/>
      <c r="L242" s="12"/>
      <c r="M242" s="12"/>
      <c r="N242" s="12"/>
      <c r="O242" s="12"/>
      <c r="P242" s="12"/>
    </row>
    <row r="243">
      <c r="A243" s="15"/>
      <c r="D243" s="95"/>
      <c r="E243" s="14"/>
      <c r="H243" s="12"/>
      <c r="I243" s="12"/>
      <c r="J243" s="12"/>
      <c r="K243" s="12"/>
      <c r="L243" s="12"/>
      <c r="M243" s="12"/>
      <c r="N243" s="12"/>
      <c r="O243" s="12"/>
      <c r="P243" s="12"/>
    </row>
    <row r="244">
      <c r="A244" s="15"/>
      <c r="D244" s="95"/>
      <c r="E244" s="14"/>
      <c r="H244" s="12"/>
      <c r="I244" s="12"/>
      <c r="J244" s="12"/>
      <c r="K244" s="12"/>
      <c r="L244" s="12"/>
      <c r="M244" s="12"/>
      <c r="N244" s="12"/>
      <c r="O244" s="12"/>
      <c r="P244" s="12"/>
    </row>
    <row r="245">
      <c r="A245" s="15"/>
      <c r="D245" s="95"/>
      <c r="E245" s="14"/>
      <c r="H245" s="12"/>
      <c r="I245" s="12"/>
      <c r="J245" s="12"/>
      <c r="K245" s="12"/>
      <c r="L245" s="12"/>
      <c r="M245" s="12"/>
      <c r="N245" s="12"/>
      <c r="O245" s="12"/>
      <c r="P245" s="12"/>
    </row>
    <row r="246">
      <c r="A246" s="15"/>
      <c r="D246" s="95"/>
      <c r="E246" s="14"/>
      <c r="H246" s="12"/>
      <c r="I246" s="12"/>
      <c r="J246" s="12"/>
      <c r="K246" s="12"/>
      <c r="L246" s="12"/>
      <c r="M246" s="12"/>
      <c r="N246" s="12"/>
      <c r="O246" s="12"/>
      <c r="P246" s="12"/>
    </row>
    <row r="247">
      <c r="A247" s="15"/>
      <c r="D247" s="95"/>
      <c r="E247" s="14"/>
      <c r="H247" s="12"/>
      <c r="I247" s="12"/>
      <c r="J247" s="12"/>
      <c r="K247" s="12"/>
      <c r="L247" s="12"/>
      <c r="M247" s="12"/>
      <c r="N247" s="12"/>
      <c r="O247" s="12"/>
      <c r="P247" s="12"/>
    </row>
    <row r="248">
      <c r="A248" s="15"/>
      <c r="D248" s="95"/>
      <c r="E248" s="14"/>
      <c r="H248" s="12"/>
      <c r="I248" s="12"/>
      <c r="J248" s="12"/>
      <c r="K248" s="12"/>
      <c r="L248" s="12"/>
      <c r="M248" s="12"/>
      <c r="N248" s="12"/>
      <c r="O248" s="12"/>
      <c r="P248" s="12"/>
    </row>
    <row r="249">
      <c r="A249" s="15"/>
      <c r="D249" s="95"/>
      <c r="E249" s="14"/>
      <c r="H249" s="12"/>
      <c r="I249" s="12"/>
      <c r="J249" s="12"/>
      <c r="K249" s="12"/>
      <c r="L249" s="12"/>
      <c r="M249" s="12"/>
      <c r="N249" s="12"/>
      <c r="O249" s="12"/>
      <c r="P249" s="12"/>
    </row>
    <row r="250">
      <c r="A250" s="15"/>
      <c r="D250" s="95"/>
      <c r="E250" s="14"/>
      <c r="H250" s="12"/>
      <c r="I250" s="12"/>
      <c r="J250" s="12"/>
      <c r="K250" s="12"/>
      <c r="L250" s="12"/>
      <c r="M250" s="12"/>
      <c r="N250" s="12"/>
      <c r="O250" s="12"/>
      <c r="P250" s="12"/>
    </row>
    <row r="251">
      <c r="A251" s="15"/>
      <c r="D251" s="95"/>
      <c r="E251" s="14"/>
      <c r="H251" s="12"/>
      <c r="I251" s="12"/>
      <c r="J251" s="12"/>
      <c r="K251" s="12"/>
      <c r="L251" s="12"/>
      <c r="M251" s="12"/>
      <c r="N251" s="12"/>
      <c r="O251" s="12"/>
      <c r="P251" s="12"/>
    </row>
    <row r="252">
      <c r="A252" s="15"/>
      <c r="D252" s="95"/>
      <c r="E252" s="14"/>
      <c r="H252" s="12"/>
      <c r="I252" s="12"/>
      <c r="J252" s="12"/>
      <c r="K252" s="12"/>
      <c r="L252" s="12"/>
      <c r="M252" s="12"/>
      <c r="N252" s="12"/>
      <c r="O252" s="12"/>
      <c r="P252" s="12"/>
    </row>
    <row r="253">
      <c r="A253" s="15"/>
      <c r="D253" s="95"/>
      <c r="E253" s="14"/>
      <c r="H253" s="12"/>
      <c r="I253" s="12"/>
      <c r="J253" s="12"/>
      <c r="K253" s="12"/>
      <c r="L253" s="12"/>
      <c r="M253" s="12"/>
      <c r="N253" s="12"/>
      <c r="O253" s="12"/>
      <c r="P253" s="12"/>
    </row>
    <row r="254">
      <c r="A254" s="15"/>
      <c r="D254" s="95"/>
      <c r="E254" s="14"/>
      <c r="H254" s="12"/>
      <c r="I254" s="12"/>
      <c r="J254" s="12"/>
      <c r="K254" s="12"/>
      <c r="L254" s="12"/>
      <c r="M254" s="12"/>
      <c r="N254" s="12"/>
      <c r="O254" s="12"/>
      <c r="P254" s="12"/>
    </row>
    <row r="255">
      <c r="A255" s="15"/>
      <c r="D255" s="95"/>
      <c r="E255" s="14"/>
      <c r="H255" s="12"/>
      <c r="I255" s="12"/>
      <c r="J255" s="12"/>
      <c r="K255" s="12"/>
      <c r="L255" s="12"/>
      <c r="M255" s="12"/>
      <c r="N255" s="12"/>
      <c r="O255" s="12"/>
      <c r="P255" s="12"/>
    </row>
    <row r="256">
      <c r="A256" s="15"/>
      <c r="D256" s="95"/>
      <c r="E256" s="14"/>
      <c r="H256" s="12"/>
      <c r="I256" s="12"/>
      <c r="J256" s="12"/>
      <c r="K256" s="12"/>
      <c r="L256" s="12"/>
      <c r="M256" s="12"/>
      <c r="N256" s="12"/>
      <c r="O256" s="12"/>
      <c r="P256" s="12"/>
    </row>
    <row r="257">
      <c r="A257" s="15"/>
      <c r="D257" s="95"/>
      <c r="E257" s="14"/>
      <c r="H257" s="12"/>
      <c r="I257" s="12"/>
      <c r="J257" s="12"/>
      <c r="K257" s="12"/>
      <c r="L257" s="12"/>
      <c r="M257" s="12"/>
      <c r="N257" s="12"/>
      <c r="O257" s="12"/>
      <c r="P257" s="12"/>
    </row>
    <row r="258">
      <c r="A258" s="15"/>
      <c r="D258" s="95"/>
      <c r="E258" s="14"/>
      <c r="H258" s="12"/>
      <c r="I258" s="12"/>
      <c r="J258" s="12"/>
      <c r="K258" s="12"/>
      <c r="L258" s="12"/>
      <c r="M258" s="12"/>
      <c r="N258" s="12"/>
      <c r="O258" s="12"/>
      <c r="P258" s="12"/>
    </row>
    <row r="259">
      <c r="A259" s="15"/>
      <c r="D259" s="95"/>
      <c r="E259" s="14"/>
      <c r="H259" s="12"/>
      <c r="I259" s="12"/>
      <c r="J259" s="12"/>
      <c r="K259" s="12"/>
      <c r="L259" s="12"/>
      <c r="M259" s="12"/>
      <c r="N259" s="12"/>
      <c r="O259" s="12"/>
      <c r="P259" s="12"/>
    </row>
    <row r="260">
      <c r="A260" s="15"/>
      <c r="D260" s="95"/>
      <c r="E260" s="14"/>
      <c r="H260" s="12"/>
      <c r="I260" s="12"/>
      <c r="J260" s="12"/>
      <c r="K260" s="12"/>
      <c r="L260" s="12"/>
      <c r="M260" s="12"/>
      <c r="N260" s="12"/>
      <c r="O260" s="12"/>
      <c r="P260" s="12"/>
    </row>
    <row r="261">
      <c r="A261" s="15"/>
      <c r="D261" s="95"/>
      <c r="E261" s="14"/>
      <c r="H261" s="12"/>
      <c r="I261" s="12"/>
      <c r="J261" s="12"/>
      <c r="K261" s="12"/>
      <c r="L261" s="12"/>
      <c r="M261" s="12"/>
      <c r="N261" s="12"/>
      <c r="O261" s="12"/>
      <c r="P261" s="12"/>
    </row>
    <row r="262">
      <c r="A262" s="15"/>
      <c r="D262" s="95"/>
      <c r="E262" s="14"/>
      <c r="H262" s="12"/>
      <c r="I262" s="12"/>
      <c r="J262" s="12"/>
      <c r="K262" s="12"/>
      <c r="L262" s="12"/>
      <c r="M262" s="12"/>
      <c r="N262" s="12"/>
      <c r="O262" s="12"/>
      <c r="P262" s="12"/>
    </row>
    <row r="263">
      <c r="A263" s="15"/>
      <c r="D263" s="95"/>
      <c r="E263" s="14"/>
      <c r="H263" s="12"/>
      <c r="I263" s="12"/>
      <c r="J263" s="12"/>
      <c r="K263" s="12"/>
      <c r="L263" s="12"/>
      <c r="M263" s="12"/>
      <c r="N263" s="12"/>
      <c r="O263" s="12"/>
      <c r="P263" s="12"/>
    </row>
    <row r="264">
      <c r="A264" s="15"/>
      <c r="D264" s="95"/>
      <c r="E264" s="14"/>
      <c r="H264" s="12"/>
      <c r="I264" s="12"/>
      <c r="J264" s="12"/>
      <c r="K264" s="12"/>
      <c r="L264" s="12"/>
      <c r="M264" s="12"/>
      <c r="N264" s="12"/>
      <c r="O264" s="12"/>
      <c r="P264" s="12"/>
    </row>
    <row r="265">
      <c r="A265" s="15"/>
      <c r="D265" s="95"/>
      <c r="E265" s="14"/>
      <c r="H265" s="12"/>
      <c r="I265" s="12"/>
      <c r="J265" s="12"/>
      <c r="K265" s="12"/>
      <c r="L265" s="12"/>
      <c r="M265" s="12"/>
      <c r="N265" s="12"/>
      <c r="O265" s="12"/>
      <c r="P265" s="12"/>
    </row>
    <row r="266">
      <c r="A266" s="15"/>
      <c r="D266" s="95"/>
      <c r="E266" s="14"/>
      <c r="H266" s="12"/>
      <c r="I266" s="12"/>
      <c r="J266" s="12"/>
      <c r="K266" s="12"/>
      <c r="L266" s="12"/>
      <c r="M266" s="12"/>
      <c r="N266" s="12"/>
      <c r="O266" s="12"/>
      <c r="P266" s="12"/>
    </row>
    <row r="267">
      <c r="A267" s="15"/>
      <c r="D267" s="95"/>
      <c r="E267" s="14"/>
      <c r="H267" s="12"/>
      <c r="I267" s="12"/>
      <c r="J267" s="12"/>
      <c r="K267" s="12"/>
      <c r="L267" s="12"/>
      <c r="M267" s="12"/>
      <c r="N267" s="12"/>
      <c r="O267" s="12"/>
      <c r="P267" s="12"/>
    </row>
    <row r="268">
      <c r="A268" s="15"/>
      <c r="D268" s="95"/>
      <c r="E268" s="14"/>
      <c r="H268" s="12"/>
      <c r="I268" s="12"/>
      <c r="J268" s="12"/>
      <c r="K268" s="12"/>
      <c r="L268" s="12"/>
      <c r="M268" s="12"/>
      <c r="N268" s="12"/>
      <c r="O268" s="12"/>
      <c r="P268" s="12"/>
    </row>
    <row r="269">
      <c r="A269" s="15"/>
      <c r="D269" s="95"/>
      <c r="E269" s="14"/>
      <c r="H269" s="12"/>
      <c r="I269" s="12"/>
      <c r="J269" s="12"/>
      <c r="K269" s="12"/>
      <c r="L269" s="12"/>
      <c r="M269" s="12"/>
      <c r="N269" s="12"/>
      <c r="O269" s="12"/>
      <c r="P269" s="12"/>
    </row>
    <row r="270">
      <c r="A270" s="15"/>
      <c r="D270" s="95"/>
      <c r="E270" s="14"/>
      <c r="H270" s="12"/>
      <c r="I270" s="12"/>
      <c r="J270" s="12"/>
      <c r="K270" s="12"/>
      <c r="L270" s="12"/>
      <c r="M270" s="12"/>
      <c r="N270" s="12"/>
      <c r="O270" s="12"/>
      <c r="P270" s="12"/>
    </row>
    <row r="271">
      <c r="A271" s="15"/>
      <c r="D271" s="95"/>
      <c r="E271" s="14"/>
      <c r="H271" s="12"/>
      <c r="I271" s="12"/>
      <c r="J271" s="12"/>
      <c r="K271" s="12"/>
      <c r="L271" s="12"/>
      <c r="M271" s="12"/>
      <c r="N271" s="12"/>
      <c r="O271" s="12"/>
      <c r="P271" s="12"/>
    </row>
    <row r="272">
      <c r="A272" s="15"/>
      <c r="D272" s="95"/>
      <c r="E272" s="14"/>
      <c r="H272" s="12"/>
      <c r="I272" s="12"/>
      <c r="J272" s="12"/>
      <c r="K272" s="12"/>
      <c r="L272" s="12"/>
      <c r="M272" s="12"/>
      <c r="N272" s="12"/>
      <c r="O272" s="12"/>
      <c r="P272" s="12"/>
    </row>
    <row r="273">
      <c r="A273" s="15"/>
      <c r="D273" s="95"/>
      <c r="E273" s="14"/>
      <c r="H273" s="12"/>
      <c r="I273" s="12"/>
      <c r="J273" s="12"/>
      <c r="K273" s="12"/>
      <c r="L273" s="12"/>
      <c r="M273" s="12"/>
      <c r="N273" s="12"/>
      <c r="O273" s="12"/>
      <c r="P273" s="12"/>
    </row>
    <row r="274">
      <c r="A274" s="15"/>
      <c r="D274" s="95"/>
      <c r="E274" s="14"/>
      <c r="H274" s="12"/>
      <c r="I274" s="12"/>
      <c r="J274" s="12"/>
      <c r="K274" s="12"/>
      <c r="L274" s="12"/>
      <c r="M274" s="12"/>
      <c r="N274" s="12"/>
      <c r="O274" s="12"/>
      <c r="P274" s="12"/>
    </row>
    <row r="275">
      <c r="A275" s="15"/>
      <c r="D275" s="95"/>
      <c r="E275" s="14"/>
      <c r="H275" s="12"/>
      <c r="I275" s="12"/>
      <c r="J275" s="12"/>
      <c r="K275" s="12"/>
      <c r="L275" s="12"/>
      <c r="M275" s="12"/>
      <c r="N275" s="12"/>
      <c r="O275" s="12"/>
      <c r="P275" s="12"/>
    </row>
    <row r="276">
      <c r="A276" s="15"/>
      <c r="D276" s="95"/>
      <c r="E276" s="14"/>
      <c r="H276" s="12"/>
      <c r="I276" s="12"/>
      <c r="J276" s="12"/>
      <c r="K276" s="12"/>
      <c r="L276" s="12"/>
      <c r="M276" s="12"/>
      <c r="N276" s="12"/>
      <c r="O276" s="12"/>
      <c r="P276" s="12"/>
    </row>
    <row r="277">
      <c r="A277" s="15"/>
      <c r="D277" s="95"/>
      <c r="E277" s="14"/>
      <c r="H277" s="12"/>
      <c r="I277" s="12"/>
      <c r="J277" s="12"/>
      <c r="K277" s="12"/>
      <c r="L277" s="12"/>
      <c r="M277" s="12"/>
      <c r="N277" s="12"/>
      <c r="O277" s="12"/>
      <c r="P277" s="12"/>
    </row>
    <row r="278">
      <c r="A278" s="15"/>
      <c r="D278" s="95"/>
      <c r="E278" s="14"/>
      <c r="H278" s="12"/>
      <c r="I278" s="12"/>
      <c r="J278" s="12"/>
      <c r="K278" s="12"/>
      <c r="L278" s="12"/>
      <c r="M278" s="12"/>
      <c r="N278" s="12"/>
      <c r="O278" s="12"/>
      <c r="P278" s="12"/>
    </row>
    <row r="279">
      <c r="A279" s="15"/>
      <c r="D279" s="95"/>
      <c r="E279" s="14"/>
      <c r="H279" s="12"/>
      <c r="I279" s="12"/>
      <c r="J279" s="12"/>
      <c r="K279" s="12"/>
      <c r="L279" s="12"/>
      <c r="M279" s="12"/>
      <c r="N279" s="12"/>
      <c r="O279" s="12"/>
      <c r="P279" s="12"/>
    </row>
    <row r="280">
      <c r="A280" s="15"/>
      <c r="D280" s="95"/>
      <c r="E280" s="14"/>
      <c r="H280" s="12"/>
      <c r="I280" s="12"/>
      <c r="J280" s="12"/>
      <c r="K280" s="12"/>
      <c r="L280" s="12"/>
      <c r="M280" s="12"/>
      <c r="N280" s="12"/>
      <c r="O280" s="12"/>
      <c r="P280" s="12"/>
    </row>
    <row r="281">
      <c r="A281" s="15"/>
      <c r="D281" s="95"/>
      <c r="E281" s="14"/>
      <c r="H281" s="12"/>
      <c r="I281" s="12"/>
      <c r="J281" s="12"/>
      <c r="K281" s="12"/>
      <c r="L281" s="12"/>
      <c r="M281" s="12"/>
      <c r="N281" s="12"/>
      <c r="O281" s="12"/>
      <c r="P281" s="12"/>
    </row>
    <row r="282">
      <c r="A282" s="15"/>
      <c r="D282" s="95"/>
      <c r="E282" s="14"/>
      <c r="H282" s="12"/>
      <c r="I282" s="12"/>
      <c r="J282" s="12"/>
      <c r="K282" s="12"/>
      <c r="L282" s="12"/>
      <c r="M282" s="12"/>
      <c r="N282" s="12"/>
      <c r="O282" s="12"/>
      <c r="P282" s="12"/>
    </row>
    <row r="283">
      <c r="A283" s="15"/>
      <c r="D283" s="95"/>
      <c r="E283" s="14"/>
      <c r="H283" s="12"/>
      <c r="I283" s="12"/>
      <c r="J283" s="12"/>
      <c r="K283" s="12"/>
      <c r="L283" s="12"/>
      <c r="M283" s="12"/>
      <c r="N283" s="12"/>
      <c r="O283" s="12"/>
      <c r="P283" s="12"/>
    </row>
    <row r="284">
      <c r="A284" s="15"/>
      <c r="D284" s="95"/>
      <c r="E284" s="14"/>
      <c r="H284" s="12"/>
      <c r="I284" s="12"/>
      <c r="J284" s="12"/>
      <c r="K284" s="12"/>
      <c r="L284" s="12"/>
      <c r="M284" s="12"/>
      <c r="N284" s="12"/>
      <c r="O284" s="12"/>
      <c r="P284" s="12"/>
    </row>
    <row r="285">
      <c r="A285" s="15"/>
      <c r="D285" s="95"/>
      <c r="E285" s="14"/>
      <c r="H285" s="12"/>
      <c r="I285" s="12"/>
      <c r="J285" s="12"/>
      <c r="K285" s="12"/>
      <c r="L285" s="12"/>
      <c r="M285" s="12"/>
      <c r="N285" s="12"/>
      <c r="O285" s="12"/>
      <c r="P285" s="12"/>
    </row>
    <row r="286">
      <c r="A286" s="15"/>
      <c r="D286" s="95"/>
      <c r="E286" s="14"/>
      <c r="H286" s="12"/>
      <c r="I286" s="12"/>
      <c r="J286" s="12"/>
      <c r="K286" s="12"/>
      <c r="L286" s="12"/>
      <c r="M286" s="12"/>
      <c r="N286" s="12"/>
      <c r="O286" s="12"/>
      <c r="P286" s="12"/>
    </row>
    <row r="287">
      <c r="A287" s="15"/>
      <c r="D287" s="95"/>
      <c r="E287" s="14"/>
      <c r="H287" s="12"/>
      <c r="I287" s="12"/>
      <c r="J287" s="12"/>
      <c r="K287" s="12"/>
      <c r="L287" s="12"/>
      <c r="M287" s="12"/>
      <c r="N287" s="12"/>
      <c r="O287" s="12"/>
      <c r="P287" s="12"/>
    </row>
    <row r="288">
      <c r="A288" s="15"/>
      <c r="D288" s="95"/>
      <c r="E288" s="14"/>
      <c r="H288" s="12"/>
      <c r="I288" s="12"/>
      <c r="J288" s="12"/>
      <c r="K288" s="12"/>
      <c r="L288" s="12"/>
      <c r="M288" s="12"/>
      <c r="N288" s="12"/>
      <c r="O288" s="12"/>
      <c r="P288" s="12"/>
    </row>
    <row r="289">
      <c r="A289" s="15"/>
      <c r="D289" s="95"/>
      <c r="E289" s="14"/>
      <c r="H289" s="12"/>
      <c r="I289" s="12"/>
      <c r="J289" s="12"/>
      <c r="K289" s="12"/>
      <c r="L289" s="12"/>
      <c r="M289" s="12"/>
      <c r="N289" s="12"/>
      <c r="O289" s="12"/>
      <c r="P289" s="12"/>
    </row>
    <row r="290">
      <c r="A290" s="15"/>
      <c r="D290" s="95"/>
      <c r="E290" s="14"/>
      <c r="H290" s="12"/>
      <c r="I290" s="12"/>
      <c r="J290" s="12"/>
      <c r="K290" s="12"/>
      <c r="L290" s="12"/>
      <c r="M290" s="12"/>
      <c r="N290" s="12"/>
      <c r="O290" s="12"/>
      <c r="P290" s="12"/>
    </row>
    <row r="291">
      <c r="A291" s="15"/>
      <c r="D291" s="95"/>
      <c r="E291" s="14"/>
      <c r="H291" s="12"/>
      <c r="I291" s="12"/>
      <c r="J291" s="12"/>
      <c r="K291" s="12"/>
      <c r="L291" s="12"/>
      <c r="M291" s="12"/>
      <c r="N291" s="12"/>
      <c r="O291" s="12"/>
      <c r="P291" s="12"/>
    </row>
    <row r="292">
      <c r="A292" s="15"/>
      <c r="D292" s="95"/>
      <c r="E292" s="14"/>
      <c r="H292" s="12"/>
      <c r="I292" s="12"/>
      <c r="J292" s="12"/>
      <c r="K292" s="12"/>
      <c r="L292" s="12"/>
      <c r="M292" s="12"/>
      <c r="N292" s="12"/>
      <c r="O292" s="12"/>
      <c r="P292" s="12"/>
    </row>
    <row r="293">
      <c r="A293" s="15"/>
      <c r="D293" s="95"/>
      <c r="E293" s="14"/>
      <c r="H293" s="12"/>
      <c r="I293" s="12"/>
      <c r="J293" s="12"/>
      <c r="K293" s="12"/>
      <c r="L293" s="12"/>
      <c r="M293" s="12"/>
      <c r="N293" s="12"/>
      <c r="O293" s="12"/>
      <c r="P293" s="12"/>
    </row>
    <row r="294">
      <c r="A294" s="15"/>
      <c r="D294" s="95"/>
      <c r="E294" s="14"/>
      <c r="H294" s="12"/>
      <c r="I294" s="12"/>
      <c r="J294" s="12"/>
      <c r="K294" s="12"/>
      <c r="L294" s="12"/>
      <c r="M294" s="12"/>
      <c r="N294" s="12"/>
      <c r="O294" s="12"/>
      <c r="P294" s="12"/>
    </row>
    <row r="295">
      <c r="A295" s="15"/>
      <c r="D295" s="95"/>
      <c r="E295" s="14"/>
      <c r="H295" s="12"/>
      <c r="I295" s="12"/>
      <c r="J295" s="12"/>
      <c r="K295" s="12"/>
      <c r="L295" s="12"/>
      <c r="M295" s="12"/>
      <c r="N295" s="12"/>
      <c r="O295" s="12"/>
      <c r="P295" s="12"/>
    </row>
    <row r="296">
      <c r="A296" s="15"/>
      <c r="D296" s="95"/>
      <c r="E296" s="14"/>
      <c r="H296" s="12"/>
      <c r="I296" s="12"/>
      <c r="J296" s="12"/>
      <c r="K296" s="12"/>
      <c r="L296" s="12"/>
      <c r="M296" s="12"/>
      <c r="N296" s="12"/>
      <c r="O296" s="12"/>
      <c r="P296" s="12"/>
    </row>
    <row r="297">
      <c r="A297" s="15"/>
      <c r="D297" s="95"/>
      <c r="E297" s="14"/>
      <c r="H297" s="12"/>
      <c r="I297" s="12"/>
      <c r="J297" s="12"/>
      <c r="K297" s="12"/>
      <c r="L297" s="12"/>
      <c r="M297" s="12"/>
      <c r="N297" s="12"/>
      <c r="O297" s="12"/>
      <c r="P297" s="12"/>
    </row>
    <row r="298">
      <c r="A298" s="15"/>
      <c r="D298" s="95"/>
      <c r="E298" s="14"/>
      <c r="H298" s="12"/>
      <c r="I298" s="12"/>
      <c r="J298" s="12"/>
      <c r="K298" s="12"/>
      <c r="L298" s="12"/>
      <c r="M298" s="12"/>
      <c r="N298" s="12"/>
      <c r="O298" s="12"/>
      <c r="P298" s="12"/>
    </row>
    <row r="299">
      <c r="A299" s="15"/>
      <c r="D299" s="95"/>
      <c r="E299" s="14"/>
      <c r="H299" s="12"/>
      <c r="I299" s="12"/>
      <c r="J299" s="12"/>
      <c r="K299" s="12"/>
      <c r="L299" s="12"/>
      <c r="M299" s="12"/>
      <c r="N299" s="12"/>
      <c r="O299" s="12"/>
      <c r="P299" s="12"/>
    </row>
    <row r="300">
      <c r="A300" s="15"/>
      <c r="D300" s="95"/>
      <c r="E300" s="14"/>
      <c r="H300" s="12"/>
      <c r="I300" s="12"/>
      <c r="J300" s="12"/>
      <c r="K300" s="12"/>
      <c r="L300" s="12"/>
      <c r="M300" s="12"/>
      <c r="N300" s="12"/>
      <c r="O300" s="12"/>
      <c r="P300" s="12"/>
    </row>
    <row r="301">
      <c r="A301" s="15"/>
      <c r="D301" s="95"/>
      <c r="E301" s="14"/>
      <c r="H301" s="12"/>
      <c r="I301" s="12"/>
      <c r="J301" s="12"/>
      <c r="K301" s="12"/>
      <c r="L301" s="12"/>
      <c r="M301" s="12"/>
      <c r="N301" s="12"/>
      <c r="O301" s="12"/>
      <c r="P301" s="12"/>
    </row>
    <row r="302">
      <c r="A302" s="15"/>
      <c r="D302" s="95"/>
      <c r="E302" s="14"/>
      <c r="H302" s="12"/>
      <c r="I302" s="12"/>
      <c r="J302" s="12"/>
      <c r="K302" s="12"/>
      <c r="L302" s="12"/>
      <c r="M302" s="12"/>
      <c r="N302" s="12"/>
      <c r="O302" s="12"/>
      <c r="P302" s="12"/>
    </row>
    <row r="303">
      <c r="A303" s="15"/>
      <c r="D303" s="95"/>
      <c r="E303" s="14"/>
      <c r="H303" s="12"/>
      <c r="I303" s="12"/>
      <c r="J303" s="12"/>
      <c r="K303" s="12"/>
      <c r="L303" s="12"/>
      <c r="M303" s="12"/>
      <c r="N303" s="12"/>
      <c r="O303" s="12"/>
      <c r="P303" s="12"/>
    </row>
    <row r="304">
      <c r="A304" s="15"/>
      <c r="D304" s="95"/>
      <c r="E304" s="14"/>
      <c r="H304" s="12"/>
      <c r="I304" s="12"/>
      <c r="J304" s="12"/>
      <c r="K304" s="12"/>
      <c r="L304" s="12"/>
      <c r="M304" s="12"/>
      <c r="N304" s="12"/>
      <c r="O304" s="12"/>
      <c r="P304" s="12"/>
    </row>
    <row r="305">
      <c r="A305" s="15"/>
      <c r="D305" s="95"/>
      <c r="E305" s="14"/>
      <c r="H305" s="12"/>
      <c r="I305" s="12"/>
      <c r="J305" s="12"/>
      <c r="K305" s="12"/>
      <c r="L305" s="12"/>
      <c r="M305" s="12"/>
      <c r="N305" s="12"/>
      <c r="O305" s="12"/>
      <c r="P305" s="12"/>
    </row>
    <row r="306">
      <c r="A306" s="15"/>
      <c r="D306" s="95"/>
      <c r="E306" s="14"/>
      <c r="H306" s="12"/>
      <c r="I306" s="12"/>
      <c r="J306" s="12"/>
      <c r="K306" s="12"/>
      <c r="L306" s="12"/>
      <c r="M306" s="12"/>
      <c r="N306" s="12"/>
      <c r="O306" s="12"/>
      <c r="P306" s="12"/>
    </row>
    <row r="307">
      <c r="A307" s="15"/>
      <c r="D307" s="95"/>
      <c r="E307" s="14"/>
      <c r="H307" s="12"/>
      <c r="I307" s="12"/>
      <c r="J307" s="12"/>
      <c r="K307" s="12"/>
      <c r="L307" s="12"/>
      <c r="M307" s="12"/>
      <c r="N307" s="12"/>
      <c r="O307" s="12"/>
      <c r="P307" s="12"/>
    </row>
    <row r="308">
      <c r="A308" s="15"/>
      <c r="D308" s="95"/>
      <c r="E308" s="14"/>
      <c r="H308" s="12"/>
      <c r="I308" s="12"/>
      <c r="J308" s="12"/>
      <c r="K308" s="12"/>
      <c r="L308" s="12"/>
      <c r="M308" s="12"/>
      <c r="N308" s="12"/>
      <c r="O308" s="12"/>
      <c r="P308" s="12"/>
    </row>
    <row r="309">
      <c r="A309" s="15"/>
      <c r="D309" s="95"/>
      <c r="E309" s="14"/>
      <c r="H309" s="12"/>
      <c r="I309" s="12"/>
      <c r="J309" s="12"/>
      <c r="K309" s="12"/>
      <c r="L309" s="12"/>
      <c r="M309" s="12"/>
      <c r="N309" s="12"/>
      <c r="O309" s="12"/>
      <c r="P309" s="12"/>
    </row>
    <row r="310">
      <c r="A310" s="15"/>
      <c r="D310" s="95"/>
      <c r="E310" s="14"/>
      <c r="H310" s="12"/>
      <c r="I310" s="12"/>
      <c r="J310" s="12"/>
      <c r="K310" s="12"/>
      <c r="L310" s="12"/>
      <c r="M310" s="12"/>
      <c r="N310" s="12"/>
      <c r="O310" s="12"/>
      <c r="P310" s="12"/>
    </row>
    <row r="311">
      <c r="A311" s="15"/>
      <c r="D311" s="95"/>
      <c r="E311" s="14"/>
      <c r="H311" s="12"/>
      <c r="I311" s="12"/>
      <c r="J311" s="12"/>
      <c r="K311" s="12"/>
      <c r="L311" s="12"/>
      <c r="M311" s="12"/>
      <c r="N311" s="12"/>
      <c r="O311" s="12"/>
      <c r="P311" s="12"/>
    </row>
    <row r="312">
      <c r="A312" s="15"/>
      <c r="D312" s="95"/>
      <c r="E312" s="14"/>
      <c r="H312" s="12"/>
      <c r="I312" s="12"/>
      <c r="J312" s="12"/>
      <c r="K312" s="12"/>
      <c r="L312" s="12"/>
      <c r="M312" s="12"/>
      <c r="N312" s="12"/>
      <c r="O312" s="12"/>
      <c r="P312" s="12"/>
    </row>
    <row r="313">
      <c r="A313" s="15"/>
      <c r="D313" s="95"/>
      <c r="E313" s="14"/>
      <c r="H313" s="12"/>
      <c r="I313" s="12"/>
      <c r="J313" s="12"/>
      <c r="K313" s="12"/>
      <c r="L313" s="12"/>
      <c r="M313" s="12"/>
      <c r="N313" s="12"/>
      <c r="O313" s="12"/>
      <c r="P313" s="12"/>
    </row>
    <row r="314">
      <c r="A314" s="15"/>
      <c r="D314" s="95"/>
      <c r="E314" s="14"/>
      <c r="H314" s="12"/>
      <c r="I314" s="12"/>
      <c r="J314" s="12"/>
      <c r="K314" s="12"/>
      <c r="L314" s="12"/>
      <c r="M314" s="12"/>
      <c r="N314" s="12"/>
      <c r="O314" s="12"/>
      <c r="P314" s="12"/>
    </row>
    <row r="315">
      <c r="A315" s="15"/>
      <c r="D315" s="95"/>
      <c r="E315" s="14"/>
      <c r="H315" s="12"/>
      <c r="I315" s="12"/>
      <c r="J315" s="12"/>
      <c r="K315" s="12"/>
      <c r="L315" s="12"/>
      <c r="M315" s="12"/>
      <c r="N315" s="12"/>
      <c r="O315" s="12"/>
      <c r="P315" s="12"/>
    </row>
    <row r="316">
      <c r="A316" s="15"/>
      <c r="D316" s="95"/>
      <c r="E316" s="14"/>
      <c r="H316" s="12"/>
      <c r="I316" s="12"/>
      <c r="J316" s="12"/>
      <c r="K316" s="12"/>
      <c r="L316" s="12"/>
      <c r="M316" s="12"/>
      <c r="N316" s="12"/>
      <c r="O316" s="12"/>
      <c r="P316" s="12"/>
    </row>
    <row r="317">
      <c r="A317" s="15"/>
      <c r="D317" s="95"/>
      <c r="E317" s="14"/>
      <c r="H317" s="12"/>
      <c r="I317" s="12"/>
      <c r="J317" s="12"/>
      <c r="K317" s="12"/>
      <c r="L317" s="12"/>
      <c r="M317" s="12"/>
      <c r="N317" s="12"/>
      <c r="O317" s="12"/>
      <c r="P317" s="12"/>
    </row>
    <row r="318">
      <c r="A318" s="15"/>
      <c r="D318" s="95"/>
      <c r="E318" s="14"/>
      <c r="H318" s="12"/>
      <c r="I318" s="12"/>
      <c r="J318" s="12"/>
      <c r="K318" s="12"/>
      <c r="L318" s="12"/>
      <c r="M318" s="12"/>
      <c r="N318" s="12"/>
      <c r="O318" s="12"/>
      <c r="P318" s="12"/>
    </row>
    <row r="319">
      <c r="A319" s="15"/>
      <c r="D319" s="95"/>
      <c r="E319" s="14"/>
      <c r="H319" s="12"/>
      <c r="I319" s="12"/>
      <c r="J319" s="12"/>
      <c r="K319" s="12"/>
      <c r="L319" s="12"/>
      <c r="M319" s="12"/>
      <c r="N319" s="12"/>
      <c r="O319" s="12"/>
      <c r="P319" s="12"/>
    </row>
    <row r="320">
      <c r="A320" s="15"/>
      <c r="D320" s="95"/>
      <c r="E320" s="14"/>
      <c r="H320" s="12"/>
      <c r="I320" s="12"/>
      <c r="J320" s="12"/>
      <c r="K320" s="12"/>
      <c r="L320" s="12"/>
      <c r="M320" s="12"/>
      <c r="N320" s="12"/>
      <c r="O320" s="12"/>
      <c r="P320" s="12"/>
    </row>
    <row r="321">
      <c r="A321" s="15"/>
      <c r="D321" s="95"/>
      <c r="E321" s="14"/>
      <c r="H321" s="12"/>
      <c r="I321" s="12"/>
      <c r="J321" s="12"/>
      <c r="K321" s="12"/>
      <c r="L321" s="12"/>
      <c r="M321" s="12"/>
      <c r="N321" s="12"/>
      <c r="O321" s="12"/>
      <c r="P321" s="12"/>
    </row>
    <row r="322">
      <c r="A322" s="15"/>
      <c r="D322" s="95"/>
      <c r="E322" s="14"/>
      <c r="H322" s="12"/>
      <c r="I322" s="12"/>
      <c r="J322" s="12"/>
      <c r="K322" s="12"/>
      <c r="L322" s="12"/>
      <c r="M322" s="12"/>
      <c r="N322" s="12"/>
      <c r="O322" s="12"/>
      <c r="P322" s="12"/>
    </row>
    <row r="323">
      <c r="A323" s="15"/>
      <c r="D323" s="95"/>
      <c r="E323" s="14"/>
      <c r="H323" s="12"/>
      <c r="I323" s="12"/>
      <c r="J323" s="12"/>
      <c r="K323" s="12"/>
      <c r="L323" s="12"/>
      <c r="M323" s="12"/>
      <c r="N323" s="12"/>
      <c r="O323" s="12"/>
      <c r="P323" s="12"/>
    </row>
    <row r="324">
      <c r="A324" s="15"/>
      <c r="D324" s="95"/>
      <c r="E324" s="14"/>
      <c r="H324" s="12"/>
      <c r="I324" s="12"/>
      <c r="J324" s="12"/>
      <c r="K324" s="12"/>
      <c r="L324" s="12"/>
      <c r="M324" s="12"/>
      <c r="N324" s="12"/>
      <c r="O324" s="12"/>
      <c r="P324" s="12"/>
    </row>
    <row r="325">
      <c r="A325" s="15"/>
      <c r="D325" s="95"/>
      <c r="E325" s="14"/>
      <c r="H325" s="12"/>
      <c r="I325" s="12"/>
      <c r="J325" s="12"/>
      <c r="K325" s="12"/>
      <c r="L325" s="12"/>
      <c r="M325" s="12"/>
      <c r="N325" s="12"/>
      <c r="O325" s="12"/>
      <c r="P325" s="12"/>
    </row>
    <row r="326">
      <c r="A326" s="15"/>
      <c r="D326" s="95"/>
      <c r="E326" s="14"/>
      <c r="H326" s="12"/>
      <c r="I326" s="12"/>
      <c r="J326" s="12"/>
      <c r="K326" s="12"/>
      <c r="L326" s="12"/>
      <c r="M326" s="12"/>
      <c r="N326" s="12"/>
      <c r="O326" s="12"/>
      <c r="P326" s="12"/>
    </row>
    <row r="327">
      <c r="A327" s="15"/>
      <c r="D327" s="95"/>
      <c r="E327" s="14"/>
      <c r="H327" s="12"/>
      <c r="I327" s="12"/>
      <c r="J327" s="12"/>
      <c r="K327" s="12"/>
      <c r="L327" s="12"/>
      <c r="M327" s="12"/>
      <c r="N327" s="12"/>
      <c r="O327" s="12"/>
      <c r="P327" s="12"/>
    </row>
    <row r="328">
      <c r="A328" s="15"/>
      <c r="D328" s="95"/>
      <c r="E328" s="14"/>
      <c r="H328" s="12"/>
      <c r="I328" s="12"/>
      <c r="J328" s="12"/>
      <c r="K328" s="12"/>
      <c r="L328" s="12"/>
      <c r="M328" s="12"/>
      <c r="N328" s="12"/>
      <c r="O328" s="12"/>
      <c r="P328" s="12"/>
    </row>
    <row r="329">
      <c r="A329" s="15"/>
      <c r="D329" s="95"/>
      <c r="E329" s="14"/>
      <c r="H329" s="12"/>
      <c r="I329" s="12"/>
      <c r="J329" s="12"/>
      <c r="K329" s="12"/>
      <c r="L329" s="12"/>
      <c r="M329" s="12"/>
      <c r="N329" s="12"/>
      <c r="O329" s="12"/>
      <c r="P329" s="12"/>
    </row>
    <row r="330">
      <c r="A330" s="15"/>
      <c r="D330" s="95"/>
      <c r="E330" s="14"/>
      <c r="H330" s="12"/>
      <c r="I330" s="12"/>
      <c r="J330" s="12"/>
      <c r="K330" s="12"/>
      <c r="L330" s="12"/>
      <c r="M330" s="12"/>
      <c r="N330" s="12"/>
      <c r="O330" s="12"/>
      <c r="P330" s="12"/>
    </row>
    <row r="331">
      <c r="A331" s="15"/>
      <c r="D331" s="95"/>
      <c r="E331" s="14"/>
      <c r="H331" s="12"/>
      <c r="I331" s="12"/>
      <c r="J331" s="12"/>
      <c r="K331" s="12"/>
      <c r="L331" s="12"/>
      <c r="M331" s="12"/>
      <c r="N331" s="12"/>
      <c r="O331" s="12"/>
      <c r="P331" s="12"/>
    </row>
    <row r="332">
      <c r="A332" s="15"/>
      <c r="D332" s="95"/>
      <c r="E332" s="14"/>
      <c r="H332" s="12"/>
      <c r="I332" s="12"/>
      <c r="J332" s="12"/>
      <c r="K332" s="12"/>
      <c r="L332" s="12"/>
      <c r="M332" s="12"/>
      <c r="N332" s="12"/>
      <c r="O332" s="12"/>
      <c r="P332" s="12"/>
    </row>
    <row r="333">
      <c r="A333" s="15"/>
      <c r="D333" s="95"/>
      <c r="E333" s="14"/>
      <c r="H333" s="12"/>
      <c r="I333" s="12"/>
      <c r="J333" s="12"/>
      <c r="K333" s="12"/>
      <c r="L333" s="12"/>
      <c r="M333" s="12"/>
      <c r="N333" s="12"/>
      <c r="O333" s="12"/>
      <c r="P333" s="12"/>
    </row>
    <row r="334">
      <c r="A334" s="15"/>
      <c r="D334" s="95"/>
      <c r="E334" s="14"/>
      <c r="H334" s="12"/>
      <c r="I334" s="12"/>
      <c r="J334" s="12"/>
      <c r="K334" s="12"/>
      <c r="L334" s="12"/>
      <c r="M334" s="12"/>
      <c r="N334" s="12"/>
      <c r="O334" s="12"/>
      <c r="P334" s="12"/>
    </row>
    <row r="335">
      <c r="A335" s="15"/>
      <c r="D335" s="95"/>
      <c r="E335" s="14"/>
      <c r="H335" s="12"/>
      <c r="I335" s="12"/>
      <c r="J335" s="12"/>
      <c r="K335" s="12"/>
      <c r="L335" s="12"/>
      <c r="M335" s="12"/>
      <c r="N335" s="12"/>
      <c r="O335" s="12"/>
      <c r="P335" s="12"/>
    </row>
    <row r="336">
      <c r="A336" s="15"/>
      <c r="D336" s="95"/>
      <c r="E336" s="14"/>
      <c r="H336" s="12"/>
      <c r="I336" s="12"/>
      <c r="J336" s="12"/>
      <c r="K336" s="12"/>
      <c r="L336" s="12"/>
      <c r="M336" s="12"/>
      <c r="N336" s="12"/>
      <c r="O336" s="12"/>
      <c r="P336" s="12"/>
    </row>
    <row r="337">
      <c r="A337" s="15"/>
      <c r="D337" s="95"/>
      <c r="E337" s="14"/>
      <c r="H337" s="12"/>
      <c r="I337" s="12"/>
      <c r="J337" s="12"/>
      <c r="K337" s="12"/>
      <c r="L337" s="12"/>
      <c r="M337" s="12"/>
      <c r="N337" s="12"/>
      <c r="O337" s="12"/>
      <c r="P337" s="12"/>
    </row>
    <row r="338">
      <c r="A338" s="15"/>
      <c r="D338" s="95"/>
      <c r="E338" s="14"/>
      <c r="H338" s="12"/>
      <c r="I338" s="12"/>
      <c r="J338" s="12"/>
      <c r="K338" s="12"/>
      <c r="L338" s="12"/>
      <c r="M338" s="12"/>
      <c r="N338" s="12"/>
      <c r="O338" s="12"/>
      <c r="P338" s="12"/>
    </row>
    <row r="339">
      <c r="A339" s="15"/>
      <c r="D339" s="95"/>
      <c r="E339" s="14"/>
      <c r="H339" s="12"/>
      <c r="I339" s="12"/>
      <c r="J339" s="12"/>
      <c r="K339" s="12"/>
      <c r="L339" s="12"/>
      <c r="M339" s="12"/>
      <c r="N339" s="12"/>
      <c r="O339" s="12"/>
      <c r="P339" s="12"/>
    </row>
    <row r="340">
      <c r="A340" s="15"/>
      <c r="D340" s="95"/>
      <c r="E340" s="14"/>
      <c r="H340" s="12"/>
      <c r="I340" s="12"/>
      <c r="J340" s="12"/>
      <c r="K340" s="12"/>
      <c r="L340" s="12"/>
      <c r="M340" s="12"/>
      <c r="N340" s="12"/>
      <c r="O340" s="12"/>
      <c r="P340" s="12"/>
    </row>
    <row r="341">
      <c r="A341" s="15"/>
      <c r="D341" s="95"/>
      <c r="E341" s="14"/>
      <c r="H341" s="12"/>
      <c r="I341" s="12"/>
      <c r="J341" s="12"/>
      <c r="K341" s="12"/>
      <c r="L341" s="12"/>
      <c r="M341" s="12"/>
      <c r="N341" s="12"/>
      <c r="O341" s="12"/>
      <c r="P341" s="12"/>
    </row>
    <row r="342">
      <c r="A342" s="15"/>
      <c r="D342" s="95"/>
      <c r="E342" s="14"/>
      <c r="H342" s="12"/>
      <c r="I342" s="12"/>
      <c r="J342" s="12"/>
      <c r="K342" s="12"/>
      <c r="L342" s="12"/>
      <c r="M342" s="12"/>
      <c r="N342" s="12"/>
      <c r="O342" s="12"/>
      <c r="P342" s="12"/>
    </row>
    <row r="343">
      <c r="A343" s="15"/>
      <c r="D343" s="95"/>
      <c r="E343" s="14"/>
      <c r="H343" s="12"/>
      <c r="I343" s="12"/>
      <c r="J343" s="12"/>
      <c r="K343" s="12"/>
      <c r="L343" s="12"/>
      <c r="M343" s="12"/>
      <c r="N343" s="12"/>
      <c r="O343" s="12"/>
      <c r="P343" s="12"/>
    </row>
    <row r="344">
      <c r="A344" s="15"/>
      <c r="D344" s="95"/>
      <c r="E344" s="14"/>
      <c r="H344" s="12"/>
      <c r="I344" s="12"/>
      <c r="J344" s="12"/>
      <c r="K344" s="12"/>
      <c r="L344" s="12"/>
      <c r="M344" s="12"/>
      <c r="N344" s="12"/>
      <c r="O344" s="12"/>
      <c r="P344" s="12"/>
    </row>
    <row r="345">
      <c r="A345" s="15"/>
      <c r="D345" s="95"/>
      <c r="E345" s="14"/>
      <c r="H345" s="12"/>
      <c r="I345" s="12"/>
      <c r="J345" s="12"/>
      <c r="K345" s="12"/>
      <c r="L345" s="12"/>
      <c r="M345" s="12"/>
      <c r="N345" s="12"/>
      <c r="O345" s="12"/>
      <c r="P345" s="12"/>
    </row>
    <row r="346">
      <c r="A346" s="15"/>
      <c r="D346" s="95"/>
      <c r="E346" s="14"/>
      <c r="H346" s="12"/>
      <c r="I346" s="12"/>
      <c r="J346" s="12"/>
      <c r="K346" s="12"/>
      <c r="L346" s="12"/>
      <c r="M346" s="12"/>
      <c r="N346" s="12"/>
      <c r="O346" s="12"/>
      <c r="P346" s="12"/>
    </row>
    <row r="347">
      <c r="A347" s="15"/>
      <c r="D347" s="95"/>
      <c r="E347" s="14"/>
      <c r="H347" s="12"/>
      <c r="I347" s="12"/>
      <c r="J347" s="12"/>
      <c r="K347" s="12"/>
      <c r="L347" s="12"/>
      <c r="M347" s="12"/>
      <c r="N347" s="12"/>
      <c r="O347" s="12"/>
      <c r="P347" s="12"/>
    </row>
    <row r="348">
      <c r="A348" s="15"/>
      <c r="D348" s="95"/>
      <c r="E348" s="14"/>
      <c r="H348" s="12"/>
      <c r="I348" s="12"/>
      <c r="J348" s="12"/>
      <c r="K348" s="12"/>
      <c r="L348" s="12"/>
      <c r="M348" s="12"/>
      <c r="N348" s="12"/>
      <c r="O348" s="12"/>
      <c r="P348" s="12"/>
    </row>
    <row r="349">
      <c r="A349" s="15"/>
      <c r="D349" s="95"/>
      <c r="E349" s="14"/>
      <c r="H349" s="12"/>
      <c r="I349" s="12"/>
      <c r="J349" s="12"/>
      <c r="K349" s="12"/>
      <c r="L349" s="12"/>
      <c r="M349" s="12"/>
      <c r="N349" s="12"/>
      <c r="O349" s="12"/>
      <c r="P349" s="12"/>
    </row>
    <row r="350">
      <c r="A350" s="15"/>
      <c r="D350" s="95"/>
      <c r="E350" s="14"/>
      <c r="H350" s="12"/>
      <c r="I350" s="12"/>
      <c r="J350" s="12"/>
      <c r="K350" s="12"/>
      <c r="L350" s="12"/>
      <c r="M350" s="12"/>
      <c r="N350" s="12"/>
      <c r="O350" s="12"/>
      <c r="P350" s="12"/>
    </row>
    <row r="351">
      <c r="A351" s="15"/>
      <c r="D351" s="95"/>
      <c r="E351" s="14"/>
      <c r="H351" s="12"/>
      <c r="I351" s="12"/>
      <c r="J351" s="12"/>
      <c r="K351" s="12"/>
      <c r="L351" s="12"/>
      <c r="M351" s="12"/>
      <c r="N351" s="12"/>
      <c r="O351" s="12"/>
      <c r="P351" s="12"/>
    </row>
    <row r="352">
      <c r="A352" s="15"/>
      <c r="D352" s="95"/>
      <c r="E352" s="14"/>
      <c r="H352" s="12"/>
      <c r="I352" s="12"/>
      <c r="J352" s="12"/>
      <c r="K352" s="12"/>
      <c r="L352" s="12"/>
      <c r="M352" s="12"/>
      <c r="N352" s="12"/>
      <c r="O352" s="12"/>
      <c r="P352" s="12"/>
    </row>
    <row r="353">
      <c r="A353" s="15"/>
      <c r="D353" s="95"/>
      <c r="E353" s="14"/>
      <c r="H353" s="12"/>
      <c r="I353" s="12"/>
      <c r="J353" s="12"/>
      <c r="K353" s="12"/>
      <c r="L353" s="12"/>
      <c r="M353" s="12"/>
      <c r="N353" s="12"/>
      <c r="O353" s="12"/>
      <c r="P353" s="12"/>
    </row>
    <row r="354">
      <c r="A354" s="15"/>
      <c r="D354" s="95"/>
      <c r="E354" s="14"/>
      <c r="H354" s="12"/>
      <c r="I354" s="12"/>
      <c r="J354" s="12"/>
      <c r="K354" s="12"/>
      <c r="L354" s="12"/>
      <c r="M354" s="12"/>
      <c r="N354" s="12"/>
      <c r="O354" s="12"/>
      <c r="P354" s="12"/>
    </row>
    <row r="355">
      <c r="A355" s="15"/>
      <c r="D355" s="95"/>
      <c r="E355" s="14"/>
      <c r="H355" s="12"/>
      <c r="I355" s="12"/>
      <c r="J355" s="12"/>
      <c r="K355" s="12"/>
      <c r="L355" s="12"/>
      <c r="M355" s="12"/>
      <c r="N355" s="12"/>
      <c r="O355" s="12"/>
      <c r="P355" s="12"/>
    </row>
    <row r="356">
      <c r="A356" s="15"/>
      <c r="D356" s="95"/>
      <c r="E356" s="14"/>
      <c r="H356" s="12"/>
      <c r="I356" s="12"/>
      <c r="J356" s="12"/>
      <c r="K356" s="12"/>
      <c r="L356" s="12"/>
      <c r="M356" s="12"/>
      <c r="N356" s="12"/>
      <c r="O356" s="12"/>
      <c r="P356" s="12"/>
    </row>
    <row r="357">
      <c r="A357" s="15"/>
      <c r="D357" s="95"/>
      <c r="E357" s="14"/>
      <c r="H357" s="12"/>
      <c r="I357" s="12"/>
      <c r="J357" s="12"/>
      <c r="K357" s="12"/>
      <c r="L357" s="12"/>
      <c r="M357" s="12"/>
      <c r="N357" s="12"/>
      <c r="O357" s="12"/>
      <c r="P357" s="12"/>
    </row>
    <row r="358">
      <c r="A358" s="15"/>
      <c r="D358" s="95"/>
      <c r="E358" s="14"/>
      <c r="H358" s="12"/>
      <c r="I358" s="12"/>
      <c r="J358" s="12"/>
      <c r="K358" s="12"/>
      <c r="L358" s="12"/>
      <c r="M358" s="12"/>
      <c r="N358" s="12"/>
      <c r="O358" s="12"/>
      <c r="P358" s="12"/>
    </row>
    <row r="359">
      <c r="A359" s="15"/>
      <c r="D359" s="95"/>
      <c r="E359" s="14"/>
      <c r="H359" s="12"/>
      <c r="I359" s="12"/>
      <c r="J359" s="12"/>
      <c r="K359" s="12"/>
      <c r="L359" s="12"/>
      <c r="M359" s="12"/>
      <c r="N359" s="12"/>
      <c r="O359" s="12"/>
      <c r="P359" s="12"/>
    </row>
    <row r="360">
      <c r="A360" s="15"/>
      <c r="D360" s="95"/>
      <c r="E360" s="14"/>
      <c r="H360" s="12"/>
      <c r="I360" s="12"/>
      <c r="J360" s="12"/>
      <c r="K360" s="12"/>
      <c r="L360" s="12"/>
      <c r="M360" s="12"/>
      <c r="N360" s="12"/>
      <c r="O360" s="12"/>
      <c r="P360" s="12"/>
    </row>
    <row r="361">
      <c r="A361" s="15"/>
      <c r="D361" s="95"/>
      <c r="E361" s="14"/>
      <c r="H361" s="12"/>
      <c r="I361" s="12"/>
      <c r="J361" s="12"/>
      <c r="K361" s="12"/>
      <c r="L361" s="12"/>
      <c r="M361" s="12"/>
      <c r="N361" s="12"/>
      <c r="O361" s="12"/>
      <c r="P361" s="12"/>
    </row>
    <row r="362">
      <c r="A362" s="15"/>
      <c r="D362" s="95"/>
      <c r="E362" s="14"/>
      <c r="H362" s="12"/>
      <c r="I362" s="12"/>
      <c r="J362" s="12"/>
      <c r="K362" s="12"/>
      <c r="L362" s="12"/>
      <c r="M362" s="12"/>
      <c r="N362" s="12"/>
      <c r="O362" s="12"/>
      <c r="P362" s="12"/>
    </row>
    <row r="363">
      <c r="A363" s="15"/>
      <c r="D363" s="95"/>
      <c r="E363" s="14"/>
      <c r="H363" s="12"/>
      <c r="I363" s="12"/>
      <c r="J363" s="12"/>
      <c r="K363" s="12"/>
      <c r="L363" s="12"/>
      <c r="M363" s="12"/>
      <c r="N363" s="12"/>
      <c r="O363" s="12"/>
      <c r="P363" s="12"/>
    </row>
    <row r="364">
      <c r="A364" s="15"/>
      <c r="D364" s="95"/>
      <c r="E364" s="14"/>
      <c r="H364" s="12"/>
      <c r="I364" s="12"/>
      <c r="J364" s="12"/>
      <c r="K364" s="12"/>
      <c r="L364" s="12"/>
      <c r="M364" s="12"/>
      <c r="N364" s="12"/>
      <c r="O364" s="12"/>
      <c r="P364" s="12"/>
    </row>
    <row r="365">
      <c r="A365" s="15"/>
      <c r="D365" s="95"/>
      <c r="E365" s="14"/>
      <c r="H365" s="12"/>
      <c r="I365" s="12"/>
      <c r="J365" s="12"/>
      <c r="K365" s="12"/>
      <c r="L365" s="12"/>
      <c r="M365" s="12"/>
      <c r="N365" s="12"/>
      <c r="O365" s="12"/>
      <c r="P365" s="12"/>
    </row>
    <row r="366">
      <c r="A366" s="15"/>
      <c r="D366" s="95"/>
      <c r="E366" s="14"/>
      <c r="H366" s="12"/>
      <c r="I366" s="12"/>
      <c r="J366" s="12"/>
      <c r="K366" s="12"/>
      <c r="L366" s="12"/>
      <c r="M366" s="12"/>
      <c r="N366" s="12"/>
      <c r="O366" s="12"/>
      <c r="P366" s="12"/>
    </row>
    <row r="367">
      <c r="A367" s="15"/>
      <c r="D367" s="95"/>
      <c r="E367" s="14"/>
      <c r="H367" s="12"/>
      <c r="I367" s="12"/>
      <c r="J367" s="12"/>
      <c r="K367" s="12"/>
      <c r="L367" s="12"/>
      <c r="M367" s="12"/>
      <c r="N367" s="12"/>
      <c r="O367" s="12"/>
      <c r="P367" s="12"/>
    </row>
    <row r="368">
      <c r="A368" s="15"/>
      <c r="D368" s="95"/>
      <c r="E368" s="14"/>
      <c r="H368" s="12"/>
      <c r="I368" s="12"/>
      <c r="J368" s="12"/>
      <c r="K368" s="12"/>
      <c r="L368" s="12"/>
      <c r="M368" s="12"/>
      <c r="N368" s="12"/>
      <c r="O368" s="12"/>
      <c r="P368" s="12"/>
    </row>
    <row r="369">
      <c r="A369" s="15"/>
      <c r="D369" s="95"/>
      <c r="E369" s="14"/>
      <c r="H369" s="12"/>
      <c r="I369" s="12"/>
      <c r="J369" s="12"/>
      <c r="K369" s="12"/>
      <c r="L369" s="12"/>
      <c r="M369" s="12"/>
      <c r="N369" s="12"/>
      <c r="O369" s="12"/>
      <c r="P369" s="12"/>
    </row>
    <row r="370">
      <c r="A370" s="15"/>
      <c r="D370" s="95"/>
      <c r="E370" s="14"/>
      <c r="H370" s="12"/>
      <c r="I370" s="12"/>
      <c r="J370" s="12"/>
      <c r="K370" s="12"/>
      <c r="L370" s="12"/>
      <c r="M370" s="12"/>
      <c r="N370" s="12"/>
      <c r="O370" s="12"/>
      <c r="P370" s="12"/>
    </row>
    <row r="371">
      <c r="A371" s="15"/>
      <c r="D371" s="95"/>
      <c r="E371" s="14"/>
      <c r="H371" s="12"/>
      <c r="I371" s="12"/>
      <c r="J371" s="12"/>
      <c r="K371" s="12"/>
      <c r="L371" s="12"/>
      <c r="M371" s="12"/>
      <c r="N371" s="12"/>
      <c r="O371" s="12"/>
      <c r="P371" s="12"/>
    </row>
    <row r="372">
      <c r="A372" s="15"/>
      <c r="D372" s="95"/>
      <c r="E372" s="14"/>
      <c r="H372" s="12"/>
      <c r="I372" s="12"/>
      <c r="J372" s="12"/>
      <c r="K372" s="12"/>
      <c r="L372" s="12"/>
      <c r="M372" s="12"/>
      <c r="N372" s="12"/>
      <c r="O372" s="12"/>
      <c r="P372" s="12"/>
    </row>
    <row r="373">
      <c r="A373" s="15"/>
      <c r="D373" s="95"/>
      <c r="E373" s="14"/>
      <c r="H373" s="12"/>
      <c r="I373" s="12"/>
      <c r="J373" s="12"/>
      <c r="K373" s="12"/>
      <c r="L373" s="12"/>
      <c r="M373" s="12"/>
      <c r="N373" s="12"/>
      <c r="O373" s="12"/>
      <c r="P373" s="12"/>
    </row>
    <row r="374">
      <c r="A374" s="15"/>
      <c r="D374" s="95"/>
      <c r="E374" s="14"/>
      <c r="H374" s="12"/>
      <c r="I374" s="12"/>
      <c r="J374" s="12"/>
      <c r="K374" s="12"/>
      <c r="L374" s="12"/>
      <c r="M374" s="12"/>
      <c r="N374" s="12"/>
      <c r="O374" s="12"/>
      <c r="P374" s="12"/>
    </row>
    <row r="375">
      <c r="A375" s="15"/>
      <c r="D375" s="95"/>
      <c r="E375" s="14"/>
      <c r="H375" s="12"/>
      <c r="I375" s="12"/>
      <c r="J375" s="12"/>
      <c r="K375" s="12"/>
      <c r="L375" s="12"/>
      <c r="M375" s="12"/>
      <c r="N375" s="12"/>
      <c r="O375" s="12"/>
      <c r="P375" s="12"/>
    </row>
    <row r="376">
      <c r="A376" s="15"/>
      <c r="D376" s="95"/>
      <c r="E376" s="14"/>
      <c r="H376" s="12"/>
      <c r="I376" s="12"/>
      <c r="J376" s="12"/>
      <c r="K376" s="12"/>
      <c r="L376" s="12"/>
      <c r="M376" s="12"/>
      <c r="N376" s="12"/>
      <c r="O376" s="12"/>
      <c r="P376" s="12"/>
    </row>
    <row r="377">
      <c r="A377" s="15"/>
      <c r="D377" s="95"/>
      <c r="E377" s="14"/>
      <c r="H377" s="12"/>
      <c r="I377" s="12"/>
      <c r="J377" s="12"/>
      <c r="K377" s="12"/>
      <c r="L377" s="12"/>
      <c r="M377" s="12"/>
      <c r="N377" s="12"/>
      <c r="O377" s="12"/>
      <c r="P377" s="12"/>
    </row>
    <row r="378">
      <c r="A378" s="15"/>
      <c r="D378" s="95"/>
      <c r="E378" s="14"/>
      <c r="H378" s="12"/>
      <c r="I378" s="12"/>
      <c r="J378" s="12"/>
      <c r="K378" s="12"/>
      <c r="L378" s="12"/>
      <c r="M378" s="12"/>
      <c r="N378" s="12"/>
      <c r="O378" s="12"/>
      <c r="P378" s="12"/>
    </row>
    <row r="379">
      <c r="A379" s="15"/>
      <c r="D379" s="95"/>
      <c r="E379" s="14"/>
      <c r="H379" s="12"/>
      <c r="I379" s="12"/>
      <c r="J379" s="12"/>
      <c r="K379" s="12"/>
      <c r="L379" s="12"/>
      <c r="M379" s="12"/>
      <c r="N379" s="12"/>
      <c r="O379" s="12"/>
      <c r="P379" s="12"/>
    </row>
    <row r="380">
      <c r="A380" s="15"/>
      <c r="D380" s="95"/>
      <c r="E380" s="14"/>
      <c r="H380" s="12"/>
      <c r="I380" s="12"/>
      <c r="J380" s="12"/>
      <c r="K380" s="12"/>
      <c r="L380" s="12"/>
      <c r="M380" s="12"/>
      <c r="N380" s="12"/>
      <c r="O380" s="12"/>
      <c r="P380" s="12"/>
    </row>
    <row r="381">
      <c r="A381" s="15"/>
      <c r="D381" s="95"/>
      <c r="E381" s="14"/>
      <c r="H381" s="12"/>
      <c r="I381" s="12"/>
      <c r="J381" s="12"/>
      <c r="K381" s="12"/>
      <c r="L381" s="12"/>
      <c r="M381" s="12"/>
      <c r="N381" s="12"/>
      <c r="O381" s="12"/>
      <c r="P381" s="12"/>
    </row>
    <row r="382">
      <c r="A382" s="15"/>
      <c r="D382" s="95"/>
      <c r="E382" s="14"/>
      <c r="H382" s="12"/>
      <c r="I382" s="12"/>
      <c r="J382" s="12"/>
      <c r="K382" s="12"/>
      <c r="L382" s="12"/>
      <c r="M382" s="12"/>
      <c r="N382" s="12"/>
      <c r="O382" s="12"/>
      <c r="P382" s="12"/>
    </row>
    <row r="383">
      <c r="A383" s="15"/>
      <c r="D383" s="95"/>
      <c r="E383" s="14"/>
      <c r="H383" s="12"/>
      <c r="I383" s="12"/>
      <c r="J383" s="12"/>
      <c r="K383" s="12"/>
      <c r="L383" s="12"/>
      <c r="M383" s="12"/>
      <c r="N383" s="12"/>
      <c r="O383" s="12"/>
      <c r="P383" s="12"/>
    </row>
    <row r="384">
      <c r="A384" s="15"/>
      <c r="D384" s="95"/>
      <c r="E384" s="14"/>
      <c r="H384" s="12"/>
      <c r="I384" s="12"/>
      <c r="J384" s="12"/>
      <c r="K384" s="12"/>
      <c r="L384" s="12"/>
      <c r="M384" s="12"/>
      <c r="N384" s="12"/>
      <c r="O384" s="12"/>
      <c r="P384" s="12"/>
    </row>
    <row r="385">
      <c r="A385" s="15"/>
      <c r="D385" s="95"/>
      <c r="E385" s="14"/>
      <c r="H385" s="12"/>
      <c r="I385" s="12"/>
      <c r="J385" s="12"/>
      <c r="K385" s="12"/>
      <c r="L385" s="12"/>
      <c r="M385" s="12"/>
      <c r="N385" s="12"/>
      <c r="O385" s="12"/>
      <c r="P385" s="12"/>
    </row>
    <row r="386">
      <c r="A386" s="15"/>
      <c r="D386" s="95"/>
      <c r="E386" s="14"/>
      <c r="H386" s="12"/>
      <c r="I386" s="12"/>
      <c r="J386" s="12"/>
      <c r="K386" s="12"/>
      <c r="L386" s="12"/>
      <c r="M386" s="12"/>
      <c r="N386" s="12"/>
      <c r="O386" s="12"/>
      <c r="P386" s="12"/>
    </row>
    <row r="387">
      <c r="A387" s="15"/>
      <c r="D387" s="95"/>
      <c r="E387" s="14"/>
      <c r="H387" s="12"/>
      <c r="I387" s="12"/>
      <c r="J387" s="12"/>
      <c r="K387" s="12"/>
      <c r="L387" s="12"/>
      <c r="M387" s="12"/>
      <c r="N387" s="12"/>
      <c r="O387" s="12"/>
      <c r="P387" s="12"/>
    </row>
    <row r="388">
      <c r="A388" s="15"/>
      <c r="D388" s="95"/>
      <c r="E388" s="14"/>
      <c r="H388" s="12"/>
      <c r="I388" s="12"/>
      <c r="J388" s="12"/>
      <c r="K388" s="12"/>
      <c r="L388" s="12"/>
      <c r="M388" s="12"/>
      <c r="N388" s="12"/>
      <c r="O388" s="12"/>
      <c r="P388" s="12"/>
    </row>
    <row r="389">
      <c r="A389" s="15"/>
      <c r="D389" s="95"/>
      <c r="E389" s="14"/>
      <c r="H389" s="12"/>
      <c r="I389" s="12"/>
      <c r="J389" s="12"/>
      <c r="K389" s="12"/>
      <c r="L389" s="12"/>
      <c r="M389" s="12"/>
      <c r="N389" s="12"/>
      <c r="O389" s="12"/>
      <c r="P389" s="12"/>
    </row>
    <row r="390">
      <c r="A390" s="15"/>
      <c r="D390" s="95"/>
      <c r="E390" s="14"/>
      <c r="H390" s="12"/>
      <c r="I390" s="12"/>
      <c r="J390" s="12"/>
      <c r="K390" s="12"/>
      <c r="L390" s="12"/>
      <c r="M390" s="12"/>
      <c r="N390" s="12"/>
      <c r="O390" s="12"/>
      <c r="P390" s="12"/>
    </row>
    <row r="391">
      <c r="A391" s="15"/>
      <c r="D391" s="95"/>
      <c r="E391" s="14"/>
      <c r="H391" s="12"/>
      <c r="I391" s="12"/>
      <c r="J391" s="12"/>
      <c r="K391" s="12"/>
      <c r="L391" s="12"/>
      <c r="M391" s="12"/>
      <c r="N391" s="12"/>
      <c r="O391" s="12"/>
      <c r="P391" s="12"/>
    </row>
    <row r="392">
      <c r="A392" s="15"/>
      <c r="D392" s="95"/>
      <c r="E392" s="14"/>
      <c r="H392" s="12"/>
      <c r="I392" s="12"/>
      <c r="J392" s="12"/>
      <c r="K392" s="12"/>
      <c r="L392" s="12"/>
      <c r="M392" s="12"/>
      <c r="N392" s="12"/>
      <c r="O392" s="12"/>
      <c r="P392" s="12"/>
    </row>
    <row r="393">
      <c r="A393" s="15"/>
      <c r="D393" s="95"/>
      <c r="E393" s="14"/>
      <c r="H393" s="12"/>
      <c r="I393" s="12"/>
      <c r="J393" s="12"/>
      <c r="K393" s="12"/>
      <c r="L393" s="12"/>
      <c r="M393" s="12"/>
      <c r="N393" s="12"/>
      <c r="O393" s="12"/>
      <c r="P393" s="12"/>
    </row>
    <row r="394">
      <c r="A394" s="15"/>
      <c r="D394" s="95"/>
      <c r="E394" s="14"/>
      <c r="H394" s="12"/>
      <c r="I394" s="12"/>
      <c r="J394" s="12"/>
      <c r="K394" s="12"/>
      <c r="L394" s="12"/>
      <c r="M394" s="12"/>
      <c r="N394" s="12"/>
      <c r="O394" s="12"/>
      <c r="P394" s="12"/>
    </row>
    <row r="395">
      <c r="A395" s="15"/>
      <c r="D395" s="95"/>
      <c r="E395" s="14"/>
      <c r="H395" s="12"/>
      <c r="I395" s="12"/>
      <c r="J395" s="12"/>
      <c r="K395" s="12"/>
      <c r="L395" s="12"/>
      <c r="M395" s="12"/>
      <c r="N395" s="12"/>
      <c r="O395" s="12"/>
      <c r="P395" s="12"/>
    </row>
    <row r="396">
      <c r="A396" s="15"/>
      <c r="D396" s="95"/>
      <c r="E396" s="14"/>
      <c r="H396" s="12"/>
      <c r="I396" s="12"/>
      <c r="J396" s="12"/>
      <c r="K396" s="12"/>
      <c r="L396" s="12"/>
      <c r="M396" s="12"/>
      <c r="N396" s="12"/>
      <c r="O396" s="12"/>
      <c r="P396" s="12"/>
    </row>
    <row r="397">
      <c r="A397" s="15"/>
      <c r="D397" s="95"/>
      <c r="E397" s="14"/>
      <c r="H397" s="12"/>
      <c r="I397" s="12"/>
      <c r="J397" s="12"/>
      <c r="K397" s="12"/>
      <c r="L397" s="12"/>
      <c r="M397" s="12"/>
      <c r="N397" s="12"/>
      <c r="O397" s="12"/>
      <c r="P397" s="12"/>
    </row>
    <row r="398">
      <c r="A398" s="15"/>
      <c r="D398" s="95"/>
      <c r="E398" s="14"/>
      <c r="H398" s="12"/>
      <c r="I398" s="12"/>
      <c r="J398" s="12"/>
      <c r="K398" s="12"/>
      <c r="L398" s="12"/>
      <c r="M398" s="12"/>
      <c r="N398" s="12"/>
      <c r="O398" s="12"/>
      <c r="P398" s="12"/>
    </row>
    <row r="399">
      <c r="A399" s="15"/>
      <c r="D399" s="95"/>
      <c r="E399" s="14"/>
      <c r="H399" s="12"/>
      <c r="I399" s="12"/>
      <c r="J399" s="12"/>
      <c r="K399" s="12"/>
      <c r="L399" s="12"/>
      <c r="M399" s="12"/>
      <c r="N399" s="12"/>
      <c r="O399" s="12"/>
      <c r="P399" s="12"/>
    </row>
    <row r="400">
      <c r="A400" s="15"/>
      <c r="D400" s="95"/>
      <c r="E400" s="14"/>
      <c r="H400" s="12"/>
      <c r="I400" s="12"/>
      <c r="J400" s="12"/>
      <c r="K400" s="12"/>
      <c r="L400" s="12"/>
      <c r="M400" s="12"/>
      <c r="N400" s="12"/>
      <c r="O400" s="12"/>
      <c r="P400" s="12"/>
    </row>
    <row r="401">
      <c r="A401" s="15"/>
      <c r="D401" s="95"/>
      <c r="E401" s="14"/>
      <c r="H401" s="12"/>
      <c r="I401" s="12"/>
      <c r="J401" s="12"/>
      <c r="K401" s="12"/>
      <c r="L401" s="12"/>
      <c r="M401" s="12"/>
      <c r="N401" s="12"/>
      <c r="O401" s="12"/>
      <c r="P401" s="12"/>
    </row>
    <row r="402">
      <c r="A402" s="15"/>
      <c r="D402" s="95"/>
      <c r="E402" s="14"/>
      <c r="H402" s="12"/>
      <c r="I402" s="12"/>
      <c r="J402" s="12"/>
      <c r="K402" s="12"/>
      <c r="L402" s="12"/>
      <c r="M402" s="12"/>
      <c r="N402" s="12"/>
      <c r="O402" s="12"/>
      <c r="P402" s="12"/>
    </row>
    <row r="403">
      <c r="A403" s="15"/>
      <c r="D403" s="95"/>
      <c r="E403" s="14"/>
      <c r="H403" s="12"/>
      <c r="I403" s="12"/>
      <c r="J403" s="12"/>
      <c r="K403" s="12"/>
      <c r="L403" s="12"/>
      <c r="M403" s="12"/>
      <c r="N403" s="12"/>
      <c r="O403" s="12"/>
      <c r="P403" s="12"/>
    </row>
    <row r="404">
      <c r="A404" s="15"/>
      <c r="D404" s="95"/>
      <c r="E404" s="14"/>
      <c r="H404" s="12"/>
      <c r="I404" s="12"/>
      <c r="J404" s="12"/>
      <c r="K404" s="12"/>
      <c r="L404" s="12"/>
      <c r="M404" s="12"/>
      <c r="N404" s="12"/>
      <c r="O404" s="12"/>
      <c r="P404" s="12"/>
    </row>
    <row r="405">
      <c r="A405" s="15"/>
      <c r="D405" s="95"/>
      <c r="E405" s="14"/>
      <c r="H405" s="12"/>
      <c r="I405" s="12"/>
      <c r="J405" s="12"/>
      <c r="K405" s="12"/>
      <c r="L405" s="12"/>
      <c r="M405" s="12"/>
      <c r="N405" s="12"/>
      <c r="O405" s="12"/>
      <c r="P405" s="12"/>
    </row>
    <row r="406">
      <c r="A406" s="15"/>
      <c r="D406" s="95"/>
      <c r="E406" s="14"/>
      <c r="H406" s="12"/>
      <c r="I406" s="12"/>
      <c r="J406" s="12"/>
      <c r="K406" s="12"/>
      <c r="L406" s="12"/>
      <c r="M406" s="12"/>
      <c r="N406" s="12"/>
      <c r="O406" s="12"/>
      <c r="P406" s="12"/>
    </row>
    <row r="407">
      <c r="A407" s="15"/>
      <c r="D407" s="95"/>
      <c r="E407" s="14"/>
      <c r="H407" s="12"/>
      <c r="I407" s="12"/>
      <c r="J407" s="12"/>
      <c r="K407" s="12"/>
      <c r="L407" s="12"/>
      <c r="M407" s="12"/>
      <c r="N407" s="12"/>
      <c r="O407" s="12"/>
      <c r="P407" s="12"/>
    </row>
    <row r="408">
      <c r="A408" s="15"/>
      <c r="D408" s="95"/>
      <c r="E408" s="14"/>
      <c r="H408" s="12"/>
      <c r="I408" s="12"/>
      <c r="J408" s="12"/>
      <c r="K408" s="12"/>
      <c r="L408" s="12"/>
      <c r="M408" s="12"/>
      <c r="N408" s="12"/>
      <c r="O408" s="12"/>
      <c r="P408" s="12"/>
    </row>
    <row r="409">
      <c r="A409" s="15"/>
      <c r="D409" s="95"/>
      <c r="E409" s="14"/>
      <c r="H409" s="12"/>
      <c r="I409" s="12"/>
      <c r="J409" s="12"/>
      <c r="K409" s="12"/>
      <c r="L409" s="12"/>
      <c r="M409" s="12"/>
      <c r="N409" s="12"/>
      <c r="O409" s="12"/>
      <c r="P409" s="12"/>
    </row>
    <row r="410">
      <c r="A410" s="15"/>
      <c r="D410" s="95"/>
      <c r="E410" s="14"/>
      <c r="H410" s="12"/>
      <c r="I410" s="12"/>
      <c r="J410" s="12"/>
      <c r="K410" s="12"/>
      <c r="L410" s="12"/>
      <c r="M410" s="12"/>
      <c r="N410" s="12"/>
      <c r="O410" s="12"/>
      <c r="P410" s="12"/>
    </row>
    <row r="411">
      <c r="A411" s="15"/>
      <c r="D411" s="95"/>
      <c r="E411" s="14"/>
      <c r="H411" s="12"/>
      <c r="I411" s="12"/>
      <c r="J411" s="12"/>
      <c r="K411" s="12"/>
      <c r="L411" s="12"/>
      <c r="M411" s="12"/>
      <c r="N411" s="12"/>
      <c r="O411" s="12"/>
      <c r="P411" s="12"/>
    </row>
    <row r="412">
      <c r="A412" s="15"/>
      <c r="D412" s="95"/>
      <c r="E412" s="14"/>
      <c r="H412" s="12"/>
      <c r="I412" s="12"/>
      <c r="J412" s="12"/>
      <c r="K412" s="12"/>
      <c r="L412" s="12"/>
      <c r="M412" s="12"/>
      <c r="N412" s="12"/>
      <c r="O412" s="12"/>
      <c r="P412" s="12"/>
    </row>
    <row r="413">
      <c r="A413" s="15"/>
      <c r="D413" s="95"/>
      <c r="E413" s="14"/>
      <c r="H413" s="12"/>
      <c r="I413" s="12"/>
      <c r="J413" s="12"/>
      <c r="K413" s="12"/>
      <c r="L413" s="12"/>
      <c r="M413" s="12"/>
      <c r="N413" s="12"/>
      <c r="O413" s="12"/>
      <c r="P413" s="12"/>
    </row>
    <row r="414">
      <c r="A414" s="15"/>
      <c r="D414" s="95"/>
      <c r="E414" s="14"/>
      <c r="H414" s="12"/>
      <c r="I414" s="12"/>
      <c r="J414" s="12"/>
      <c r="K414" s="12"/>
      <c r="L414" s="12"/>
      <c r="M414" s="12"/>
      <c r="N414" s="12"/>
      <c r="O414" s="12"/>
      <c r="P414" s="12"/>
    </row>
    <row r="415">
      <c r="A415" s="15"/>
      <c r="D415" s="95"/>
      <c r="E415" s="14"/>
      <c r="H415" s="12"/>
      <c r="I415" s="12"/>
      <c r="J415" s="12"/>
      <c r="K415" s="12"/>
      <c r="L415" s="12"/>
      <c r="M415" s="12"/>
      <c r="N415" s="12"/>
      <c r="O415" s="12"/>
      <c r="P415" s="12"/>
    </row>
    <row r="416">
      <c r="A416" s="15"/>
      <c r="D416" s="95"/>
      <c r="E416" s="14"/>
      <c r="H416" s="12"/>
      <c r="I416" s="12"/>
      <c r="J416" s="12"/>
      <c r="K416" s="12"/>
      <c r="L416" s="12"/>
      <c r="M416" s="12"/>
      <c r="N416" s="12"/>
      <c r="O416" s="12"/>
      <c r="P416" s="12"/>
    </row>
    <row r="417">
      <c r="A417" s="15"/>
      <c r="D417" s="95"/>
      <c r="E417" s="14"/>
      <c r="H417" s="12"/>
      <c r="I417" s="12"/>
      <c r="J417" s="12"/>
      <c r="K417" s="12"/>
      <c r="L417" s="12"/>
      <c r="M417" s="12"/>
      <c r="N417" s="12"/>
      <c r="O417" s="12"/>
      <c r="P417" s="12"/>
    </row>
    <row r="418">
      <c r="A418" s="15"/>
      <c r="D418" s="95"/>
      <c r="E418" s="14"/>
      <c r="H418" s="12"/>
      <c r="I418" s="12"/>
      <c r="J418" s="12"/>
      <c r="K418" s="12"/>
      <c r="L418" s="12"/>
      <c r="M418" s="12"/>
      <c r="N418" s="12"/>
      <c r="O418" s="12"/>
      <c r="P418" s="12"/>
    </row>
    <row r="419">
      <c r="A419" s="15"/>
      <c r="D419" s="95"/>
      <c r="E419" s="14"/>
      <c r="H419" s="12"/>
      <c r="I419" s="12"/>
      <c r="J419" s="12"/>
      <c r="K419" s="12"/>
      <c r="L419" s="12"/>
      <c r="M419" s="12"/>
      <c r="N419" s="12"/>
      <c r="O419" s="12"/>
      <c r="P419" s="12"/>
    </row>
    <row r="420">
      <c r="A420" s="15"/>
      <c r="D420" s="95"/>
      <c r="E420" s="14"/>
      <c r="H420" s="12"/>
      <c r="I420" s="12"/>
      <c r="J420" s="12"/>
      <c r="K420" s="12"/>
      <c r="L420" s="12"/>
      <c r="M420" s="12"/>
      <c r="N420" s="12"/>
      <c r="O420" s="12"/>
      <c r="P420" s="12"/>
    </row>
    <row r="421">
      <c r="A421" s="15"/>
      <c r="D421" s="95"/>
      <c r="E421" s="14"/>
      <c r="H421" s="12"/>
      <c r="I421" s="12"/>
      <c r="J421" s="12"/>
      <c r="K421" s="12"/>
      <c r="L421" s="12"/>
      <c r="M421" s="12"/>
      <c r="N421" s="12"/>
      <c r="O421" s="12"/>
      <c r="P421" s="12"/>
    </row>
    <row r="422">
      <c r="A422" s="15"/>
      <c r="D422" s="95"/>
      <c r="E422" s="14"/>
      <c r="H422" s="12"/>
      <c r="I422" s="12"/>
      <c r="J422" s="12"/>
      <c r="K422" s="12"/>
      <c r="L422" s="12"/>
      <c r="M422" s="12"/>
      <c r="N422" s="12"/>
      <c r="O422" s="12"/>
      <c r="P422" s="12"/>
    </row>
    <row r="423">
      <c r="A423" s="15"/>
      <c r="D423" s="95"/>
      <c r="E423" s="14"/>
      <c r="H423" s="12"/>
      <c r="I423" s="12"/>
      <c r="J423" s="12"/>
      <c r="K423" s="12"/>
      <c r="L423" s="12"/>
      <c r="M423" s="12"/>
      <c r="N423" s="12"/>
      <c r="O423" s="12"/>
      <c r="P423" s="12"/>
    </row>
    <row r="424">
      <c r="A424" s="15"/>
      <c r="D424" s="95"/>
      <c r="E424" s="14"/>
      <c r="H424" s="12"/>
      <c r="I424" s="12"/>
      <c r="J424" s="12"/>
      <c r="K424" s="12"/>
      <c r="L424" s="12"/>
      <c r="M424" s="12"/>
      <c r="N424" s="12"/>
      <c r="O424" s="12"/>
      <c r="P424" s="12"/>
    </row>
    <row r="425">
      <c r="A425" s="15"/>
      <c r="D425" s="95"/>
      <c r="E425" s="14"/>
      <c r="H425" s="12"/>
      <c r="I425" s="12"/>
      <c r="J425" s="12"/>
      <c r="K425" s="12"/>
      <c r="L425" s="12"/>
      <c r="M425" s="12"/>
      <c r="N425" s="12"/>
      <c r="O425" s="12"/>
      <c r="P425" s="12"/>
    </row>
    <row r="426">
      <c r="A426" s="15"/>
      <c r="D426" s="95"/>
      <c r="E426" s="14"/>
      <c r="H426" s="12"/>
      <c r="I426" s="12"/>
      <c r="J426" s="12"/>
      <c r="K426" s="12"/>
      <c r="L426" s="12"/>
      <c r="M426" s="12"/>
      <c r="N426" s="12"/>
      <c r="O426" s="12"/>
      <c r="P426" s="12"/>
    </row>
    <row r="427">
      <c r="A427" s="15"/>
      <c r="D427" s="95"/>
      <c r="E427" s="14"/>
      <c r="H427" s="12"/>
      <c r="I427" s="12"/>
      <c r="J427" s="12"/>
      <c r="K427" s="12"/>
      <c r="L427" s="12"/>
      <c r="M427" s="12"/>
      <c r="N427" s="12"/>
      <c r="O427" s="12"/>
      <c r="P427" s="12"/>
    </row>
    <row r="428">
      <c r="A428" s="15"/>
      <c r="D428" s="95"/>
      <c r="E428" s="14"/>
      <c r="H428" s="12"/>
      <c r="I428" s="12"/>
      <c r="J428" s="12"/>
      <c r="K428" s="12"/>
      <c r="L428" s="12"/>
      <c r="M428" s="12"/>
      <c r="N428" s="12"/>
      <c r="O428" s="12"/>
      <c r="P428" s="12"/>
    </row>
    <row r="429">
      <c r="A429" s="15"/>
      <c r="D429" s="95"/>
      <c r="E429" s="14"/>
      <c r="H429" s="12"/>
      <c r="I429" s="12"/>
      <c r="J429" s="12"/>
      <c r="K429" s="12"/>
      <c r="L429" s="12"/>
      <c r="M429" s="12"/>
      <c r="N429" s="12"/>
      <c r="O429" s="12"/>
      <c r="P429" s="12"/>
    </row>
    <row r="430">
      <c r="A430" s="15"/>
      <c r="D430" s="95"/>
      <c r="E430" s="14"/>
      <c r="H430" s="12"/>
      <c r="I430" s="12"/>
      <c r="J430" s="12"/>
      <c r="K430" s="12"/>
      <c r="L430" s="12"/>
      <c r="M430" s="12"/>
      <c r="N430" s="12"/>
      <c r="O430" s="12"/>
      <c r="P430" s="12"/>
    </row>
    <row r="431">
      <c r="A431" s="15"/>
      <c r="D431" s="95"/>
      <c r="E431" s="14"/>
      <c r="H431" s="12"/>
      <c r="I431" s="12"/>
      <c r="J431" s="12"/>
      <c r="K431" s="12"/>
      <c r="L431" s="12"/>
      <c r="M431" s="12"/>
      <c r="N431" s="12"/>
      <c r="O431" s="12"/>
      <c r="P431" s="12"/>
    </row>
    <row r="432">
      <c r="A432" s="15"/>
      <c r="D432" s="95"/>
      <c r="E432" s="14"/>
      <c r="H432" s="12"/>
      <c r="I432" s="12"/>
      <c r="J432" s="12"/>
      <c r="K432" s="12"/>
      <c r="L432" s="12"/>
      <c r="M432" s="12"/>
      <c r="N432" s="12"/>
      <c r="O432" s="12"/>
      <c r="P432" s="12"/>
    </row>
    <row r="433">
      <c r="A433" s="15"/>
      <c r="D433" s="95"/>
      <c r="E433" s="14"/>
      <c r="H433" s="12"/>
      <c r="I433" s="12"/>
      <c r="J433" s="12"/>
      <c r="K433" s="12"/>
      <c r="L433" s="12"/>
      <c r="M433" s="12"/>
      <c r="N433" s="12"/>
      <c r="O433" s="12"/>
      <c r="P433" s="12"/>
    </row>
    <row r="434">
      <c r="A434" s="15"/>
      <c r="D434" s="95"/>
      <c r="E434" s="14"/>
      <c r="H434" s="12"/>
      <c r="I434" s="12"/>
      <c r="J434" s="12"/>
      <c r="K434" s="12"/>
      <c r="L434" s="12"/>
      <c r="M434" s="12"/>
      <c r="N434" s="12"/>
      <c r="O434" s="12"/>
      <c r="P434" s="12"/>
    </row>
    <row r="435">
      <c r="A435" s="15"/>
      <c r="D435" s="95"/>
      <c r="E435" s="14"/>
      <c r="H435" s="12"/>
      <c r="I435" s="12"/>
      <c r="J435" s="12"/>
      <c r="K435" s="12"/>
      <c r="L435" s="12"/>
      <c r="M435" s="12"/>
      <c r="N435" s="12"/>
      <c r="O435" s="12"/>
      <c r="P435" s="12"/>
    </row>
    <row r="436">
      <c r="A436" s="15"/>
      <c r="D436" s="95"/>
      <c r="E436" s="14"/>
      <c r="H436" s="12"/>
      <c r="I436" s="12"/>
      <c r="J436" s="12"/>
      <c r="K436" s="12"/>
      <c r="L436" s="12"/>
      <c r="M436" s="12"/>
      <c r="N436" s="12"/>
      <c r="O436" s="12"/>
      <c r="P436" s="12"/>
    </row>
    <row r="437">
      <c r="A437" s="15"/>
      <c r="D437" s="95"/>
      <c r="E437" s="14"/>
      <c r="H437" s="12"/>
      <c r="I437" s="12"/>
      <c r="J437" s="12"/>
      <c r="K437" s="12"/>
      <c r="L437" s="12"/>
      <c r="M437" s="12"/>
      <c r="N437" s="12"/>
      <c r="O437" s="12"/>
      <c r="P437" s="12"/>
    </row>
    <row r="438">
      <c r="A438" s="15"/>
      <c r="D438" s="95"/>
      <c r="E438" s="14"/>
      <c r="H438" s="12"/>
      <c r="I438" s="12"/>
      <c r="J438" s="12"/>
      <c r="K438" s="12"/>
      <c r="L438" s="12"/>
      <c r="M438" s="12"/>
      <c r="N438" s="12"/>
      <c r="O438" s="12"/>
      <c r="P438" s="12"/>
    </row>
    <row r="439">
      <c r="A439" s="15"/>
      <c r="D439" s="95"/>
      <c r="E439" s="14"/>
      <c r="H439" s="12"/>
      <c r="I439" s="12"/>
      <c r="J439" s="12"/>
      <c r="K439" s="12"/>
      <c r="L439" s="12"/>
      <c r="M439" s="12"/>
      <c r="N439" s="12"/>
      <c r="O439" s="12"/>
      <c r="P439" s="12"/>
    </row>
    <row r="440">
      <c r="A440" s="15"/>
      <c r="D440" s="95"/>
      <c r="E440" s="14"/>
      <c r="H440" s="12"/>
      <c r="I440" s="12"/>
      <c r="J440" s="12"/>
      <c r="K440" s="12"/>
      <c r="L440" s="12"/>
      <c r="M440" s="12"/>
      <c r="N440" s="12"/>
      <c r="O440" s="12"/>
      <c r="P440" s="12"/>
    </row>
    <row r="441">
      <c r="A441" s="15"/>
      <c r="D441" s="95"/>
      <c r="E441" s="14"/>
      <c r="H441" s="12"/>
      <c r="I441" s="12"/>
      <c r="J441" s="12"/>
      <c r="K441" s="12"/>
      <c r="L441" s="12"/>
      <c r="M441" s="12"/>
      <c r="N441" s="12"/>
      <c r="O441" s="12"/>
      <c r="P441" s="12"/>
    </row>
    <row r="442">
      <c r="A442" s="15"/>
      <c r="D442" s="95"/>
      <c r="E442" s="14"/>
      <c r="H442" s="12"/>
      <c r="I442" s="12"/>
      <c r="J442" s="12"/>
      <c r="K442" s="12"/>
      <c r="L442" s="12"/>
      <c r="M442" s="12"/>
      <c r="N442" s="12"/>
      <c r="O442" s="12"/>
      <c r="P442" s="12"/>
    </row>
    <row r="443">
      <c r="A443" s="15"/>
      <c r="D443" s="95"/>
      <c r="E443" s="14"/>
      <c r="H443" s="12"/>
      <c r="I443" s="12"/>
      <c r="J443" s="12"/>
      <c r="K443" s="12"/>
      <c r="L443" s="12"/>
      <c r="M443" s="12"/>
      <c r="N443" s="12"/>
      <c r="O443" s="12"/>
      <c r="P443" s="12"/>
    </row>
    <row r="444">
      <c r="A444" s="15"/>
      <c r="D444" s="95"/>
      <c r="E444" s="14"/>
      <c r="H444" s="12"/>
      <c r="I444" s="12"/>
      <c r="J444" s="12"/>
      <c r="K444" s="12"/>
      <c r="L444" s="12"/>
      <c r="M444" s="12"/>
      <c r="N444" s="12"/>
      <c r="O444" s="12"/>
      <c r="P444" s="12"/>
    </row>
    <row r="445">
      <c r="A445" s="15"/>
      <c r="D445" s="95"/>
      <c r="E445" s="14"/>
      <c r="H445" s="12"/>
      <c r="I445" s="12"/>
      <c r="J445" s="12"/>
      <c r="K445" s="12"/>
      <c r="L445" s="12"/>
      <c r="M445" s="12"/>
      <c r="N445" s="12"/>
      <c r="O445" s="12"/>
      <c r="P445" s="12"/>
    </row>
    <row r="446">
      <c r="A446" s="15"/>
      <c r="D446" s="95"/>
      <c r="E446" s="14"/>
      <c r="H446" s="12"/>
      <c r="I446" s="12"/>
      <c r="J446" s="12"/>
      <c r="K446" s="12"/>
      <c r="L446" s="12"/>
      <c r="M446" s="12"/>
      <c r="N446" s="12"/>
      <c r="O446" s="12"/>
      <c r="P446" s="12"/>
    </row>
    <row r="447">
      <c r="A447" s="15"/>
      <c r="D447" s="95"/>
      <c r="E447" s="14"/>
      <c r="H447" s="12"/>
      <c r="I447" s="12"/>
      <c r="J447" s="12"/>
      <c r="K447" s="12"/>
      <c r="L447" s="12"/>
      <c r="M447" s="12"/>
      <c r="N447" s="12"/>
      <c r="O447" s="12"/>
      <c r="P447" s="12"/>
    </row>
    <row r="448">
      <c r="A448" s="15"/>
      <c r="D448" s="95"/>
      <c r="E448" s="14"/>
      <c r="H448" s="12"/>
      <c r="I448" s="12"/>
      <c r="J448" s="12"/>
      <c r="K448" s="12"/>
      <c r="L448" s="12"/>
      <c r="M448" s="12"/>
      <c r="N448" s="12"/>
      <c r="O448" s="12"/>
      <c r="P448" s="12"/>
    </row>
    <row r="449">
      <c r="A449" s="15"/>
      <c r="D449" s="95"/>
      <c r="E449" s="14"/>
      <c r="H449" s="12"/>
      <c r="I449" s="12"/>
      <c r="J449" s="12"/>
      <c r="K449" s="12"/>
      <c r="L449" s="12"/>
      <c r="M449" s="12"/>
      <c r="N449" s="12"/>
      <c r="O449" s="12"/>
      <c r="P449" s="12"/>
    </row>
    <row r="450">
      <c r="A450" s="15"/>
      <c r="D450" s="95"/>
      <c r="E450" s="14"/>
      <c r="H450" s="12"/>
      <c r="I450" s="12"/>
      <c r="J450" s="12"/>
      <c r="K450" s="12"/>
      <c r="L450" s="12"/>
      <c r="M450" s="12"/>
      <c r="N450" s="12"/>
      <c r="O450" s="12"/>
      <c r="P450" s="12"/>
    </row>
    <row r="451">
      <c r="A451" s="15"/>
      <c r="D451" s="95"/>
      <c r="E451" s="14"/>
      <c r="H451" s="12"/>
      <c r="I451" s="12"/>
      <c r="J451" s="12"/>
      <c r="K451" s="12"/>
      <c r="L451" s="12"/>
      <c r="M451" s="12"/>
      <c r="N451" s="12"/>
      <c r="O451" s="12"/>
      <c r="P451" s="12"/>
    </row>
    <row r="452">
      <c r="A452" s="15"/>
      <c r="D452" s="95"/>
      <c r="E452" s="14"/>
      <c r="H452" s="12"/>
      <c r="I452" s="12"/>
      <c r="J452" s="12"/>
      <c r="K452" s="12"/>
      <c r="L452" s="12"/>
      <c r="M452" s="12"/>
      <c r="N452" s="12"/>
      <c r="O452" s="12"/>
      <c r="P452" s="12"/>
    </row>
    <row r="453">
      <c r="A453" s="15"/>
      <c r="D453" s="95"/>
      <c r="E453" s="14"/>
      <c r="H453" s="12"/>
      <c r="I453" s="12"/>
      <c r="J453" s="12"/>
      <c r="K453" s="12"/>
      <c r="L453" s="12"/>
      <c r="M453" s="12"/>
      <c r="N453" s="12"/>
      <c r="O453" s="12"/>
      <c r="P453" s="12"/>
    </row>
    <row r="454">
      <c r="A454" s="15"/>
      <c r="D454" s="95"/>
      <c r="E454" s="14"/>
      <c r="H454" s="12"/>
      <c r="I454" s="12"/>
      <c r="J454" s="12"/>
      <c r="K454" s="12"/>
      <c r="L454" s="12"/>
      <c r="M454" s="12"/>
      <c r="N454" s="12"/>
      <c r="O454" s="12"/>
      <c r="P454" s="12"/>
    </row>
    <row r="455">
      <c r="A455" s="15"/>
      <c r="D455" s="95"/>
      <c r="E455" s="14"/>
      <c r="H455" s="12"/>
      <c r="I455" s="12"/>
      <c r="J455" s="12"/>
      <c r="K455" s="12"/>
      <c r="L455" s="12"/>
      <c r="M455" s="12"/>
      <c r="N455" s="12"/>
      <c r="O455" s="12"/>
      <c r="P455" s="12"/>
    </row>
    <row r="456">
      <c r="A456" s="15"/>
      <c r="D456" s="95"/>
      <c r="E456" s="14"/>
      <c r="H456" s="12"/>
      <c r="I456" s="12"/>
      <c r="J456" s="12"/>
      <c r="K456" s="12"/>
      <c r="L456" s="12"/>
      <c r="M456" s="12"/>
      <c r="N456" s="12"/>
      <c r="O456" s="12"/>
      <c r="P456" s="12"/>
    </row>
    <row r="457">
      <c r="A457" s="15"/>
      <c r="D457" s="95"/>
      <c r="E457" s="14"/>
      <c r="H457" s="12"/>
      <c r="I457" s="12"/>
      <c r="J457" s="12"/>
      <c r="K457" s="12"/>
      <c r="L457" s="12"/>
      <c r="M457" s="12"/>
      <c r="N457" s="12"/>
      <c r="O457" s="12"/>
      <c r="P457" s="12"/>
    </row>
    <row r="458">
      <c r="A458" s="15"/>
      <c r="D458" s="95"/>
      <c r="E458" s="14"/>
      <c r="H458" s="12"/>
      <c r="I458" s="12"/>
      <c r="J458" s="12"/>
      <c r="K458" s="12"/>
      <c r="L458" s="12"/>
      <c r="M458" s="12"/>
      <c r="N458" s="12"/>
      <c r="O458" s="12"/>
      <c r="P458" s="12"/>
    </row>
    <row r="459">
      <c r="A459" s="15"/>
      <c r="D459" s="95"/>
      <c r="E459" s="14"/>
      <c r="H459" s="12"/>
      <c r="I459" s="12"/>
      <c r="J459" s="12"/>
      <c r="K459" s="12"/>
      <c r="L459" s="12"/>
      <c r="M459" s="12"/>
      <c r="N459" s="12"/>
      <c r="O459" s="12"/>
      <c r="P459" s="12"/>
    </row>
    <row r="460">
      <c r="A460" s="15"/>
      <c r="D460" s="95"/>
      <c r="E460" s="14"/>
      <c r="H460" s="12"/>
      <c r="I460" s="12"/>
      <c r="J460" s="12"/>
      <c r="K460" s="12"/>
      <c r="L460" s="12"/>
      <c r="M460" s="12"/>
      <c r="N460" s="12"/>
      <c r="O460" s="12"/>
      <c r="P460" s="12"/>
    </row>
    <row r="461">
      <c r="A461" s="15"/>
      <c r="D461" s="95"/>
      <c r="E461" s="14"/>
      <c r="H461" s="12"/>
      <c r="I461" s="12"/>
      <c r="J461" s="12"/>
      <c r="K461" s="12"/>
      <c r="L461" s="12"/>
      <c r="M461" s="12"/>
      <c r="N461" s="12"/>
      <c r="O461" s="12"/>
      <c r="P461" s="12"/>
    </row>
    <row r="462">
      <c r="A462" s="15"/>
      <c r="D462" s="95"/>
      <c r="E462" s="14"/>
      <c r="H462" s="12"/>
      <c r="I462" s="12"/>
      <c r="J462" s="12"/>
      <c r="K462" s="12"/>
      <c r="L462" s="12"/>
      <c r="M462" s="12"/>
      <c r="N462" s="12"/>
      <c r="O462" s="12"/>
      <c r="P462" s="12"/>
    </row>
    <row r="463">
      <c r="A463" s="15"/>
      <c r="D463" s="95"/>
      <c r="E463" s="14"/>
      <c r="H463" s="12"/>
      <c r="I463" s="12"/>
      <c r="J463" s="12"/>
      <c r="K463" s="12"/>
      <c r="L463" s="12"/>
      <c r="M463" s="12"/>
      <c r="N463" s="12"/>
      <c r="O463" s="12"/>
      <c r="P463" s="12"/>
    </row>
    <row r="464">
      <c r="A464" s="15"/>
      <c r="D464" s="95"/>
      <c r="E464" s="14"/>
      <c r="H464" s="12"/>
      <c r="I464" s="12"/>
      <c r="J464" s="12"/>
      <c r="K464" s="12"/>
      <c r="L464" s="12"/>
      <c r="M464" s="12"/>
      <c r="N464" s="12"/>
      <c r="O464" s="12"/>
      <c r="P464" s="12"/>
    </row>
    <row r="465">
      <c r="A465" s="15"/>
      <c r="D465" s="95"/>
      <c r="E465" s="14"/>
      <c r="H465" s="12"/>
      <c r="I465" s="12"/>
      <c r="J465" s="12"/>
      <c r="K465" s="12"/>
      <c r="L465" s="12"/>
      <c r="M465" s="12"/>
      <c r="N465" s="12"/>
      <c r="O465" s="12"/>
      <c r="P465" s="12"/>
    </row>
    <row r="466">
      <c r="A466" s="15"/>
      <c r="D466" s="95"/>
      <c r="E466" s="14"/>
      <c r="H466" s="12"/>
      <c r="I466" s="12"/>
      <c r="J466" s="12"/>
      <c r="K466" s="12"/>
      <c r="L466" s="12"/>
      <c r="M466" s="12"/>
      <c r="N466" s="12"/>
      <c r="O466" s="12"/>
      <c r="P466" s="12"/>
    </row>
    <row r="467">
      <c r="A467" s="15"/>
      <c r="D467" s="95"/>
      <c r="E467" s="14"/>
      <c r="H467" s="12"/>
      <c r="I467" s="12"/>
      <c r="J467" s="12"/>
      <c r="K467" s="12"/>
      <c r="L467" s="12"/>
      <c r="M467" s="12"/>
      <c r="N467" s="12"/>
      <c r="O467" s="12"/>
      <c r="P467" s="12"/>
    </row>
    <row r="468">
      <c r="A468" s="15"/>
      <c r="D468" s="95"/>
      <c r="E468" s="14"/>
      <c r="H468" s="12"/>
      <c r="I468" s="12"/>
      <c r="J468" s="12"/>
      <c r="K468" s="12"/>
      <c r="L468" s="12"/>
      <c r="M468" s="12"/>
      <c r="N468" s="12"/>
      <c r="O468" s="12"/>
      <c r="P468" s="12"/>
    </row>
    <row r="469">
      <c r="A469" s="15"/>
      <c r="D469" s="95"/>
      <c r="E469" s="14"/>
      <c r="H469" s="12"/>
      <c r="I469" s="12"/>
      <c r="J469" s="12"/>
      <c r="K469" s="12"/>
      <c r="L469" s="12"/>
      <c r="M469" s="12"/>
      <c r="N469" s="12"/>
      <c r="O469" s="12"/>
      <c r="P469" s="12"/>
    </row>
    <row r="470">
      <c r="A470" s="15"/>
      <c r="D470" s="95"/>
      <c r="E470" s="14"/>
      <c r="H470" s="12"/>
      <c r="I470" s="12"/>
      <c r="J470" s="12"/>
      <c r="K470" s="12"/>
      <c r="L470" s="12"/>
      <c r="M470" s="12"/>
      <c r="N470" s="12"/>
      <c r="O470" s="12"/>
      <c r="P470" s="12"/>
    </row>
    <row r="471">
      <c r="A471" s="15"/>
      <c r="D471" s="95"/>
      <c r="E471" s="14"/>
      <c r="H471" s="12"/>
      <c r="I471" s="12"/>
      <c r="J471" s="12"/>
      <c r="K471" s="12"/>
      <c r="L471" s="12"/>
      <c r="M471" s="12"/>
      <c r="N471" s="12"/>
      <c r="O471" s="12"/>
      <c r="P471" s="12"/>
    </row>
    <row r="472">
      <c r="A472" s="15"/>
      <c r="D472" s="95"/>
      <c r="E472" s="14"/>
      <c r="H472" s="12"/>
      <c r="I472" s="12"/>
      <c r="J472" s="12"/>
      <c r="K472" s="12"/>
      <c r="L472" s="12"/>
      <c r="M472" s="12"/>
      <c r="N472" s="12"/>
      <c r="O472" s="12"/>
      <c r="P472" s="12"/>
    </row>
    <row r="473">
      <c r="A473" s="15"/>
      <c r="D473" s="95"/>
      <c r="E473" s="14"/>
      <c r="H473" s="12"/>
      <c r="I473" s="12"/>
      <c r="J473" s="12"/>
      <c r="K473" s="12"/>
      <c r="L473" s="12"/>
      <c r="M473" s="12"/>
      <c r="N473" s="12"/>
      <c r="O473" s="12"/>
      <c r="P473" s="12"/>
    </row>
    <row r="474">
      <c r="A474" s="15"/>
      <c r="D474" s="95"/>
      <c r="E474" s="14"/>
      <c r="H474" s="12"/>
      <c r="I474" s="12"/>
      <c r="J474" s="12"/>
      <c r="K474" s="12"/>
      <c r="L474" s="12"/>
      <c r="M474" s="12"/>
      <c r="N474" s="12"/>
      <c r="O474" s="12"/>
      <c r="P474" s="12"/>
    </row>
    <row r="475">
      <c r="A475" s="15"/>
      <c r="D475" s="95"/>
      <c r="E475" s="14"/>
      <c r="H475" s="12"/>
      <c r="I475" s="12"/>
      <c r="J475" s="12"/>
      <c r="K475" s="12"/>
      <c r="L475" s="12"/>
      <c r="M475" s="12"/>
      <c r="N475" s="12"/>
      <c r="O475" s="12"/>
      <c r="P475" s="12"/>
    </row>
    <row r="476">
      <c r="A476" s="15"/>
      <c r="D476" s="95"/>
      <c r="E476" s="14"/>
      <c r="H476" s="12"/>
      <c r="I476" s="12"/>
      <c r="J476" s="12"/>
      <c r="K476" s="12"/>
      <c r="L476" s="12"/>
      <c r="M476" s="12"/>
      <c r="N476" s="12"/>
      <c r="O476" s="12"/>
      <c r="P476" s="12"/>
    </row>
    <row r="477">
      <c r="A477" s="15"/>
      <c r="D477" s="95"/>
      <c r="E477" s="14"/>
      <c r="H477" s="12"/>
      <c r="I477" s="12"/>
      <c r="J477" s="12"/>
      <c r="K477" s="12"/>
      <c r="L477" s="12"/>
      <c r="M477" s="12"/>
      <c r="N477" s="12"/>
      <c r="O477" s="12"/>
      <c r="P477" s="12"/>
    </row>
    <row r="478">
      <c r="A478" s="15"/>
      <c r="D478" s="95"/>
      <c r="E478" s="14"/>
      <c r="H478" s="12"/>
      <c r="I478" s="12"/>
      <c r="J478" s="12"/>
      <c r="K478" s="12"/>
      <c r="L478" s="12"/>
      <c r="M478" s="12"/>
      <c r="N478" s="12"/>
      <c r="O478" s="12"/>
      <c r="P478" s="12"/>
    </row>
    <row r="479">
      <c r="A479" s="15"/>
      <c r="D479" s="95"/>
      <c r="E479" s="14"/>
      <c r="H479" s="12"/>
      <c r="I479" s="12"/>
      <c r="J479" s="12"/>
      <c r="K479" s="12"/>
      <c r="L479" s="12"/>
      <c r="M479" s="12"/>
      <c r="N479" s="12"/>
      <c r="O479" s="12"/>
      <c r="P479" s="12"/>
    </row>
    <row r="480">
      <c r="A480" s="15"/>
      <c r="D480" s="95"/>
      <c r="E480" s="14"/>
      <c r="H480" s="12"/>
      <c r="I480" s="12"/>
      <c r="J480" s="12"/>
      <c r="K480" s="12"/>
      <c r="L480" s="12"/>
      <c r="M480" s="12"/>
      <c r="N480" s="12"/>
      <c r="O480" s="12"/>
      <c r="P480" s="12"/>
    </row>
    <row r="481">
      <c r="A481" s="15"/>
      <c r="D481" s="95"/>
      <c r="E481" s="14"/>
      <c r="H481" s="12"/>
      <c r="I481" s="12"/>
      <c r="J481" s="12"/>
      <c r="K481" s="12"/>
      <c r="L481" s="12"/>
      <c r="M481" s="12"/>
      <c r="N481" s="12"/>
      <c r="O481" s="12"/>
      <c r="P481" s="12"/>
    </row>
    <row r="482">
      <c r="A482" s="15"/>
      <c r="D482" s="95"/>
      <c r="E482" s="14"/>
      <c r="H482" s="12"/>
      <c r="I482" s="12"/>
      <c r="J482" s="12"/>
      <c r="K482" s="12"/>
      <c r="L482" s="12"/>
      <c r="M482" s="12"/>
      <c r="N482" s="12"/>
      <c r="O482" s="12"/>
      <c r="P482" s="12"/>
    </row>
    <row r="483">
      <c r="A483" s="15"/>
      <c r="D483" s="95"/>
      <c r="E483" s="14"/>
      <c r="H483" s="12"/>
      <c r="I483" s="12"/>
      <c r="J483" s="12"/>
      <c r="K483" s="12"/>
      <c r="L483" s="12"/>
      <c r="M483" s="12"/>
      <c r="N483" s="12"/>
      <c r="O483" s="12"/>
      <c r="P483" s="12"/>
    </row>
    <row r="484">
      <c r="A484" s="15"/>
      <c r="D484" s="95"/>
      <c r="E484" s="14"/>
      <c r="H484" s="12"/>
      <c r="I484" s="12"/>
      <c r="J484" s="12"/>
      <c r="K484" s="12"/>
      <c r="L484" s="12"/>
      <c r="M484" s="12"/>
      <c r="N484" s="12"/>
      <c r="O484" s="12"/>
      <c r="P484" s="12"/>
    </row>
    <row r="485">
      <c r="A485" s="15"/>
      <c r="D485" s="95"/>
      <c r="E485" s="14"/>
      <c r="H485" s="12"/>
      <c r="I485" s="12"/>
      <c r="J485" s="12"/>
      <c r="K485" s="12"/>
      <c r="L485" s="12"/>
      <c r="M485" s="12"/>
      <c r="N485" s="12"/>
      <c r="O485" s="12"/>
      <c r="P485" s="12"/>
    </row>
    <row r="486">
      <c r="A486" s="15"/>
      <c r="D486" s="95"/>
      <c r="E486" s="14"/>
      <c r="H486" s="12"/>
      <c r="I486" s="12"/>
      <c r="J486" s="12"/>
      <c r="K486" s="12"/>
      <c r="L486" s="12"/>
      <c r="M486" s="12"/>
      <c r="N486" s="12"/>
      <c r="O486" s="12"/>
      <c r="P486" s="12"/>
    </row>
    <row r="487">
      <c r="A487" s="15"/>
      <c r="D487" s="95"/>
      <c r="E487" s="14"/>
      <c r="H487" s="12"/>
      <c r="I487" s="12"/>
      <c r="J487" s="12"/>
      <c r="K487" s="12"/>
      <c r="L487" s="12"/>
      <c r="M487" s="12"/>
      <c r="N487" s="12"/>
      <c r="O487" s="12"/>
      <c r="P487" s="12"/>
    </row>
    <row r="488">
      <c r="A488" s="15"/>
      <c r="D488" s="95"/>
      <c r="E488" s="14"/>
      <c r="H488" s="12"/>
      <c r="I488" s="12"/>
      <c r="J488" s="12"/>
      <c r="K488" s="12"/>
      <c r="L488" s="12"/>
      <c r="M488" s="12"/>
      <c r="N488" s="12"/>
      <c r="O488" s="12"/>
      <c r="P488" s="12"/>
    </row>
    <row r="489">
      <c r="A489" s="15"/>
      <c r="D489" s="95"/>
      <c r="E489" s="14"/>
      <c r="H489" s="12"/>
      <c r="I489" s="12"/>
      <c r="J489" s="12"/>
      <c r="K489" s="12"/>
      <c r="L489" s="12"/>
      <c r="M489" s="12"/>
      <c r="N489" s="12"/>
      <c r="O489" s="12"/>
      <c r="P489" s="12"/>
    </row>
    <row r="490">
      <c r="A490" s="15"/>
      <c r="D490" s="95"/>
      <c r="E490" s="14"/>
      <c r="H490" s="12"/>
      <c r="I490" s="12"/>
      <c r="J490" s="12"/>
      <c r="K490" s="12"/>
      <c r="L490" s="12"/>
      <c r="M490" s="12"/>
      <c r="N490" s="12"/>
      <c r="O490" s="12"/>
      <c r="P490" s="12"/>
    </row>
    <row r="491">
      <c r="A491" s="15"/>
      <c r="D491" s="95"/>
      <c r="E491" s="14"/>
      <c r="H491" s="12"/>
      <c r="I491" s="12"/>
      <c r="J491" s="12"/>
      <c r="K491" s="12"/>
      <c r="L491" s="12"/>
      <c r="M491" s="12"/>
      <c r="N491" s="12"/>
      <c r="O491" s="12"/>
      <c r="P491" s="12"/>
    </row>
    <row r="492">
      <c r="A492" s="15"/>
      <c r="D492" s="95"/>
      <c r="E492" s="14"/>
      <c r="H492" s="12"/>
      <c r="I492" s="12"/>
      <c r="J492" s="12"/>
      <c r="K492" s="12"/>
      <c r="L492" s="12"/>
      <c r="M492" s="12"/>
      <c r="N492" s="12"/>
      <c r="O492" s="12"/>
      <c r="P492" s="12"/>
    </row>
    <row r="493">
      <c r="A493" s="15"/>
      <c r="D493" s="95"/>
      <c r="E493" s="14"/>
      <c r="H493" s="12"/>
      <c r="I493" s="12"/>
      <c r="J493" s="12"/>
      <c r="K493" s="12"/>
      <c r="L493" s="12"/>
      <c r="M493" s="12"/>
      <c r="N493" s="12"/>
      <c r="O493" s="12"/>
      <c r="P493" s="12"/>
    </row>
    <row r="494">
      <c r="A494" s="15"/>
      <c r="D494" s="95"/>
      <c r="E494" s="14"/>
      <c r="H494" s="12"/>
      <c r="I494" s="12"/>
      <c r="J494" s="12"/>
      <c r="K494" s="12"/>
      <c r="L494" s="12"/>
      <c r="M494" s="12"/>
      <c r="N494" s="12"/>
      <c r="O494" s="12"/>
      <c r="P494" s="12"/>
    </row>
    <row r="495">
      <c r="A495" s="15"/>
      <c r="D495" s="95"/>
      <c r="E495" s="14"/>
      <c r="H495" s="12"/>
      <c r="I495" s="12"/>
      <c r="J495" s="12"/>
      <c r="K495" s="12"/>
      <c r="L495" s="12"/>
      <c r="M495" s="12"/>
      <c r="N495" s="12"/>
      <c r="O495" s="12"/>
      <c r="P495" s="12"/>
    </row>
    <row r="496">
      <c r="A496" s="15"/>
      <c r="D496" s="95"/>
      <c r="E496" s="14"/>
      <c r="H496" s="12"/>
      <c r="I496" s="12"/>
      <c r="J496" s="12"/>
      <c r="K496" s="12"/>
      <c r="L496" s="12"/>
      <c r="M496" s="12"/>
      <c r="N496" s="12"/>
      <c r="O496" s="12"/>
      <c r="P496" s="12"/>
    </row>
    <row r="497">
      <c r="A497" s="15"/>
      <c r="D497" s="95"/>
      <c r="E497" s="14"/>
      <c r="H497" s="12"/>
      <c r="I497" s="12"/>
      <c r="J497" s="12"/>
      <c r="K497" s="12"/>
      <c r="L497" s="12"/>
      <c r="M497" s="12"/>
      <c r="N497" s="12"/>
      <c r="O497" s="12"/>
      <c r="P497" s="12"/>
    </row>
    <row r="498">
      <c r="A498" s="15"/>
      <c r="D498" s="95"/>
      <c r="E498" s="14"/>
      <c r="H498" s="12"/>
      <c r="I498" s="12"/>
      <c r="J498" s="12"/>
      <c r="K498" s="12"/>
      <c r="L498" s="12"/>
      <c r="M498" s="12"/>
      <c r="N498" s="12"/>
      <c r="O498" s="12"/>
      <c r="P498" s="12"/>
    </row>
    <row r="499">
      <c r="A499" s="15"/>
      <c r="D499" s="95"/>
      <c r="E499" s="14"/>
      <c r="H499" s="12"/>
      <c r="I499" s="12"/>
      <c r="J499" s="12"/>
      <c r="K499" s="12"/>
      <c r="L499" s="12"/>
      <c r="M499" s="12"/>
      <c r="N499" s="12"/>
      <c r="O499" s="12"/>
      <c r="P499" s="12"/>
    </row>
    <row r="500">
      <c r="A500" s="15"/>
      <c r="D500" s="95"/>
      <c r="E500" s="14"/>
      <c r="H500" s="12"/>
      <c r="I500" s="12"/>
      <c r="J500" s="12"/>
      <c r="K500" s="12"/>
      <c r="L500" s="12"/>
      <c r="M500" s="12"/>
      <c r="N500" s="12"/>
      <c r="O500" s="12"/>
      <c r="P500" s="12"/>
    </row>
    <row r="501">
      <c r="A501" s="15"/>
      <c r="D501" s="95"/>
      <c r="E501" s="14"/>
      <c r="H501" s="12"/>
      <c r="I501" s="12"/>
      <c r="J501" s="12"/>
      <c r="K501" s="12"/>
      <c r="L501" s="12"/>
      <c r="M501" s="12"/>
      <c r="N501" s="12"/>
      <c r="O501" s="12"/>
      <c r="P501" s="12"/>
    </row>
    <row r="502">
      <c r="A502" s="15"/>
      <c r="D502" s="95"/>
      <c r="E502" s="14"/>
      <c r="H502" s="12"/>
      <c r="I502" s="12"/>
      <c r="J502" s="12"/>
      <c r="K502" s="12"/>
      <c r="L502" s="12"/>
      <c r="M502" s="12"/>
      <c r="N502" s="12"/>
      <c r="O502" s="12"/>
      <c r="P502" s="12"/>
    </row>
    <row r="503">
      <c r="A503" s="15"/>
      <c r="D503" s="95"/>
      <c r="E503" s="14"/>
      <c r="H503" s="12"/>
      <c r="I503" s="12"/>
      <c r="J503" s="12"/>
      <c r="K503" s="12"/>
      <c r="L503" s="12"/>
      <c r="M503" s="12"/>
      <c r="N503" s="12"/>
      <c r="O503" s="12"/>
      <c r="P503" s="12"/>
    </row>
    <row r="504">
      <c r="A504" s="15"/>
      <c r="D504" s="95"/>
      <c r="E504" s="14"/>
      <c r="H504" s="12"/>
      <c r="I504" s="12"/>
      <c r="J504" s="12"/>
      <c r="K504" s="12"/>
      <c r="L504" s="12"/>
      <c r="M504" s="12"/>
      <c r="N504" s="12"/>
      <c r="O504" s="12"/>
      <c r="P504" s="12"/>
    </row>
    <row r="505">
      <c r="A505" s="15"/>
      <c r="D505" s="95"/>
      <c r="E505" s="14"/>
      <c r="H505" s="12"/>
      <c r="I505" s="12"/>
      <c r="J505" s="12"/>
      <c r="K505" s="12"/>
      <c r="L505" s="12"/>
      <c r="M505" s="12"/>
      <c r="N505" s="12"/>
      <c r="O505" s="12"/>
      <c r="P505" s="12"/>
    </row>
    <row r="506">
      <c r="A506" s="15"/>
      <c r="D506" s="95"/>
      <c r="E506" s="14"/>
      <c r="H506" s="12"/>
      <c r="I506" s="12"/>
      <c r="J506" s="12"/>
      <c r="K506" s="12"/>
      <c r="L506" s="12"/>
      <c r="M506" s="12"/>
      <c r="N506" s="12"/>
      <c r="O506" s="12"/>
      <c r="P506" s="12"/>
    </row>
    <row r="507">
      <c r="A507" s="15"/>
      <c r="D507" s="95"/>
      <c r="E507" s="14"/>
      <c r="H507" s="12"/>
      <c r="I507" s="12"/>
      <c r="J507" s="12"/>
      <c r="K507" s="12"/>
      <c r="L507" s="12"/>
      <c r="M507" s="12"/>
      <c r="N507" s="12"/>
      <c r="O507" s="12"/>
      <c r="P507" s="12"/>
    </row>
    <row r="508">
      <c r="A508" s="15"/>
      <c r="D508" s="95"/>
      <c r="E508" s="14"/>
      <c r="H508" s="12"/>
      <c r="I508" s="12"/>
      <c r="J508" s="12"/>
      <c r="K508" s="12"/>
      <c r="L508" s="12"/>
      <c r="M508" s="12"/>
      <c r="N508" s="12"/>
      <c r="O508" s="12"/>
      <c r="P508" s="12"/>
    </row>
    <row r="509">
      <c r="A509" s="15"/>
      <c r="D509" s="95"/>
      <c r="E509" s="14"/>
      <c r="H509" s="12"/>
      <c r="I509" s="12"/>
      <c r="J509" s="12"/>
      <c r="K509" s="12"/>
      <c r="L509" s="12"/>
      <c r="M509" s="12"/>
      <c r="N509" s="12"/>
      <c r="O509" s="12"/>
      <c r="P509" s="12"/>
    </row>
    <row r="510">
      <c r="A510" s="15"/>
      <c r="D510" s="95"/>
      <c r="E510" s="14"/>
      <c r="H510" s="12"/>
      <c r="I510" s="12"/>
      <c r="J510" s="12"/>
      <c r="K510" s="12"/>
      <c r="L510" s="12"/>
      <c r="M510" s="12"/>
      <c r="N510" s="12"/>
      <c r="O510" s="12"/>
      <c r="P510" s="12"/>
    </row>
    <row r="511">
      <c r="A511" s="15"/>
      <c r="D511" s="95"/>
      <c r="E511" s="14"/>
      <c r="H511" s="12"/>
      <c r="I511" s="12"/>
      <c r="J511" s="12"/>
      <c r="K511" s="12"/>
      <c r="L511" s="12"/>
      <c r="M511" s="12"/>
      <c r="N511" s="12"/>
      <c r="O511" s="12"/>
      <c r="P511" s="12"/>
    </row>
    <row r="512">
      <c r="A512" s="15"/>
      <c r="D512" s="95"/>
      <c r="E512" s="14"/>
      <c r="H512" s="12"/>
      <c r="I512" s="12"/>
      <c r="J512" s="12"/>
      <c r="K512" s="12"/>
      <c r="L512" s="12"/>
      <c r="M512" s="12"/>
      <c r="N512" s="12"/>
      <c r="O512" s="12"/>
      <c r="P512" s="12"/>
    </row>
    <row r="513">
      <c r="A513" s="15"/>
      <c r="D513" s="95"/>
      <c r="E513" s="14"/>
      <c r="H513" s="12"/>
      <c r="I513" s="12"/>
      <c r="J513" s="12"/>
      <c r="K513" s="12"/>
      <c r="L513" s="12"/>
      <c r="M513" s="12"/>
      <c r="N513" s="12"/>
      <c r="O513" s="12"/>
      <c r="P513" s="12"/>
    </row>
    <row r="514">
      <c r="A514" s="15"/>
      <c r="D514" s="95"/>
      <c r="E514" s="14"/>
      <c r="H514" s="12"/>
      <c r="I514" s="12"/>
      <c r="J514" s="12"/>
      <c r="K514" s="12"/>
      <c r="L514" s="12"/>
      <c r="M514" s="12"/>
      <c r="N514" s="12"/>
      <c r="O514" s="12"/>
      <c r="P514" s="12"/>
    </row>
    <row r="515">
      <c r="A515" s="15"/>
      <c r="D515" s="95"/>
      <c r="E515" s="14"/>
      <c r="H515" s="12"/>
      <c r="I515" s="12"/>
      <c r="J515" s="12"/>
      <c r="K515" s="12"/>
      <c r="L515" s="12"/>
      <c r="M515" s="12"/>
      <c r="N515" s="12"/>
      <c r="O515" s="12"/>
      <c r="P515" s="12"/>
    </row>
    <row r="516">
      <c r="A516" s="15"/>
      <c r="D516" s="95"/>
      <c r="E516" s="14"/>
      <c r="H516" s="12"/>
      <c r="I516" s="12"/>
      <c r="J516" s="12"/>
      <c r="K516" s="12"/>
      <c r="L516" s="12"/>
      <c r="M516" s="12"/>
      <c r="N516" s="12"/>
      <c r="O516" s="12"/>
      <c r="P516" s="12"/>
    </row>
    <row r="517">
      <c r="A517" s="15"/>
      <c r="D517" s="95"/>
      <c r="E517" s="14"/>
      <c r="H517" s="12"/>
      <c r="I517" s="12"/>
      <c r="J517" s="12"/>
      <c r="K517" s="12"/>
      <c r="L517" s="12"/>
      <c r="M517" s="12"/>
      <c r="N517" s="12"/>
      <c r="O517" s="12"/>
      <c r="P517" s="12"/>
    </row>
    <row r="518">
      <c r="A518" s="15"/>
      <c r="D518" s="95"/>
      <c r="E518" s="14"/>
      <c r="H518" s="12"/>
      <c r="I518" s="12"/>
      <c r="J518" s="12"/>
      <c r="K518" s="12"/>
      <c r="L518" s="12"/>
      <c r="M518" s="12"/>
      <c r="N518" s="12"/>
      <c r="O518" s="12"/>
      <c r="P518" s="12"/>
    </row>
    <row r="519">
      <c r="A519" s="15"/>
      <c r="D519" s="95"/>
      <c r="E519" s="14"/>
      <c r="H519" s="12"/>
      <c r="I519" s="12"/>
      <c r="J519" s="12"/>
      <c r="K519" s="12"/>
      <c r="L519" s="12"/>
      <c r="M519" s="12"/>
      <c r="N519" s="12"/>
      <c r="O519" s="12"/>
      <c r="P519" s="12"/>
    </row>
    <row r="520">
      <c r="A520" s="15"/>
      <c r="D520" s="95"/>
      <c r="E520" s="14"/>
      <c r="H520" s="12"/>
      <c r="I520" s="12"/>
      <c r="J520" s="12"/>
      <c r="K520" s="12"/>
      <c r="L520" s="12"/>
      <c r="M520" s="12"/>
      <c r="N520" s="12"/>
      <c r="O520" s="12"/>
      <c r="P520" s="12"/>
    </row>
    <row r="521">
      <c r="A521" s="15"/>
      <c r="D521" s="95"/>
      <c r="E521" s="14"/>
      <c r="H521" s="12"/>
      <c r="I521" s="12"/>
      <c r="J521" s="12"/>
      <c r="K521" s="12"/>
      <c r="L521" s="12"/>
      <c r="M521" s="12"/>
      <c r="N521" s="12"/>
      <c r="O521" s="12"/>
      <c r="P521" s="12"/>
    </row>
    <row r="522">
      <c r="A522" s="15"/>
      <c r="D522" s="95"/>
      <c r="E522" s="14"/>
      <c r="H522" s="12"/>
      <c r="I522" s="12"/>
      <c r="J522" s="12"/>
      <c r="K522" s="12"/>
      <c r="L522" s="12"/>
      <c r="M522" s="12"/>
      <c r="N522" s="12"/>
      <c r="O522" s="12"/>
      <c r="P522" s="12"/>
    </row>
    <row r="523">
      <c r="A523" s="15"/>
      <c r="D523" s="95"/>
      <c r="E523" s="14"/>
      <c r="H523" s="12"/>
      <c r="I523" s="12"/>
      <c r="J523" s="12"/>
      <c r="K523" s="12"/>
      <c r="L523" s="12"/>
      <c r="M523" s="12"/>
      <c r="N523" s="12"/>
      <c r="O523" s="12"/>
      <c r="P523" s="12"/>
    </row>
    <row r="524">
      <c r="A524" s="15"/>
      <c r="D524" s="95"/>
      <c r="E524" s="14"/>
      <c r="H524" s="12"/>
      <c r="I524" s="12"/>
      <c r="J524" s="12"/>
      <c r="K524" s="12"/>
      <c r="L524" s="12"/>
      <c r="M524" s="12"/>
      <c r="N524" s="12"/>
      <c r="O524" s="12"/>
      <c r="P524" s="12"/>
    </row>
    <row r="525">
      <c r="A525" s="15"/>
      <c r="D525" s="95"/>
      <c r="E525" s="14"/>
      <c r="H525" s="12"/>
      <c r="I525" s="12"/>
      <c r="J525" s="12"/>
      <c r="K525" s="12"/>
      <c r="L525" s="12"/>
      <c r="M525" s="12"/>
      <c r="N525" s="12"/>
      <c r="O525" s="12"/>
      <c r="P525" s="12"/>
    </row>
    <row r="526">
      <c r="A526" s="15"/>
      <c r="D526" s="95"/>
      <c r="E526" s="14"/>
      <c r="H526" s="12"/>
      <c r="I526" s="12"/>
      <c r="J526" s="12"/>
      <c r="K526" s="12"/>
      <c r="L526" s="12"/>
      <c r="M526" s="12"/>
      <c r="N526" s="12"/>
      <c r="O526" s="12"/>
      <c r="P526" s="12"/>
    </row>
    <row r="527">
      <c r="A527" s="15"/>
      <c r="D527" s="95"/>
      <c r="E527" s="14"/>
      <c r="H527" s="12"/>
      <c r="I527" s="12"/>
      <c r="J527" s="12"/>
      <c r="K527" s="12"/>
      <c r="L527" s="12"/>
      <c r="M527" s="12"/>
      <c r="N527" s="12"/>
      <c r="O527" s="12"/>
      <c r="P527" s="12"/>
    </row>
    <row r="528">
      <c r="A528" s="15"/>
      <c r="D528" s="95"/>
      <c r="E528" s="14"/>
      <c r="H528" s="12"/>
      <c r="I528" s="12"/>
      <c r="J528" s="12"/>
      <c r="K528" s="12"/>
      <c r="L528" s="12"/>
      <c r="M528" s="12"/>
      <c r="N528" s="12"/>
      <c r="O528" s="12"/>
      <c r="P528" s="12"/>
    </row>
    <row r="529">
      <c r="A529" s="15"/>
      <c r="D529" s="95"/>
      <c r="E529" s="14"/>
      <c r="H529" s="12"/>
      <c r="I529" s="12"/>
      <c r="J529" s="12"/>
      <c r="K529" s="12"/>
      <c r="L529" s="12"/>
      <c r="M529" s="12"/>
      <c r="N529" s="12"/>
      <c r="O529" s="12"/>
      <c r="P529" s="12"/>
    </row>
    <row r="530">
      <c r="A530" s="15"/>
      <c r="D530" s="95"/>
      <c r="E530" s="14"/>
      <c r="H530" s="12"/>
      <c r="I530" s="12"/>
      <c r="J530" s="12"/>
      <c r="K530" s="12"/>
      <c r="L530" s="12"/>
      <c r="M530" s="12"/>
      <c r="N530" s="12"/>
      <c r="O530" s="12"/>
      <c r="P530" s="12"/>
    </row>
    <row r="531">
      <c r="A531" s="15"/>
      <c r="D531" s="95"/>
      <c r="E531" s="14"/>
      <c r="H531" s="12"/>
      <c r="I531" s="12"/>
      <c r="J531" s="12"/>
      <c r="K531" s="12"/>
      <c r="L531" s="12"/>
      <c r="M531" s="12"/>
      <c r="N531" s="12"/>
      <c r="O531" s="12"/>
      <c r="P531" s="12"/>
    </row>
    <row r="532">
      <c r="A532" s="15"/>
      <c r="D532" s="95"/>
      <c r="E532" s="14"/>
      <c r="H532" s="12"/>
      <c r="I532" s="12"/>
      <c r="J532" s="12"/>
      <c r="K532" s="12"/>
      <c r="L532" s="12"/>
      <c r="M532" s="12"/>
      <c r="N532" s="12"/>
      <c r="O532" s="12"/>
      <c r="P532" s="12"/>
    </row>
    <row r="533">
      <c r="A533" s="15"/>
      <c r="D533" s="95"/>
      <c r="E533" s="14"/>
      <c r="H533" s="12"/>
      <c r="I533" s="12"/>
      <c r="J533" s="12"/>
      <c r="K533" s="12"/>
      <c r="L533" s="12"/>
      <c r="M533" s="12"/>
      <c r="N533" s="12"/>
      <c r="O533" s="12"/>
      <c r="P533" s="12"/>
    </row>
    <row r="534">
      <c r="A534" s="15"/>
      <c r="D534" s="95"/>
      <c r="E534" s="14"/>
      <c r="H534" s="12"/>
      <c r="I534" s="12"/>
      <c r="J534" s="12"/>
      <c r="K534" s="12"/>
      <c r="L534" s="12"/>
      <c r="M534" s="12"/>
      <c r="N534" s="12"/>
      <c r="O534" s="12"/>
      <c r="P534" s="12"/>
    </row>
    <row r="535">
      <c r="A535" s="15"/>
      <c r="D535" s="95"/>
      <c r="E535" s="14"/>
      <c r="H535" s="12"/>
      <c r="I535" s="12"/>
      <c r="J535" s="12"/>
      <c r="K535" s="12"/>
      <c r="L535" s="12"/>
      <c r="M535" s="12"/>
      <c r="N535" s="12"/>
      <c r="O535" s="12"/>
      <c r="P535" s="12"/>
    </row>
    <row r="536">
      <c r="A536" s="15"/>
      <c r="D536" s="95"/>
      <c r="E536" s="14"/>
      <c r="H536" s="12"/>
      <c r="I536" s="12"/>
      <c r="J536" s="12"/>
      <c r="K536" s="12"/>
      <c r="L536" s="12"/>
      <c r="M536" s="12"/>
      <c r="N536" s="12"/>
      <c r="O536" s="12"/>
      <c r="P536" s="12"/>
    </row>
    <row r="537">
      <c r="A537" s="15"/>
      <c r="D537" s="95"/>
      <c r="E537" s="14"/>
      <c r="H537" s="12"/>
      <c r="I537" s="12"/>
      <c r="J537" s="12"/>
      <c r="K537" s="12"/>
      <c r="L537" s="12"/>
      <c r="M537" s="12"/>
      <c r="N537" s="12"/>
      <c r="O537" s="12"/>
      <c r="P537" s="12"/>
    </row>
    <row r="538">
      <c r="A538" s="15"/>
      <c r="D538" s="95"/>
      <c r="E538" s="14"/>
      <c r="H538" s="12"/>
      <c r="I538" s="12"/>
      <c r="J538" s="12"/>
      <c r="K538" s="12"/>
      <c r="L538" s="12"/>
      <c r="M538" s="12"/>
      <c r="N538" s="12"/>
      <c r="O538" s="12"/>
      <c r="P538" s="12"/>
    </row>
    <row r="539">
      <c r="A539" s="15"/>
      <c r="D539" s="95"/>
      <c r="E539" s="14"/>
      <c r="H539" s="12"/>
      <c r="I539" s="12"/>
      <c r="J539" s="12"/>
      <c r="K539" s="12"/>
      <c r="L539" s="12"/>
      <c r="M539" s="12"/>
      <c r="N539" s="12"/>
      <c r="O539" s="12"/>
      <c r="P539" s="12"/>
    </row>
    <row r="540">
      <c r="A540" s="15"/>
      <c r="D540" s="95"/>
      <c r="E540" s="14"/>
      <c r="H540" s="12"/>
      <c r="I540" s="12"/>
      <c r="J540" s="12"/>
      <c r="K540" s="12"/>
      <c r="L540" s="12"/>
      <c r="M540" s="12"/>
      <c r="N540" s="12"/>
      <c r="O540" s="12"/>
      <c r="P540" s="12"/>
    </row>
    <row r="541">
      <c r="A541" s="15"/>
      <c r="D541" s="95"/>
      <c r="E541" s="14"/>
      <c r="H541" s="12"/>
      <c r="I541" s="12"/>
      <c r="J541" s="12"/>
      <c r="K541" s="12"/>
      <c r="L541" s="12"/>
      <c r="M541" s="12"/>
      <c r="N541" s="12"/>
      <c r="O541" s="12"/>
      <c r="P541" s="12"/>
    </row>
    <row r="542">
      <c r="A542" s="15"/>
      <c r="D542" s="95"/>
      <c r="E542" s="14"/>
      <c r="H542" s="12"/>
      <c r="I542" s="12"/>
      <c r="J542" s="12"/>
      <c r="K542" s="12"/>
      <c r="L542" s="12"/>
      <c r="M542" s="12"/>
      <c r="N542" s="12"/>
      <c r="O542" s="12"/>
      <c r="P542" s="12"/>
    </row>
    <row r="543">
      <c r="A543" s="15"/>
      <c r="D543" s="95"/>
      <c r="E543" s="14"/>
      <c r="H543" s="12"/>
      <c r="I543" s="12"/>
      <c r="J543" s="12"/>
      <c r="K543" s="12"/>
      <c r="L543" s="12"/>
      <c r="M543" s="12"/>
      <c r="N543" s="12"/>
      <c r="O543" s="12"/>
      <c r="P543" s="12"/>
    </row>
    <row r="544">
      <c r="A544" s="15"/>
      <c r="D544" s="95"/>
      <c r="E544" s="14"/>
      <c r="H544" s="12"/>
      <c r="I544" s="12"/>
      <c r="J544" s="12"/>
      <c r="K544" s="12"/>
      <c r="L544" s="12"/>
      <c r="M544" s="12"/>
      <c r="N544" s="12"/>
      <c r="O544" s="12"/>
      <c r="P544" s="12"/>
    </row>
    <row r="545">
      <c r="A545" s="15"/>
      <c r="D545" s="95"/>
      <c r="E545" s="14"/>
      <c r="H545" s="12"/>
      <c r="I545" s="12"/>
      <c r="J545" s="12"/>
      <c r="K545" s="12"/>
      <c r="L545" s="12"/>
      <c r="M545" s="12"/>
      <c r="N545" s="12"/>
      <c r="O545" s="12"/>
      <c r="P545" s="12"/>
    </row>
    <row r="546">
      <c r="A546" s="15"/>
      <c r="D546" s="95"/>
      <c r="E546" s="14"/>
      <c r="H546" s="12"/>
      <c r="I546" s="12"/>
      <c r="J546" s="12"/>
      <c r="K546" s="12"/>
      <c r="L546" s="12"/>
      <c r="M546" s="12"/>
      <c r="N546" s="12"/>
      <c r="O546" s="12"/>
      <c r="P546" s="12"/>
    </row>
    <row r="547">
      <c r="A547" s="15"/>
      <c r="D547" s="95"/>
      <c r="E547" s="14"/>
      <c r="H547" s="12"/>
      <c r="I547" s="12"/>
      <c r="J547" s="12"/>
      <c r="K547" s="12"/>
      <c r="L547" s="12"/>
      <c r="M547" s="12"/>
      <c r="N547" s="12"/>
      <c r="O547" s="12"/>
      <c r="P547" s="12"/>
    </row>
    <row r="548">
      <c r="A548" s="15"/>
      <c r="D548" s="95"/>
      <c r="E548" s="14"/>
      <c r="H548" s="12"/>
      <c r="I548" s="12"/>
      <c r="J548" s="12"/>
      <c r="K548" s="12"/>
      <c r="L548" s="12"/>
      <c r="M548" s="12"/>
      <c r="N548" s="12"/>
      <c r="O548" s="12"/>
      <c r="P548" s="12"/>
    </row>
    <row r="549">
      <c r="A549" s="15"/>
      <c r="D549" s="95"/>
      <c r="E549" s="14"/>
      <c r="H549" s="12"/>
      <c r="I549" s="12"/>
      <c r="J549" s="12"/>
      <c r="K549" s="12"/>
      <c r="L549" s="12"/>
      <c r="M549" s="12"/>
      <c r="N549" s="12"/>
      <c r="O549" s="12"/>
      <c r="P549" s="12"/>
    </row>
    <row r="550">
      <c r="A550" s="15"/>
      <c r="D550" s="95"/>
      <c r="E550" s="14"/>
      <c r="H550" s="12"/>
      <c r="I550" s="12"/>
      <c r="J550" s="12"/>
      <c r="K550" s="12"/>
      <c r="L550" s="12"/>
      <c r="M550" s="12"/>
      <c r="N550" s="12"/>
      <c r="O550" s="12"/>
      <c r="P550" s="12"/>
    </row>
    <row r="551">
      <c r="A551" s="15"/>
      <c r="D551" s="95"/>
      <c r="E551" s="14"/>
      <c r="H551" s="12"/>
      <c r="I551" s="12"/>
      <c r="J551" s="12"/>
      <c r="K551" s="12"/>
      <c r="L551" s="12"/>
      <c r="M551" s="12"/>
      <c r="N551" s="12"/>
      <c r="O551" s="12"/>
      <c r="P551" s="12"/>
    </row>
    <row r="552">
      <c r="A552" s="15"/>
      <c r="D552" s="95"/>
      <c r="E552" s="14"/>
      <c r="H552" s="12"/>
      <c r="I552" s="12"/>
      <c r="J552" s="12"/>
      <c r="K552" s="12"/>
      <c r="L552" s="12"/>
      <c r="M552" s="12"/>
      <c r="N552" s="12"/>
      <c r="O552" s="12"/>
      <c r="P552" s="12"/>
    </row>
    <row r="553">
      <c r="A553" s="15"/>
      <c r="D553" s="95"/>
      <c r="E553" s="14"/>
      <c r="H553" s="12"/>
      <c r="I553" s="12"/>
      <c r="J553" s="12"/>
      <c r="K553" s="12"/>
      <c r="L553" s="12"/>
      <c r="M553" s="12"/>
      <c r="N553" s="12"/>
      <c r="O553" s="12"/>
      <c r="P553" s="12"/>
    </row>
    <row r="554">
      <c r="A554" s="15"/>
      <c r="D554" s="95"/>
      <c r="E554" s="14"/>
      <c r="H554" s="12"/>
      <c r="I554" s="12"/>
      <c r="J554" s="12"/>
      <c r="K554" s="12"/>
      <c r="L554" s="12"/>
      <c r="M554" s="12"/>
      <c r="N554" s="12"/>
      <c r="O554" s="12"/>
      <c r="P554" s="12"/>
    </row>
    <row r="555">
      <c r="A555" s="15"/>
      <c r="D555" s="95"/>
      <c r="E555" s="14"/>
      <c r="H555" s="12"/>
      <c r="I555" s="12"/>
      <c r="J555" s="12"/>
      <c r="K555" s="12"/>
      <c r="L555" s="12"/>
      <c r="M555" s="12"/>
      <c r="N555" s="12"/>
      <c r="O555" s="12"/>
      <c r="P555" s="12"/>
    </row>
    <row r="556">
      <c r="A556" s="15"/>
      <c r="D556" s="95"/>
      <c r="E556" s="14"/>
      <c r="H556" s="12"/>
      <c r="I556" s="12"/>
      <c r="J556" s="12"/>
      <c r="K556" s="12"/>
      <c r="L556" s="12"/>
      <c r="M556" s="12"/>
      <c r="N556" s="12"/>
      <c r="O556" s="12"/>
      <c r="P556" s="12"/>
    </row>
    <row r="557">
      <c r="A557" s="15"/>
      <c r="D557" s="95"/>
      <c r="E557" s="14"/>
      <c r="H557" s="12"/>
      <c r="I557" s="12"/>
      <c r="J557" s="12"/>
      <c r="K557" s="12"/>
      <c r="L557" s="12"/>
      <c r="M557" s="12"/>
      <c r="N557" s="12"/>
      <c r="O557" s="12"/>
      <c r="P557" s="12"/>
    </row>
    <row r="558">
      <c r="A558" s="15"/>
      <c r="D558" s="95"/>
      <c r="E558" s="14"/>
      <c r="H558" s="12"/>
      <c r="I558" s="12"/>
      <c r="J558" s="12"/>
      <c r="K558" s="12"/>
      <c r="L558" s="12"/>
      <c r="M558" s="12"/>
      <c r="N558" s="12"/>
      <c r="O558" s="12"/>
      <c r="P558" s="12"/>
    </row>
    <row r="559">
      <c r="A559" s="15"/>
      <c r="D559" s="95"/>
      <c r="E559" s="14"/>
      <c r="H559" s="12"/>
      <c r="I559" s="12"/>
      <c r="J559" s="12"/>
      <c r="K559" s="12"/>
      <c r="L559" s="12"/>
      <c r="M559" s="12"/>
      <c r="N559" s="12"/>
      <c r="O559" s="12"/>
      <c r="P559" s="12"/>
    </row>
    <row r="560">
      <c r="A560" s="15"/>
      <c r="D560" s="95"/>
      <c r="E560" s="14"/>
      <c r="H560" s="12"/>
      <c r="I560" s="12"/>
      <c r="J560" s="12"/>
      <c r="K560" s="12"/>
      <c r="L560" s="12"/>
      <c r="M560" s="12"/>
      <c r="N560" s="12"/>
      <c r="O560" s="12"/>
      <c r="P560" s="12"/>
    </row>
    <row r="561">
      <c r="A561" s="15"/>
      <c r="D561" s="95"/>
      <c r="E561" s="14"/>
      <c r="H561" s="12"/>
      <c r="I561" s="12"/>
      <c r="J561" s="12"/>
      <c r="K561" s="12"/>
      <c r="L561" s="12"/>
      <c r="M561" s="12"/>
      <c r="N561" s="12"/>
      <c r="O561" s="12"/>
      <c r="P561" s="12"/>
    </row>
    <row r="562">
      <c r="A562" s="15"/>
      <c r="D562" s="95"/>
      <c r="E562" s="14"/>
      <c r="H562" s="12"/>
      <c r="I562" s="12"/>
      <c r="J562" s="12"/>
      <c r="K562" s="12"/>
      <c r="L562" s="12"/>
      <c r="M562" s="12"/>
      <c r="N562" s="12"/>
      <c r="O562" s="12"/>
      <c r="P562" s="12"/>
    </row>
    <row r="563">
      <c r="A563" s="15"/>
      <c r="D563" s="95"/>
      <c r="E563" s="14"/>
      <c r="H563" s="12"/>
      <c r="I563" s="12"/>
      <c r="J563" s="12"/>
      <c r="K563" s="12"/>
      <c r="L563" s="12"/>
      <c r="M563" s="12"/>
      <c r="N563" s="12"/>
      <c r="O563" s="12"/>
      <c r="P563" s="12"/>
    </row>
    <row r="564">
      <c r="A564" s="15"/>
      <c r="D564" s="95"/>
      <c r="E564" s="14"/>
      <c r="H564" s="12"/>
      <c r="I564" s="12"/>
      <c r="J564" s="12"/>
      <c r="K564" s="12"/>
      <c r="L564" s="12"/>
      <c r="M564" s="12"/>
      <c r="N564" s="12"/>
      <c r="O564" s="12"/>
      <c r="P564" s="12"/>
    </row>
    <row r="565">
      <c r="A565" s="15"/>
      <c r="D565" s="95"/>
      <c r="E565" s="14"/>
      <c r="H565" s="12"/>
      <c r="I565" s="12"/>
      <c r="J565" s="12"/>
      <c r="K565" s="12"/>
      <c r="L565" s="12"/>
      <c r="M565" s="12"/>
      <c r="N565" s="12"/>
      <c r="O565" s="12"/>
      <c r="P565" s="12"/>
    </row>
    <row r="566">
      <c r="A566" s="15"/>
      <c r="D566" s="95"/>
      <c r="E566" s="14"/>
      <c r="H566" s="12"/>
      <c r="I566" s="12"/>
      <c r="J566" s="12"/>
      <c r="K566" s="12"/>
      <c r="L566" s="12"/>
      <c r="M566" s="12"/>
      <c r="N566" s="12"/>
      <c r="O566" s="12"/>
      <c r="P566" s="12"/>
    </row>
    <row r="567">
      <c r="A567" s="15"/>
      <c r="D567" s="95"/>
      <c r="E567" s="14"/>
      <c r="H567" s="12"/>
      <c r="I567" s="12"/>
      <c r="J567" s="12"/>
      <c r="K567" s="12"/>
      <c r="L567" s="12"/>
      <c r="M567" s="12"/>
      <c r="N567" s="12"/>
      <c r="O567" s="12"/>
      <c r="P567" s="12"/>
    </row>
    <row r="568">
      <c r="A568" s="15"/>
      <c r="D568" s="95"/>
      <c r="E568" s="14"/>
      <c r="H568" s="12"/>
      <c r="I568" s="12"/>
      <c r="J568" s="12"/>
      <c r="K568" s="12"/>
      <c r="L568" s="12"/>
      <c r="M568" s="12"/>
      <c r="N568" s="12"/>
      <c r="O568" s="12"/>
      <c r="P568" s="12"/>
    </row>
    <row r="569">
      <c r="A569" s="15"/>
      <c r="D569" s="95"/>
      <c r="E569" s="14"/>
      <c r="H569" s="12"/>
      <c r="I569" s="12"/>
      <c r="J569" s="12"/>
      <c r="K569" s="12"/>
      <c r="L569" s="12"/>
      <c r="M569" s="12"/>
      <c r="N569" s="12"/>
      <c r="O569" s="12"/>
      <c r="P569" s="12"/>
    </row>
    <row r="570">
      <c r="A570" s="15"/>
      <c r="D570" s="95"/>
      <c r="E570" s="14"/>
      <c r="H570" s="12"/>
      <c r="I570" s="12"/>
      <c r="J570" s="12"/>
      <c r="K570" s="12"/>
      <c r="L570" s="12"/>
      <c r="M570" s="12"/>
      <c r="N570" s="12"/>
      <c r="O570" s="12"/>
      <c r="P570" s="12"/>
    </row>
    <row r="571">
      <c r="A571" s="15"/>
      <c r="D571" s="95"/>
      <c r="E571" s="14"/>
      <c r="H571" s="12"/>
      <c r="I571" s="12"/>
      <c r="J571" s="12"/>
      <c r="K571" s="12"/>
      <c r="L571" s="12"/>
      <c r="M571" s="12"/>
      <c r="N571" s="12"/>
      <c r="O571" s="12"/>
      <c r="P571" s="12"/>
    </row>
    <row r="572">
      <c r="A572" s="15"/>
      <c r="D572" s="95"/>
      <c r="E572" s="14"/>
      <c r="H572" s="12"/>
      <c r="I572" s="12"/>
      <c r="J572" s="12"/>
      <c r="K572" s="12"/>
      <c r="L572" s="12"/>
      <c r="M572" s="12"/>
      <c r="N572" s="12"/>
      <c r="O572" s="12"/>
      <c r="P572" s="12"/>
    </row>
    <row r="573">
      <c r="A573" s="15"/>
      <c r="D573" s="95"/>
      <c r="E573" s="14"/>
      <c r="H573" s="12"/>
      <c r="I573" s="12"/>
      <c r="J573" s="12"/>
      <c r="K573" s="12"/>
      <c r="L573" s="12"/>
      <c r="M573" s="12"/>
      <c r="N573" s="12"/>
      <c r="O573" s="12"/>
      <c r="P573" s="12"/>
    </row>
    <row r="574">
      <c r="A574" s="15"/>
      <c r="D574" s="95"/>
      <c r="E574" s="14"/>
      <c r="H574" s="12"/>
      <c r="I574" s="12"/>
      <c r="J574" s="12"/>
      <c r="K574" s="12"/>
      <c r="L574" s="12"/>
      <c r="M574" s="12"/>
      <c r="N574" s="12"/>
      <c r="O574" s="12"/>
      <c r="P574" s="12"/>
    </row>
    <row r="575">
      <c r="A575" s="15"/>
      <c r="D575" s="95"/>
      <c r="E575" s="14"/>
      <c r="H575" s="12"/>
      <c r="I575" s="12"/>
      <c r="J575" s="12"/>
      <c r="K575" s="12"/>
      <c r="L575" s="12"/>
      <c r="M575" s="12"/>
      <c r="N575" s="12"/>
      <c r="O575" s="12"/>
      <c r="P575" s="12"/>
    </row>
    <row r="576">
      <c r="A576" s="15"/>
      <c r="D576" s="95"/>
      <c r="E576" s="14"/>
      <c r="H576" s="12"/>
      <c r="I576" s="12"/>
      <c r="J576" s="12"/>
      <c r="K576" s="12"/>
      <c r="L576" s="12"/>
      <c r="M576" s="12"/>
      <c r="N576" s="12"/>
      <c r="O576" s="12"/>
      <c r="P576" s="12"/>
    </row>
    <row r="577">
      <c r="A577" s="15"/>
      <c r="D577" s="95"/>
      <c r="E577" s="14"/>
      <c r="H577" s="12"/>
      <c r="I577" s="12"/>
      <c r="J577" s="12"/>
      <c r="K577" s="12"/>
      <c r="L577" s="12"/>
      <c r="M577" s="12"/>
      <c r="N577" s="12"/>
      <c r="O577" s="12"/>
      <c r="P577" s="12"/>
    </row>
    <row r="578">
      <c r="A578" s="15"/>
      <c r="D578" s="95"/>
      <c r="E578" s="14"/>
      <c r="H578" s="12"/>
      <c r="I578" s="12"/>
      <c r="J578" s="12"/>
      <c r="K578" s="12"/>
      <c r="L578" s="12"/>
      <c r="M578" s="12"/>
      <c r="N578" s="12"/>
      <c r="O578" s="12"/>
      <c r="P578" s="12"/>
    </row>
    <row r="579">
      <c r="A579" s="15"/>
      <c r="D579" s="95"/>
      <c r="E579" s="14"/>
      <c r="H579" s="12"/>
      <c r="I579" s="12"/>
      <c r="J579" s="12"/>
      <c r="K579" s="12"/>
      <c r="L579" s="12"/>
      <c r="M579" s="12"/>
      <c r="N579" s="12"/>
      <c r="O579" s="12"/>
      <c r="P579" s="12"/>
    </row>
    <row r="580">
      <c r="A580" s="15"/>
      <c r="D580" s="95"/>
      <c r="E580" s="14"/>
      <c r="H580" s="12"/>
      <c r="I580" s="12"/>
      <c r="J580" s="12"/>
      <c r="K580" s="12"/>
      <c r="L580" s="12"/>
      <c r="M580" s="12"/>
      <c r="N580" s="12"/>
      <c r="O580" s="12"/>
      <c r="P580" s="12"/>
    </row>
    <row r="581">
      <c r="A581" s="15"/>
      <c r="D581" s="95"/>
      <c r="E581" s="14"/>
      <c r="H581" s="12"/>
      <c r="I581" s="12"/>
      <c r="J581" s="12"/>
      <c r="K581" s="12"/>
      <c r="L581" s="12"/>
      <c r="M581" s="12"/>
      <c r="N581" s="12"/>
      <c r="O581" s="12"/>
      <c r="P581" s="12"/>
    </row>
    <row r="582">
      <c r="A582" s="15"/>
      <c r="D582" s="95"/>
      <c r="E582" s="14"/>
      <c r="H582" s="12"/>
      <c r="I582" s="12"/>
      <c r="J582" s="12"/>
      <c r="K582" s="12"/>
      <c r="L582" s="12"/>
      <c r="M582" s="12"/>
      <c r="N582" s="12"/>
      <c r="O582" s="12"/>
      <c r="P582" s="12"/>
    </row>
    <row r="583">
      <c r="A583" s="15"/>
      <c r="D583" s="95"/>
      <c r="E583" s="14"/>
      <c r="H583" s="12"/>
      <c r="I583" s="12"/>
      <c r="J583" s="12"/>
      <c r="K583" s="12"/>
      <c r="L583" s="12"/>
      <c r="M583" s="12"/>
      <c r="N583" s="12"/>
      <c r="O583" s="12"/>
      <c r="P583" s="12"/>
    </row>
    <row r="584">
      <c r="A584" s="15"/>
      <c r="D584" s="95"/>
      <c r="E584" s="14"/>
      <c r="H584" s="12"/>
      <c r="I584" s="12"/>
      <c r="J584" s="12"/>
      <c r="K584" s="12"/>
      <c r="L584" s="12"/>
      <c r="M584" s="12"/>
      <c r="N584" s="12"/>
      <c r="O584" s="12"/>
      <c r="P584" s="12"/>
    </row>
    <row r="585">
      <c r="A585" s="15"/>
      <c r="D585" s="95"/>
      <c r="E585" s="14"/>
      <c r="H585" s="12"/>
      <c r="I585" s="12"/>
      <c r="J585" s="12"/>
      <c r="K585" s="12"/>
      <c r="L585" s="12"/>
      <c r="M585" s="12"/>
      <c r="N585" s="12"/>
      <c r="O585" s="12"/>
      <c r="P585" s="12"/>
    </row>
    <row r="586">
      <c r="A586" s="15"/>
      <c r="D586" s="95"/>
      <c r="E586" s="14"/>
      <c r="H586" s="12"/>
      <c r="I586" s="12"/>
      <c r="J586" s="12"/>
      <c r="K586" s="12"/>
      <c r="L586" s="12"/>
      <c r="M586" s="12"/>
      <c r="N586" s="12"/>
      <c r="O586" s="12"/>
      <c r="P586" s="12"/>
    </row>
    <row r="587">
      <c r="A587" s="15"/>
      <c r="D587" s="95"/>
      <c r="E587" s="14"/>
      <c r="H587" s="12"/>
      <c r="I587" s="12"/>
      <c r="J587" s="12"/>
      <c r="K587" s="12"/>
      <c r="L587" s="12"/>
      <c r="M587" s="12"/>
      <c r="N587" s="12"/>
      <c r="O587" s="12"/>
      <c r="P587" s="12"/>
    </row>
    <row r="588">
      <c r="A588" s="15"/>
      <c r="D588" s="95"/>
      <c r="E588" s="14"/>
      <c r="H588" s="12"/>
      <c r="I588" s="12"/>
      <c r="J588" s="12"/>
      <c r="K588" s="12"/>
      <c r="L588" s="12"/>
      <c r="M588" s="12"/>
      <c r="N588" s="12"/>
      <c r="O588" s="12"/>
      <c r="P588" s="12"/>
    </row>
    <row r="589">
      <c r="A589" s="15"/>
      <c r="D589" s="95"/>
      <c r="E589" s="14"/>
      <c r="H589" s="12"/>
      <c r="I589" s="12"/>
      <c r="J589" s="12"/>
      <c r="K589" s="12"/>
      <c r="L589" s="12"/>
      <c r="M589" s="12"/>
      <c r="N589" s="12"/>
      <c r="O589" s="12"/>
      <c r="P589" s="12"/>
    </row>
    <row r="590">
      <c r="A590" s="15"/>
      <c r="D590" s="95"/>
      <c r="E590" s="14"/>
      <c r="H590" s="12"/>
      <c r="I590" s="12"/>
      <c r="J590" s="12"/>
      <c r="K590" s="12"/>
      <c r="L590" s="12"/>
      <c r="M590" s="12"/>
      <c r="N590" s="12"/>
      <c r="O590" s="12"/>
      <c r="P590" s="12"/>
    </row>
    <row r="591">
      <c r="A591" s="15"/>
      <c r="D591" s="95"/>
      <c r="E591" s="14"/>
      <c r="H591" s="12"/>
      <c r="I591" s="12"/>
      <c r="J591" s="12"/>
      <c r="K591" s="12"/>
      <c r="L591" s="12"/>
      <c r="M591" s="12"/>
      <c r="N591" s="12"/>
      <c r="O591" s="12"/>
      <c r="P591" s="12"/>
    </row>
    <row r="592">
      <c r="A592" s="15"/>
      <c r="D592" s="95"/>
      <c r="E592" s="14"/>
      <c r="H592" s="12"/>
      <c r="I592" s="12"/>
      <c r="J592" s="12"/>
      <c r="K592" s="12"/>
      <c r="L592" s="12"/>
      <c r="M592" s="12"/>
      <c r="N592" s="12"/>
      <c r="O592" s="12"/>
      <c r="P592" s="12"/>
    </row>
    <row r="593">
      <c r="A593" s="15"/>
      <c r="D593" s="95"/>
      <c r="E593" s="14"/>
      <c r="H593" s="12"/>
      <c r="I593" s="12"/>
      <c r="J593" s="12"/>
      <c r="K593" s="12"/>
      <c r="L593" s="12"/>
      <c r="M593" s="12"/>
      <c r="N593" s="12"/>
      <c r="O593" s="12"/>
      <c r="P593" s="12"/>
    </row>
    <row r="594">
      <c r="A594" s="15"/>
      <c r="D594" s="95"/>
      <c r="E594" s="14"/>
      <c r="H594" s="12"/>
      <c r="I594" s="12"/>
      <c r="J594" s="12"/>
      <c r="K594" s="12"/>
      <c r="L594" s="12"/>
      <c r="M594" s="12"/>
      <c r="N594" s="12"/>
      <c r="O594" s="12"/>
      <c r="P594" s="12"/>
    </row>
    <row r="595">
      <c r="A595" s="15"/>
      <c r="D595" s="95"/>
      <c r="E595" s="14"/>
      <c r="H595" s="12"/>
      <c r="I595" s="12"/>
      <c r="J595" s="12"/>
      <c r="K595" s="12"/>
      <c r="L595" s="12"/>
      <c r="M595" s="12"/>
      <c r="N595" s="12"/>
      <c r="O595" s="12"/>
      <c r="P595" s="12"/>
    </row>
    <row r="596">
      <c r="A596" s="15"/>
      <c r="D596" s="95"/>
      <c r="E596" s="14"/>
      <c r="H596" s="12"/>
      <c r="I596" s="12"/>
      <c r="J596" s="12"/>
      <c r="K596" s="12"/>
      <c r="L596" s="12"/>
      <c r="M596" s="12"/>
      <c r="N596" s="12"/>
      <c r="O596" s="12"/>
      <c r="P596" s="12"/>
    </row>
    <row r="597">
      <c r="A597" s="15"/>
      <c r="D597" s="95"/>
      <c r="E597" s="14"/>
      <c r="H597" s="12"/>
      <c r="I597" s="12"/>
      <c r="J597" s="12"/>
      <c r="K597" s="12"/>
      <c r="L597" s="12"/>
      <c r="M597" s="12"/>
      <c r="N597" s="12"/>
      <c r="O597" s="12"/>
      <c r="P597" s="12"/>
    </row>
    <row r="598">
      <c r="A598" s="15"/>
      <c r="D598" s="95"/>
      <c r="E598" s="14"/>
      <c r="H598" s="12"/>
      <c r="I598" s="12"/>
      <c r="J598" s="12"/>
      <c r="K598" s="12"/>
      <c r="L598" s="12"/>
      <c r="M598" s="12"/>
      <c r="N598" s="12"/>
      <c r="O598" s="12"/>
      <c r="P598" s="12"/>
    </row>
    <row r="599">
      <c r="A599" s="15"/>
      <c r="D599" s="95"/>
      <c r="E599" s="14"/>
      <c r="H599" s="12"/>
      <c r="I599" s="12"/>
      <c r="J599" s="12"/>
      <c r="K599" s="12"/>
      <c r="L599" s="12"/>
      <c r="M599" s="12"/>
      <c r="N599" s="12"/>
      <c r="O599" s="12"/>
      <c r="P599" s="12"/>
    </row>
    <row r="600">
      <c r="A600" s="15"/>
      <c r="D600" s="95"/>
      <c r="E600" s="14"/>
      <c r="H600" s="12"/>
      <c r="I600" s="12"/>
      <c r="J600" s="12"/>
      <c r="K600" s="12"/>
      <c r="L600" s="12"/>
      <c r="M600" s="12"/>
      <c r="N600" s="12"/>
      <c r="O600" s="12"/>
      <c r="P600" s="12"/>
    </row>
    <row r="601">
      <c r="A601" s="15"/>
      <c r="D601" s="95"/>
      <c r="E601" s="14"/>
      <c r="H601" s="12"/>
      <c r="I601" s="12"/>
      <c r="J601" s="12"/>
      <c r="K601" s="12"/>
      <c r="L601" s="12"/>
      <c r="M601" s="12"/>
      <c r="N601" s="12"/>
      <c r="O601" s="12"/>
      <c r="P601" s="12"/>
    </row>
    <row r="602">
      <c r="A602" s="15"/>
      <c r="D602" s="95"/>
      <c r="E602" s="14"/>
      <c r="H602" s="12"/>
      <c r="I602" s="12"/>
      <c r="J602" s="12"/>
      <c r="K602" s="12"/>
      <c r="L602" s="12"/>
      <c r="M602" s="12"/>
      <c r="N602" s="12"/>
      <c r="O602" s="12"/>
      <c r="P602" s="12"/>
    </row>
    <row r="603">
      <c r="A603" s="15"/>
      <c r="D603" s="95"/>
      <c r="E603" s="14"/>
      <c r="H603" s="12"/>
      <c r="I603" s="12"/>
      <c r="J603" s="12"/>
      <c r="K603" s="12"/>
      <c r="L603" s="12"/>
      <c r="M603" s="12"/>
      <c r="N603" s="12"/>
      <c r="O603" s="12"/>
      <c r="P603" s="12"/>
    </row>
    <row r="604">
      <c r="A604" s="15"/>
      <c r="D604" s="95"/>
      <c r="E604" s="14"/>
      <c r="H604" s="12"/>
      <c r="I604" s="12"/>
      <c r="J604" s="12"/>
      <c r="K604" s="12"/>
      <c r="L604" s="12"/>
      <c r="M604" s="12"/>
      <c r="N604" s="12"/>
      <c r="O604" s="12"/>
      <c r="P604" s="12"/>
    </row>
    <row r="605">
      <c r="A605" s="15"/>
      <c r="D605" s="95"/>
      <c r="E605" s="14"/>
      <c r="H605" s="12"/>
      <c r="I605" s="12"/>
      <c r="J605" s="12"/>
      <c r="K605" s="12"/>
      <c r="L605" s="12"/>
      <c r="M605" s="12"/>
      <c r="N605" s="12"/>
      <c r="O605" s="12"/>
      <c r="P605" s="12"/>
    </row>
    <row r="606">
      <c r="A606" s="15"/>
      <c r="D606" s="95"/>
      <c r="E606" s="14"/>
      <c r="H606" s="12"/>
      <c r="I606" s="12"/>
      <c r="J606" s="12"/>
      <c r="K606" s="12"/>
      <c r="L606" s="12"/>
      <c r="M606" s="12"/>
      <c r="N606" s="12"/>
      <c r="O606" s="12"/>
      <c r="P606" s="12"/>
    </row>
    <row r="607">
      <c r="A607" s="15"/>
      <c r="D607" s="95"/>
      <c r="E607" s="14"/>
      <c r="H607" s="12"/>
      <c r="I607" s="12"/>
      <c r="J607" s="12"/>
      <c r="K607" s="12"/>
      <c r="L607" s="12"/>
      <c r="M607" s="12"/>
      <c r="N607" s="12"/>
      <c r="O607" s="12"/>
      <c r="P607" s="12"/>
    </row>
    <row r="608">
      <c r="A608" s="15"/>
      <c r="D608" s="95"/>
      <c r="E608" s="14"/>
      <c r="H608" s="12"/>
      <c r="I608" s="12"/>
      <c r="J608" s="12"/>
      <c r="K608" s="12"/>
      <c r="L608" s="12"/>
      <c r="M608" s="12"/>
      <c r="N608" s="12"/>
      <c r="O608" s="12"/>
      <c r="P608" s="12"/>
    </row>
    <row r="609">
      <c r="A609" s="15"/>
      <c r="D609" s="95"/>
      <c r="E609" s="14"/>
      <c r="H609" s="12"/>
      <c r="I609" s="12"/>
      <c r="J609" s="12"/>
      <c r="K609" s="12"/>
      <c r="L609" s="12"/>
      <c r="M609" s="12"/>
      <c r="N609" s="12"/>
      <c r="O609" s="12"/>
      <c r="P609" s="12"/>
    </row>
    <row r="610">
      <c r="A610" s="15"/>
      <c r="D610" s="95"/>
      <c r="E610" s="14"/>
      <c r="H610" s="12"/>
      <c r="I610" s="12"/>
      <c r="J610" s="12"/>
      <c r="K610" s="12"/>
      <c r="L610" s="12"/>
      <c r="M610" s="12"/>
      <c r="N610" s="12"/>
      <c r="O610" s="12"/>
      <c r="P610" s="12"/>
    </row>
    <row r="611">
      <c r="A611" s="15"/>
      <c r="D611" s="95"/>
      <c r="E611" s="14"/>
      <c r="H611" s="12"/>
      <c r="I611" s="12"/>
      <c r="J611" s="12"/>
      <c r="K611" s="12"/>
      <c r="L611" s="12"/>
      <c r="M611" s="12"/>
      <c r="N611" s="12"/>
      <c r="O611" s="12"/>
      <c r="P611" s="12"/>
    </row>
    <row r="612">
      <c r="A612" s="15"/>
      <c r="D612" s="95"/>
      <c r="E612" s="14"/>
      <c r="H612" s="12"/>
      <c r="I612" s="12"/>
      <c r="J612" s="12"/>
      <c r="K612" s="12"/>
      <c r="L612" s="12"/>
      <c r="M612" s="12"/>
      <c r="N612" s="12"/>
      <c r="O612" s="12"/>
      <c r="P612" s="12"/>
    </row>
    <row r="613">
      <c r="A613" s="15"/>
      <c r="D613" s="95"/>
      <c r="E613" s="14"/>
      <c r="H613" s="12"/>
      <c r="I613" s="12"/>
      <c r="J613" s="12"/>
      <c r="K613" s="12"/>
      <c r="L613" s="12"/>
      <c r="M613" s="12"/>
      <c r="N613" s="12"/>
      <c r="O613" s="12"/>
      <c r="P613" s="12"/>
    </row>
    <row r="614">
      <c r="A614" s="15"/>
      <c r="D614" s="95"/>
      <c r="E614" s="14"/>
      <c r="H614" s="12"/>
      <c r="I614" s="12"/>
      <c r="J614" s="12"/>
      <c r="K614" s="12"/>
      <c r="L614" s="12"/>
      <c r="M614" s="12"/>
      <c r="N614" s="12"/>
      <c r="O614" s="12"/>
      <c r="P614" s="12"/>
    </row>
    <row r="615">
      <c r="A615" s="15"/>
      <c r="D615" s="95"/>
      <c r="E615" s="14"/>
      <c r="H615" s="12"/>
      <c r="I615" s="12"/>
      <c r="J615" s="12"/>
      <c r="K615" s="12"/>
      <c r="L615" s="12"/>
      <c r="M615" s="12"/>
      <c r="N615" s="12"/>
      <c r="O615" s="12"/>
      <c r="P615" s="12"/>
    </row>
    <row r="616">
      <c r="A616" s="15"/>
      <c r="D616" s="95"/>
      <c r="E616" s="14"/>
      <c r="H616" s="12"/>
      <c r="I616" s="12"/>
      <c r="J616" s="12"/>
      <c r="K616" s="12"/>
      <c r="L616" s="12"/>
      <c r="M616" s="12"/>
      <c r="N616" s="12"/>
      <c r="O616" s="12"/>
      <c r="P616" s="12"/>
    </row>
    <row r="617">
      <c r="A617" s="15"/>
      <c r="D617" s="95"/>
      <c r="E617" s="14"/>
      <c r="H617" s="12"/>
      <c r="I617" s="12"/>
      <c r="J617" s="12"/>
      <c r="K617" s="12"/>
      <c r="L617" s="12"/>
      <c r="M617" s="12"/>
      <c r="N617" s="12"/>
      <c r="O617" s="12"/>
      <c r="P617" s="12"/>
    </row>
    <row r="618">
      <c r="A618" s="15"/>
      <c r="D618" s="95"/>
      <c r="E618" s="14"/>
      <c r="H618" s="12"/>
      <c r="I618" s="12"/>
      <c r="J618" s="12"/>
      <c r="K618" s="12"/>
      <c r="L618" s="12"/>
      <c r="M618" s="12"/>
      <c r="N618" s="12"/>
      <c r="O618" s="12"/>
      <c r="P618" s="12"/>
    </row>
    <row r="619">
      <c r="A619" s="15"/>
      <c r="D619" s="95"/>
      <c r="E619" s="14"/>
      <c r="H619" s="12"/>
      <c r="I619" s="12"/>
      <c r="J619" s="12"/>
      <c r="K619" s="12"/>
      <c r="L619" s="12"/>
      <c r="M619" s="12"/>
      <c r="N619" s="12"/>
      <c r="O619" s="12"/>
      <c r="P619" s="12"/>
    </row>
    <row r="620">
      <c r="A620" s="15"/>
      <c r="D620" s="95"/>
      <c r="E620" s="14"/>
      <c r="H620" s="12"/>
      <c r="I620" s="12"/>
      <c r="J620" s="12"/>
      <c r="K620" s="12"/>
      <c r="L620" s="12"/>
      <c r="M620" s="12"/>
      <c r="N620" s="12"/>
      <c r="O620" s="12"/>
      <c r="P620" s="12"/>
    </row>
    <row r="621">
      <c r="A621" s="15"/>
      <c r="D621" s="95"/>
      <c r="E621" s="14"/>
      <c r="H621" s="12"/>
      <c r="I621" s="12"/>
      <c r="J621" s="12"/>
      <c r="K621" s="12"/>
      <c r="L621" s="12"/>
      <c r="M621" s="12"/>
      <c r="N621" s="12"/>
      <c r="O621" s="12"/>
      <c r="P621" s="12"/>
    </row>
    <row r="622">
      <c r="A622" s="15"/>
      <c r="D622" s="95"/>
      <c r="E622" s="14"/>
      <c r="H622" s="12"/>
      <c r="I622" s="12"/>
      <c r="J622" s="12"/>
      <c r="K622" s="12"/>
      <c r="L622" s="12"/>
      <c r="M622" s="12"/>
      <c r="N622" s="12"/>
      <c r="O622" s="12"/>
      <c r="P622" s="12"/>
    </row>
    <row r="623">
      <c r="A623" s="15"/>
      <c r="D623" s="95"/>
      <c r="E623" s="14"/>
      <c r="H623" s="12"/>
      <c r="I623" s="12"/>
      <c r="J623" s="12"/>
      <c r="K623" s="12"/>
      <c r="L623" s="12"/>
      <c r="M623" s="12"/>
      <c r="N623" s="12"/>
      <c r="O623" s="12"/>
      <c r="P623" s="12"/>
    </row>
    <row r="624">
      <c r="A624" s="15"/>
      <c r="D624" s="95"/>
      <c r="E624" s="14"/>
      <c r="H624" s="12"/>
      <c r="I624" s="12"/>
      <c r="J624" s="12"/>
      <c r="K624" s="12"/>
      <c r="L624" s="12"/>
      <c r="M624" s="12"/>
      <c r="N624" s="12"/>
      <c r="O624" s="12"/>
      <c r="P624" s="12"/>
    </row>
    <row r="625">
      <c r="A625" s="15"/>
      <c r="D625" s="95"/>
      <c r="E625" s="14"/>
      <c r="H625" s="12"/>
      <c r="I625" s="12"/>
      <c r="J625" s="12"/>
      <c r="K625" s="12"/>
      <c r="L625" s="12"/>
      <c r="M625" s="12"/>
      <c r="N625" s="12"/>
      <c r="O625" s="12"/>
      <c r="P625" s="12"/>
    </row>
    <row r="626">
      <c r="A626" s="15"/>
      <c r="D626" s="95"/>
      <c r="E626" s="14"/>
      <c r="H626" s="12"/>
      <c r="I626" s="12"/>
      <c r="J626" s="12"/>
      <c r="K626" s="12"/>
      <c r="L626" s="12"/>
      <c r="M626" s="12"/>
      <c r="N626" s="12"/>
      <c r="O626" s="12"/>
      <c r="P626" s="12"/>
    </row>
    <row r="627">
      <c r="A627" s="15"/>
      <c r="D627" s="95"/>
      <c r="E627" s="14"/>
      <c r="H627" s="12"/>
      <c r="I627" s="12"/>
      <c r="J627" s="12"/>
      <c r="K627" s="12"/>
      <c r="L627" s="12"/>
      <c r="M627" s="12"/>
      <c r="N627" s="12"/>
      <c r="O627" s="12"/>
      <c r="P627" s="12"/>
    </row>
    <row r="628">
      <c r="A628" s="15"/>
      <c r="D628" s="95"/>
      <c r="E628" s="14"/>
      <c r="H628" s="12"/>
      <c r="I628" s="12"/>
      <c r="J628" s="12"/>
      <c r="K628" s="12"/>
      <c r="L628" s="12"/>
      <c r="M628" s="12"/>
      <c r="N628" s="12"/>
      <c r="O628" s="12"/>
      <c r="P628" s="12"/>
    </row>
    <row r="629">
      <c r="A629" s="15"/>
      <c r="D629" s="95"/>
      <c r="E629" s="14"/>
      <c r="H629" s="12"/>
      <c r="I629" s="12"/>
      <c r="J629" s="12"/>
      <c r="K629" s="12"/>
      <c r="L629" s="12"/>
      <c r="M629" s="12"/>
      <c r="N629" s="12"/>
      <c r="O629" s="12"/>
      <c r="P629" s="12"/>
    </row>
    <row r="630">
      <c r="A630" s="15"/>
      <c r="D630" s="95"/>
      <c r="E630" s="14"/>
      <c r="H630" s="12"/>
      <c r="I630" s="12"/>
      <c r="J630" s="12"/>
      <c r="K630" s="12"/>
      <c r="L630" s="12"/>
      <c r="M630" s="12"/>
      <c r="N630" s="12"/>
      <c r="O630" s="12"/>
      <c r="P630" s="12"/>
    </row>
    <row r="631">
      <c r="A631" s="15"/>
      <c r="D631" s="95"/>
      <c r="E631" s="14"/>
      <c r="H631" s="12"/>
      <c r="I631" s="12"/>
      <c r="J631" s="12"/>
      <c r="K631" s="12"/>
      <c r="L631" s="12"/>
      <c r="M631" s="12"/>
      <c r="N631" s="12"/>
      <c r="O631" s="12"/>
      <c r="P631" s="12"/>
    </row>
    <row r="632">
      <c r="A632" s="15"/>
      <c r="D632" s="95"/>
      <c r="E632" s="14"/>
      <c r="H632" s="12"/>
      <c r="I632" s="12"/>
      <c r="J632" s="12"/>
      <c r="K632" s="12"/>
      <c r="L632" s="12"/>
      <c r="M632" s="12"/>
      <c r="N632" s="12"/>
      <c r="O632" s="12"/>
      <c r="P632" s="12"/>
    </row>
    <row r="633">
      <c r="A633" s="15"/>
      <c r="D633" s="95"/>
      <c r="E633" s="14"/>
      <c r="H633" s="12"/>
      <c r="I633" s="12"/>
      <c r="J633" s="12"/>
      <c r="K633" s="12"/>
      <c r="L633" s="12"/>
      <c r="M633" s="12"/>
      <c r="N633" s="12"/>
      <c r="O633" s="12"/>
      <c r="P633" s="12"/>
    </row>
    <row r="634">
      <c r="A634" s="15"/>
      <c r="D634" s="95"/>
      <c r="E634" s="14"/>
      <c r="H634" s="12"/>
      <c r="I634" s="12"/>
      <c r="J634" s="12"/>
      <c r="K634" s="12"/>
      <c r="L634" s="12"/>
      <c r="M634" s="12"/>
      <c r="N634" s="12"/>
      <c r="O634" s="12"/>
      <c r="P634" s="12"/>
    </row>
    <row r="635">
      <c r="A635" s="15"/>
      <c r="D635" s="95"/>
      <c r="E635" s="14"/>
      <c r="H635" s="12"/>
      <c r="I635" s="12"/>
      <c r="J635" s="12"/>
      <c r="K635" s="12"/>
      <c r="L635" s="12"/>
      <c r="M635" s="12"/>
      <c r="N635" s="12"/>
      <c r="O635" s="12"/>
      <c r="P635" s="12"/>
    </row>
    <row r="636">
      <c r="A636" s="15"/>
      <c r="D636" s="95"/>
      <c r="E636" s="14"/>
      <c r="H636" s="12"/>
      <c r="I636" s="12"/>
      <c r="J636" s="12"/>
      <c r="K636" s="12"/>
      <c r="L636" s="12"/>
      <c r="M636" s="12"/>
      <c r="N636" s="12"/>
      <c r="O636" s="12"/>
      <c r="P636" s="12"/>
    </row>
    <row r="637">
      <c r="A637" s="15"/>
      <c r="D637" s="95"/>
      <c r="E637" s="14"/>
      <c r="H637" s="12"/>
      <c r="I637" s="12"/>
      <c r="J637" s="12"/>
      <c r="K637" s="12"/>
      <c r="L637" s="12"/>
      <c r="M637" s="12"/>
      <c r="N637" s="12"/>
      <c r="O637" s="12"/>
      <c r="P637" s="12"/>
    </row>
    <row r="638">
      <c r="A638" s="15"/>
      <c r="D638" s="95"/>
      <c r="E638" s="14"/>
      <c r="H638" s="12"/>
      <c r="I638" s="12"/>
      <c r="J638" s="12"/>
      <c r="K638" s="12"/>
      <c r="L638" s="12"/>
      <c r="M638" s="12"/>
      <c r="N638" s="12"/>
      <c r="O638" s="12"/>
      <c r="P638" s="12"/>
    </row>
    <row r="639">
      <c r="A639" s="15"/>
      <c r="D639" s="95"/>
      <c r="E639" s="14"/>
      <c r="H639" s="12"/>
      <c r="I639" s="12"/>
      <c r="J639" s="12"/>
      <c r="K639" s="12"/>
      <c r="L639" s="12"/>
      <c r="M639" s="12"/>
      <c r="N639" s="12"/>
      <c r="O639" s="12"/>
      <c r="P639" s="12"/>
    </row>
    <row r="640">
      <c r="A640" s="15"/>
      <c r="D640" s="95"/>
      <c r="E640" s="14"/>
      <c r="H640" s="12"/>
      <c r="I640" s="12"/>
      <c r="J640" s="12"/>
      <c r="K640" s="12"/>
      <c r="L640" s="12"/>
      <c r="M640" s="12"/>
      <c r="N640" s="12"/>
      <c r="O640" s="12"/>
      <c r="P640" s="12"/>
    </row>
    <row r="641">
      <c r="A641" s="15"/>
      <c r="D641" s="95"/>
      <c r="E641" s="14"/>
      <c r="H641" s="12"/>
      <c r="I641" s="12"/>
      <c r="J641" s="12"/>
      <c r="K641" s="12"/>
      <c r="L641" s="12"/>
      <c r="M641" s="12"/>
      <c r="N641" s="12"/>
      <c r="O641" s="12"/>
      <c r="P641" s="12"/>
    </row>
    <row r="642">
      <c r="A642" s="15"/>
      <c r="D642" s="95"/>
      <c r="E642" s="14"/>
      <c r="H642" s="12"/>
      <c r="I642" s="12"/>
      <c r="J642" s="12"/>
      <c r="K642" s="12"/>
      <c r="L642" s="12"/>
      <c r="M642" s="12"/>
      <c r="N642" s="12"/>
      <c r="O642" s="12"/>
      <c r="P642" s="12"/>
    </row>
    <row r="643">
      <c r="A643" s="15"/>
      <c r="D643" s="95"/>
      <c r="E643" s="14"/>
      <c r="H643" s="12"/>
      <c r="I643" s="12"/>
      <c r="J643" s="12"/>
      <c r="K643" s="12"/>
      <c r="L643" s="12"/>
      <c r="M643" s="12"/>
      <c r="N643" s="12"/>
      <c r="O643" s="12"/>
      <c r="P643" s="12"/>
    </row>
    <row r="644">
      <c r="A644" s="15"/>
      <c r="D644" s="95"/>
      <c r="E644" s="14"/>
      <c r="H644" s="12"/>
      <c r="I644" s="12"/>
      <c r="J644" s="12"/>
      <c r="K644" s="12"/>
      <c r="L644" s="12"/>
      <c r="M644" s="12"/>
      <c r="N644" s="12"/>
      <c r="O644" s="12"/>
      <c r="P644" s="12"/>
    </row>
    <row r="645">
      <c r="A645" s="15"/>
      <c r="D645" s="95"/>
      <c r="E645" s="14"/>
      <c r="H645" s="12"/>
      <c r="I645" s="12"/>
      <c r="J645" s="12"/>
      <c r="K645" s="12"/>
      <c r="L645" s="12"/>
      <c r="M645" s="12"/>
      <c r="N645" s="12"/>
      <c r="O645" s="12"/>
      <c r="P645" s="12"/>
    </row>
    <row r="646">
      <c r="A646" s="15"/>
      <c r="D646" s="95"/>
      <c r="E646" s="14"/>
      <c r="H646" s="12"/>
      <c r="I646" s="12"/>
      <c r="J646" s="12"/>
      <c r="K646" s="12"/>
      <c r="L646" s="12"/>
      <c r="M646" s="12"/>
      <c r="N646" s="12"/>
      <c r="O646" s="12"/>
      <c r="P646" s="12"/>
    </row>
    <row r="647">
      <c r="A647" s="15"/>
      <c r="D647" s="95"/>
      <c r="E647" s="14"/>
      <c r="H647" s="12"/>
      <c r="I647" s="12"/>
      <c r="J647" s="12"/>
      <c r="K647" s="12"/>
      <c r="L647" s="12"/>
      <c r="M647" s="12"/>
      <c r="N647" s="12"/>
      <c r="O647" s="12"/>
      <c r="P647" s="12"/>
    </row>
    <row r="648">
      <c r="A648" s="15"/>
      <c r="D648" s="95"/>
      <c r="E648" s="14"/>
      <c r="H648" s="12"/>
      <c r="I648" s="12"/>
      <c r="J648" s="12"/>
      <c r="K648" s="12"/>
      <c r="L648" s="12"/>
      <c r="M648" s="12"/>
      <c r="N648" s="12"/>
      <c r="O648" s="12"/>
      <c r="P648" s="12"/>
    </row>
    <row r="649">
      <c r="A649" s="15"/>
      <c r="D649" s="95"/>
      <c r="E649" s="14"/>
      <c r="H649" s="12"/>
      <c r="I649" s="12"/>
      <c r="J649" s="12"/>
      <c r="K649" s="12"/>
      <c r="L649" s="12"/>
      <c r="M649" s="12"/>
      <c r="N649" s="12"/>
      <c r="O649" s="12"/>
      <c r="P649" s="12"/>
    </row>
    <row r="650">
      <c r="A650" s="15"/>
      <c r="D650" s="95"/>
      <c r="E650" s="14"/>
      <c r="H650" s="12"/>
      <c r="I650" s="12"/>
      <c r="J650" s="12"/>
      <c r="K650" s="12"/>
      <c r="L650" s="12"/>
      <c r="M650" s="12"/>
      <c r="N650" s="12"/>
      <c r="O650" s="12"/>
      <c r="P650" s="12"/>
    </row>
    <row r="651">
      <c r="A651" s="15"/>
      <c r="D651" s="95"/>
      <c r="E651" s="14"/>
      <c r="H651" s="12"/>
      <c r="I651" s="12"/>
      <c r="J651" s="12"/>
      <c r="K651" s="12"/>
      <c r="L651" s="12"/>
      <c r="M651" s="12"/>
      <c r="N651" s="12"/>
      <c r="O651" s="12"/>
      <c r="P651" s="12"/>
    </row>
    <row r="652">
      <c r="A652" s="15"/>
      <c r="D652" s="95"/>
      <c r="E652" s="14"/>
      <c r="H652" s="12"/>
      <c r="I652" s="12"/>
      <c r="J652" s="12"/>
      <c r="K652" s="12"/>
      <c r="L652" s="12"/>
      <c r="M652" s="12"/>
      <c r="N652" s="12"/>
      <c r="O652" s="12"/>
      <c r="P652" s="12"/>
    </row>
    <row r="653">
      <c r="A653" s="15"/>
      <c r="D653" s="95"/>
      <c r="E653" s="14"/>
      <c r="H653" s="12"/>
      <c r="I653" s="12"/>
      <c r="J653" s="12"/>
      <c r="K653" s="12"/>
      <c r="L653" s="12"/>
      <c r="M653" s="12"/>
      <c r="N653" s="12"/>
      <c r="O653" s="12"/>
      <c r="P653" s="12"/>
    </row>
    <row r="654">
      <c r="A654" s="15"/>
      <c r="D654" s="95"/>
      <c r="E654" s="14"/>
      <c r="H654" s="12"/>
      <c r="I654" s="12"/>
      <c r="J654" s="12"/>
      <c r="K654" s="12"/>
      <c r="L654" s="12"/>
      <c r="M654" s="12"/>
      <c r="N654" s="12"/>
      <c r="O654" s="12"/>
      <c r="P654" s="12"/>
    </row>
    <row r="655">
      <c r="A655" s="15"/>
      <c r="D655" s="95"/>
      <c r="E655" s="14"/>
      <c r="H655" s="12"/>
      <c r="I655" s="12"/>
      <c r="J655" s="12"/>
      <c r="K655" s="12"/>
      <c r="L655" s="12"/>
      <c r="M655" s="12"/>
      <c r="N655" s="12"/>
      <c r="O655" s="12"/>
      <c r="P655" s="12"/>
    </row>
    <row r="656">
      <c r="A656" s="15"/>
      <c r="D656" s="95"/>
      <c r="E656" s="14"/>
      <c r="H656" s="12"/>
      <c r="I656" s="12"/>
      <c r="J656" s="12"/>
      <c r="K656" s="12"/>
      <c r="L656" s="12"/>
      <c r="M656" s="12"/>
      <c r="N656" s="12"/>
      <c r="O656" s="12"/>
      <c r="P656" s="12"/>
    </row>
    <row r="657">
      <c r="A657" s="15"/>
      <c r="D657" s="95"/>
      <c r="E657" s="14"/>
      <c r="H657" s="12"/>
      <c r="I657" s="12"/>
      <c r="J657" s="12"/>
      <c r="K657" s="12"/>
      <c r="L657" s="12"/>
      <c r="M657" s="12"/>
      <c r="N657" s="12"/>
      <c r="O657" s="12"/>
      <c r="P657" s="12"/>
    </row>
    <row r="658">
      <c r="A658" s="15"/>
      <c r="D658" s="95"/>
      <c r="E658" s="14"/>
      <c r="H658" s="12"/>
      <c r="I658" s="12"/>
      <c r="J658" s="12"/>
      <c r="K658" s="12"/>
      <c r="L658" s="12"/>
      <c r="M658" s="12"/>
      <c r="N658" s="12"/>
      <c r="O658" s="12"/>
      <c r="P658" s="12"/>
    </row>
    <row r="659">
      <c r="A659" s="15"/>
      <c r="D659" s="95"/>
      <c r="E659" s="14"/>
      <c r="H659" s="12"/>
      <c r="I659" s="12"/>
      <c r="J659" s="12"/>
      <c r="K659" s="12"/>
      <c r="L659" s="12"/>
      <c r="M659" s="12"/>
      <c r="N659" s="12"/>
      <c r="O659" s="12"/>
      <c r="P659" s="12"/>
    </row>
    <row r="660">
      <c r="A660" s="15"/>
      <c r="D660" s="95"/>
      <c r="E660" s="14"/>
      <c r="H660" s="12"/>
      <c r="I660" s="12"/>
      <c r="J660" s="12"/>
      <c r="K660" s="12"/>
      <c r="L660" s="12"/>
      <c r="M660" s="12"/>
      <c r="N660" s="12"/>
      <c r="O660" s="12"/>
      <c r="P660" s="12"/>
    </row>
    <row r="661">
      <c r="A661" s="15"/>
      <c r="D661" s="95"/>
      <c r="E661" s="14"/>
      <c r="H661" s="12"/>
      <c r="I661" s="12"/>
      <c r="J661" s="12"/>
      <c r="K661" s="12"/>
      <c r="L661" s="12"/>
      <c r="M661" s="12"/>
      <c r="N661" s="12"/>
      <c r="O661" s="12"/>
      <c r="P661" s="12"/>
    </row>
    <row r="662">
      <c r="A662" s="15"/>
      <c r="D662" s="95"/>
      <c r="E662" s="14"/>
      <c r="H662" s="12"/>
      <c r="I662" s="12"/>
      <c r="J662" s="12"/>
      <c r="K662" s="12"/>
      <c r="L662" s="12"/>
      <c r="M662" s="12"/>
      <c r="N662" s="12"/>
      <c r="O662" s="12"/>
      <c r="P662" s="12"/>
    </row>
    <row r="663">
      <c r="A663" s="15"/>
      <c r="D663" s="95"/>
      <c r="E663" s="14"/>
      <c r="H663" s="12"/>
      <c r="I663" s="12"/>
      <c r="J663" s="12"/>
      <c r="K663" s="12"/>
      <c r="L663" s="12"/>
      <c r="M663" s="12"/>
      <c r="N663" s="12"/>
      <c r="O663" s="12"/>
      <c r="P663" s="12"/>
    </row>
    <row r="664">
      <c r="A664" s="15"/>
      <c r="D664" s="95"/>
      <c r="E664" s="14"/>
      <c r="H664" s="12"/>
      <c r="I664" s="12"/>
      <c r="J664" s="12"/>
      <c r="K664" s="12"/>
      <c r="L664" s="12"/>
      <c r="M664" s="12"/>
      <c r="N664" s="12"/>
      <c r="O664" s="12"/>
      <c r="P664" s="12"/>
    </row>
    <row r="665">
      <c r="A665" s="15"/>
      <c r="D665" s="95"/>
      <c r="E665" s="14"/>
      <c r="H665" s="12"/>
      <c r="I665" s="12"/>
      <c r="J665" s="12"/>
      <c r="K665" s="12"/>
      <c r="L665" s="12"/>
      <c r="M665" s="12"/>
      <c r="N665" s="12"/>
      <c r="O665" s="12"/>
      <c r="P665" s="12"/>
    </row>
    <row r="666">
      <c r="A666" s="15"/>
      <c r="D666" s="95"/>
      <c r="E666" s="14"/>
      <c r="H666" s="12"/>
      <c r="I666" s="12"/>
      <c r="J666" s="12"/>
      <c r="K666" s="12"/>
      <c r="L666" s="12"/>
      <c r="M666" s="12"/>
      <c r="N666" s="12"/>
      <c r="O666" s="12"/>
      <c r="P666" s="12"/>
    </row>
    <row r="667">
      <c r="A667" s="15"/>
      <c r="D667" s="95"/>
      <c r="E667" s="14"/>
      <c r="H667" s="12"/>
      <c r="I667" s="12"/>
      <c r="J667" s="12"/>
      <c r="K667" s="12"/>
      <c r="L667" s="12"/>
      <c r="M667" s="12"/>
      <c r="N667" s="12"/>
      <c r="O667" s="12"/>
      <c r="P667" s="12"/>
    </row>
    <row r="668">
      <c r="A668" s="15"/>
      <c r="D668" s="95"/>
      <c r="E668" s="14"/>
      <c r="H668" s="12"/>
      <c r="I668" s="12"/>
      <c r="J668" s="12"/>
      <c r="K668" s="12"/>
      <c r="L668" s="12"/>
      <c r="M668" s="12"/>
      <c r="N668" s="12"/>
      <c r="O668" s="12"/>
      <c r="P668" s="12"/>
    </row>
    <row r="669">
      <c r="A669" s="15"/>
      <c r="D669" s="95"/>
      <c r="E669" s="14"/>
      <c r="H669" s="12"/>
      <c r="I669" s="12"/>
      <c r="J669" s="12"/>
      <c r="K669" s="12"/>
      <c r="L669" s="12"/>
      <c r="M669" s="12"/>
      <c r="N669" s="12"/>
      <c r="O669" s="12"/>
      <c r="P669" s="12"/>
    </row>
    <row r="670">
      <c r="A670" s="15"/>
      <c r="D670" s="95"/>
      <c r="E670" s="14"/>
      <c r="H670" s="12"/>
      <c r="I670" s="12"/>
      <c r="J670" s="12"/>
      <c r="K670" s="12"/>
      <c r="L670" s="12"/>
      <c r="M670" s="12"/>
      <c r="N670" s="12"/>
      <c r="O670" s="12"/>
      <c r="P670" s="12"/>
    </row>
    <row r="671">
      <c r="A671" s="15"/>
      <c r="D671" s="95"/>
      <c r="E671" s="14"/>
      <c r="H671" s="12"/>
      <c r="I671" s="12"/>
      <c r="J671" s="12"/>
      <c r="K671" s="12"/>
      <c r="L671" s="12"/>
      <c r="M671" s="12"/>
      <c r="N671" s="12"/>
      <c r="O671" s="12"/>
      <c r="P671" s="12"/>
    </row>
    <row r="672">
      <c r="A672" s="15"/>
      <c r="D672" s="95"/>
      <c r="E672" s="14"/>
      <c r="H672" s="12"/>
      <c r="I672" s="12"/>
      <c r="J672" s="12"/>
      <c r="K672" s="12"/>
      <c r="L672" s="12"/>
      <c r="M672" s="12"/>
      <c r="N672" s="12"/>
      <c r="O672" s="12"/>
      <c r="P672" s="12"/>
    </row>
    <row r="673">
      <c r="A673" s="15"/>
      <c r="D673" s="95"/>
      <c r="E673" s="14"/>
      <c r="H673" s="12"/>
      <c r="I673" s="12"/>
      <c r="J673" s="12"/>
      <c r="K673" s="12"/>
      <c r="L673" s="12"/>
      <c r="M673" s="12"/>
      <c r="N673" s="12"/>
      <c r="O673" s="12"/>
      <c r="P673" s="12"/>
    </row>
    <row r="674">
      <c r="A674" s="15"/>
      <c r="D674" s="95"/>
      <c r="E674" s="14"/>
      <c r="H674" s="12"/>
      <c r="I674" s="12"/>
      <c r="J674" s="12"/>
      <c r="K674" s="12"/>
      <c r="L674" s="12"/>
      <c r="M674" s="12"/>
      <c r="N674" s="12"/>
      <c r="O674" s="12"/>
      <c r="P674" s="12"/>
    </row>
    <row r="675">
      <c r="A675" s="15"/>
      <c r="D675" s="95"/>
      <c r="E675" s="14"/>
      <c r="H675" s="12"/>
      <c r="I675" s="12"/>
      <c r="J675" s="12"/>
      <c r="K675" s="12"/>
      <c r="L675" s="12"/>
      <c r="M675" s="12"/>
      <c r="N675" s="12"/>
      <c r="O675" s="12"/>
      <c r="P675" s="12"/>
    </row>
    <row r="676">
      <c r="A676" s="15"/>
      <c r="D676" s="95"/>
      <c r="E676" s="14"/>
      <c r="H676" s="12"/>
      <c r="I676" s="12"/>
      <c r="J676" s="12"/>
      <c r="K676" s="12"/>
      <c r="L676" s="12"/>
      <c r="M676" s="12"/>
      <c r="N676" s="12"/>
      <c r="O676" s="12"/>
      <c r="P676" s="12"/>
    </row>
    <row r="677">
      <c r="A677" s="15"/>
      <c r="D677" s="95"/>
      <c r="E677" s="14"/>
      <c r="H677" s="12"/>
      <c r="I677" s="12"/>
      <c r="J677" s="12"/>
      <c r="K677" s="12"/>
      <c r="L677" s="12"/>
      <c r="M677" s="12"/>
      <c r="N677" s="12"/>
      <c r="O677" s="12"/>
      <c r="P677" s="12"/>
    </row>
    <row r="678">
      <c r="A678" s="15"/>
      <c r="D678" s="95"/>
      <c r="E678" s="14"/>
      <c r="H678" s="12"/>
      <c r="I678" s="12"/>
      <c r="J678" s="12"/>
      <c r="K678" s="12"/>
      <c r="L678" s="12"/>
      <c r="M678" s="12"/>
      <c r="N678" s="12"/>
      <c r="O678" s="12"/>
      <c r="P678" s="12"/>
    </row>
    <row r="679">
      <c r="A679" s="15"/>
      <c r="D679" s="95"/>
      <c r="E679" s="14"/>
      <c r="H679" s="12"/>
      <c r="I679" s="12"/>
      <c r="J679" s="12"/>
      <c r="K679" s="12"/>
      <c r="L679" s="12"/>
      <c r="M679" s="12"/>
      <c r="N679" s="12"/>
      <c r="O679" s="12"/>
      <c r="P679" s="12"/>
    </row>
    <row r="680">
      <c r="A680" s="15"/>
      <c r="D680" s="95"/>
      <c r="E680" s="14"/>
      <c r="H680" s="12"/>
      <c r="I680" s="12"/>
      <c r="J680" s="12"/>
      <c r="K680" s="12"/>
      <c r="L680" s="12"/>
      <c r="M680" s="12"/>
      <c r="N680" s="12"/>
      <c r="O680" s="12"/>
      <c r="P680" s="12"/>
    </row>
    <row r="681">
      <c r="A681" s="15"/>
      <c r="D681" s="95"/>
      <c r="E681" s="14"/>
      <c r="H681" s="12"/>
      <c r="I681" s="12"/>
      <c r="J681" s="12"/>
      <c r="K681" s="12"/>
      <c r="L681" s="12"/>
      <c r="M681" s="12"/>
      <c r="N681" s="12"/>
      <c r="O681" s="12"/>
      <c r="P681" s="12"/>
    </row>
    <row r="682">
      <c r="A682" s="15"/>
      <c r="D682" s="95"/>
      <c r="E682" s="14"/>
      <c r="H682" s="12"/>
      <c r="I682" s="12"/>
      <c r="J682" s="12"/>
      <c r="K682" s="12"/>
      <c r="L682" s="12"/>
      <c r="M682" s="12"/>
      <c r="N682" s="12"/>
      <c r="O682" s="12"/>
      <c r="P682" s="12"/>
    </row>
    <row r="683">
      <c r="A683" s="15"/>
      <c r="D683" s="95"/>
      <c r="E683" s="14"/>
      <c r="H683" s="12"/>
      <c r="I683" s="12"/>
      <c r="J683" s="12"/>
      <c r="K683" s="12"/>
      <c r="L683" s="12"/>
      <c r="M683" s="12"/>
      <c r="N683" s="12"/>
      <c r="O683" s="12"/>
      <c r="P683" s="12"/>
    </row>
    <row r="684">
      <c r="A684" s="15"/>
      <c r="D684" s="95"/>
      <c r="E684" s="14"/>
      <c r="H684" s="12"/>
      <c r="I684" s="12"/>
      <c r="J684" s="12"/>
      <c r="K684" s="12"/>
      <c r="L684" s="12"/>
      <c r="M684" s="12"/>
      <c r="N684" s="12"/>
      <c r="O684" s="12"/>
      <c r="P684" s="12"/>
    </row>
    <row r="685">
      <c r="A685" s="15"/>
      <c r="D685" s="95"/>
      <c r="E685" s="14"/>
      <c r="H685" s="12"/>
      <c r="I685" s="12"/>
      <c r="J685" s="12"/>
      <c r="K685" s="12"/>
      <c r="L685" s="12"/>
      <c r="M685" s="12"/>
      <c r="N685" s="12"/>
      <c r="O685" s="12"/>
      <c r="P685" s="12"/>
    </row>
    <row r="686">
      <c r="A686" s="15"/>
      <c r="D686" s="95"/>
      <c r="E686" s="14"/>
      <c r="H686" s="12"/>
      <c r="I686" s="12"/>
      <c r="J686" s="12"/>
      <c r="K686" s="12"/>
      <c r="L686" s="12"/>
      <c r="M686" s="12"/>
      <c r="N686" s="12"/>
      <c r="O686" s="12"/>
      <c r="P686" s="12"/>
    </row>
    <row r="687">
      <c r="A687" s="15"/>
      <c r="D687" s="95"/>
      <c r="E687" s="14"/>
      <c r="H687" s="12"/>
      <c r="I687" s="12"/>
      <c r="J687" s="12"/>
      <c r="K687" s="12"/>
      <c r="L687" s="12"/>
      <c r="M687" s="12"/>
      <c r="N687" s="12"/>
      <c r="O687" s="12"/>
      <c r="P687" s="12"/>
    </row>
    <row r="688">
      <c r="A688" s="15"/>
      <c r="D688" s="95"/>
      <c r="E688" s="14"/>
      <c r="H688" s="12"/>
      <c r="I688" s="12"/>
      <c r="J688" s="12"/>
      <c r="K688" s="12"/>
      <c r="L688" s="12"/>
      <c r="M688" s="12"/>
      <c r="N688" s="12"/>
      <c r="O688" s="12"/>
      <c r="P688" s="12"/>
    </row>
    <row r="689">
      <c r="A689" s="15"/>
      <c r="D689" s="95"/>
      <c r="E689" s="14"/>
      <c r="H689" s="12"/>
      <c r="I689" s="12"/>
      <c r="J689" s="12"/>
      <c r="K689" s="12"/>
      <c r="L689" s="12"/>
      <c r="M689" s="12"/>
      <c r="N689" s="12"/>
      <c r="O689" s="12"/>
      <c r="P689" s="12"/>
    </row>
    <row r="690">
      <c r="A690" s="15"/>
      <c r="D690" s="95"/>
      <c r="E690" s="14"/>
      <c r="H690" s="12"/>
      <c r="I690" s="12"/>
      <c r="J690" s="12"/>
      <c r="K690" s="12"/>
      <c r="L690" s="12"/>
      <c r="M690" s="12"/>
      <c r="N690" s="12"/>
      <c r="O690" s="12"/>
      <c r="P690" s="12"/>
    </row>
    <row r="691">
      <c r="A691" s="15"/>
      <c r="D691" s="95"/>
      <c r="E691" s="14"/>
      <c r="H691" s="12"/>
      <c r="I691" s="12"/>
      <c r="J691" s="12"/>
      <c r="K691" s="12"/>
      <c r="L691" s="12"/>
      <c r="M691" s="12"/>
      <c r="N691" s="12"/>
      <c r="O691" s="12"/>
      <c r="P691" s="12"/>
    </row>
    <row r="692">
      <c r="A692" s="15"/>
      <c r="D692" s="95"/>
      <c r="E692" s="14"/>
      <c r="H692" s="12"/>
      <c r="I692" s="12"/>
      <c r="J692" s="12"/>
      <c r="K692" s="12"/>
      <c r="L692" s="12"/>
      <c r="M692" s="12"/>
      <c r="N692" s="12"/>
      <c r="O692" s="12"/>
      <c r="P692" s="12"/>
    </row>
    <row r="693">
      <c r="A693" s="15"/>
      <c r="D693" s="95"/>
      <c r="E693" s="14"/>
      <c r="H693" s="12"/>
      <c r="I693" s="12"/>
      <c r="J693" s="12"/>
      <c r="K693" s="12"/>
      <c r="L693" s="12"/>
      <c r="M693" s="12"/>
      <c r="N693" s="12"/>
      <c r="O693" s="12"/>
      <c r="P693" s="12"/>
    </row>
    <row r="694">
      <c r="A694" s="15"/>
      <c r="D694" s="95"/>
      <c r="E694" s="14"/>
      <c r="H694" s="12"/>
      <c r="I694" s="12"/>
      <c r="J694" s="12"/>
      <c r="K694" s="12"/>
      <c r="L694" s="12"/>
      <c r="M694" s="12"/>
      <c r="N694" s="12"/>
      <c r="O694" s="12"/>
      <c r="P694" s="12"/>
    </row>
    <row r="695">
      <c r="A695" s="15"/>
      <c r="D695" s="95"/>
      <c r="E695" s="14"/>
      <c r="H695" s="12"/>
      <c r="I695" s="12"/>
      <c r="J695" s="12"/>
      <c r="K695" s="12"/>
      <c r="L695" s="12"/>
      <c r="M695" s="12"/>
      <c r="N695" s="12"/>
      <c r="O695" s="12"/>
      <c r="P695" s="12"/>
    </row>
    <row r="696">
      <c r="A696" s="15"/>
      <c r="D696" s="95"/>
      <c r="E696" s="14"/>
      <c r="H696" s="12"/>
      <c r="I696" s="12"/>
      <c r="J696" s="12"/>
      <c r="K696" s="12"/>
      <c r="L696" s="12"/>
      <c r="M696" s="12"/>
      <c r="N696" s="12"/>
      <c r="O696" s="12"/>
      <c r="P696" s="12"/>
    </row>
    <row r="697">
      <c r="A697" s="15"/>
      <c r="D697" s="95"/>
      <c r="E697" s="14"/>
      <c r="H697" s="12"/>
      <c r="I697" s="12"/>
      <c r="J697" s="12"/>
      <c r="K697" s="12"/>
      <c r="L697" s="12"/>
      <c r="M697" s="12"/>
      <c r="N697" s="12"/>
      <c r="O697" s="12"/>
      <c r="P697" s="12"/>
    </row>
    <row r="698">
      <c r="A698" s="15"/>
      <c r="D698" s="95"/>
      <c r="E698" s="14"/>
      <c r="H698" s="12"/>
      <c r="I698" s="12"/>
      <c r="J698" s="12"/>
      <c r="K698" s="12"/>
      <c r="L698" s="12"/>
      <c r="M698" s="12"/>
      <c r="N698" s="12"/>
      <c r="O698" s="12"/>
      <c r="P698" s="12"/>
    </row>
    <row r="699">
      <c r="A699" s="15"/>
      <c r="D699" s="95"/>
      <c r="E699" s="14"/>
      <c r="H699" s="12"/>
      <c r="I699" s="12"/>
      <c r="J699" s="12"/>
      <c r="K699" s="12"/>
      <c r="L699" s="12"/>
      <c r="M699" s="12"/>
      <c r="N699" s="12"/>
      <c r="O699" s="12"/>
      <c r="P699" s="12"/>
    </row>
    <row r="700">
      <c r="A700" s="15"/>
      <c r="D700" s="95"/>
      <c r="E700" s="14"/>
      <c r="H700" s="12"/>
      <c r="I700" s="12"/>
      <c r="J700" s="12"/>
      <c r="K700" s="12"/>
      <c r="L700" s="12"/>
      <c r="M700" s="12"/>
      <c r="N700" s="12"/>
      <c r="O700" s="12"/>
      <c r="P700" s="12"/>
    </row>
    <row r="701">
      <c r="A701" s="15"/>
      <c r="D701" s="95"/>
      <c r="E701" s="14"/>
      <c r="H701" s="12"/>
      <c r="I701" s="12"/>
      <c r="J701" s="12"/>
      <c r="K701" s="12"/>
      <c r="L701" s="12"/>
      <c r="M701" s="12"/>
      <c r="N701" s="12"/>
      <c r="O701" s="12"/>
      <c r="P701" s="12"/>
    </row>
    <row r="702">
      <c r="A702" s="15"/>
      <c r="D702" s="95"/>
      <c r="E702" s="14"/>
      <c r="H702" s="12"/>
      <c r="I702" s="12"/>
      <c r="J702" s="12"/>
      <c r="K702" s="12"/>
      <c r="L702" s="12"/>
      <c r="M702" s="12"/>
      <c r="N702" s="12"/>
      <c r="O702" s="12"/>
      <c r="P702" s="12"/>
    </row>
    <row r="703">
      <c r="A703" s="15"/>
      <c r="D703" s="95"/>
      <c r="E703" s="14"/>
      <c r="H703" s="12"/>
      <c r="I703" s="12"/>
      <c r="J703" s="12"/>
      <c r="K703" s="12"/>
      <c r="L703" s="12"/>
      <c r="M703" s="12"/>
      <c r="N703" s="12"/>
      <c r="O703" s="12"/>
      <c r="P703" s="12"/>
    </row>
    <row r="704">
      <c r="A704" s="15"/>
      <c r="D704" s="95"/>
      <c r="E704" s="14"/>
      <c r="H704" s="12"/>
      <c r="I704" s="12"/>
      <c r="J704" s="12"/>
      <c r="K704" s="12"/>
      <c r="L704" s="12"/>
      <c r="M704" s="12"/>
      <c r="N704" s="12"/>
      <c r="O704" s="12"/>
      <c r="P704" s="12"/>
    </row>
    <row r="705">
      <c r="A705" s="15"/>
      <c r="D705" s="95"/>
      <c r="E705" s="14"/>
      <c r="H705" s="12"/>
      <c r="I705" s="12"/>
      <c r="J705" s="12"/>
      <c r="K705" s="12"/>
      <c r="L705" s="12"/>
      <c r="M705" s="12"/>
      <c r="N705" s="12"/>
      <c r="O705" s="12"/>
      <c r="P705" s="12"/>
    </row>
    <row r="706">
      <c r="A706" s="15"/>
      <c r="D706" s="95"/>
      <c r="E706" s="14"/>
      <c r="H706" s="12"/>
      <c r="I706" s="12"/>
      <c r="J706" s="12"/>
      <c r="K706" s="12"/>
      <c r="L706" s="12"/>
      <c r="M706" s="12"/>
      <c r="N706" s="12"/>
      <c r="O706" s="12"/>
      <c r="P706" s="12"/>
    </row>
    <row r="707">
      <c r="A707" s="15"/>
      <c r="D707" s="95"/>
      <c r="E707" s="14"/>
      <c r="H707" s="12"/>
      <c r="I707" s="12"/>
      <c r="J707" s="12"/>
      <c r="K707" s="12"/>
      <c r="L707" s="12"/>
      <c r="M707" s="12"/>
      <c r="N707" s="12"/>
      <c r="O707" s="12"/>
      <c r="P707" s="12"/>
    </row>
    <row r="708">
      <c r="A708" s="15"/>
      <c r="D708" s="95"/>
      <c r="E708" s="14"/>
      <c r="H708" s="12"/>
      <c r="I708" s="12"/>
      <c r="J708" s="12"/>
      <c r="K708" s="12"/>
      <c r="L708" s="12"/>
      <c r="M708" s="12"/>
      <c r="N708" s="12"/>
      <c r="O708" s="12"/>
      <c r="P708" s="12"/>
    </row>
    <row r="709">
      <c r="A709" s="15"/>
      <c r="D709" s="95"/>
      <c r="E709" s="14"/>
      <c r="H709" s="12"/>
      <c r="I709" s="12"/>
      <c r="J709" s="12"/>
      <c r="K709" s="12"/>
      <c r="L709" s="12"/>
      <c r="M709" s="12"/>
      <c r="N709" s="12"/>
      <c r="O709" s="12"/>
      <c r="P709" s="12"/>
    </row>
    <row r="710">
      <c r="A710" s="15"/>
      <c r="D710" s="95"/>
      <c r="E710" s="14"/>
      <c r="H710" s="12"/>
      <c r="I710" s="12"/>
      <c r="J710" s="12"/>
      <c r="K710" s="12"/>
      <c r="L710" s="12"/>
      <c r="M710" s="12"/>
      <c r="N710" s="12"/>
      <c r="O710" s="12"/>
      <c r="P710" s="12"/>
    </row>
    <row r="711">
      <c r="A711" s="15"/>
      <c r="D711" s="95"/>
      <c r="E711" s="14"/>
      <c r="H711" s="12"/>
      <c r="I711" s="12"/>
      <c r="J711" s="12"/>
      <c r="K711" s="12"/>
      <c r="L711" s="12"/>
      <c r="M711" s="12"/>
      <c r="N711" s="12"/>
      <c r="O711" s="12"/>
      <c r="P711" s="12"/>
    </row>
    <row r="712">
      <c r="A712" s="15"/>
      <c r="D712" s="95"/>
      <c r="E712" s="14"/>
      <c r="H712" s="12"/>
      <c r="I712" s="12"/>
      <c r="J712" s="12"/>
      <c r="K712" s="12"/>
      <c r="L712" s="12"/>
      <c r="M712" s="12"/>
      <c r="N712" s="12"/>
      <c r="O712" s="12"/>
      <c r="P712" s="12"/>
    </row>
    <row r="713">
      <c r="A713" s="15"/>
      <c r="D713" s="95"/>
      <c r="E713" s="14"/>
      <c r="H713" s="12"/>
      <c r="I713" s="12"/>
      <c r="J713" s="12"/>
      <c r="K713" s="12"/>
      <c r="L713" s="12"/>
      <c r="M713" s="12"/>
      <c r="N713" s="12"/>
      <c r="O713" s="12"/>
      <c r="P713" s="12"/>
    </row>
    <row r="714">
      <c r="A714" s="15"/>
      <c r="D714" s="95"/>
      <c r="E714" s="14"/>
      <c r="H714" s="12"/>
      <c r="I714" s="12"/>
      <c r="J714" s="12"/>
      <c r="K714" s="12"/>
      <c r="L714" s="12"/>
      <c r="M714" s="12"/>
      <c r="N714" s="12"/>
      <c r="O714" s="12"/>
      <c r="P714" s="12"/>
    </row>
    <row r="715">
      <c r="A715" s="15"/>
      <c r="D715" s="95"/>
      <c r="E715" s="14"/>
      <c r="H715" s="12"/>
      <c r="I715" s="12"/>
      <c r="J715" s="12"/>
      <c r="K715" s="12"/>
      <c r="L715" s="12"/>
      <c r="M715" s="12"/>
      <c r="N715" s="12"/>
      <c r="O715" s="12"/>
      <c r="P715" s="12"/>
    </row>
    <row r="716">
      <c r="A716" s="15"/>
      <c r="D716" s="95"/>
      <c r="E716" s="14"/>
      <c r="H716" s="12"/>
      <c r="I716" s="12"/>
      <c r="J716" s="12"/>
      <c r="K716" s="12"/>
      <c r="L716" s="12"/>
      <c r="M716" s="12"/>
      <c r="N716" s="12"/>
      <c r="O716" s="12"/>
      <c r="P716" s="12"/>
    </row>
    <row r="717">
      <c r="A717" s="15"/>
      <c r="D717" s="95"/>
      <c r="E717" s="14"/>
      <c r="H717" s="12"/>
      <c r="I717" s="12"/>
      <c r="J717" s="12"/>
      <c r="K717" s="12"/>
      <c r="L717" s="12"/>
      <c r="M717" s="12"/>
      <c r="N717" s="12"/>
      <c r="O717" s="12"/>
      <c r="P717" s="12"/>
    </row>
    <row r="718">
      <c r="A718" s="15"/>
      <c r="D718" s="95"/>
      <c r="E718" s="14"/>
      <c r="H718" s="12"/>
      <c r="I718" s="12"/>
      <c r="J718" s="12"/>
      <c r="K718" s="12"/>
      <c r="L718" s="12"/>
      <c r="M718" s="12"/>
      <c r="N718" s="12"/>
      <c r="O718" s="12"/>
      <c r="P718" s="12"/>
    </row>
    <row r="719">
      <c r="A719" s="15"/>
      <c r="D719" s="95"/>
      <c r="E719" s="14"/>
      <c r="H719" s="12"/>
      <c r="I719" s="12"/>
      <c r="J719" s="12"/>
      <c r="K719" s="12"/>
      <c r="L719" s="12"/>
      <c r="M719" s="12"/>
      <c r="N719" s="12"/>
      <c r="O719" s="12"/>
      <c r="P719" s="12"/>
    </row>
    <row r="720">
      <c r="A720" s="15"/>
      <c r="D720" s="95"/>
      <c r="E720" s="14"/>
      <c r="H720" s="12"/>
      <c r="I720" s="12"/>
      <c r="J720" s="12"/>
      <c r="K720" s="12"/>
      <c r="L720" s="12"/>
      <c r="M720" s="12"/>
      <c r="N720" s="12"/>
      <c r="O720" s="12"/>
      <c r="P720" s="12"/>
    </row>
    <row r="721">
      <c r="A721" s="15"/>
      <c r="D721" s="95"/>
      <c r="E721" s="14"/>
      <c r="H721" s="12"/>
      <c r="I721" s="12"/>
      <c r="J721" s="12"/>
      <c r="K721" s="12"/>
      <c r="L721" s="12"/>
      <c r="M721" s="12"/>
      <c r="N721" s="12"/>
      <c r="O721" s="12"/>
      <c r="P721" s="12"/>
    </row>
    <row r="722">
      <c r="A722" s="15"/>
      <c r="D722" s="95"/>
      <c r="E722" s="14"/>
      <c r="H722" s="12"/>
      <c r="I722" s="12"/>
      <c r="J722" s="12"/>
      <c r="K722" s="12"/>
      <c r="L722" s="12"/>
      <c r="M722" s="12"/>
      <c r="N722" s="12"/>
      <c r="O722" s="12"/>
      <c r="P722" s="12"/>
    </row>
    <row r="723">
      <c r="A723" s="15"/>
      <c r="D723" s="95"/>
      <c r="E723" s="14"/>
      <c r="H723" s="12"/>
      <c r="I723" s="12"/>
      <c r="J723" s="12"/>
      <c r="K723" s="12"/>
      <c r="L723" s="12"/>
      <c r="M723" s="12"/>
      <c r="N723" s="12"/>
      <c r="O723" s="12"/>
      <c r="P723" s="12"/>
    </row>
    <row r="724">
      <c r="A724" s="15"/>
      <c r="D724" s="95"/>
      <c r="E724" s="14"/>
      <c r="H724" s="12"/>
      <c r="I724" s="12"/>
      <c r="J724" s="12"/>
      <c r="K724" s="12"/>
      <c r="L724" s="12"/>
      <c r="M724" s="12"/>
      <c r="N724" s="12"/>
      <c r="O724" s="12"/>
      <c r="P724" s="12"/>
    </row>
    <row r="725">
      <c r="A725" s="15"/>
      <c r="D725" s="95"/>
      <c r="E725" s="14"/>
      <c r="H725" s="12"/>
      <c r="I725" s="12"/>
      <c r="J725" s="12"/>
      <c r="K725" s="12"/>
      <c r="L725" s="12"/>
      <c r="M725" s="12"/>
      <c r="N725" s="12"/>
      <c r="O725" s="12"/>
      <c r="P725" s="12"/>
    </row>
    <row r="726">
      <c r="A726" s="15"/>
      <c r="D726" s="95"/>
      <c r="E726" s="14"/>
      <c r="H726" s="12"/>
      <c r="I726" s="12"/>
      <c r="J726" s="12"/>
      <c r="K726" s="12"/>
      <c r="L726" s="12"/>
      <c r="M726" s="12"/>
      <c r="N726" s="12"/>
      <c r="O726" s="12"/>
      <c r="P726" s="12"/>
    </row>
    <row r="727">
      <c r="A727" s="15"/>
      <c r="D727" s="95"/>
      <c r="E727" s="14"/>
      <c r="H727" s="12"/>
      <c r="I727" s="12"/>
      <c r="J727" s="12"/>
      <c r="K727" s="12"/>
      <c r="L727" s="12"/>
      <c r="M727" s="12"/>
      <c r="N727" s="12"/>
      <c r="O727" s="12"/>
      <c r="P727" s="12"/>
    </row>
    <row r="728">
      <c r="A728" s="15"/>
      <c r="D728" s="95"/>
      <c r="E728" s="14"/>
      <c r="H728" s="12"/>
      <c r="I728" s="12"/>
      <c r="J728" s="12"/>
      <c r="K728" s="12"/>
      <c r="L728" s="12"/>
      <c r="M728" s="12"/>
      <c r="N728" s="12"/>
      <c r="O728" s="12"/>
      <c r="P728" s="12"/>
    </row>
    <row r="729">
      <c r="A729" s="15"/>
      <c r="D729" s="95"/>
      <c r="E729" s="14"/>
      <c r="H729" s="12"/>
      <c r="I729" s="12"/>
      <c r="J729" s="12"/>
      <c r="K729" s="12"/>
      <c r="L729" s="12"/>
      <c r="M729" s="12"/>
      <c r="N729" s="12"/>
      <c r="O729" s="12"/>
      <c r="P729" s="12"/>
    </row>
    <row r="730">
      <c r="A730" s="15"/>
      <c r="D730" s="95"/>
      <c r="E730" s="14"/>
      <c r="H730" s="12"/>
      <c r="I730" s="12"/>
      <c r="J730" s="12"/>
      <c r="K730" s="12"/>
      <c r="L730" s="12"/>
      <c r="M730" s="12"/>
      <c r="N730" s="12"/>
      <c r="O730" s="12"/>
      <c r="P730" s="12"/>
    </row>
    <row r="731">
      <c r="A731" s="15"/>
      <c r="D731" s="95"/>
      <c r="E731" s="14"/>
      <c r="H731" s="12"/>
      <c r="I731" s="12"/>
      <c r="J731" s="12"/>
      <c r="K731" s="12"/>
      <c r="L731" s="12"/>
      <c r="M731" s="12"/>
      <c r="N731" s="12"/>
      <c r="O731" s="12"/>
      <c r="P731" s="12"/>
    </row>
    <row r="732">
      <c r="A732" s="15"/>
      <c r="D732" s="95"/>
      <c r="E732" s="14"/>
      <c r="H732" s="12"/>
      <c r="I732" s="12"/>
      <c r="J732" s="12"/>
      <c r="K732" s="12"/>
      <c r="L732" s="12"/>
      <c r="M732" s="12"/>
      <c r="N732" s="12"/>
      <c r="O732" s="12"/>
      <c r="P732" s="12"/>
    </row>
    <row r="733">
      <c r="A733" s="15"/>
      <c r="D733" s="95"/>
      <c r="E733" s="14"/>
      <c r="H733" s="12"/>
      <c r="I733" s="12"/>
      <c r="J733" s="12"/>
      <c r="K733" s="12"/>
      <c r="L733" s="12"/>
      <c r="M733" s="12"/>
      <c r="N733" s="12"/>
      <c r="O733" s="12"/>
      <c r="P733" s="12"/>
    </row>
    <row r="734">
      <c r="A734" s="15"/>
      <c r="D734" s="95"/>
      <c r="E734" s="14"/>
      <c r="H734" s="12"/>
      <c r="I734" s="12"/>
      <c r="J734" s="12"/>
      <c r="K734" s="12"/>
      <c r="L734" s="12"/>
      <c r="M734" s="12"/>
      <c r="N734" s="12"/>
      <c r="O734" s="12"/>
      <c r="P734" s="12"/>
    </row>
    <row r="735">
      <c r="A735" s="15"/>
      <c r="D735" s="95"/>
      <c r="E735" s="14"/>
      <c r="H735" s="12"/>
      <c r="I735" s="12"/>
      <c r="J735" s="12"/>
      <c r="K735" s="12"/>
      <c r="L735" s="12"/>
      <c r="M735" s="12"/>
      <c r="N735" s="12"/>
      <c r="O735" s="12"/>
      <c r="P735" s="12"/>
    </row>
    <row r="736">
      <c r="A736" s="15"/>
      <c r="D736" s="95"/>
      <c r="E736" s="14"/>
      <c r="H736" s="12"/>
      <c r="I736" s="12"/>
      <c r="J736" s="12"/>
      <c r="K736" s="12"/>
      <c r="L736" s="12"/>
      <c r="M736" s="12"/>
      <c r="N736" s="12"/>
      <c r="O736" s="12"/>
      <c r="P736" s="12"/>
    </row>
    <row r="737">
      <c r="A737" s="15"/>
      <c r="D737" s="95"/>
      <c r="E737" s="14"/>
      <c r="H737" s="12"/>
      <c r="I737" s="12"/>
      <c r="J737" s="12"/>
      <c r="K737" s="12"/>
      <c r="L737" s="12"/>
      <c r="M737" s="12"/>
      <c r="N737" s="12"/>
      <c r="O737" s="12"/>
      <c r="P737" s="12"/>
    </row>
    <row r="738">
      <c r="A738" s="15"/>
      <c r="D738" s="95"/>
      <c r="E738" s="14"/>
      <c r="H738" s="12"/>
      <c r="I738" s="12"/>
      <c r="J738" s="12"/>
      <c r="K738" s="12"/>
      <c r="L738" s="12"/>
      <c r="M738" s="12"/>
      <c r="N738" s="12"/>
      <c r="O738" s="12"/>
      <c r="P738" s="12"/>
    </row>
    <row r="739">
      <c r="A739" s="15"/>
      <c r="D739" s="95"/>
      <c r="E739" s="14"/>
      <c r="H739" s="12"/>
      <c r="I739" s="12"/>
      <c r="J739" s="12"/>
      <c r="K739" s="12"/>
      <c r="L739" s="12"/>
      <c r="M739" s="12"/>
      <c r="N739" s="12"/>
      <c r="O739" s="12"/>
      <c r="P739" s="12"/>
    </row>
    <row r="740">
      <c r="A740" s="15"/>
      <c r="D740" s="95"/>
      <c r="E740" s="14"/>
      <c r="H740" s="12"/>
      <c r="I740" s="12"/>
      <c r="J740" s="12"/>
      <c r="K740" s="12"/>
      <c r="L740" s="12"/>
      <c r="M740" s="12"/>
      <c r="N740" s="12"/>
      <c r="O740" s="12"/>
      <c r="P740" s="12"/>
    </row>
    <row r="741">
      <c r="A741" s="15"/>
      <c r="D741" s="95"/>
      <c r="E741" s="14"/>
      <c r="H741" s="12"/>
      <c r="I741" s="12"/>
      <c r="J741" s="12"/>
      <c r="K741" s="12"/>
      <c r="L741" s="12"/>
      <c r="M741" s="12"/>
      <c r="N741" s="12"/>
      <c r="O741" s="12"/>
      <c r="P741" s="12"/>
    </row>
    <row r="742">
      <c r="A742" s="15"/>
      <c r="D742" s="95"/>
      <c r="E742" s="14"/>
      <c r="H742" s="12"/>
      <c r="I742" s="12"/>
      <c r="J742" s="12"/>
      <c r="K742" s="12"/>
      <c r="L742" s="12"/>
      <c r="M742" s="12"/>
      <c r="N742" s="12"/>
      <c r="O742" s="12"/>
      <c r="P742" s="12"/>
    </row>
    <row r="743">
      <c r="A743" s="15"/>
      <c r="D743" s="95"/>
      <c r="E743" s="14"/>
      <c r="H743" s="12"/>
      <c r="I743" s="12"/>
      <c r="J743" s="12"/>
      <c r="K743" s="12"/>
      <c r="L743" s="12"/>
      <c r="M743" s="12"/>
      <c r="N743" s="12"/>
      <c r="O743" s="12"/>
      <c r="P743" s="12"/>
    </row>
    <row r="744">
      <c r="A744" s="15"/>
      <c r="D744" s="95"/>
      <c r="E744" s="14"/>
      <c r="H744" s="12"/>
      <c r="I744" s="12"/>
      <c r="J744" s="12"/>
      <c r="K744" s="12"/>
      <c r="L744" s="12"/>
      <c r="M744" s="12"/>
      <c r="N744" s="12"/>
      <c r="O744" s="12"/>
      <c r="P744" s="12"/>
    </row>
    <row r="745">
      <c r="A745" s="15"/>
      <c r="D745" s="95"/>
      <c r="E745" s="14"/>
      <c r="H745" s="12"/>
      <c r="I745" s="12"/>
      <c r="J745" s="12"/>
      <c r="K745" s="12"/>
      <c r="L745" s="12"/>
      <c r="M745" s="12"/>
      <c r="N745" s="12"/>
      <c r="O745" s="12"/>
      <c r="P745" s="12"/>
    </row>
    <row r="746">
      <c r="A746" s="15"/>
      <c r="D746" s="95"/>
      <c r="E746" s="14"/>
      <c r="H746" s="12"/>
      <c r="I746" s="12"/>
      <c r="J746" s="12"/>
      <c r="K746" s="12"/>
      <c r="L746" s="12"/>
      <c r="M746" s="12"/>
      <c r="N746" s="12"/>
      <c r="O746" s="12"/>
      <c r="P746" s="12"/>
    </row>
    <row r="747">
      <c r="A747" s="15"/>
      <c r="D747" s="95"/>
      <c r="E747" s="14"/>
      <c r="H747" s="12"/>
      <c r="I747" s="12"/>
      <c r="J747" s="12"/>
      <c r="K747" s="12"/>
      <c r="L747" s="12"/>
      <c r="M747" s="12"/>
      <c r="N747" s="12"/>
      <c r="O747" s="12"/>
      <c r="P747" s="12"/>
    </row>
    <row r="748">
      <c r="A748" s="15"/>
      <c r="D748" s="95"/>
      <c r="E748" s="14"/>
      <c r="H748" s="12"/>
      <c r="I748" s="12"/>
      <c r="J748" s="12"/>
      <c r="K748" s="12"/>
      <c r="L748" s="12"/>
      <c r="M748" s="12"/>
      <c r="N748" s="12"/>
      <c r="O748" s="12"/>
      <c r="P748" s="12"/>
    </row>
    <row r="749">
      <c r="A749" s="15"/>
      <c r="D749" s="95"/>
      <c r="E749" s="14"/>
      <c r="H749" s="12"/>
      <c r="I749" s="12"/>
      <c r="J749" s="12"/>
      <c r="K749" s="12"/>
      <c r="L749" s="12"/>
      <c r="M749" s="12"/>
      <c r="N749" s="12"/>
      <c r="O749" s="12"/>
      <c r="P749" s="12"/>
    </row>
    <row r="750">
      <c r="A750" s="15"/>
      <c r="D750" s="95"/>
      <c r="E750" s="14"/>
      <c r="H750" s="12"/>
      <c r="I750" s="12"/>
      <c r="J750" s="12"/>
      <c r="K750" s="12"/>
      <c r="L750" s="12"/>
      <c r="M750" s="12"/>
      <c r="N750" s="12"/>
      <c r="O750" s="12"/>
      <c r="P750" s="12"/>
    </row>
    <row r="751">
      <c r="A751" s="15"/>
      <c r="D751" s="95"/>
      <c r="E751" s="14"/>
      <c r="H751" s="12"/>
      <c r="I751" s="12"/>
      <c r="J751" s="12"/>
      <c r="K751" s="12"/>
      <c r="L751" s="12"/>
      <c r="M751" s="12"/>
      <c r="N751" s="12"/>
      <c r="O751" s="12"/>
      <c r="P751" s="12"/>
    </row>
    <row r="752">
      <c r="A752" s="15"/>
      <c r="D752" s="95"/>
      <c r="E752" s="14"/>
      <c r="H752" s="12"/>
      <c r="I752" s="12"/>
      <c r="J752" s="12"/>
      <c r="K752" s="12"/>
      <c r="L752" s="12"/>
      <c r="M752" s="12"/>
      <c r="N752" s="12"/>
      <c r="O752" s="12"/>
      <c r="P752" s="12"/>
    </row>
    <row r="753">
      <c r="A753" s="15"/>
      <c r="D753" s="95"/>
      <c r="E753" s="14"/>
      <c r="H753" s="12"/>
      <c r="I753" s="12"/>
      <c r="J753" s="12"/>
      <c r="K753" s="12"/>
      <c r="L753" s="12"/>
      <c r="M753" s="12"/>
      <c r="N753" s="12"/>
      <c r="O753" s="12"/>
      <c r="P753" s="12"/>
    </row>
    <row r="754">
      <c r="A754" s="15"/>
      <c r="D754" s="95"/>
      <c r="E754" s="14"/>
      <c r="H754" s="12"/>
      <c r="I754" s="12"/>
      <c r="J754" s="12"/>
      <c r="K754" s="12"/>
      <c r="L754" s="12"/>
      <c r="M754" s="12"/>
      <c r="N754" s="12"/>
      <c r="O754" s="12"/>
      <c r="P754" s="12"/>
    </row>
    <row r="755">
      <c r="A755" s="15"/>
      <c r="D755" s="95"/>
      <c r="E755" s="14"/>
      <c r="H755" s="12"/>
      <c r="I755" s="12"/>
      <c r="J755" s="12"/>
      <c r="K755" s="12"/>
      <c r="L755" s="12"/>
      <c r="M755" s="12"/>
      <c r="N755" s="12"/>
      <c r="O755" s="12"/>
      <c r="P755" s="12"/>
    </row>
    <row r="756">
      <c r="A756" s="15"/>
      <c r="D756" s="95"/>
      <c r="E756" s="14"/>
      <c r="H756" s="12"/>
      <c r="I756" s="12"/>
      <c r="J756" s="12"/>
      <c r="K756" s="12"/>
      <c r="L756" s="12"/>
      <c r="M756" s="12"/>
      <c r="N756" s="12"/>
      <c r="O756" s="12"/>
      <c r="P756" s="12"/>
    </row>
    <row r="757">
      <c r="A757" s="15"/>
      <c r="D757" s="95"/>
      <c r="E757" s="14"/>
      <c r="H757" s="12"/>
      <c r="I757" s="12"/>
      <c r="J757" s="12"/>
      <c r="K757" s="12"/>
      <c r="L757" s="12"/>
      <c r="M757" s="12"/>
      <c r="N757" s="12"/>
      <c r="O757" s="12"/>
      <c r="P757" s="12"/>
    </row>
    <row r="758">
      <c r="A758" s="15"/>
      <c r="D758" s="95"/>
      <c r="E758" s="14"/>
      <c r="H758" s="12"/>
      <c r="I758" s="12"/>
      <c r="J758" s="12"/>
      <c r="K758" s="12"/>
      <c r="L758" s="12"/>
      <c r="M758" s="12"/>
      <c r="N758" s="12"/>
      <c r="O758" s="12"/>
      <c r="P758" s="12"/>
    </row>
    <row r="759">
      <c r="A759" s="15"/>
      <c r="D759" s="95"/>
      <c r="E759" s="14"/>
      <c r="H759" s="12"/>
      <c r="I759" s="12"/>
      <c r="J759" s="12"/>
      <c r="K759" s="12"/>
      <c r="L759" s="12"/>
      <c r="M759" s="12"/>
      <c r="N759" s="12"/>
      <c r="O759" s="12"/>
      <c r="P759" s="12"/>
    </row>
    <row r="760">
      <c r="A760" s="15"/>
      <c r="D760" s="95"/>
      <c r="E760" s="14"/>
      <c r="H760" s="12"/>
      <c r="I760" s="12"/>
      <c r="J760" s="12"/>
      <c r="K760" s="12"/>
      <c r="L760" s="12"/>
      <c r="M760" s="12"/>
      <c r="N760" s="12"/>
      <c r="O760" s="12"/>
      <c r="P760" s="12"/>
    </row>
    <row r="761">
      <c r="A761" s="15"/>
      <c r="D761" s="95"/>
      <c r="E761" s="14"/>
      <c r="H761" s="12"/>
      <c r="I761" s="12"/>
      <c r="J761" s="12"/>
      <c r="K761" s="12"/>
      <c r="L761" s="12"/>
      <c r="M761" s="12"/>
      <c r="N761" s="12"/>
      <c r="O761" s="12"/>
      <c r="P761" s="12"/>
    </row>
    <row r="762">
      <c r="A762" s="15"/>
      <c r="D762" s="95"/>
      <c r="E762" s="14"/>
      <c r="H762" s="12"/>
      <c r="I762" s="12"/>
      <c r="J762" s="12"/>
      <c r="K762" s="12"/>
      <c r="L762" s="12"/>
      <c r="M762" s="12"/>
      <c r="N762" s="12"/>
      <c r="O762" s="12"/>
      <c r="P762" s="12"/>
    </row>
    <row r="763">
      <c r="A763" s="15"/>
      <c r="D763" s="95"/>
      <c r="E763" s="14"/>
      <c r="H763" s="12"/>
      <c r="I763" s="12"/>
      <c r="J763" s="12"/>
      <c r="K763" s="12"/>
      <c r="L763" s="12"/>
      <c r="M763" s="12"/>
      <c r="N763" s="12"/>
      <c r="O763" s="12"/>
      <c r="P763" s="12"/>
    </row>
    <row r="764">
      <c r="A764" s="15"/>
      <c r="D764" s="95"/>
      <c r="E764" s="14"/>
      <c r="H764" s="12"/>
      <c r="I764" s="12"/>
      <c r="J764" s="12"/>
      <c r="K764" s="12"/>
      <c r="L764" s="12"/>
      <c r="M764" s="12"/>
      <c r="N764" s="12"/>
      <c r="O764" s="12"/>
      <c r="P764" s="12"/>
    </row>
    <row r="765">
      <c r="A765" s="15"/>
      <c r="D765" s="95"/>
      <c r="E765" s="14"/>
      <c r="H765" s="12"/>
      <c r="I765" s="12"/>
      <c r="J765" s="12"/>
      <c r="K765" s="12"/>
      <c r="L765" s="12"/>
      <c r="M765" s="12"/>
      <c r="N765" s="12"/>
      <c r="O765" s="12"/>
      <c r="P765" s="12"/>
    </row>
    <row r="766">
      <c r="A766" s="15"/>
      <c r="D766" s="95"/>
      <c r="E766" s="14"/>
      <c r="H766" s="12"/>
      <c r="I766" s="12"/>
      <c r="J766" s="12"/>
      <c r="K766" s="12"/>
      <c r="L766" s="12"/>
      <c r="M766" s="12"/>
      <c r="N766" s="12"/>
      <c r="O766" s="12"/>
      <c r="P766" s="12"/>
    </row>
    <row r="767">
      <c r="A767" s="15"/>
      <c r="D767" s="95"/>
      <c r="E767" s="14"/>
      <c r="H767" s="12"/>
      <c r="I767" s="12"/>
      <c r="J767" s="12"/>
      <c r="K767" s="12"/>
      <c r="L767" s="12"/>
      <c r="M767" s="12"/>
      <c r="N767" s="12"/>
      <c r="O767" s="12"/>
      <c r="P767" s="12"/>
    </row>
    <row r="768">
      <c r="A768" s="15"/>
      <c r="D768" s="95"/>
      <c r="E768" s="14"/>
      <c r="H768" s="12"/>
      <c r="I768" s="12"/>
      <c r="J768" s="12"/>
      <c r="K768" s="12"/>
      <c r="L768" s="12"/>
      <c r="M768" s="12"/>
      <c r="N768" s="12"/>
      <c r="O768" s="12"/>
      <c r="P768" s="12"/>
    </row>
    <row r="769">
      <c r="A769" s="15"/>
      <c r="D769" s="95"/>
      <c r="E769" s="14"/>
      <c r="H769" s="12"/>
      <c r="I769" s="12"/>
      <c r="J769" s="12"/>
      <c r="K769" s="12"/>
      <c r="L769" s="12"/>
      <c r="M769" s="12"/>
      <c r="N769" s="12"/>
      <c r="O769" s="12"/>
      <c r="P769" s="12"/>
    </row>
    <row r="770">
      <c r="A770" s="15"/>
      <c r="D770" s="95"/>
      <c r="E770" s="14"/>
      <c r="H770" s="12"/>
      <c r="I770" s="12"/>
      <c r="J770" s="12"/>
      <c r="K770" s="12"/>
      <c r="L770" s="12"/>
      <c r="M770" s="12"/>
      <c r="N770" s="12"/>
      <c r="O770" s="12"/>
      <c r="P770" s="12"/>
    </row>
    <row r="771">
      <c r="A771" s="15"/>
      <c r="D771" s="95"/>
      <c r="E771" s="14"/>
      <c r="H771" s="12"/>
      <c r="I771" s="12"/>
      <c r="J771" s="12"/>
      <c r="K771" s="12"/>
      <c r="L771" s="12"/>
      <c r="M771" s="12"/>
      <c r="N771" s="12"/>
      <c r="O771" s="12"/>
      <c r="P771" s="12"/>
    </row>
    <row r="772">
      <c r="A772" s="15"/>
      <c r="D772" s="95"/>
      <c r="E772" s="14"/>
      <c r="H772" s="12"/>
      <c r="I772" s="12"/>
      <c r="J772" s="12"/>
      <c r="K772" s="12"/>
      <c r="L772" s="12"/>
      <c r="M772" s="12"/>
      <c r="N772" s="12"/>
      <c r="O772" s="12"/>
      <c r="P772" s="12"/>
    </row>
    <row r="773">
      <c r="A773" s="15"/>
      <c r="D773" s="95"/>
      <c r="E773" s="14"/>
      <c r="H773" s="12"/>
      <c r="I773" s="12"/>
      <c r="J773" s="12"/>
      <c r="K773" s="12"/>
      <c r="L773" s="12"/>
      <c r="M773" s="12"/>
      <c r="N773" s="12"/>
      <c r="O773" s="12"/>
      <c r="P773" s="12"/>
    </row>
    <row r="774">
      <c r="A774" s="15"/>
      <c r="D774" s="95"/>
      <c r="E774" s="14"/>
      <c r="H774" s="12"/>
      <c r="I774" s="12"/>
      <c r="J774" s="12"/>
      <c r="K774" s="12"/>
      <c r="L774" s="12"/>
      <c r="M774" s="12"/>
      <c r="N774" s="12"/>
      <c r="O774" s="12"/>
      <c r="P774" s="12"/>
    </row>
    <row r="775">
      <c r="A775" s="15"/>
      <c r="D775" s="95"/>
      <c r="E775" s="14"/>
      <c r="H775" s="12"/>
      <c r="I775" s="12"/>
      <c r="J775" s="12"/>
      <c r="K775" s="12"/>
      <c r="L775" s="12"/>
      <c r="M775" s="12"/>
      <c r="N775" s="12"/>
      <c r="O775" s="12"/>
      <c r="P775" s="12"/>
    </row>
    <row r="776">
      <c r="A776" s="15"/>
      <c r="D776" s="95"/>
      <c r="E776" s="14"/>
      <c r="H776" s="12"/>
      <c r="I776" s="12"/>
      <c r="J776" s="12"/>
      <c r="K776" s="12"/>
      <c r="L776" s="12"/>
      <c r="M776" s="12"/>
      <c r="N776" s="12"/>
      <c r="O776" s="12"/>
      <c r="P776" s="12"/>
    </row>
    <row r="777">
      <c r="A777" s="15"/>
      <c r="D777" s="95"/>
      <c r="E777" s="14"/>
      <c r="H777" s="12"/>
      <c r="I777" s="12"/>
      <c r="J777" s="12"/>
      <c r="K777" s="12"/>
      <c r="L777" s="12"/>
      <c r="M777" s="12"/>
      <c r="N777" s="12"/>
      <c r="O777" s="12"/>
      <c r="P777" s="12"/>
    </row>
    <row r="778">
      <c r="A778" s="15"/>
      <c r="D778" s="95"/>
      <c r="E778" s="14"/>
      <c r="H778" s="12"/>
      <c r="I778" s="12"/>
      <c r="J778" s="12"/>
      <c r="K778" s="12"/>
      <c r="L778" s="12"/>
      <c r="M778" s="12"/>
      <c r="N778" s="12"/>
      <c r="O778" s="12"/>
      <c r="P778" s="12"/>
    </row>
    <row r="779">
      <c r="A779" s="15"/>
      <c r="D779" s="95"/>
      <c r="E779" s="14"/>
      <c r="H779" s="12"/>
      <c r="I779" s="12"/>
      <c r="J779" s="12"/>
      <c r="K779" s="12"/>
      <c r="L779" s="12"/>
      <c r="M779" s="12"/>
      <c r="N779" s="12"/>
      <c r="O779" s="12"/>
      <c r="P779" s="12"/>
    </row>
    <row r="780">
      <c r="A780" s="15"/>
      <c r="D780" s="95"/>
      <c r="E780" s="14"/>
      <c r="H780" s="12"/>
      <c r="I780" s="12"/>
      <c r="J780" s="12"/>
      <c r="K780" s="12"/>
      <c r="L780" s="12"/>
      <c r="M780" s="12"/>
      <c r="N780" s="12"/>
      <c r="O780" s="12"/>
      <c r="P780" s="12"/>
    </row>
    <row r="781">
      <c r="A781" s="15"/>
      <c r="D781" s="95"/>
      <c r="E781" s="14"/>
      <c r="H781" s="12"/>
      <c r="I781" s="12"/>
      <c r="J781" s="12"/>
      <c r="K781" s="12"/>
      <c r="L781" s="12"/>
      <c r="M781" s="12"/>
      <c r="N781" s="12"/>
      <c r="O781" s="12"/>
      <c r="P781" s="12"/>
    </row>
    <row r="782">
      <c r="A782" s="15"/>
      <c r="D782" s="95"/>
      <c r="E782" s="14"/>
      <c r="H782" s="12"/>
      <c r="I782" s="12"/>
      <c r="J782" s="12"/>
      <c r="K782" s="12"/>
      <c r="L782" s="12"/>
      <c r="M782" s="12"/>
      <c r="N782" s="12"/>
      <c r="O782" s="12"/>
      <c r="P782" s="12"/>
    </row>
    <row r="783">
      <c r="A783" s="15"/>
      <c r="D783" s="95"/>
      <c r="E783" s="14"/>
      <c r="H783" s="12"/>
      <c r="I783" s="12"/>
      <c r="J783" s="12"/>
      <c r="K783" s="12"/>
      <c r="L783" s="12"/>
      <c r="M783" s="12"/>
      <c r="N783" s="12"/>
      <c r="O783" s="12"/>
      <c r="P783" s="12"/>
    </row>
    <row r="784">
      <c r="A784" s="15"/>
      <c r="D784" s="95"/>
      <c r="E784" s="14"/>
      <c r="H784" s="12"/>
      <c r="I784" s="12"/>
      <c r="J784" s="12"/>
      <c r="K784" s="12"/>
      <c r="L784" s="12"/>
      <c r="M784" s="12"/>
      <c r="N784" s="12"/>
      <c r="O784" s="12"/>
      <c r="P784" s="12"/>
    </row>
    <row r="785">
      <c r="A785" s="15"/>
      <c r="D785" s="95"/>
      <c r="E785" s="14"/>
      <c r="H785" s="12"/>
      <c r="I785" s="12"/>
      <c r="J785" s="12"/>
      <c r="K785" s="12"/>
      <c r="L785" s="12"/>
      <c r="M785" s="12"/>
      <c r="N785" s="12"/>
      <c r="O785" s="12"/>
      <c r="P785" s="12"/>
    </row>
    <row r="786">
      <c r="A786" s="15"/>
      <c r="D786" s="95"/>
      <c r="E786" s="14"/>
      <c r="H786" s="12"/>
      <c r="I786" s="12"/>
      <c r="J786" s="12"/>
      <c r="K786" s="12"/>
      <c r="L786" s="12"/>
      <c r="M786" s="12"/>
      <c r="N786" s="12"/>
      <c r="O786" s="12"/>
      <c r="P786" s="12"/>
    </row>
    <row r="787">
      <c r="A787" s="15"/>
      <c r="D787" s="95"/>
      <c r="E787" s="14"/>
      <c r="H787" s="12"/>
      <c r="I787" s="12"/>
      <c r="J787" s="12"/>
      <c r="K787" s="12"/>
      <c r="L787" s="12"/>
      <c r="M787" s="12"/>
      <c r="N787" s="12"/>
      <c r="O787" s="12"/>
      <c r="P787" s="12"/>
    </row>
    <row r="788">
      <c r="A788" s="15"/>
      <c r="D788" s="95"/>
      <c r="E788" s="14"/>
      <c r="H788" s="12"/>
      <c r="I788" s="12"/>
      <c r="J788" s="12"/>
      <c r="K788" s="12"/>
      <c r="L788" s="12"/>
      <c r="M788" s="12"/>
      <c r="N788" s="12"/>
      <c r="O788" s="12"/>
      <c r="P788" s="12"/>
    </row>
    <row r="789">
      <c r="A789" s="15"/>
      <c r="D789" s="95"/>
      <c r="E789" s="14"/>
      <c r="H789" s="12"/>
      <c r="I789" s="12"/>
      <c r="J789" s="12"/>
      <c r="K789" s="12"/>
      <c r="L789" s="12"/>
      <c r="M789" s="12"/>
      <c r="N789" s="12"/>
      <c r="O789" s="12"/>
      <c r="P789" s="12"/>
    </row>
    <row r="790">
      <c r="A790" s="15"/>
      <c r="D790" s="95"/>
      <c r="E790" s="14"/>
      <c r="H790" s="12"/>
      <c r="I790" s="12"/>
      <c r="J790" s="12"/>
      <c r="K790" s="12"/>
      <c r="L790" s="12"/>
      <c r="M790" s="12"/>
      <c r="N790" s="12"/>
      <c r="O790" s="12"/>
      <c r="P790" s="12"/>
    </row>
    <row r="791">
      <c r="A791" s="15"/>
      <c r="D791" s="95"/>
      <c r="E791" s="14"/>
      <c r="H791" s="12"/>
      <c r="I791" s="12"/>
      <c r="J791" s="12"/>
      <c r="K791" s="12"/>
      <c r="L791" s="12"/>
      <c r="M791" s="12"/>
      <c r="N791" s="12"/>
      <c r="O791" s="12"/>
      <c r="P791" s="12"/>
    </row>
    <row r="792">
      <c r="A792" s="15"/>
      <c r="D792" s="95"/>
      <c r="E792" s="14"/>
      <c r="H792" s="12"/>
      <c r="I792" s="12"/>
      <c r="J792" s="12"/>
      <c r="K792" s="12"/>
      <c r="L792" s="12"/>
      <c r="M792" s="12"/>
      <c r="N792" s="12"/>
      <c r="O792" s="12"/>
      <c r="P792" s="12"/>
    </row>
    <row r="793">
      <c r="A793" s="15"/>
      <c r="D793" s="95"/>
      <c r="E793" s="14"/>
      <c r="H793" s="12"/>
      <c r="I793" s="12"/>
      <c r="J793" s="12"/>
      <c r="K793" s="12"/>
      <c r="L793" s="12"/>
      <c r="M793" s="12"/>
      <c r="N793" s="12"/>
      <c r="O793" s="12"/>
      <c r="P793" s="12"/>
    </row>
    <row r="794">
      <c r="A794" s="15"/>
      <c r="D794" s="95"/>
      <c r="E794" s="14"/>
      <c r="H794" s="12"/>
      <c r="I794" s="12"/>
      <c r="J794" s="12"/>
      <c r="K794" s="12"/>
      <c r="L794" s="12"/>
      <c r="M794" s="12"/>
      <c r="N794" s="12"/>
      <c r="O794" s="12"/>
      <c r="P794" s="12"/>
    </row>
    <row r="795">
      <c r="A795" s="15"/>
      <c r="D795" s="95"/>
      <c r="E795" s="14"/>
      <c r="H795" s="12"/>
      <c r="I795" s="12"/>
      <c r="J795" s="12"/>
      <c r="K795" s="12"/>
      <c r="L795" s="12"/>
      <c r="M795" s="12"/>
      <c r="N795" s="12"/>
      <c r="O795" s="12"/>
      <c r="P795" s="12"/>
    </row>
    <row r="796">
      <c r="A796" s="15"/>
      <c r="D796" s="95"/>
      <c r="E796" s="14"/>
      <c r="H796" s="12"/>
      <c r="I796" s="12"/>
      <c r="J796" s="12"/>
      <c r="K796" s="12"/>
      <c r="L796" s="12"/>
      <c r="M796" s="12"/>
      <c r="N796" s="12"/>
      <c r="O796" s="12"/>
      <c r="P796" s="12"/>
    </row>
    <row r="797">
      <c r="A797" s="15"/>
      <c r="D797" s="95"/>
      <c r="E797" s="14"/>
      <c r="H797" s="12"/>
      <c r="I797" s="12"/>
      <c r="J797" s="12"/>
      <c r="K797" s="12"/>
      <c r="L797" s="12"/>
      <c r="M797" s="12"/>
      <c r="N797" s="12"/>
      <c r="O797" s="12"/>
      <c r="P797" s="12"/>
    </row>
    <row r="798">
      <c r="A798" s="15"/>
      <c r="D798" s="95"/>
      <c r="E798" s="14"/>
      <c r="H798" s="12"/>
      <c r="I798" s="12"/>
      <c r="J798" s="12"/>
      <c r="K798" s="12"/>
      <c r="L798" s="12"/>
      <c r="M798" s="12"/>
      <c r="N798" s="12"/>
      <c r="O798" s="12"/>
      <c r="P798" s="12"/>
    </row>
    <row r="799">
      <c r="A799" s="15"/>
      <c r="D799" s="95"/>
      <c r="E799" s="14"/>
      <c r="H799" s="12"/>
      <c r="I799" s="12"/>
      <c r="J799" s="12"/>
      <c r="K799" s="12"/>
      <c r="L799" s="12"/>
      <c r="M799" s="12"/>
      <c r="N799" s="12"/>
      <c r="O799" s="12"/>
      <c r="P799" s="12"/>
    </row>
    <row r="800">
      <c r="A800" s="15"/>
      <c r="D800" s="95"/>
      <c r="E800" s="14"/>
      <c r="H800" s="12"/>
      <c r="I800" s="12"/>
      <c r="J800" s="12"/>
      <c r="K800" s="12"/>
      <c r="L800" s="12"/>
      <c r="M800" s="12"/>
      <c r="N800" s="12"/>
      <c r="O800" s="12"/>
      <c r="P800" s="12"/>
    </row>
    <row r="801">
      <c r="A801" s="15"/>
      <c r="D801" s="95"/>
      <c r="E801" s="14"/>
      <c r="H801" s="12"/>
      <c r="I801" s="12"/>
      <c r="J801" s="12"/>
      <c r="K801" s="12"/>
      <c r="L801" s="12"/>
      <c r="M801" s="12"/>
      <c r="N801" s="12"/>
      <c r="O801" s="12"/>
      <c r="P801" s="12"/>
    </row>
    <row r="802">
      <c r="A802" s="15"/>
      <c r="D802" s="95"/>
      <c r="E802" s="14"/>
      <c r="H802" s="12"/>
      <c r="I802" s="12"/>
      <c r="J802" s="12"/>
      <c r="K802" s="12"/>
      <c r="L802" s="12"/>
      <c r="M802" s="12"/>
      <c r="N802" s="12"/>
      <c r="O802" s="12"/>
      <c r="P802" s="12"/>
    </row>
    <row r="803">
      <c r="A803" s="15"/>
      <c r="D803" s="95"/>
      <c r="E803" s="14"/>
      <c r="H803" s="12"/>
      <c r="I803" s="12"/>
      <c r="J803" s="12"/>
      <c r="K803" s="12"/>
      <c r="L803" s="12"/>
      <c r="M803" s="12"/>
      <c r="N803" s="12"/>
      <c r="O803" s="12"/>
      <c r="P803" s="12"/>
    </row>
    <row r="804">
      <c r="A804" s="15"/>
      <c r="D804" s="95"/>
      <c r="E804" s="14"/>
      <c r="H804" s="12"/>
      <c r="I804" s="12"/>
      <c r="J804" s="12"/>
      <c r="K804" s="12"/>
      <c r="L804" s="12"/>
      <c r="M804" s="12"/>
      <c r="N804" s="12"/>
      <c r="O804" s="12"/>
      <c r="P804" s="12"/>
    </row>
    <row r="805">
      <c r="A805" s="15"/>
      <c r="D805" s="95"/>
      <c r="E805" s="14"/>
      <c r="H805" s="12"/>
      <c r="I805" s="12"/>
      <c r="J805" s="12"/>
      <c r="K805" s="12"/>
      <c r="L805" s="12"/>
      <c r="M805" s="12"/>
      <c r="N805" s="12"/>
      <c r="O805" s="12"/>
      <c r="P805" s="12"/>
    </row>
    <row r="806">
      <c r="A806" s="15"/>
      <c r="D806" s="95"/>
      <c r="E806" s="14"/>
      <c r="H806" s="12"/>
      <c r="I806" s="12"/>
      <c r="J806" s="12"/>
      <c r="K806" s="12"/>
      <c r="L806" s="12"/>
      <c r="M806" s="12"/>
      <c r="N806" s="12"/>
      <c r="O806" s="12"/>
      <c r="P806" s="12"/>
    </row>
    <row r="807">
      <c r="A807" s="15"/>
      <c r="D807" s="95"/>
      <c r="E807" s="14"/>
      <c r="H807" s="12"/>
      <c r="I807" s="12"/>
      <c r="J807" s="12"/>
      <c r="K807" s="12"/>
      <c r="L807" s="12"/>
      <c r="M807" s="12"/>
      <c r="N807" s="12"/>
      <c r="O807" s="12"/>
      <c r="P807" s="12"/>
    </row>
    <row r="808">
      <c r="A808" s="15"/>
      <c r="D808" s="95"/>
      <c r="E808" s="14"/>
      <c r="H808" s="12"/>
      <c r="I808" s="12"/>
      <c r="J808" s="12"/>
      <c r="K808" s="12"/>
      <c r="L808" s="12"/>
      <c r="M808" s="12"/>
      <c r="N808" s="12"/>
      <c r="O808" s="12"/>
      <c r="P808" s="12"/>
    </row>
    <row r="809">
      <c r="A809" s="15"/>
      <c r="D809" s="95"/>
      <c r="E809" s="14"/>
      <c r="H809" s="12"/>
      <c r="I809" s="12"/>
      <c r="J809" s="12"/>
      <c r="K809" s="12"/>
      <c r="L809" s="12"/>
      <c r="M809" s="12"/>
      <c r="N809" s="12"/>
      <c r="O809" s="12"/>
      <c r="P809" s="12"/>
    </row>
    <row r="810">
      <c r="A810" s="15"/>
      <c r="D810" s="95"/>
      <c r="E810" s="14"/>
      <c r="H810" s="12"/>
      <c r="I810" s="12"/>
      <c r="J810" s="12"/>
      <c r="K810" s="12"/>
      <c r="L810" s="12"/>
      <c r="M810" s="12"/>
      <c r="N810" s="12"/>
      <c r="O810" s="12"/>
      <c r="P810" s="12"/>
    </row>
    <row r="811">
      <c r="A811" s="15"/>
      <c r="D811" s="95"/>
      <c r="E811" s="14"/>
      <c r="H811" s="12"/>
      <c r="I811" s="12"/>
      <c r="J811" s="12"/>
      <c r="K811" s="12"/>
      <c r="L811" s="12"/>
      <c r="M811" s="12"/>
      <c r="N811" s="12"/>
      <c r="O811" s="12"/>
      <c r="P811" s="12"/>
    </row>
    <row r="812">
      <c r="A812" s="15"/>
      <c r="D812" s="95"/>
      <c r="E812" s="14"/>
      <c r="H812" s="12"/>
      <c r="I812" s="12"/>
      <c r="J812" s="12"/>
      <c r="K812" s="12"/>
      <c r="L812" s="12"/>
      <c r="M812" s="12"/>
      <c r="N812" s="12"/>
      <c r="O812" s="12"/>
      <c r="P812" s="12"/>
    </row>
    <row r="813">
      <c r="A813" s="15"/>
      <c r="D813" s="95"/>
      <c r="E813" s="14"/>
      <c r="H813" s="12"/>
      <c r="I813" s="12"/>
      <c r="J813" s="12"/>
      <c r="K813" s="12"/>
      <c r="L813" s="12"/>
      <c r="M813" s="12"/>
      <c r="N813" s="12"/>
      <c r="O813" s="12"/>
      <c r="P813" s="12"/>
    </row>
    <row r="814">
      <c r="A814" s="15"/>
      <c r="D814" s="95"/>
      <c r="E814" s="14"/>
      <c r="H814" s="12"/>
      <c r="I814" s="12"/>
      <c r="J814" s="12"/>
      <c r="K814" s="12"/>
      <c r="L814" s="12"/>
      <c r="M814" s="12"/>
      <c r="N814" s="12"/>
      <c r="O814" s="12"/>
      <c r="P814" s="12"/>
    </row>
    <row r="815">
      <c r="A815" s="15"/>
      <c r="D815" s="95"/>
      <c r="E815" s="14"/>
      <c r="H815" s="12"/>
      <c r="I815" s="12"/>
      <c r="J815" s="12"/>
      <c r="K815" s="12"/>
      <c r="L815" s="12"/>
      <c r="M815" s="12"/>
      <c r="N815" s="12"/>
      <c r="O815" s="12"/>
      <c r="P815" s="12"/>
    </row>
    <row r="816">
      <c r="A816" s="15"/>
      <c r="D816" s="95"/>
      <c r="E816" s="14"/>
      <c r="H816" s="12"/>
      <c r="I816" s="12"/>
      <c r="J816" s="12"/>
      <c r="K816" s="12"/>
      <c r="L816" s="12"/>
      <c r="M816" s="12"/>
      <c r="N816" s="12"/>
      <c r="O816" s="12"/>
      <c r="P816" s="12"/>
    </row>
    <row r="817">
      <c r="A817" s="15"/>
      <c r="D817" s="95"/>
      <c r="E817" s="14"/>
      <c r="H817" s="12"/>
      <c r="I817" s="12"/>
      <c r="J817" s="12"/>
      <c r="K817" s="12"/>
      <c r="L817" s="12"/>
      <c r="M817" s="12"/>
      <c r="N817" s="12"/>
      <c r="O817" s="12"/>
      <c r="P817" s="12"/>
    </row>
    <row r="818">
      <c r="A818" s="15"/>
      <c r="D818" s="95"/>
      <c r="E818" s="14"/>
      <c r="H818" s="12"/>
      <c r="I818" s="12"/>
      <c r="J818" s="12"/>
      <c r="K818" s="12"/>
      <c r="L818" s="12"/>
      <c r="M818" s="12"/>
      <c r="N818" s="12"/>
      <c r="O818" s="12"/>
      <c r="P818" s="12"/>
    </row>
    <row r="819">
      <c r="A819" s="15"/>
      <c r="D819" s="95"/>
      <c r="E819" s="14"/>
      <c r="H819" s="12"/>
      <c r="I819" s="12"/>
      <c r="J819" s="12"/>
      <c r="K819" s="12"/>
      <c r="L819" s="12"/>
      <c r="M819" s="12"/>
      <c r="N819" s="12"/>
      <c r="O819" s="12"/>
      <c r="P819" s="12"/>
    </row>
    <row r="820">
      <c r="A820" s="15"/>
      <c r="D820" s="95"/>
      <c r="E820" s="14"/>
      <c r="H820" s="12"/>
      <c r="I820" s="12"/>
      <c r="J820" s="12"/>
      <c r="K820" s="12"/>
      <c r="L820" s="12"/>
      <c r="M820" s="12"/>
      <c r="N820" s="12"/>
      <c r="O820" s="12"/>
      <c r="P820" s="12"/>
    </row>
    <row r="821">
      <c r="A821" s="15"/>
      <c r="D821" s="95"/>
      <c r="E821" s="14"/>
      <c r="H821" s="12"/>
      <c r="I821" s="12"/>
      <c r="J821" s="12"/>
      <c r="K821" s="12"/>
      <c r="L821" s="12"/>
      <c r="M821" s="12"/>
      <c r="N821" s="12"/>
      <c r="O821" s="12"/>
      <c r="P821" s="12"/>
    </row>
    <row r="822">
      <c r="A822" s="15"/>
      <c r="D822" s="95"/>
      <c r="E822" s="14"/>
      <c r="H822" s="12"/>
      <c r="I822" s="12"/>
      <c r="J822" s="12"/>
      <c r="K822" s="12"/>
      <c r="L822" s="12"/>
      <c r="M822" s="12"/>
      <c r="N822" s="12"/>
      <c r="O822" s="12"/>
      <c r="P822" s="12"/>
    </row>
    <row r="823">
      <c r="A823" s="15"/>
      <c r="D823" s="95"/>
      <c r="E823" s="14"/>
      <c r="H823" s="12"/>
      <c r="I823" s="12"/>
      <c r="J823" s="12"/>
      <c r="K823" s="12"/>
      <c r="L823" s="12"/>
      <c r="M823" s="12"/>
      <c r="N823" s="12"/>
      <c r="O823" s="12"/>
      <c r="P823" s="12"/>
    </row>
    <row r="824">
      <c r="A824" s="15"/>
      <c r="D824" s="95"/>
      <c r="E824" s="14"/>
      <c r="H824" s="12"/>
      <c r="I824" s="12"/>
      <c r="J824" s="12"/>
      <c r="K824" s="12"/>
      <c r="L824" s="12"/>
      <c r="M824" s="12"/>
      <c r="N824" s="12"/>
      <c r="O824" s="12"/>
      <c r="P824" s="12"/>
    </row>
    <row r="825">
      <c r="A825" s="15"/>
      <c r="D825" s="95"/>
      <c r="E825" s="14"/>
      <c r="H825" s="12"/>
      <c r="I825" s="12"/>
      <c r="J825" s="12"/>
      <c r="K825" s="12"/>
      <c r="L825" s="12"/>
      <c r="M825" s="12"/>
      <c r="N825" s="12"/>
      <c r="O825" s="12"/>
      <c r="P825" s="12"/>
    </row>
    <row r="826">
      <c r="A826" s="15"/>
      <c r="D826" s="95"/>
      <c r="E826" s="14"/>
      <c r="H826" s="12"/>
      <c r="I826" s="12"/>
      <c r="J826" s="12"/>
      <c r="K826" s="12"/>
      <c r="L826" s="12"/>
      <c r="M826" s="12"/>
      <c r="N826" s="12"/>
      <c r="O826" s="12"/>
      <c r="P826" s="12"/>
    </row>
    <row r="827">
      <c r="A827" s="15"/>
      <c r="D827" s="95"/>
      <c r="E827" s="14"/>
      <c r="H827" s="12"/>
      <c r="I827" s="12"/>
      <c r="J827" s="12"/>
      <c r="K827" s="12"/>
      <c r="L827" s="12"/>
      <c r="M827" s="12"/>
      <c r="N827" s="12"/>
      <c r="O827" s="12"/>
      <c r="P827" s="12"/>
    </row>
    <row r="828">
      <c r="A828" s="15"/>
      <c r="D828" s="95"/>
      <c r="E828" s="14"/>
      <c r="H828" s="12"/>
      <c r="I828" s="12"/>
      <c r="J828" s="12"/>
      <c r="K828" s="12"/>
      <c r="L828" s="12"/>
      <c r="M828" s="12"/>
      <c r="N828" s="12"/>
      <c r="O828" s="12"/>
      <c r="P828" s="12"/>
    </row>
    <row r="829">
      <c r="A829" s="15"/>
      <c r="D829" s="95"/>
      <c r="E829" s="14"/>
      <c r="H829" s="12"/>
      <c r="I829" s="12"/>
      <c r="J829" s="12"/>
      <c r="K829" s="12"/>
      <c r="L829" s="12"/>
      <c r="M829" s="12"/>
      <c r="N829" s="12"/>
      <c r="O829" s="12"/>
      <c r="P829" s="12"/>
    </row>
    <row r="830">
      <c r="A830" s="15"/>
      <c r="D830" s="95"/>
      <c r="E830" s="14"/>
      <c r="H830" s="12"/>
      <c r="I830" s="12"/>
      <c r="J830" s="12"/>
      <c r="K830" s="12"/>
      <c r="L830" s="12"/>
      <c r="M830" s="12"/>
      <c r="N830" s="12"/>
      <c r="O830" s="12"/>
      <c r="P830" s="12"/>
    </row>
    <row r="831">
      <c r="A831" s="15"/>
      <c r="D831" s="95"/>
      <c r="E831" s="14"/>
      <c r="H831" s="12"/>
      <c r="I831" s="12"/>
      <c r="J831" s="12"/>
      <c r="K831" s="12"/>
      <c r="L831" s="12"/>
      <c r="M831" s="12"/>
      <c r="N831" s="12"/>
      <c r="O831" s="12"/>
      <c r="P831" s="12"/>
    </row>
    <row r="832">
      <c r="A832" s="15"/>
      <c r="D832" s="95"/>
      <c r="E832" s="14"/>
      <c r="H832" s="12"/>
      <c r="I832" s="12"/>
      <c r="J832" s="12"/>
      <c r="K832" s="12"/>
      <c r="L832" s="12"/>
      <c r="M832" s="12"/>
      <c r="N832" s="12"/>
      <c r="O832" s="12"/>
      <c r="P832" s="12"/>
    </row>
    <row r="833">
      <c r="A833" s="15"/>
      <c r="D833" s="95"/>
      <c r="E833" s="14"/>
      <c r="H833" s="12"/>
      <c r="I833" s="12"/>
      <c r="J833" s="12"/>
      <c r="K833" s="12"/>
      <c r="L833" s="12"/>
      <c r="M833" s="12"/>
      <c r="N833" s="12"/>
      <c r="O833" s="12"/>
      <c r="P833" s="12"/>
    </row>
    <row r="834">
      <c r="A834" s="15"/>
      <c r="D834" s="95"/>
      <c r="E834" s="14"/>
      <c r="H834" s="12"/>
      <c r="I834" s="12"/>
      <c r="J834" s="12"/>
      <c r="K834" s="12"/>
      <c r="L834" s="12"/>
      <c r="M834" s="12"/>
      <c r="N834" s="12"/>
      <c r="O834" s="12"/>
      <c r="P834" s="12"/>
    </row>
    <row r="835">
      <c r="A835" s="15"/>
      <c r="D835" s="95"/>
      <c r="E835" s="14"/>
      <c r="H835" s="12"/>
      <c r="I835" s="12"/>
      <c r="J835" s="12"/>
      <c r="K835" s="12"/>
      <c r="L835" s="12"/>
      <c r="M835" s="12"/>
      <c r="N835" s="12"/>
      <c r="O835" s="12"/>
      <c r="P835" s="12"/>
    </row>
    <row r="836">
      <c r="A836" s="15"/>
      <c r="D836" s="95"/>
      <c r="E836" s="14"/>
      <c r="H836" s="12"/>
      <c r="I836" s="12"/>
      <c r="J836" s="12"/>
      <c r="K836" s="12"/>
      <c r="L836" s="12"/>
      <c r="M836" s="12"/>
      <c r="N836" s="12"/>
      <c r="O836" s="12"/>
      <c r="P836" s="12"/>
    </row>
    <row r="837">
      <c r="A837" s="15"/>
      <c r="D837" s="95"/>
      <c r="E837" s="14"/>
      <c r="H837" s="12"/>
      <c r="I837" s="12"/>
      <c r="J837" s="12"/>
      <c r="K837" s="12"/>
      <c r="L837" s="12"/>
      <c r="M837" s="12"/>
      <c r="N837" s="12"/>
      <c r="O837" s="12"/>
      <c r="P837" s="12"/>
    </row>
    <row r="838">
      <c r="A838" s="15"/>
      <c r="D838" s="95"/>
      <c r="E838" s="14"/>
      <c r="H838" s="12"/>
      <c r="I838" s="12"/>
      <c r="J838" s="12"/>
      <c r="K838" s="12"/>
      <c r="L838" s="12"/>
      <c r="M838" s="12"/>
      <c r="N838" s="12"/>
      <c r="O838" s="12"/>
      <c r="P838" s="12"/>
    </row>
    <row r="839">
      <c r="A839" s="15"/>
      <c r="D839" s="95"/>
      <c r="E839" s="14"/>
      <c r="H839" s="12"/>
      <c r="I839" s="12"/>
      <c r="J839" s="12"/>
      <c r="K839" s="12"/>
      <c r="L839" s="12"/>
      <c r="M839" s="12"/>
      <c r="N839" s="12"/>
      <c r="O839" s="12"/>
      <c r="P839" s="12"/>
    </row>
    <row r="840">
      <c r="A840" s="15"/>
      <c r="D840" s="95"/>
      <c r="E840" s="14"/>
      <c r="H840" s="12"/>
      <c r="I840" s="12"/>
      <c r="J840" s="12"/>
      <c r="K840" s="12"/>
      <c r="L840" s="12"/>
      <c r="M840" s="12"/>
      <c r="N840" s="12"/>
      <c r="O840" s="12"/>
      <c r="P840" s="12"/>
    </row>
    <row r="841">
      <c r="A841" s="15"/>
      <c r="D841" s="95"/>
      <c r="E841" s="14"/>
      <c r="H841" s="12"/>
      <c r="I841" s="12"/>
      <c r="J841" s="12"/>
      <c r="K841" s="12"/>
      <c r="L841" s="12"/>
      <c r="M841" s="12"/>
      <c r="N841" s="12"/>
      <c r="O841" s="12"/>
      <c r="P841" s="12"/>
    </row>
    <row r="842">
      <c r="A842" s="15"/>
      <c r="D842" s="95"/>
      <c r="E842" s="14"/>
      <c r="H842" s="12"/>
      <c r="I842" s="12"/>
      <c r="J842" s="12"/>
      <c r="K842" s="12"/>
      <c r="L842" s="12"/>
      <c r="M842" s="12"/>
      <c r="N842" s="12"/>
      <c r="O842" s="12"/>
      <c r="P842" s="12"/>
    </row>
    <row r="843">
      <c r="A843" s="15"/>
      <c r="D843" s="95"/>
      <c r="E843" s="14"/>
      <c r="H843" s="12"/>
      <c r="I843" s="12"/>
      <c r="J843" s="12"/>
      <c r="K843" s="12"/>
      <c r="L843" s="12"/>
      <c r="M843" s="12"/>
      <c r="N843" s="12"/>
      <c r="O843" s="12"/>
      <c r="P843" s="12"/>
    </row>
    <row r="844">
      <c r="A844" s="15"/>
      <c r="D844" s="95"/>
      <c r="E844" s="14"/>
      <c r="H844" s="12"/>
      <c r="I844" s="12"/>
      <c r="J844" s="12"/>
      <c r="K844" s="12"/>
      <c r="L844" s="12"/>
      <c r="M844" s="12"/>
      <c r="N844" s="12"/>
      <c r="O844" s="12"/>
      <c r="P844" s="12"/>
    </row>
    <row r="845">
      <c r="A845" s="15"/>
      <c r="D845" s="95"/>
      <c r="E845" s="14"/>
      <c r="H845" s="12"/>
      <c r="I845" s="12"/>
      <c r="J845" s="12"/>
      <c r="K845" s="12"/>
      <c r="L845" s="12"/>
      <c r="M845" s="12"/>
      <c r="N845" s="12"/>
      <c r="O845" s="12"/>
      <c r="P845" s="12"/>
    </row>
    <row r="846">
      <c r="A846" s="15"/>
      <c r="D846" s="95"/>
      <c r="E846" s="14"/>
      <c r="H846" s="12"/>
      <c r="I846" s="12"/>
      <c r="J846" s="12"/>
      <c r="K846" s="12"/>
      <c r="L846" s="12"/>
      <c r="M846" s="12"/>
      <c r="N846" s="12"/>
      <c r="O846" s="12"/>
      <c r="P846" s="12"/>
    </row>
    <row r="847">
      <c r="A847" s="15"/>
      <c r="D847" s="95"/>
      <c r="E847" s="14"/>
      <c r="H847" s="12"/>
      <c r="I847" s="12"/>
      <c r="J847" s="12"/>
      <c r="K847" s="12"/>
      <c r="L847" s="12"/>
      <c r="M847" s="12"/>
      <c r="N847" s="12"/>
      <c r="O847" s="12"/>
      <c r="P847" s="12"/>
    </row>
    <row r="848">
      <c r="A848" s="15"/>
      <c r="D848" s="95"/>
      <c r="E848" s="14"/>
      <c r="H848" s="12"/>
      <c r="I848" s="12"/>
      <c r="J848" s="12"/>
      <c r="K848" s="12"/>
      <c r="L848" s="12"/>
      <c r="M848" s="12"/>
      <c r="N848" s="12"/>
      <c r="O848" s="12"/>
      <c r="P848" s="12"/>
    </row>
    <row r="849">
      <c r="A849" s="15"/>
      <c r="D849" s="95"/>
      <c r="E849" s="14"/>
      <c r="H849" s="12"/>
      <c r="I849" s="12"/>
      <c r="J849" s="12"/>
      <c r="K849" s="12"/>
      <c r="L849" s="12"/>
      <c r="M849" s="12"/>
      <c r="N849" s="12"/>
      <c r="O849" s="12"/>
      <c r="P849" s="12"/>
    </row>
    <row r="850">
      <c r="A850" s="15"/>
      <c r="D850" s="95"/>
      <c r="E850" s="14"/>
      <c r="H850" s="12"/>
      <c r="I850" s="12"/>
      <c r="J850" s="12"/>
      <c r="K850" s="12"/>
      <c r="L850" s="12"/>
      <c r="M850" s="12"/>
      <c r="N850" s="12"/>
      <c r="O850" s="12"/>
      <c r="P850" s="12"/>
    </row>
    <row r="851">
      <c r="A851" s="15"/>
      <c r="D851" s="95"/>
      <c r="E851" s="14"/>
      <c r="H851" s="12"/>
      <c r="I851" s="12"/>
      <c r="J851" s="12"/>
      <c r="K851" s="12"/>
      <c r="L851" s="12"/>
      <c r="M851" s="12"/>
      <c r="N851" s="12"/>
      <c r="O851" s="12"/>
      <c r="P851" s="12"/>
    </row>
    <row r="852">
      <c r="A852" s="15"/>
      <c r="D852" s="95"/>
      <c r="E852" s="14"/>
      <c r="H852" s="12"/>
      <c r="I852" s="12"/>
      <c r="J852" s="12"/>
      <c r="K852" s="12"/>
      <c r="L852" s="12"/>
      <c r="M852" s="12"/>
      <c r="N852" s="12"/>
      <c r="O852" s="12"/>
      <c r="P852" s="12"/>
    </row>
    <row r="853">
      <c r="A853" s="15"/>
      <c r="D853" s="95"/>
      <c r="E853" s="14"/>
      <c r="H853" s="12"/>
      <c r="I853" s="12"/>
      <c r="J853" s="12"/>
      <c r="K853" s="12"/>
      <c r="L853" s="12"/>
      <c r="M853" s="12"/>
      <c r="N853" s="12"/>
      <c r="O853" s="12"/>
      <c r="P853" s="12"/>
    </row>
    <row r="854">
      <c r="A854" s="15"/>
      <c r="D854" s="95"/>
      <c r="E854" s="14"/>
      <c r="H854" s="12"/>
      <c r="I854" s="12"/>
      <c r="J854" s="12"/>
      <c r="K854" s="12"/>
      <c r="L854" s="12"/>
      <c r="M854" s="12"/>
      <c r="N854" s="12"/>
      <c r="O854" s="12"/>
      <c r="P854" s="12"/>
    </row>
    <row r="855">
      <c r="A855" s="15"/>
      <c r="D855" s="95"/>
      <c r="E855" s="14"/>
      <c r="H855" s="12"/>
      <c r="I855" s="12"/>
      <c r="J855" s="12"/>
      <c r="K855" s="12"/>
      <c r="L855" s="12"/>
      <c r="M855" s="12"/>
      <c r="N855" s="12"/>
      <c r="O855" s="12"/>
      <c r="P855" s="12"/>
    </row>
    <row r="856">
      <c r="A856" s="15"/>
      <c r="D856" s="95"/>
      <c r="E856" s="14"/>
      <c r="H856" s="12"/>
      <c r="I856" s="12"/>
      <c r="J856" s="12"/>
      <c r="K856" s="12"/>
      <c r="L856" s="12"/>
      <c r="M856" s="12"/>
      <c r="N856" s="12"/>
      <c r="O856" s="12"/>
      <c r="P856" s="12"/>
    </row>
    <row r="857">
      <c r="A857" s="15"/>
      <c r="D857" s="95"/>
      <c r="E857" s="14"/>
      <c r="H857" s="12"/>
      <c r="I857" s="12"/>
      <c r="J857" s="12"/>
      <c r="K857" s="12"/>
      <c r="L857" s="12"/>
      <c r="M857" s="12"/>
      <c r="N857" s="12"/>
      <c r="O857" s="12"/>
      <c r="P857" s="12"/>
    </row>
    <row r="858">
      <c r="A858" s="15"/>
      <c r="D858" s="95"/>
      <c r="E858" s="14"/>
      <c r="H858" s="12"/>
      <c r="I858" s="12"/>
      <c r="J858" s="12"/>
      <c r="K858" s="12"/>
      <c r="L858" s="12"/>
      <c r="M858" s="12"/>
      <c r="N858" s="12"/>
      <c r="O858" s="12"/>
      <c r="P858" s="12"/>
    </row>
    <row r="859">
      <c r="A859" s="15"/>
      <c r="D859" s="95"/>
      <c r="E859" s="14"/>
      <c r="H859" s="12"/>
      <c r="I859" s="12"/>
      <c r="J859" s="12"/>
      <c r="K859" s="12"/>
      <c r="L859" s="12"/>
      <c r="M859" s="12"/>
      <c r="N859" s="12"/>
      <c r="O859" s="12"/>
      <c r="P859" s="12"/>
    </row>
    <row r="860">
      <c r="A860" s="15"/>
      <c r="D860" s="95"/>
      <c r="E860" s="14"/>
      <c r="H860" s="12"/>
      <c r="I860" s="12"/>
      <c r="J860" s="12"/>
      <c r="K860" s="12"/>
      <c r="L860" s="12"/>
      <c r="M860" s="12"/>
      <c r="N860" s="12"/>
      <c r="O860" s="12"/>
      <c r="P860" s="12"/>
    </row>
    <row r="861">
      <c r="A861" s="15"/>
      <c r="D861" s="95"/>
      <c r="E861" s="14"/>
      <c r="H861" s="12"/>
      <c r="I861" s="12"/>
      <c r="J861" s="12"/>
      <c r="K861" s="12"/>
      <c r="L861" s="12"/>
      <c r="M861" s="12"/>
      <c r="N861" s="12"/>
      <c r="O861" s="12"/>
      <c r="P861" s="12"/>
    </row>
    <row r="862">
      <c r="A862" s="15"/>
      <c r="D862" s="95"/>
      <c r="E862" s="14"/>
      <c r="H862" s="12"/>
      <c r="I862" s="12"/>
      <c r="J862" s="12"/>
      <c r="K862" s="12"/>
      <c r="L862" s="12"/>
      <c r="M862" s="12"/>
      <c r="N862" s="12"/>
      <c r="O862" s="12"/>
      <c r="P862" s="12"/>
    </row>
    <row r="863">
      <c r="A863" s="15"/>
      <c r="D863" s="95"/>
      <c r="E863" s="14"/>
      <c r="H863" s="12"/>
      <c r="I863" s="12"/>
      <c r="J863" s="12"/>
      <c r="K863" s="12"/>
      <c r="L863" s="12"/>
      <c r="M863" s="12"/>
      <c r="N863" s="12"/>
      <c r="O863" s="12"/>
      <c r="P863" s="12"/>
    </row>
    <row r="864">
      <c r="A864" s="15"/>
      <c r="D864" s="95"/>
      <c r="E864" s="14"/>
      <c r="H864" s="12"/>
      <c r="I864" s="12"/>
      <c r="J864" s="12"/>
      <c r="K864" s="12"/>
      <c r="L864" s="12"/>
      <c r="M864" s="12"/>
      <c r="N864" s="12"/>
      <c r="O864" s="12"/>
      <c r="P864" s="12"/>
    </row>
    <row r="865">
      <c r="A865" s="15"/>
      <c r="D865" s="95"/>
      <c r="E865" s="14"/>
      <c r="H865" s="12"/>
      <c r="I865" s="12"/>
      <c r="J865" s="12"/>
      <c r="K865" s="12"/>
      <c r="L865" s="12"/>
      <c r="M865" s="12"/>
      <c r="N865" s="12"/>
      <c r="O865" s="12"/>
      <c r="P865" s="12"/>
    </row>
    <row r="866">
      <c r="A866" s="15"/>
      <c r="D866" s="95"/>
      <c r="E866" s="14"/>
      <c r="H866" s="12"/>
      <c r="I866" s="12"/>
      <c r="J866" s="12"/>
      <c r="K866" s="12"/>
      <c r="L866" s="12"/>
      <c r="M866" s="12"/>
      <c r="N866" s="12"/>
      <c r="O866" s="12"/>
      <c r="P866" s="12"/>
    </row>
    <row r="867">
      <c r="A867" s="15"/>
      <c r="D867" s="95"/>
      <c r="E867" s="14"/>
      <c r="H867" s="12"/>
      <c r="I867" s="12"/>
      <c r="J867" s="12"/>
      <c r="K867" s="12"/>
      <c r="L867" s="12"/>
      <c r="M867" s="12"/>
      <c r="N867" s="12"/>
      <c r="O867" s="12"/>
      <c r="P867" s="12"/>
    </row>
    <row r="868">
      <c r="A868" s="15"/>
      <c r="D868" s="95"/>
      <c r="E868" s="14"/>
      <c r="H868" s="12"/>
      <c r="I868" s="12"/>
      <c r="J868" s="12"/>
      <c r="K868" s="12"/>
      <c r="L868" s="12"/>
      <c r="M868" s="12"/>
      <c r="N868" s="12"/>
      <c r="O868" s="12"/>
      <c r="P868" s="12"/>
    </row>
    <row r="869">
      <c r="A869" s="15"/>
      <c r="D869" s="95"/>
      <c r="E869" s="14"/>
      <c r="H869" s="12"/>
      <c r="I869" s="12"/>
      <c r="J869" s="12"/>
      <c r="K869" s="12"/>
      <c r="L869" s="12"/>
      <c r="M869" s="12"/>
      <c r="N869" s="12"/>
      <c r="O869" s="12"/>
      <c r="P869" s="12"/>
    </row>
    <row r="870">
      <c r="A870" s="15"/>
      <c r="D870" s="95"/>
      <c r="E870" s="14"/>
      <c r="H870" s="12"/>
      <c r="I870" s="12"/>
      <c r="J870" s="12"/>
      <c r="K870" s="12"/>
      <c r="L870" s="12"/>
      <c r="M870" s="12"/>
      <c r="N870" s="12"/>
      <c r="O870" s="12"/>
      <c r="P870" s="12"/>
    </row>
    <row r="871">
      <c r="A871" s="15"/>
      <c r="D871" s="95"/>
      <c r="E871" s="14"/>
      <c r="H871" s="12"/>
      <c r="I871" s="12"/>
      <c r="J871" s="12"/>
      <c r="K871" s="12"/>
      <c r="L871" s="12"/>
      <c r="M871" s="12"/>
      <c r="N871" s="12"/>
      <c r="O871" s="12"/>
      <c r="P871" s="12"/>
    </row>
    <row r="872">
      <c r="A872" s="15"/>
      <c r="D872" s="95"/>
      <c r="E872" s="14"/>
      <c r="H872" s="12"/>
      <c r="I872" s="12"/>
      <c r="J872" s="12"/>
      <c r="K872" s="12"/>
      <c r="L872" s="12"/>
      <c r="M872" s="12"/>
      <c r="N872" s="12"/>
      <c r="O872" s="12"/>
      <c r="P872" s="12"/>
    </row>
    <row r="873">
      <c r="A873" s="15"/>
      <c r="D873" s="95"/>
      <c r="E873" s="14"/>
      <c r="H873" s="12"/>
      <c r="I873" s="12"/>
      <c r="J873" s="12"/>
      <c r="K873" s="12"/>
      <c r="L873" s="12"/>
      <c r="M873" s="12"/>
      <c r="N873" s="12"/>
      <c r="O873" s="12"/>
      <c r="P873" s="12"/>
    </row>
    <row r="874">
      <c r="A874" s="15"/>
      <c r="D874" s="95"/>
      <c r="E874" s="14"/>
      <c r="H874" s="12"/>
      <c r="I874" s="12"/>
      <c r="J874" s="12"/>
      <c r="K874" s="12"/>
      <c r="L874" s="12"/>
      <c r="M874" s="12"/>
      <c r="N874" s="12"/>
      <c r="O874" s="12"/>
      <c r="P874" s="12"/>
    </row>
    <row r="875">
      <c r="A875" s="15"/>
      <c r="D875" s="95"/>
      <c r="E875" s="14"/>
      <c r="H875" s="12"/>
      <c r="I875" s="12"/>
      <c r="J875" s="12"/>
      <c r="K875" s="12"/>
      <c r="L875" s="12"/>
      <c r="M875" s="12"/>
      <c r="N875" s="12"/>
      <c r="O875" s="12"/>
      <c r="P875" s="12"/>
    </row>
    <row r="876">
      <c r="A876" s="15"/>
      <c r="D876" s="95"/>
      <c r="E876" s="14"/>
      <c r="H876" s="12"/>
      <c r="I876" s="12"/>
      <c r="J876" s="12"/>
      <c r="K876" s="12"/>
      <c r="L876" s="12"/>
      <c r="M876" s="12"/>
      <c r="N876" s="12"/>
      <c r="O876" s="12"/>
      <c r="P876" s="12"/>
    </row>
    <row r="877">
      <c r="A877" s="15"/>
      <c r="D877" s="95"/>
      <c r="E877" s="14"/>
      <c r="H877" s="12"/>
      <c r="I877" s="12"/>
      <c r="J877" s="12"/>
      <c r="K877" s="12"/>
      <c r="L877" s="12"/>
      <c r="M877" s="12"/>
      <c r="N877" s="12"/>
      <c r="O877" s="12"/>
      <c r="P877" s="12"/>
    </row>
    <row r="878">
      <c r="A878" s="15"/>
      <c r="D878" s="95"/>
      <c r="E878" s="14"/>
      <c r="H878" s="12"/>
      <c r="I878" s="12"/>
      <c r="J878" s="12"/>
      <c r="K878" s="12"/>
      <c r="L878" s="12"/>
      <c r="M878" s="12"/>
      <c r="N878" s="12"/>
      <c r="O878" s="12"/>
      <c r="P878" s="12"/>
    </row>
    <row r="879">
      <c r="A879" s="15"/>
      <c r="D879" s="95"/>
      <c r="E879" s="14"/>
      <c r="H879" s="12"/>
      <c r="I879" s="12"/>
      <c r="J879" s="12"/>
      <c r="K879" s="12"/>
      <c r="L879" s="12"/>
      <c r="M879" s="12"/>
      <c r="N879" s="12"/>
      <c r="O879" s="12"/>
      <c r="P879" s="12"/>
    </row>
    <row r="880">
      <c r="A880" s="15"/>
      <c r="D880" s="95"/>
      <c r="E880" s="14"/>
      <c r="H880" s="12"/>
      <c r="I880" s="12"/>
      <c r="J880" s="12"/>
      <c r="K880" s="12"/>
      <c r="L880" s="12"/>
      <c r="M880" s="12"/>
      <c r="N880" s="12"/>
      <c r="O880" s="12"/>
      <c r="P880" s="12"/>
    </row>
    <row r="881">
      <c r="A881" s="15"/>
      <c r="D881" s="95"/>
      <c r="E881" s="14"/>
      <c r="H881" s="12"/>
      <c r="I881" s="12"/>
      <c r="J881" s="12"/>
      <c r="K881" s="12"/>
      <c r="L881" s="12"/>
      <c r="M881" s="12"/>
      <c r="N881" s="12"/>
      <c r="O881" s="12"/>
      <c r="P881" s="12"/>
    </row>
    <row r="882">
      <c r="A882" s="15"/>
      <c r="D882" s="95"/>
      <c r="E882" s="14"/>
      <c r="H882" s="12"/>
      <c r="I882" s="12"/>
      <c r="J882" s="12"/>
      <c r="K882" s="12"/>
      <c r="L882" s="12"/>
      <c r="M882" s="12"/>
      <c r="N882" s="12"/>
      <c r="O882" s="12"/>
      <c r="P882" s="12"/>
    </row>
    <row r="883">
      <c r="A883" s="15"/>
      <c r="D883" s="95"/>
      <c r="E883" s="14"/>
      <c r="H883" s="12"/>
      <c r="I883" s="12"/>
      <c r="J883" s="12"/>
      <c r="K883" s="12"/>
      <c r="L883" s="12"/>
      <c r="M883" s="12"/>
      <c r="N883" s="12"/>
      <c r="O883" s="12"/>
      <c r="P883" s="12"/>
    </row>
    <row r="884">
      <c r="A884" s="15"/>
      <c r="D884" s="95"/>
      <c r="E884" s="14"/>
      <c r="H884" s="12"/>
      <c r="I884" s="12"/>
      <c r="J884" s="12"/>
      <c r="K884" s="12"/>
      <c r="L884" s="12"/>
      <c r="M884" s="12"/>
      <c r="N884" s="12"/>
      <c r="O884" s="12"/>
      <c r="P884" s="12"/>
    </row>
    <row r="885">
      <c r="A885" s="15"/>
      <c r="D885" s="95"/>
      <c r="E885" s="14"/>
      <c r="H885" s="12"/>
      <c r="I885" s="12"/>
      <c r="J885" s="12"/>
      <c r="K885" s="12"/>
      <c r="L885" s="12"/>
      <c r="M885" s="12"/>
      <c r="N885" s="12"/>
      <c r="O885" s="12"/>
      <c r="P885" s="12"/>
    </row>
    <row r="886">
      <c r="A886" s="15"/>
      <c r="D886" s="95"/>
      <c r="E886" s="14"/>
      <c r="H886" s="12"/>
      <c r="I886" s="12"/>
      <c r="J886" s="12"/>
      <c r="K886" s="12"/>
      <c r="L886" s="12"/>
      <c r="M886" s="12"/>
      <c r="N886" s="12"/>
      <c r="O886" s="12"/>
      <c r="P886" s="12"/>
    </row>
    <row r="887">
      <c r="A887" s="15"/>
      <c r="D887" s="95"/>
      <c r="E887" s="14"/>
      <c r="H887" s="12"/>
      <c r="I887" s="12"/>
      <c r="J887" s="12"/>
      <c r="K887" s="12"/>
      <c r="L887" s="12"/>
      <c r="M887" s="12"/>
      <c r="N887" s="12"/>
      <c r="O887" s="12"/>
      <c r="P887" s="12"/>
    </row>
    <row r="888">
      <c r="A888" s="15"/>
      <c r="D888" s="95"/>
      <c r="E888" s="14"/>
      <c r="H888" s="12"/>
      <c r="I888" s="12"/>
      <c r="J888" s="12"/>
      <c r="K888" s="12"/>
      <c r="L888" s="12"/>
      <c r="M888" s="12"/>
      <c r="N888" s="12"/>
      <c r="O888" s="12"/>
      <c r="P888" s="12"/>
    </row>
    <row r="889">
      <c r="A889" s="15"/>
      <c r="D889" s="95"/>
      <c r="E889" s="14"/>
      <c r="H889" s="12"/>
      <c r="I889" s="12"/>
      <c r="J889" s="12"/>
      <c r="K889" s="12"/>
      <c r="L889" s="12"/>
      <c r="M889" s="12"/>
      <c r="N889" s="12"/>
      <c r="O889" s="12"/>
      <c r="P889" s="12"/>
    </row>
    <row r="890">
      <c r="A890" s="15"/>
      <c r="D890" s="95"/>
      <c r="E890" s="14"/>
      <c r="H890" s="12"/>
      <c r="I890" s="12"/>
      <c r="J890" s="12"/>
      <c r="K890" s="12"/>
      <c r="L890" s="12"/>
      <c r="M890" s="12"/>
      <c r="N890" s="12"/>
      <c r="O890" s="12"/>
      <c r="P890" s="12"/>
    </row>
    <row r="891">
      <c r="A891" s="15"/>
      <c r="D891" s="95"/>
      <c r="E891" s="14"/>
      <c r="H891" s="12"/>
      <c r="I891" s="12"/>
      <c r="J891" s="12"/>
      <c r="K891" s="12"/>
      <c r="L891" s="12"/>
      <c r="M891" s="12"/>
      <c r="N891" s="12"/>
      <c r="O891" s="12"/>
      <c r="P891" s="12"/>
    </row>
    <row r="892">
      <c r="A892" s="15"/>
      <c r="D892" s="95"/>
      <c r="E892" s="14"/>
      <c r="H892" s="12"/>
      <c r="I892" s="12"/>
      <c r="J892" s="12"/>
      <c r="K892" s="12"/>
      <c r="L892" s="12"/>
      <c r="M892" s="12"/>
      <c r="N892" s="12"/>
      <c r="O892" s="12"/>
      <c r="P892" s="12"/>
    </row>
    <row r="893">
      <c r="A893" s="15"/>
      <c r="D893" s="95"/>
      <c r="E893" s="14"/>
      <c r="H893" s="12"/>
      <c r="I893" s="12"/>
      <c r="J893" s="12"/>
      <c r="K893" s="12"/>
      <c r="L893" s="12"/>
      <c r="M893" s="12"/>
      <c r="N893" s="12"/>
      <c r="O893" s="12"/>
      <c r="P893" s="12"/>
    </row>
    <row r="894">
      <c r="A894" s="15"/>
      <c r="D894" s="95"/>
      <c r="E894" s="14"/>
      <c r="H894" s="12"/>
      <c r="I894" s="12"/>
      <c r="J894" s="12"/>
      <c r="K894" s="12"/>
      <c r="L894" s="12"/>
      <c r="M894" s="12"/>
      <c r="N894" s="12"/>
      <c r="O894" s="12"/>
      <c r="P894" s="12"/>
    </row>
    <row r="895">
      <c r="A895" s="15"/>
      <c r="D895" s="95"/>
      <c r="E895" s="14"/>
      <c r="H895" s="12"/>
      <c r="I895" s="12"/>
      <c r="J895" s="12"/>
      <c r="K895" s="12"/>
      <c r="L895" s="12"/>
      <c r="M895" s="12"/>
      <c r="N895" s="12"/>
      <c r="O895" s="12"/>
      <c r="P895" s="12"/>
    </row>
    <row r="896">
      <c r="A896" s="15"/>
      <c r="D896" s="95"/>
      <c r="E896" s="14"/>
      <c r="H896" s="12"/>
      <c r="I896" s="12"/>
      <c r="J896" s="12"/>
      <c r="K896" s="12"/>
      <c r="L896" s="12"/>
      <c r="M896" s="12"/>
      <c r="N896" s="12"/>
      <c r="O896" s="12"/>
      <c r="P896" s="12"/>
    </row>
    <row r="897">
      <c r="A897" s="15"/>
      <c r="D897" s="95"/>
      <c r="E897" s="14"/>
      <c r="H897" s="12"/>
      <c r="I897" s="12"/>
      <c r="J897" s="12"/>
      <c r="K897" s="12"/>
      <c r="L897" s="12"/>
      <c r="M897" s="12"/>
      <c r="N897" s="12"/>
      <c r="O897" s="12"/>
      <c r="P897" s="12"/>
    </row>
    <row r="898">
      <c r="A898" s="15"/>
      <c r="D898" s="95"/>
      <c r="E898" s="14"/>
      <c r="H898" s="12"/>
      <c r="I898" s="12"/>
      <c r="J898" s="12"/>
      <c r="K898" s="12"/>
      <c r="L898" s="12"/>
      <c r="M898" s="12"/>
      <c r="N898" s="12"/>
      <c r="O898" s="12"/>
      <c r="P898" s="12"/>
    </row>
    <row r="899">
      <c r="A899" s="15"/>
      <c r="D899" s="95"/>
      <c r="E899" s="14"/>
      <c r="H899" s="12"/>
      <c r="I899" s="12"/>
      <c r="J899" s="12"/>
      <c r="K899" s="12"/>
      <c r="L899" s="12"/>
      <c r="M899" s="12"/>
      <c r="N899" s="12"/>
      <c r="O899" s="12"/>
      <c r="P899" s="12"/>
    </row>
    <row r="900">
      <c r="A900" s="15"/>
      <c r="D900" s="95"/>
      <c r="E900" s="14"/>
      <c r="H900" s="12"/>
      <c r="I900" s="12"/>
      <c r="J900" s="12"/>
      <c r="K900" s="12"/>
      <c r="L900" s="12"/>
      <c r="M900" s="12"/>
      <c r="N900" s="12"/>
      <c r="O900" s="12"/>
      <c r="P900" s="12"/>
    </row>
    <row r="901">
      <c r="A901" s="15"/>
      <c r="D901" s="95"/>
      <c r="E901" s="14"/>
      <c r="H901" s="12"/>
      <c r="I901" s="12"/>
      <c r="J901" s="12"/>
      <c r="K901" s="12"/>
      <c r="L901" s="12"/>
      <c r="M901" s="12"/>
      <c r="N901" s="12"/>
      <c r="O901" s="12"/>
      <c r="P901" s="12"/>
    </row>
    <row r="902">
      <c r="A902" s="15"/>
      <c r="D902" s="95"/>
      <c r="E902" s="14"/>
      <c r="H902" s="12"/>
      <c r="I902" s="12"/>
      <c r="J902" s="12"/>
      <c r="K902" s="12"/>
      <c r="L902" s="12"/>
      <c r="M902" s="12"/>
      <c r="N902" s="12"/>
      <c r="O902" s="12"/>
      <c r="P902" s="12"/>
    </row>
    <row r="903">
      <c r="A903" s="15"/>
      <c r="D903" s="95"/>
      <c r="E903" s="14"/>
      <c r="H903" s="12"/>
      <c r="I903" s="12"/>
      <c r="J903" s="12"/>
      <c r="K903" s="12"/>
      <c r="L903" s="12"/>
      <c r="M903" s="12"/>
      <c r="N903" s="12"/>
      <c r="O903" s="12"/>
      <c r="P903" s="12"/>
    </row>
    <row r="904">
      <c r="A904" s="15"/>
      <c r="D904" s="95"/>
      <c r="E904" s="14"/>
      <c r="H904" s="12"/>
      <c r="I904" s="12"/>
      <c r="J904" s="12"/>
      <c r="K904" s="12"/>
      <c r="L904" s="12"/>
      <c r="M904" s="12"/>
      <c r="N904" s="12"/>
      <c r="O904" s="12"/>
      <c r="P904" s="12"/>
    </row>
    <row r="905">
      <c r="A905" s="15"/>
      <c r="D905" s="95"/>
      <c r="E905" s="14"/>
      <c r="H905" s="12"/>
      <c r="I905" s="12"/>
      <c r="J905" s="12"/>
      <c r="K905" s="12"/>
      <c r="L905" s="12"/>
      <c r="M905" s="12"/>
      <c r="N905" s="12"/>
      <c r="O905" s="12"/>
      <c r="P905" s="12"/>
    </row>
    <row r="906">
      <c r="A906" s="15"/>
      <c r="D906" s="95"/>
      <c r="E906" s="14"/>
      <c r="H906" s="12"/>
      <c r="I906" s="12"/>
      <c r="J906" s="12"/>
      <c r="K906" s="12"/>
      <c r="L906" s="12"/>
      <c r="M906" s="12"/>
      <c r="N906" s="12"/>
      <c r="O906" s="12"/>
      <c r="P906" s="12"/>
    </row>
    <row r="907">
      <c r="A907" s="15"/>
      <c r="D907" s="95"/>
      <c r="E907" s="14"/>
      <c r="H907" s="12"/>
      <c r="I907" s="12"/>
      <c r="J907" s="12"/>
      <c r="K907" s="12"/>
      <c r="L907" s="12"/>
      <c r="M907" s="12"/>
      <c r="N907" s="12"/>
      <c r="O907" s="12"/>
      <c r="P907" s="12"/>
    </row>
    <row r="908">
      <c r="A908" s="15"/>
      <c r="D908" s="95"/>
      <c r="E908" s="14"/>
      <c r="H908" s="12"/>
      <c r="I908" s="12"/>
      <c r="J908" s="12"/>
      <c r="K908" s="12"/>
      <c r="L908" s="12"/>
      <c r="M908" s="12"/>
      <c r="N908" s="12"/>
      <c r="O908" s="12"/>
      <c r="P908" s="12"/>
    </row>
    <row r="909">
      <c r="A909" s="15"/>
      <c r="D909" s="95"/>
      <c r="E909" s="14"/>
      <c r="H909" s="12"/>
      <c r="I909" s="12"/>
      <c r="J909" s="12"/>
      <c r="K909" s="12"/>
      <c r="L909" s="12"/>
      <c r="M909" s="12"/>
      <c r="N909" s="12"/>
      <c r="O909" s="12"/>
      <c r="P909" s="12"/>
    </row>
    <row r="910">
      <c r="A910" s="15"/>
      <c r="D910" s="95"/>
      <c r="E910" s="14"/>
      <c r="H910" s="12"/>
      <c r="I910" s="12"/>
      <c r="J910" s="12"/>
      <c r="K910" s="12"/>
      <c r="L910" s="12"/>
      <c r="M910" s="12"/>
      <c r="N910" s="12"/>
      <c r="O910" s="12"/>
      <c r="P910" s="12"/>
    </row>
    <row r="911">
      <c r="A911" s="15"/>
      <c r="D911" s="95"/>
      <c r="E911" s="14"/>
      <c r="H911" s="12"/>
      <c r="I911" s="12"/>
      <c r="J911" s="12"/>
      <c r="K911" s="12"/>
      <c r="L911" s="12"/>
      <c r="M911" s="12"/>
      <c r="N911" s="12"/>
      <c r="O911" s="12"/>
      <c r="P911" s="12"/>
    </row>
    <row r="912">
      <c r="A912" s="15"/>
      <c r="D912" s="95"/>
      <c r="E912" s="14"/>
      <c r="H912" s="12"/>
      <c r="I912" s="12"/>
      <c r="J912" s="12"/>
      <c r="K912" s="12"/>
      <c r="L912" s="12"/>
      <c r="M912" s="12"/>
      <c r="N912" s="12"/>
      <c r="O912" s="12"/>
      <c r="P912" s="12"/>
    </row>
    <row r="913">
      <c r="A913" s="15"/>
      <c r="D913" s="95"/>
      <c r="E913" s="14"/>
      <c r="H913" s="12"/>
      <c r="I913" s="12"/>
      <c r="J913" s="12"/>
      <c r="K913" s="12"/>
      <c r="L913" s="12"/>
      <c r="M913" s="12"/>
      <c r="N913" s="12"/>
      <c r="O913" s="12"/>
      <c r="P913" s="12"/>
    </row>
    <row r="914">
      <c r="A914" s="15"/>
      <c r="D914" s="95"/>
      <c r="E914" s="14"/>
      <c r="H914" s="12"/>
      <c r="I914" s="12"/>
      <c r="J914" s="12"/>
      <c r="K914" s="12"/>
      <c r="L914" s="12"/>
      <c r="M914" s="12"/>
      <c r="N914" s="12"/>
      <c r="O914" s="12"/>
      <c r="P914" s="12"/>
    </row>
    <row r="915">
      <c r="A915" s="15"/>
      <c r="D915" s="95"/>
      <c r="E915" s="14"/>
      <c r="H915" s="12"/>
      <c r="I915" s="12"/>
      <c r="J915" s="12"/>
      <c r="K915" s="12"/>
      <c r="L915" s="12"/>
      <c r="M915" s="12"/>
      <c r="N915" s="12"/>
      <c r="O915" s="12"/>
      <c r="P915" s="12"/>
    </row>
    <row r="916">
      <c r="A916" s="15"/>
      <c r="D916" s="95"/>
      <c r="E916" s="14"/>
      <c r="H916" s="12"/>
      <c r="I916" s="12"/>
      <c r="J916" s="12"/>
      <c r="K916" s="12"/>
      <c r="L916" s="12"/>
      <c r="M916" s="12"/>
      <c r="N916" s="12"/>
      <c r="O916" s="12"/>
      <c r="P916" s="12"/>
    </row>
    <row r="917">
      <c r="A917" s="15"/>
      <c r="D917" s="95"/>
      <c r="E917" s="14"/>
      <c r="H917" s="12"/>
      <c r="I917" s="12"/>
      <c r="J917" s="12"/>
      <c r="K917" s="12"/>
      <c r="L917" s="12"/>
      <c r="M917" s="12"/>
      <c r="N917" s="12"/>
      <c r="O917" s="12"/>
      <c r="P917" s="12"/>
    </row>
    <row r="918">
      <c r="A918" s="15"/>
      <c r="D918" s="95"/>
      <c r="E918" s="14"/>
      <c r="H918" s="12"/>
      <c r="I918" s="12"/>
      <c r="J918" s="12"/>
      <c r="K918" s="12"/>
      <c r="L918" s="12"/>
      <c r="M918" s="12"/>
      <c r="N918" s="12"/>
      <c r="O918" s="12"/>
      <c r="P918" s="12"/>
    </row>
    <row r="919">
      <c r="A919" s="15"/>
      <c r="D919" s="95"/>
      <c r="E919" s="14"/>
      <c r="H919" s="12"/>
      <c r="I919" s="12"/>
      <c r="J919" s="12"/>
      <c r="K919" s="12"/>
      <c r="L919" s="12"/>
      <c r="M919" s="12"/>
      <c r="N919" s="12"/>
      <c r="O919" s="12"/>
      <c r="P919" s="12"/>
    </row>
    <row r="920">
      <c r="A920" s="15"/>
      <c r="D920" s="95"/>
      <c r="E920" s="14"/>
      <c r="H920" s="12"/>
      <c r="I920" s="12"/>
      <c r="J920" s="12"/>
      <c r="K920" s="12"/>
      <c r="L920" s="12"/>
      <c r="M920" s="12"/>
      <c r="N920" s="12"/>
      <c r="O920" s="12"/>
      <c r="P920" s="12"/>
    </row>
    <row r="921">
      <c r="A921" s="15"/>
      <c r="D921" s="95"/>
      <c r="E921" s="14"/>
      <c r="H921" s="12"/>
      <c r="I921" s="12"/>
      <c r="J921" s="12"/>
      <c r="K921" s="12"/>
      <c r="L921" s="12"/>
      <c r="M921" s="12"/>
      <c r="N921" s="12"/>
      <c r="O921" s="12"/>
      <c r="P921" s="12"/>
    </row>
    <row r="922">
      <c r="A922" s="15"/>
      <c r="D922" s="95"/>
      <c r="E922" s="14"/>
      <c r="H922" s="12"/>
      <c r="I922" s="12"/>
      <c r="J922" s="12"/>
      <c r="K922" s="12"/>
      <c r="L922" s="12"/>
      <c r="M922" s="12"/>
      <c r="N922" s="12"/>
      <c r="O922" s="12"/>
      <c r="P922" s="12"/>
    </row>
    <row r="923">
      <c r="A923" s="15"/>
      <c r="D923" s="95"/>
      <c r="E923" s="14"/>
      <c r="H923" s="12"/>
      <c r="I923" s="12"/>
      <c r="J923" s="12"/>
      <c r="K923" s="12"/>
      <c r="L923" s="12"/>
      <c r="M923" s="12"/>
      <c r="N923" s="12"/>
      <c r="O923" s="12"/>
      <c r="P923" s="12"/>
    </row>
    <row r="924">
      <c r="A924" s="15"/>
      <c r="D924" s="95"/>
      <c r="E924" s="14"/>
      <c r="H924" s="12"/>
      <c r="I924" s="12"/>
      <c r="J924" s="12"/>
      <c r="K924" s="12"/>
      <c r="L924" s="12"/>
      <c r="M924" s="12"/>
      <c r="N924" s="12"/>
      <c r="O924" s="12"/>
      <c r="P924" s="12"/>
    </row>
    <row r="925">
      <c r="A925" s="15"/>
      <c r="D925" s="95"/>
      <c r="E925" s="14"/>
      <c r="H925" s="12"/>
      <c r="I925" s="12"/>
      <c r="J925" s="12"/>
      <c r="K925" s="12"/>
      <c r="L925" s="12"/>
      <c r="M925" s="12"/>
      <c r="N925" s="12"/>
      <c r="O925" s="12"/>
      <c r="P925" s="12"/>
    </row>
    <row r="926">
      <c r="A926" s="15"/>
      <c r="D926" s="95"/>
      <c r="E926" s="14"/>
      <c r="H926" s="12"/>
      <c r="I926" s="12"/>
      <c r="J926" s="12"/>
      <c r="K926" s="12"/>
      <c r="L926" s="12"/>
      <c r="M926" s="12"/>
      <c r="N926" s="12"/>
      <c r="O926" s="12"/>
      <c r="P926" s="12"/>
    </row>
    <row r="927">
      <c r="A927" s="15"/>
      <c r="D927" s="95"/>
      <c r="E927" s="14"/>
      <c r="H927" s="12"/>
      <c r="I927" s="12"/>
      <c r="J927" s="12"/>
      <c r="K927" s="12"/>
      <c r="L927" s="12"/>
      <c r="M927" s="12"/>
      <c r="N927" s="12"/>
      <c r="O927" s="12"/>
      <c r="P927" s="12"/>
    </row>
    <row r="928">
      <c r="A928" s="15"/>
      <c r="D928" s="95"/>
      <c r="E928" s="14"/>
      <c r="H928" s="12"/>
      <c r="I928" s="12"/>
      <c r="J928" s="12"/>
      <c r="K928" s="12"/>
      <c r="L928" s="12"/>
      <c r="M928" s="12"/>
      <c r="N928" s="12"/>
      <c r="O928" s="12"/>
      <c r="P928" s="12"/>
    </row>
    <row r="929">
      <c r="A929" s="15"/>
      <c r="D929" s="95"/>
      <c r="E929" s="14"/>
      <c r="H929" s="12"/>
      <c r="I929" s="12"/>
      <c r="J929" s="12"/>
      <c r="K929" s="12"/>
      <c r="L929" s="12"/>
      <c r="M929" s="12"/>
      <c r="N929" s="12"/>
      <c r="O929" s="12"/>
      <c r="P929" s="12"/>
    </row>
    <row r="930">
      <c r="A930" s="15"/>
      <c r="D930" s="95"/>
      <c r="E930" s="14"/>
      <c r="H930" s="12"/>
      <c r="I930" s="12"/>
      <c r="J930" s="12"/>
      <c r="K930" s="12"/>
      <c r="L930" s="12"/>
      <c r="M930" s="12"/>
      <c r="N930" s="12"/>
      <c r="O930" s="12"/>
      <c r="P930" s="12"/>
    </row>
    <row r="931">
      <c r="A931" s="15"/>
      <c r="D931" s="95"/>
      <c r="E931" s="14"/>
      <c r="H931" s="12"/>
      <c r="I931" s="12"/>
      <c r="J931" s="12"/>
      <c r="K931" s="12"/>
      <c r="L931" s="12"/>
      <c r="M931" s="12"/>
      <c r="N931" s="12"/>
      <c r="O931" s="12"/>
      <c r="P931" s="12"/>
    </row>
    <row r="932">
      <c r="A932" s="15"/>
      <c r="D932" s="95"/>
      <c r="E932" s="14"/>
      <c r="H932" s="12"/>
      <c r="I932" s="12"/>
      <c r="J932" s="12"/>
      <c r="K932" s="12"/>
      <c r="L932" s="12"/>
      <c r="M932" s="12"/>
      <c r="N932" s="12"/>
      <c r="O932" s="12"/>
      <c r="P932" s="12"/>
    </row>
    <row r="933">
      <c r="A933" s="15"/>
      <c r="D933" s="95"/>
      <c r="E933" s="14"/>
      <c r="H933" s="12"/>
      <c r="I933" s="12"/>
      <c r="J933" s="12"/>
      <c r="K933" s="12"/>
      <c r="L933" s="12"/>
      <c r="M933" s="12"/>
      <c r="N933" s="12"/>
      <c r="O933" s="12"/>
      <c r="P933" s="12"/>
    </row>
    <row r="934">
      <c r="A934" s="15"/>
      <c r="D934" s="95"/>
      <c r="E934" s="14"/>
      <c r="H934" s="12"/>
      <c r="I934" s="12"/>
      <c r="J934" s="12"/>
      <c r="K934" s="12"/>
      <c r="L934" s="12"/>
      <c r="M934" s="12"/>
      <c r="N934" s="12"/>
      <c r="O934" s="12"/>
      <c r="P934" s="12"/>
    </row>
    <row r="935">
      <c r="A935" s="15"/>
      <c r="D935" s="95"/>
      <c r="E935" s="14"/>
      <c r="H935" s="12"/>
      <c r="I935" s="12"/>
      <c r="J935" s="12"/>
      <c r="K935" s="12"/>
      <c r="L935" s="12"/>
      <c r="M935" s="12"/>
      <c r="N935" s="12"/>
      <c r="O935" s="12"/>
      <c r="P935" s="12"/>
    </row>
    <row r="936">
      <c r="A936" s="15"/>
      <c r="D936" s="95"/>
      <c r="E936" s="14"/>
      <c r="H936" s="12"/>
      <c r="I936" s="12"/>
      <c r="J936" s="12"/>
      <c r="K936" s="12"/>
      <c r="L936" s="12"/>
      <c r="M936" s="12"/>
      <c r="N936" s="12"/>
      <c r="O936" s="12"/>
      <c r="P936" s="12"/>
    </row>
    <row r="937">
      <c r="A937" s="15"/>
      <c r="D937" s="95"/>
      <c r="E937" s="14"/>
      <c r="H937" s="12"/>
      <c r="I937" s="12"/>
      <c r="J937" s="12"/>
      <c r="K937" s="12"/>
      <c r="L937" s="12"/>
      <c r="M937" s="12"/>
      <c r="N937" s="12"/>
      <c r="O937" s="12"/>
      <c r="P937" s="12"/>
    </row>
    <row r="938">
      <c r="A938" s="15"/>
      <c r="D938" s="95"/>
      <c r="E938" s="14"/>
      <c r="H938" s="12"/>
      <c r="I938" s="12"/>
      <c r="J938" s="12"/>
      <c r="K938" s="12"/>
      <c r="L938" s="12"/>
      <c r="M938" s="12"/>
      <c r="N938" s="12"/>
      <c r="O938" s="12"/>
      <c r="P938" s="12"/>
    </row>
    <row r="939">
      <c r="A939" s="15"/>
      <c r="D939" s="95"/>
      <c r="E939" s="14"/>
      <c r="H939" s="12"/>
      <c r="I939" s="12"/>
      <c r="J939" s="12"/>
      <c r="K939" s="12"/>
      <c r="L939" s="12"/>
      <c r="M939" s="12"/>
      <c r="N939" s="12"/>
      <c r="O939" s="12"/>
      <c r="P939" s="12"/>
    </row>
    <row r="940">
      <c r="A940" s="15"/>
      <c r="D940" s="95"/>
      <c r="E940" s="14"/>
      <c r="H940" s="12"/>
      <c r="I940" s="12"/>
      <c r="J940" s="12"/>
      <c r="K940" s="12"/>
      <c r="L940" s="12"/>
      <c r="M940" s="12"/>
      <c r="N940" s="12"/>
      <c r="O940" s="12"/>
      <c r="P940" s="12"/>
    </row>
    <row r="941">
      <c r="A941" s="15"/>
      <c r="D941" s="95"/>
      <c r="E941" s="14"/>
      <c r="H941" s="12"/>
      <c r="I941" s="12"/>
      <c r="J941" s="12"/>
      <c r="K941" s="12"/>
      <c r="L941" s="12"/>
      <c r="M941" s="12"/>
      <c r="N941" s="12"/>
      <c r="O941" s="12"/>
      <c r="P941" s="12"/>
    </row>
    <row r="942">
      <c r="A942" s="15"/>
      <c r="D942" s="95"/>
      <c r="E942" s="14"/>
      <c r="H942" s="12"/>
      <c r="I942" s="12"/>
      <c r="J942" s="12"/>
      <c r="K942" s="12"/>
      <c r="L942" s="12"/>
      <c r="M942" s="12"/>
      <c r="N942" s="12"/>
      <c r="O942" s="12"/>
      <c r="P942" s="12"/>
    </row>
    <row r="943">
      <c r="A943" s="15"/>
      <c r="D943" s="95"/>
      <c r="E943" s="14"/>
      <c r="H943" s="12"/>
      <c r="I943" s="12"/>
      <c r="J943" s="12"/>
      <c r="K943" s="12"/>
      <c r="L943" s="12"/>
      <c r="M943" s="12"/>
      <c r="N943" s="12"/>
      <c r="O943" s="12"/>
      <c r="P943" s="12"/>
    </row>
    <row r="944">
      <c r="A944" s="15"/>
      <c r="D944" s="95"/>
      <c r="E944" s="14"/>
      <c r="H944" s="12"/>
      <c r="I944" s="12"/>
      <c r="J944" s="12"/>
      <c r="K944" s="12"/>
      <c r="L944" s="12"/>
      <c r="M944" s="12"/>
      <c r="N944" s="12"/>
      <c r="O944" s="12"/>
      <c r="P944" s="12"/>
    </row>
    <row r="945">
      <c r="A945" s="15"/>
      <c r="D945" s="95"/>
      <c r="E945" s="14"/>
      <c r="H945" s="12"/>
      <c r="I945" s="12"/>
      <c r="J945" s="12"/>
      <c r="K945" s="12"/>
      <c r="L945" s="12"/>
      <c r="M945" s="12"/>
      <c r="N945" s="12"/>
      <c r="O945" s="12"/>
      <c r="P945" s="12"/>
    </row>
    <row r="946">
      <c r="A946" s="15"/>
      <c r="D946" s="95"/>
      <c r="E946" s="14"/>
      <c r="H946" s="12"/>
      <c r="I946" s="12"/>
      <c r="J946" s="12"/>
      <c r="K946" s="12"/>
      <c r="L946" s="12"/>
      <c r="M946" s="12"/>
      <c r="N946" s="12"/>
      <c r="O946" s="12"/>
      <c r="P946" s="12"/>
    </row>
    <row r="947">
      <c r="A947" s="15"/>
      <c r="D947" s="95"/>
      <c r="E947" s="14"/>
      <c r="H947" s="12"/>
      <c r="I947" s="12"/>
      <c r="J947" s="12"/>
      <c r="K947" s="12"/>
      <c r="L947" s="12"/>
      <c r="M947" s="12"/>
      <c r="N947" s="12"/>
      <c r="O947" s="12"/>
      <c r="P947" s="12"/>
    </row>
    <row r="948">
      <c r="A948" s="15"/>
      <c r="D948" s="95"/>
      <c r="E948" s="14"/>
      <c r="H948" s="12"/>
      <c r="I948" s="12"/>
      <c r="J948" s="12"/>
      <c r="K948" s="12"/>
      <c r="L948" s="12"/>
      <c r="M948" s="12"/>
      <c r="N948" s="12"/>
      <c r="O948" s="12"/>
      <c r="P948" s="12"/>
    </row>
    <row r="949">
      <c r="A949" s="15"/>
      <c r="D949" s="95"/>
      <c r="E949" s="14"/>
      <c r="H949" s="12"/>
      <c r="I949" s="12"/>
      <c r="J949" s="12"/>
      <c r="K949" s="12"/>
      <c r="L949" s="12"/>
      <c r="M949" s="12"/>
      <c r="N949" s="12"/>
      <c r="O949" s="12"/>
      <c r="P949" s="12"/>
    </row>
    <row r="950">
      <c r="A950" s="15"/>
      <c r="D950" s="95"/>
      <c r="E950" s="14"/>
      <c r="H950" s="12"/>
      <c r="I950" s="12"/>
      <c r="J950" s="12"/>
      <c r="K950" s="12"/>
      <c r="L950" s="12"/>
      <c r="M950" s="12"/>
      <c r="N950" s="12"/>
      <c r="O950" s="12"/>
      <c r="P950" s="12"/>
    </row>
    <row r="951">
      <c r="A951" s="15"/>
      <c r="D951" s="95"/>
      <c r="E951" s="14"/>
      <c r="H951" s="12"/>
      <c r="I951" s="12"/>
      <c r="J951" s="12"/>
      <c r="K951" s="12"/>
      <c r="L951" s="12"/>
      <c r="M951" s="12"/>
      <c r="N951" s="12"/>
      <c r="O951" s="12"/>
      <c r="P951" s="12"/>
    </row>
    <row r="952">
      <c r="A952" s="15"/>
      <c r="D952" s="95"/>
      <c r="E952" s="14"/>
      <c r="H952" s="12"/>
      <c r="I952" s="12"/>
      <c r="J952" s="12"/>
      <c r="K952" s="12"/>
      <c r="L952" s="12"/>
      <c r="M952" s="12"/>
      <c r="N952" s="12"/>
      <c r="O952" s="12"/>
      <c r="P952" s="12"/>
    </row>
    <row r="953">
      <c r="A953" s="15"/>
      <c r="D953" s="95"/>
      <c r="E953" s="14"/>
      <c r="H953" s="12"/>
      <c r="I953" s="12"/>
      <c r="J953" s="12"/>
      <c r="K953" s="12"/>
      <c r="L953" s="12"/>
      <c r="M953" s="12"/>
      <c r="N953" s="12"/>
      <c r="O953" s="12"/>
      <c r="P953" s="12"/>
    </row>
    <row r="954">
      <c r="A954" s="15"/>
      <c r="D954" s="95"/>
      <c r="E954" s="14"/>
      <c r="H954" s="12"/>
      <c r="I954" s="12"/>
      <c r="J954" s="12"/>
      <c r="K954" s="12"/>
      <c r="L954" s="12"/>
      <c r="M954" s="12"/>
      <c r="N954" s="12"/>
      <c r="O954" s="12"/>
      <c r="P954" s="12"/>
    </row>
    <row r="955">
      <c r="A955" s="15"/>
      <c r="D955" s="95"/>
      <c r="E955" s="14"/>
      <c r="H955" s="12"/>
      <c r="I955" s="12"/>
      <c r="J955" s="12"/>
      <c r="K955" s="12"/>
      <c r="L955" s="12"/>
      <c r="M955" s="12"/>
      <c r="N955" s="12"/>
      <c r="O955" s="12"/>
      <c r="P955" s="12"/>
    </row>
    <row r="956">
      <c r="A956" s="15"/>
      <c r="D956" s="95"/>
      <c r="E956" s="14"/>
      <c r="H956" s="12"/>
      <c r="I956" s="12"/>
      <c r="J956" s="12"/>
      <c r="K956" s="12"/>
      <c r="L956" s="12"/>
      <c r="M956" s="12"/>
      <c r="N956" s="12"/>
      <c r="O956" s="12"/>
      <c r="P956" s="12"/>
    </row>
    <row r="957">
      <c r="A957" s="15"/>
      <c r="D957" s="95"/>
      <c r="E957" s="14"/>
      <c r="H957" s="12"/>
      <c r="I957" s="12"/>
      <c r="J957" s="12"/>
      <c r="K957" s="12"/>
      <c r="L957" s="12"/>
      <c r="M957" s="12"/>
      <c r="N957" s="12"/>
      <c r="O957" s="12"/>
      <c r="P957" s="12"/>
    </row>
    <row r="958">
      <c r="A958" s="15"/>
      <c r="D958" s="95"/>
      <c r="E958" s="14"/>
      <c r="H958" s="12"/>
      <c r="I958" s="12"/>
      <c r="J958" s="12"/>
      <c r="K958" s="12"/>
      <c r="L958" s="12"/>
      <c r="M958" s="12"/>
      <c r="N958" s="12"/>
      <c r="O958" s="12"/>
      <c r="P958" s="12"/>
    </row>
    <row r="959">
      <c r="A959" s="15"/>
      <c r="D959" s="95"/>
      <c r="E959" s="14"/>
      <c r="H959" s="12"/>
      <c r="I959" s="12"/>
      <c r="J959" s="12"/>
      <c r="K959" s="12"/>
      <c r="L959" s="12"/>
      <c r="M959" s="12"/>
      <c r="N959" s="12"/>
      <c r="O959" s="12"/>
      <c r="P959" s="12"/>
    </row>
    <row r="960">
      <c r="A960" s="15"/>
      <c r="D960" s="95"/>
      <c r="E960" s="14"/>
      <c r="H960" s="12"/>
      <c r="I960" s="12"/>
      <c r="J960" s="12"/>
      <c r="K960" s="12"/>
      <c r="L960" s="12"/>
      <c r="M960" s="12"/>
      <c r="N960" s="12"/>
      <c r="O960" s="12"/>
      <c r="P960" s="12"/>
    </row>
    <row r="961">
      <c r="A961" s="15"/>
      <c r="D961" s="95"/>
      <c r="E961" s="14"/>
      <c r="H961" s="12"/>
      <c r="I961" s="12"/>
      <c r="J961" s="12"/>
      <c r="K961" s="12"/>
      <c r="L961" s="12"/>
      <c r="M961" s="12"/>
      <c r="N961" s="12"/>
      <c r="O961" s="12"/>
      <c r="P961" s="12"/>
    </row>
    <row r="962">
      <c r="A962" s="15"/>
      <c r="D962" s="95"/>
      <c r="E962" s="14"/>
      <c r="H962" s="12"/>
      <c r="I962" s="12"/>
      <c r="J962" s="12"/>
      <c r="K962" s="12"/>
      <c r="L962" s="12"/>
      <c r="M962" s="12"/>
      <c r="N962" s="12"/>
      <c r="O962" s="12"/>
      <c r="P962" s="12"/>
    </row>
    <row r="963">
      <c r="A963" s="15"/>
      <c r="D963" s="95"/>
      <c r="E963" s="14"/>
      <c r="H963" s="12"/>
      <c r="I963" s="12"/>
      <c r="J963" s="12"/>
      <c r="K963" s="12"/>
      <c r="L963" s="12"/>
      <c r="M963" s="12"/>
      <c r="N963" s="12"/>
      <c r="O963" s="12"/>
      <c r="P963" s="12"/>
    </row>
    <row r="964">
      <c r="A964" s="15"/>
      <c r="D964" s="95"/>
      <c r="E964" s="14"/>
      <c r="H964" s="12"/>
      <c r="I964" s="12"/>
      <c r="J964" s="12"/>
      <c r="K964" s="12"/>
      <c r="L964" s="12"/>
      <c r="M964" s="12"/>
      <c r="N964" s="12"/>
      <c r="O964" s="12"/>
      <c r="P964" s="12"/>
    </row>
    <row r="965">
      <c r="A965" s="15"/>
      <c r="D965" s="95"/>
      <c r="E965" s="14"/>
      <c r="H965" s="12"/>
      <c r="I965" s="12"/>
      <c r="J965" s="12"/>
      <c r="K965" s="12"/>
      <c r="L965" s="12"/>
      <c r="M965" s="12"/>
      <c r="N965" s="12"/>
      <c r="O965" s="12"/>
      <c r="P965" s="12"/>
    </row>
    <row r="966">
      <c r="A966" s="15"/>
      <c r="D966" s="95"/>
      <c r="E966" s="14"/>
      <c r="H966" s="12"/>
      <c r="I966" s="12"/>
      <c r="J966" s="12"/>
      <c r="K966" s="12"/>
      <c r="L966" s="12"/>
      <c r="M966" s="12"/>
      <c r="N966" s="12"/>
      <c r="O966" s="12"/>
      <c r="P966" s="12"/>
    </row>
    <row r="967">
      <c r="A967" s="15"/>
      <c r="D967" s="95"/>
      <c r="E967" s="14"/>
      <c r="H967" s="12"/>
      <c r="I967" s="12"/>
      <c r="J967" s="12"/>
      <c r="K967" s="12"/>
      <c r="L967" s="12"/>
      <c r="M967" s="12"/>
      <c r="N967" s="12"/>
      <c r="O967" s="12"/>
      <c r="P967" s="12"/>
    </row>
    <row r="968">
      <c r="A968" s="15"/>
      <c r="D968" s="95"/>
      <c r="E968" s="14"/>
      <c r="H968" s="12"/>
      <c r="I968" s="12"/>
      <c r="J968" s="12"/>
      <c r="K968" s="12"/>
      <c r="L968" s="12"/>
      <c r="M968" s="12"/>
      <c r="N968" s="12"/>
      <c r="O968" s="12"/>
      <c r="P968" s="12"/>
    </row>
    <row r="969">
      <c r="A969" s="15"/>
      <c r="D969" s="95"/>
      <c r="E969" s="14"/>
      <c r="H969" s="12"/>
      <c r="I969" s="12"/>
      <c r="J969" s="12"/>
      <c r="K969" s="12"/>
      <c r="L969" s="12"/>
      <c r="M969" s="12"/>
      <c r="N969" s="12"/>
      <c r="O969" s="12"/>
      <c r="P969" s="12"/>
    </row>
    <row r="970">
      <c r="A970" s="15"/>
      <c r="D970" s="95"/>
      <c r="E970" s="14"/>
      <c r="H970" s="12"/>
      <c r="I970" s="12"/>
      <c r="J970" s="12"/>
      <c r="K970" s="12"/>
      <c r="L970" s="12"/>
      <c r="M970" s="12"/>
      <c r="N970" s="12"/>
      <c r="O970" s="12"/>
      <c r="P970" s="12"/>
    </row>
    <row r="971">
      <c r="A971" s="15"/>
      <c r="D971" s="95"/>
      <c r="E971" s="14"/>
      <c r="H971" s="12"/>
      <c r="I971" s="12"/>
      <c r="J971" s="12"/>
      <c r="K971" s="12"/>
      <c r="L971" s="12"/>
      <c r="M971" s="12"/>
      <c r="N971" s="12"/>
      <c r="O971" s="12"/>
      <c r="P971" s="12"/>
    </row>
    <row r="972">
      <c r="A972" s="15"/>
      <c r="D972" s="95"/>
      <c r="E972" s="14"/>
      <c r="H972" s="12"/>
      <c r="I972" s="12"/>
      <c r="J972" s="12"/>
      <c r="K972" s="12"/>
      <c r="L972" s="12"/>
      <c r="M972" s="12"/>
      <c r="N972" s="12"/>
      <c r="O972" s="12"/>
      <c r="P972" s="12"/>
    </row>
    <row r="973">
      <c r="A973" s="15"/>
      <c r="D973" s="95"/>
      <c r="E973" s="14"/>
      <c r="H973" s="12"/>
      <c r="I973" s="12"/>
      <c r="J973" s="12"/>
      <c r="K973" s="12"/>
      <c r="L973" s="12"/>
      <c r="M973" s="12"/>
      <c r="N973" s="12"/>
      <c r="O973" s="12"/>
      <c r="P973" s="12"/>
    </row>
    <row r="974">
      <c r="A974" s="15"/>
      <c r="D974" s="95"/>
      <c r="E974" s="14"/>
      <c r="H974" s="12"/>
      <c r="I974" s="12"/>
      <c r="J974" s="12"/>
      <c r="K974" s="12"/>
      <c r="L974" s="12"/>
      <c r="M974" s="12"/>
      <c r="N974" s="12"/>
      <c r="O974" s="12"/>
      <c r="P974" s="12"/>
    </row>
    <row r="975">
      <c r="A975" s="15"/>
      <c r="D975" s="95"/>
      <c r="E975" s="14"/>
      <c r="H975" s="12"/>
      <c r="I975" s="12"/>
      <c r="J975" s="12"/>
      <c r="K975" s="12"/>
      <c r="L975" s="12"/>
      <c r="M975" s="12"/>
      <c r="N975" s="12"/>
      <c r="O975" s="12"/>
      <c r="P975" s="12"/>
    </row>
    <row r="976">
      <c r="A976" s="15"/>
      <c r="D976" s="95"/>
      <c r="E976" s="14"/>
      <c r="H976" s="12"/>
      <c r="I976" s="12"/>
      <c r="J976" s="12"/>
      <c r="K976" s="12"/>
      <c r="L976" s="12"/>
      <c r="M976" s="12"/>
      <c r="N976" s="12"/>
      <c r="O976" s="12"/>
      <c r="P976" s="12"/>
    </row>
    <row r="977">
      <c r="A977" s="15"/>
      <c r="D977" s="95"/>
      <c r="E977" s="14"/>
      <c r="H977" s="12"/>
      <c r="I977" s="12"/>
      <c r="J977" s="12"/>
      <c r="K977" s="12"/>
      <c r="L977" s="12"/>
      <c r="M977" s="12"/>
      <c r="N977" s="12"/>
      <c r="O977" s="12"/>
      <c r="P977" s="12"/>
    </row>
    <row r="978">
      <c r="A978" s="15"/>
      <c r="D978" s="95"/>
      <c r="E978" s="14"/>
      <c r="H978" s="12"/>
      <c r="I978" s="12"/>
      <c r="J978" s="12"/>
      <c r="K978" s="12"/>
      <c r="L978" s="12"/>
      <c r="M978" s="12"/>
      <c r="N978" s="12"/>
      <c r="O978" s="12"/>
      <c r="P978" s="12"/>
    </row>
    <row r="979">
      <c r="A979" s="15"/>
      <c r="D979" s="95"/>
      <c r="E979" s="14"/>
      <c r="H979" s="12"/>
      <c r="I979" s="12"/>
      <c r="J979" s="12"/>
      <c r="K979" s="12"/>
      <c r="L979" s="12"/>
      <c r="M979" s="12"/>
      <c r="N979" s="12"/>
      <c r="O979" s="12"/>
      <c r="P979" s="12"/>
    </row>
    <row r="980">
      <c r="A980" s="15"/>
      <c r="D980" s="95"/>
      <c r="E980" s="14"/>
      <c r="H980" s="12"/>
      <c r="I980" s="12"/>
      <c r="J980" s="12"/>
      <c r="K980" s="12"/>
      <c r="L980" s="12"/>
      <c r="M980" s="12"/>
      <c r="N980" s="12"/>
      <c r="O980" s="12"/>
      <c r="P980" s="12"/>
    </row>
    <row r="981">
      <c r="A981" s="15"/>
      <c r="D981" s="95"/>
      <c r="E981" s="14"/>
      <c r="H981" s="12"/>
      <c r="I981" s="12"/>
      <c r="J981" s="12"/>
      <c r="K981" s="12"/>
      <c r="L981" s="12"/>
      <c r="M981" s="12"/>
      <c r="N981" s="12"/>
      <c r="O981" s="12"/>
      <c r="P981" s="12"/>
    </row>
    <row r="982">
      <c r="A982" s="15"/>
      <c r="D982" s="95"/>
      <c r="E982" s="14"/>
      <c r="H982" s="12"/>
      <c r="I982" s="12"/>
      <c r="J982" s="12"/>
      <c r="K982" s="12"/>
      <c r="L982" s="12"/>
      <c r="M982" s="12"/>
      <c r="N982" s="12"/>
      <c r="O982" s="12"/>
      <c r="P982" s="12"/>
    </row>
    <row r="983">
      <c r="A983" s="15"/>
      <c r="D983" s="95"/>
      <c r="E983" s="14"/>
      <c r="H983" s="12"/>
      <c r="I983" s="12"/>
      <c r="J983" s="12"/>
      <c r="K983" s="12"/>
      <c r="L983" s="12"/>
      <c r="M983" s="12"/>
      <c r="N983" s="12"/>
      <c r="O983" s="12"/>
      <c r="P983" s="12"/>
    </row>
    <row r="984">
      <c r="A984" s="15"/>
      <c r="D984" s="95"/>
      <c r="E984" s="14"/>
      <c r="H984" s="12"/>
      <c r="I984" s="12"/>
      <c r="J984" s="12"/>
      <c r="K984" s="12"/>
      <c r="L984" s="12"/>
      <c r="M984" s="12"/>
      <c r="N984" s="12"/>
      <c r="O984" s="12"/>
      <c r="P984" s="12"/>
    </row>
    <row r="985">
      <c r="A985" s="15"/>
      <c r="D985" s="95"/>
      <c r="E985" s="14"/>
      <c r="H985" s="12"/>
      <c r="I985" s="12"/>
      <c r="J985" s="12"/>
      <c r="K985" s="12"/>
      <c r="L985" s="12"/>
      <c r="M985" s="12"/>
      <c r="N985" s="12"/>
      <c r="O985" s="12"/>
      <c r="P985" s="12"/>
    </row>
    <row r="986">
      <c r="A986" s="15"/>
      <c r="D986" s="95"/>
      <c r="E986" s="14"/>
      <c r="H986" s="12"/>
      <c r="I986" s="12"/>
      <c r="J986" s="12"/>
      <c r="K986" s="12"/>
      <c r="L986" s="12"/>
      <c r="M986" s="12"/>
      <c r="N986" s="12"/>
      <c r="O986" s="12"/>
      <c r="P986" s="12"/>
    </row>
    <row r="987">
      <c r="A987" s="15"/>
      <c r="D987" s="95"/>
      <c r="E987" s="14"/>
      <c r="H987" s="12"/>
      <c r="I987" s="12"/>
      <c r="J987" s="12"/>
      <c r="K987" s="12"/>
      <c r="L987" s="12"/>
      <c r="M987" s="12"/>
      <c r="N987" s="12"/>
      <c r="O987" s="12"/>
      <c r="P987" s="12"/>
    </row>
    <row r="988">
      <c r="A988" s="15"/>
      <c r="D988" s="95"/>
      <c r="E988" s="14"/>
      <c r="H988" s="12"/>
      <c r="I988" s="12"/>
      <c r="J988" s="12"/>
      <c r="K988" s="12"/>
      <c r="L988" s="12"/>
      <c r="M988" s="12"/>
      <c r="N988" s="12"/>
      <c r="O988" s="12"/>
      <c r="P988" s="12"/>
    </row>
    <row r="989">
      <c r="A989" s="15"/>
      <c r="D989" s="95"/>
      <c r="E989" s="14"/>
      <c r="H989" s="12"/>
      <c r="I989" s="12"/>
      <c r="J989" s="12"/>
      <c r="K989" s="12"/>
      <c r="L989" s="12"/>
      <c r="M989" s="12"/>
      <c r="N989" s="12"/>
      <c r="O989" s="12"/>
      <c r="P989" s="12"/>
    </row>
    <row r="990">
      <c r="A990" s="15"/>
      <c r="D990" s="95"/>
      <c r="E990" s="14"/>
      <c r="H990" s="12"/>
      <c r="I990" s="12"/>
      <c r="J990" s="12"/>
      <c r="K990" s="12"/>
      <c r="L990" s="12"/>
      <c r="M990" s="12"/>
      <c r="N990" s="12"/>
      <c r="O990" s="12"/>
      <c r="P990" s="12"/>
    </row>
    <row r="991">
      <c r="A991" s="15"/>
      <c r="D991" s="95"/>
      <c r="E991" s="14"/>
      <c r="H991" s="12"/>
      <c r="I991" s="12"/>
      <c r="J991" s="12"/>
      <c r="K991" s="12"/>
      <c r="L991" s="12"/>
      <c r="M991" s="12"/>
      <c r="N991" s="12"/>
      <c r="O991" s="12"/>
      <c r="P991" s="12"/>
    </row>
    <row r="992">
      <c r="A992" s="15"/>
      <c r="D992" s="95"/>
      <c r="E992" s="14"/>
      <c r="H992" s="12"/>
      <c r="I992" s="12"/>
      <c r="J992" s="12"/>
      <c r="K992" s="12"/>
      <c r="L992" s="12"/>
      <c r="M992" s="12"/>
      <c r="N992" s="12"/>
      <c r="O992" s="12"/>
      <c r="P992" s="12"/>
    </row>
    <row r="993">
      <c r="A993" s="15"/>
      <c r="D993" s="95"/>
      <c r="E993" s="14"/>
      <c r="H993" s="12"/>
      <c r="I993" s="12"/>
      <c r="J993" s="12"/>
      <c r="K993" s="12"/>
      <c r="L993" s="12"/>
      <c r="M993" s="12"/>
      <c r="N993" s="12"/>
      <c r="O993" s="12"/>
      <c r="P993" s="12"/>
    </row>
    <row r="994">
      <c r="A994" s="15"/>
      <c r="D994" s="95"/>
      <c r="E994" s="14"/>
      <c r="H994" s="12"/>
      <c r="I994" s="12"/>
      <c r="J994" s="12"/>
      <c r="K994" s="12"/>
      <c r="L994" s="12"/>
      <c r="M994" s="12"/>
      <c r="N994" s="12"/>
      <c r="O994" s="12"/>
      <c r="P994" s="12"/>
    </row>
    <row r="995">
      <c r="A995" s="15"/>
      <c r="D995" s="95"/>
      <c r="E995" s="14"/>
      <c r="H995" s="12"/>
      <c r="I995" s="12"/>
      <c r="J995" s="12"/>
      <c r="K995" s="12"/>
      <c r="L995" s="12"/>
      <c r="M995" s="12"/>
      <c r="N995" s="12"/>
      <c r="O995" s="12"/>
      <c r="P995" s="12"/>
    </row>
    <row r="996">
      <c r="A996" s="15"/>
      <c r="D996" s="95"/>
      <c r="E996" s="14"/>
      <c r="H996" s="12"/>
      <c r="I996" s="12"/>
      <c r="J996" s="12"/>
      <c r="K996" s="12"/>
      <c r="L996" s="12"/>
      <c r="M996" s="12"/>
      <c r="N996" s="12"/>
      <c r="O996" s="12"/>
      <c r="P996" s="12"/>
    </row>
    <row r="997">
      <c r="A997" s="15"/>
      <c r="D997" s="95"/>
      <c r="E997" s="14"/>
      <c r="H997" s="12"/>
      <c r="I997" s="12"/>
      <c r="J997" s="12"/>
      <c r="K997" s="12"/>
      <c r="L997" s="12"/>
      <c r="M997" s="12"/>
      <c r="N997" s="12"/>
      <c r="O997" s="12"/>
      <c r="P997" s="12"/>
    </row>
    <row r="998">
      <c r="A998" s="15"/>
      <c r="D998" s="95"/>
      <c r="E998" s="14"/>
      <c r="H998" s="12"/>
      <c r="I998" s="12"/>
      <c r="J998" s="12"/>
      <c r="K998" s="12"/>
      <c r="L998" s="12"/>
      <c r="M998" s="12"/>
      <c r="N998" s="12"/>
      <c r="O998" s="12"/>
      <c r="P998" s="12"/>
    </row>
    <row r="999">
      <c r="A999" s="15"/>
      <c r="D999" s="95"/>
      <c r="E999" s="14"/>
      <c r="H999" s="12"/>
      <c r="I999" s="12"/>
      <c r="J999" s="12"/>
      <c r="K999" s="12"/>
      <c r="L999" s="12"/>
      <c r="M999" s="12"/>
      <c r="N999" s="12"/>
      <c r="O999" s="12"/>
      <c r="P999" s="12"/>
    </row>
    <row r="1000">
      <c r="A1000" s="15"/>
      <c r="D1000" s="95"/>
      <c r="E1000" s="14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>
      <c r="A1001" s="15"/>
      <c r="D1001" s="95"/>
      <c r="E1001" s="14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>
      <c r="A1002" s="15"/>
      <c r="D1002" s="95"/>
      <c r="E1002" s="14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>
      <c r="A1003" s="15"/>
      <c r="D1003" s="95"/>
      <c r="E1003" s="14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>
      <c r="A1004" s="15"/>
      <c r="D1004" s="95"/>
      <c r="E1004" s="14"/>
      <c r="H1004" s="12"/>
      <c r="I1004" s="12"/>
      <c r="J1004" s="12"/>
      <c r="K1004" s="12"/>
      <c r="L1004" s="12"/>
      <c r="M1004" s="12"/>
      <c r="N1004" s="12"/>
      <c r="O1004" s="12"/>
      <c r="P1004" s="12"/>
    </row>
    <row r="1005">
      <c r="A1005" s="15"/>
      <c r="D1005" s="95"/>
      <c r="E1005" s="14"/>
      <c r="H1005" s="12"/>
      <c r="I1005" s="12"/>
      <c r="J1005" s="12"/>
      <c r="K1005" s="12"/>
      <c r="L1005" s="12"/>
      <c r="M1005" s="12"/>
      <c r="N1005" s="12"/>
      <c r="O1005" s="12"/>
      <c r="P1005" s="12"/>
    </row>
  </sheetData>
  <conditionalFormatting sqref="H2:P32">
    <cfRule type="cellIs" dxfId="29" priority="1" operator="equal">
      <formula>0</formula>
    </cfRule>
  </conditionalFormatting>
  <conditionalFormatting sqref="H2:H32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2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2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2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2">
    <cfRule type="colorScale" priority="6">
      <colorScale>
        <cfvo type="formula" val="-(max(L2:L32))"/>
        <cfvo type="percentile" val="50"/>
        <cfvo type="max"/>
        <color rgb="FF34A853"/>
        <color rgb="FFFFFF00"/>
        <color rgb="FFEA4335"/>
      </colorScale>
    </cfRule>
  </conditionalFormatting>
  <conditionalFormatting sqref="M2:M32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2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32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8:C45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8:F45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5">
      <formula1>OR(NOT(ISERROR(DATEVALUE(F35))), AND(ISNUMBER(F35), LEFT(CELL("format", F35))="D"))</formula1>
    </dataValidation>
    <dataValidation type="list" allowBlank="1" showDropDown="1" sqref="C2:C32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38"/>
    <col customWidth="1" min="2" max="2" width="23.25"/>
    <col customWidth="1" min="3" max="3" width="14.5"/>
    <col customWidth="1" min="4" max="4" width="33.5"/>
    <col customWidth="1" min="5" max="5" width="9.25"/>
    <col customWidth="1" min="6" max="6" width="33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848" t="s">
        <v>48</v>
      </c>
      <c r="B1" s="849" t="s">
        <v>49</v>
      </c>
      <c r="C1" s="849" t="s">
        <v>50</v>
      </c>
      <c r="D1" s="850" t="s">
        <v>56</v>
      </c>
      <c r="E1" s="848" t="s">
        <v>57</v>
      </c>
      <c r="F1" s="851" t="s">
        <v>52</v>
      </c>
      <c r="G1" s="852" t="s">
        <v>53</v>
      </c>
      <c r="H1" s="848" t="s">
        <v>4</v>
      </c>
      <c r="I1" s="848" t="s">
        <v>58</v>
      </c>
      <c r="J1" s="848" t="s">
        <v>59</v>
      </c>
      <c r="K1" s="848" t="s">
        <v>60</v>
      </c>
      <c r="L1" s="848" t="s">
        <v>61</v>
      </c>
      <c r="M1" s="848" t="s">
        <v>62</v>
      </c>
      <c r="N1" s="848" t="s">
        <v>63</v>
      </c>
      <c r="O1" s="853" t="s">
        <v>387</v>
      </c>
      <c r="P1" s="853" t="s">
        <v>64</v>
      </c>
      <c r="Q1" s="848" t="s">
        <v>65</v>
      </c>
    </row>
    <row r="2" ht="22.5" customHeight="1">
      <c r="A2" s="854">
        <v>1.0</v>
      </c>
      <c r="B2" s="855" t="s">
        <v>1314</v>
      </c>
      <c r="C2" s="856" t="s">
        <v>67</v>
      </c>
      <c r="D2" s="857" t="s">
        <v>1315</v>
      </c>
      <c r="E2" s="858" t="str">
        <f>IMAGE("https://flagcdn.com/w320/ar.png")</f>
        <v/>
      </c>
      <c r="F2" s="859">
        <v>33744.0</v>
      </c>
      <c r="G2" s="860">
        <f t="shared" ref="G2:G42" si="2">DATEDIF(F2,TODAY(),"Y")</f>
        <v>33</v>
      </c>
      <c r="H2" s="861">
        <f>1+1+1+1+1+1+1</f>
        <v>7</v>
      </c>
      <c r="I2" s="861">
        <f>90+90+90+90+90+90+90</f>
        <v>630</v>
      </c>
      <c r="J2" s="861"/>
      <c r="K2" s="861"/>
      <c r="L2" s="861"/>
      <c r="M2" s="861"/>
      <c r="N2" s="861">
        <f t="shared" ref="N2:O2" si="1">1</f>
        <v>1</v>
      </c>
      <c r="O2" s="861">
        <f t="shared" si="1"/>
        <v>1</v>
      </c>
      <c r="P2" s="861">
        <f t="shared" ref="P2:P42" si="3">J2+K2</f>
        <v>0</v>
      </c>
      <c r="Q2" s="861">
        <f>1</f>
        <v>1</v>
      </c>
    </row>
    <row r="3" ht="22.5" customHeight="1">
      <c r="A3" s="854">
        <v>4.0</v>
      </c>
      <c r="B3" s="855" t="s">
        <v>1316</v>
      </c>
      <c r="C3" s="856" t="s">
        <v>70</v>
      </c>
      <c r="D3" s="857" t="s">
        <v>1317</v>
      </c>
      <c r="E3" s="858" t="str">
        <f>IMAGE("https://flagcdn.com/w320/gb-eng.png")</f>
        <v/>
      </c>
      <c r="F3" s="859">
        <v>37623.0</v>
      </c>
      <c r="G3" s="860">
        <f t="shared" si="2"/>
        <v>23</v>
      </c>
      <c r="H3" s="861">
        <f>1+1+1</f>
        <v>3</v>
      </c>
      <c r="I3" s="861">
        <f>4+55+78</f>
        <v>137</v>
      </c>
      <c r="J3" s="861"/>
      <c r="K3" s="861"/>
      <c r="L3" s="861"/>
      <c r="M3" s="861"/>
      <c r="N3" s="861"/>
      <c r="O3" s="861"/>
      <c r="P3" s="861">
        <f t="shared" si="3"/>
        <v>0</v>
      </c>
      <c r="Q3" s="861"/>
    </row>
    <row r="4" ht="22.5" customHeight="1">
      <c r="A4" s="854">
        <v>5.0</v>
      </c>
      <c r="B4" s="855" t="s">
        <v>1318</v>
      </c>
      <c r="C4" s="856" t="s">
        <v>70</v>
      </c>
      <c r="D4" s="857" t="s">
        <v>1319</v>
      </c>
      <c r="E4" s="858" t="str">
        <f>IMAGE("https://flagcdn.com/w320/ar.png")</f>
        <v/>
      </c>
      <c r="F4" s="859">
        <v>36186.0</v>
      </c>
      <c r="G4" s="860">
        <f t="shared" si="2"/>
        <v>27</v>
      </c>
      <c r="H4" s="861">
        <f>1+1+1+1+1</f>
        <v>5</v>
      </c>
      <c r="I4" s="861">
        <f>90+90+90+45+90</f>
        <v>405</v>
      </c>
      <c r="J4" s="861"/>
      <c r="K4" s="861"/>
      <c r="L4" s="861">
        <f>1+1</f>
        <v>2</v>
      </c>
      <c r="M4" s="861"/>
      <c r="N4" s="861"/>
      <c r="O4" s="861"/>
      <c r="P4" s="861">
        <f t="shared" si="3"/>
        <v>0</v>
      </c>
      <c r="Q4" s="861"/>
    </row>
    <row r="5" ht="22.5" customHeight="1">
      <c r="A5" s="854">
        <v>6.0</v>
      </c>
      <c r="B5" s="855" t="s">
        <v>1320</v>
      </c>
      <c r="C5" s="856" t="s">
        <v>70</v>
      </c>
      <c r="D5" s="857" t="s">
        <v>1321</v>
      </c>
      <c r="E5" s="858" t="str">
        <f>IMAGE("https://flagcdn.com/w320/ch.png")</f>
        <v/>
      </c>
      <c r="F5" s="859">
        <v>35075.0</v>
      </c>
      <c r="G5" s="860">
        <f t="shared" si="2"/>
        <v>30</v>
      </c>
      <c r="H5" s="861">
        <f>1+1</f>
        <v>2</v>
      </c>
      <c r="I5" s="861">
        <f>24+89</f>
        <v>113</v>
      </c>
      <c r="J5" s="861"/>
      <c r="K5" s="861"/>
      <c r="L5" s="861"/>
      <c r="M5" s="861"/>
      <c r="N5" s="861"/>
      <c r="O5" s="861"/>
      <c r="P5" s="861">
        <f t="shared" si="3"/>
        <v>0</v>
      </c>
      <c r="Q5" s="861"/>
    </row>
    <row r="6" ht="22.5" customHeight="1">
      <c r="A6" s="854">
        <v>8.0</v>
      </c>
      <c r="B6" s="855" t="s">
        <v>1322</v>
      </c>
      <c r="C6" s="856" t="s">
        <v>79</v>
      </c>
      <c r="D6" s="857" t="s">
        <v>1323</v>
      </c>
      <c r="E6" s="858" t="str">
        <f>IMAGE("https://flagcdn.com/w320/gb-eng.png")</f>
        <v/>
      </c>
      <c r="F6" s="859">
        <v>36769.0</v>
      </c>
      <c r="G6" s="860">
        <f t="shared" si="2"/>
        <v>25</v>
      </c>
      <c r="H6" s="861">
        <f>1+1+1+1</f>
        <v>4</v>
      </c>
      <c r="I6" s="861">
        <f>29+24+12+3</f>
        <v>68</v>
      </c>
      <c r="J6" s="861"/>
      <c r="K6" s="861"/>
      <c r="L6" s="861"/>
      <c r="M6" s="861"/>
      <c r="N6" s="861"/>
      <c r="O6" s="861"/>
      <c r="P6" s="861">
        <f t="shared" si="3"/>
        <v>0</v>
      </c>
      <c r="Q6" s="861"/>
    </row>
    <row r="7" ht="22.5" customHeight="1">
      <c r="A7" s="854">
        <v>9.0</v>
      </c>
      <c r="B7" s="855" t="s">
        <v>1324</v>
      </c>
      <c r="C7" s="856" t="s">
        <v>82</v>
      </c>
      <c r="D7" s="857" t="s">
        <v>1325</v>
      </c>
      <c r="E7" s="858" t="str">
        <f>IMAGE("https://flagcdn.com/w320/dz.png")</f>
        <v/>
      </c>
      <c r="F7" s="859">
        <v>36572.0</v>
      </c>
      <c r="G7" s="860">
        <f t="shared" si="2"/>
        <v>25</v>
      </c>
      <c r="H7" s="861">
        <f>1+1</f>
        <v>2</v>
      </c>
      <c r="I7" s="861">
        <f>13+66</f>
        <v>79</v>
      </c>
      <c r="J7" s="861"/>
      <c r="K7" s="861"/>
      <c r="L7" s="861"/>
      <c r="M7" s="861"/>
      <c r="N7" s="861"/>
      <c r="O7" s="861"/>
      <c r="P7" s="861">
        <f t="shared" si="3"/>
        <v>0</v>
      </c>
      <c r="Q7" s="861"/>
    </row>
    <row r="8" ht="22.5" customHeight="1">
      <c r="A8" s="854">
        <v>10.0</v>
      </c>
      <c r="B8" s="855" t="s">
        <v>1326</v>
      </c>
      <c r="C8" s="856" t="s">
        <v>82</v>
      </c>
      <c r="D8" s="857" t="s">
        <v>94</v>
      </c>
      <c r="E8" s="858" t="str">
        <f>IMAGE("https://flagcdn.com/w320/gb-eng.png")</f>
        <v/>
      </c>
      <c r="F8" s="859">
        <v>37165.0</v>
      </c>
      <c r="G8" s="860">
        <f t="shared" si="2"/>
        <v>24</v>
      </c>
      <c r="H8" s="861">
        <f>1+1+1+1+1+1+1</f>
        <v>7</v>
      </c>
      <c r="I8" s="861">
        <f>90+90+45+90+87+87+90</f>
        <v>579</v>
      </c>
      <c r="J8" s="861">
        <f>1+2</f>
        <v>3</v>
      </c>
      <c r="K8" s="861">
        <f t="shared" ref="K8:L8" si="4">1</f>
        <v>1</v>
      </c>
      <c r="L8" s="861">
        <f t="shared" si="4"/>
        <v>1</v>
      </c>
      <c r="M8" s="861"/>
      <c r="N8" s="861"/>
      <c r="O8" s="861"/>
      <c r="P8" s="861">
        <f t="shared" si="3"/>
        <v>4</v>
      </c>
      <c r="Q8" s="861"/>
    </row>
    <row r="9" ht="22.5" customHeight="1">
      <c r="A9" s="854">
        <v>12.0</v>
      </c>
      <c r="B9" s="855" t="s">
        <v>1327</v>
      </c>
      <c r="C9" s="856" t="s">
        <v>67</v>
      </c>
      <c r="D9" s="857" t="s">
        <v>80</v>
      </c>
      <c r="E9" s="858" t="str">
        <f>IMAGE("https://flagcdn.com/w320/nl.png")</f>
        <v/>
      </c>
      <c r="F9" s="859">
        <v>35886.0</v>
      </c>
      <c r="G9" s="860">
        <f t="shared" si="2"/>
        <v>27</v>
      </c>
      <c r="H9" s="862">
        <v>0.0</v>
      </c>
      <c r="I9" s="862">
        <v>0.0</v>
      </c>
      <c r="J9" s="861"/>
      <c r="K9" s="861"/>
      <c r="L9" s="861"/>
      <c r="M9" s="861"/>
      <c r="N9" s="861"/>
      <c r="O9" s="861"/>
      <c r="P9" s="861">
        <f t="shared" si="3"/>
        <v>0</v>
      </c>
      <c r="Q9" s="861"/>
    </row>
    <row r="10" ht="22.5" customHeight="1">
      <c r="A10" s="854">
        <v>14.0</v>
      </c>
      <c r="B10" s="863" t="s">
        <v>1328</v>
      </c>
      <c r="C10" s="856" t="s">
        <v>82</v>
      </c>
      <c r="D10" s="857" t="s">
        <v>182</v>
      </c>
      <c r="E10" s="858" t="str">
        <f>IMAGE("https://flagcdn.com/w320/br.png")</f>
        <v/>
      </c>
      <c r="F10" s="859">
        <v>36705.0</v>
      </c>
      <c r="G10" s="860">
        <f t="shared" si="2"/>
        <v>25</v>
      </c>
      <c r="H10" s="861">
        <f>1+1+1+1+1+1+1</f>
        <v>7</v>
      </c>
      <c r="I10" s="861">
        <f>25+61+66+70+90+90+23</f>
        <v>425</v>
      </c>
      <c r="J10" s="861">
        <f>2+1+1</f>
        <v>4</v>
      </c>
      <c r="K10" s="861">
        <f t="shared" ref="K10:K12" si="5">1</f>
        <v>1</v>
      </c>
      <c r="L10" s="861"/>
      <c r="M10" s="861"/>
      <c r="N10" s="861"/>
      <c r="O10" s="861"/>
      <c r="P10" s="861">
        <f t="shared" si="3"/>
        <v>5</v>
      </c>
      <c r="Q10" s="861"/>
    </row>
    <row r="11" ht="22.5" customHeight="1">
      <c r="A11" s="854">
        <v>17.0</v>
      </c>
      <c r="B11" s="855" t="s">
        <v>1329</v>
      </c>
      <c r="C11" s="856" t="s">
        <v>79</v>
      </c>
      <c r="D11" s="857" t="s">
        <v>1330</v>
      </c>
      <c r="E11" s="858" t="str">
        <f>IMAGE("https://flagcdn.com/w320/dk.png")</f>
        <v/>
      </c>
      <c r="F11" s="859">
        <v>36851.0</v>
      </c>
      <c r="G11" s="860">
        <f t="shared" si="2"/>
        <v>25</v>
      </c>
      <c r="H11" s="861">
        <f>1+1+1+1+1+1</f>
        <v>6</v>
      </c>
      <c r="I11" s="861">
        <f>65+61+45+90+29+68</f>
        <v>358</v>
      </c>
      <c r="J11" s="861"/>
      <c r="K11" s="861">
        <f t="shared" si="5"/>
        <v>1</v>
      </c>
      <c r="L11" s="861">
        <f t="shared" ref="L11:L12" si="6">1</f>
        <v>1</v>
      </c>
      <c r="M11" s="861"/>
      <c r="N11" s="861"/>
      <c r="O11" s="861"/>
      <c r="P11" s="861">
        <f t="shared" si="3"/>
        <v>1</v>
      </c>
      <c r="Q11" s="861"/>
    </row>
    <row r="12" ht="22.5" customHeight="1">
      <c r="A12" s="854">
        <v>18.0</v>
      </c>
      <c r="B12" s="855" t="s">
        <v>1331</v>
      </c>
      <c r="C12" s="856" t="s">
        <v>79</v>
      </c>
      <c r="D12" s="857" t="s">
        <v>89</v>
      </c>
      <c r="E12" s="858" t="str">
        <f>IMAGE("https://flagcdn.com/w320/be.png")</f>
        <v/>
      </c>
      <c r="F12" s="859">
        <v>38390.0</v>
      </c>
      <c r="G12" s="860">
        <f t="shared" si="2"/>
        <v>20</v>
      </c>
      <c r="H12" s="861">
        <f>1+1+1+1+1</f>
        <v>5</v>
      </c>
      <c r="I12" s="861">
        <f>25+81+45+90+90</f>
        <v>331</v>
      </c>
      <c r="J12" s="861"/>
      <c r="K12" s="861">
        <f t="shared" si="5"/>
        <v>1</v>
      </c>
      <c r="L12" s="861">
        <f t="shared" si="6"/>
        <v>1</v>
      </c>
      <c r="M12" s="861"/>
      <c r="N12" s="861"/>
      <c r="O12" s="861"/>
      <c r="P12" s="861">
        <f t="shared" si="3"/>
        <v>1</v>
      </c>
      <c r="Q12" s="861"/>
    </row>
    <row r="13" ht="22.5" customHeight="1">
      <c r="A13" s="854">
        <v>19.0</v>
      </c>
      <c r="B13" s="855" t="s">
        <v>1332</v>
      </c>
      <c r="C13" s="856" t="s">
        <v>79</v>
      </c>
      <c r="D13" s="857" t="s">
        <v>1333</v>
      </c>
      <c r="E13" s="858" t="str">
        <f>IMAGE("https://flagcdn.com/w320/cf.png")</f>
        <v/>
      </c>
      <c r="F13" s="859">
        <v>34015.0</v>
      </c>
      <c r="G13" s="860">
        <f t="shared" si="2"/>
        <v>32</v>
      </c>
      <c r="H13" s="861">
        <f>1+1+1</f>
        <v>3</v>
      </c>
      <c r="I13" s="861">
        <f>65+3+67</f>
        <v>135</v>
      </c>
      <c r="J13" s="861"/>
      <c r="K13" s="861"/>
      <c r="L13" s="861"/>
      <c r="M13" s="861"/>
      <c r="N13" s="861"/>
      <c r="O13" s="861"/>
      <c r="P13" s="861">
        <f t="shared" si="3"/>
        <v>0</v>
      </c>
      <c r="Q13" s="861"/>
    </row>
    <row r="14" ht="22.5" customHeight="1">
      <c r="A14" s="854">
        <v>20.0</v>
      </c>
      <c r="B14" s="855" t="s">
        <v>1334</v>
      </c>
      <c r="C14" s="856" t="s">
        <v>79</v>
      </c>
      <c r="D14" s="857" t="s">
        <v>284</v>
      </c>
      <c r="E14" s="858" t="str">
        <f>IMAGE("https://flagcdn.com/w320/ci.png")</f>
        <v/>
      </c>
      <c r="F14" s="859">
        <v>36572.0</v>
      </c>
      <c r="G14" s="860">
        <f t="shared" si="2"/>
        <v>25</v>
      </c>
      <c r="H14" s="861">
        <f>1</f>
        <v>1</v>
      </c>
      <c r="I14" s="861">
        <f>67</f>
        <v>67</v>
      </c>
      <c r="J14" s="861"/>
      <c r="K14" s="861"/>
      <c r="L14" s="861"/>
      <c r="M14" s="861"/>
      <c r="N14" s="861"/>
      <c r="O14" s="861"/>
      <c r="P14" s="861">
        <f t="shared" si="3"/>
        <v>0</v>
      </c>
      <c r="Q14" s="861"/>
    </row>
    <row r="15" ht="22.5" customHeight="1">
      <c r="A15" s="854">
        <v>21.0</v>
      </c>
      <c r="B15" s="855" t="s">
        <v>1335</v>
      </c>
      <c r="C15" s="856" t="s">
        <v>70</v>
      </c>
      <c r="D15" s="857" t="s">
        <v>1336</v>
      </c>
      <c r="E15" s="858" t="str">
        <f>IMAGE("https://flagcdn.com/w320/ma.png")</f>
        <v/>
      </c>
      <c r="F15" s="859">
        <v>35154.0</v>
      </c>
      <c r="G15" s="860">
        <f t="shared" si="2"/>
        <v>29</v>
      </c>
      <c r="H15" s="861">
        <f>1+1+1+1</f>
        <v>4</v>
      </c>
      <c r="I15" s="861">
        <f>90+90+90+90</f>
        <v>360</v>
      </c>
      <c r="J15" s="861"/>
      <c r="K15" s="861"/>
      <c r="L15" s="861">
        <f>1+1</f>
        <v>2</v>
      </c>
      <c r="M15" s="861"/>
      <c r="N15" s="861"/>
      <c r="O15" s="861"/>
      <c r="P15" s="861">
        <f t="shared" si="3"/>
        <v>0</v>
      </c>
      <c r="Q15" s="861"/>
    </row>
    <row r="16" ht="22.5" customHeight="1">
      <c r="A16" s="854">
        <v>22.0</v>
      </c>
      <c r="B16" s="855" t="s">
        <v>1337</v>
      </c>
      <c r="C16" s="856" t="s">
        <v>82</v>
      </c>
      <c r="D16" s="857" t="s">
        <v>1338</v>
      </c>
      <c r="E16" s="858" t="str">
        <f>IMAGE("https://flagcdn.com/w320/us.png")</f>
        <v/>
      </c>
      <c r="F16" s="859">
        <v>36668.0</v>
      </c>
      <c r="G16" s="860">
        <f t="shared" si="2"/>
        <v>25</v>
      </c>
      <c r="H16" s="861">
        <f>1+1+1+1+1+1</f>
        <v>6</v>
      </c>
      <c r="I16" s="861">
        <f>77+45+66+90+45+90</f>
        <v>413</v>
      </c>
      <c r="J16" s="861">
        <f t="shared" ref="J16:L16" si="7">1</f>
        <v>1</v>
      </c>
      <c r="K16" s="861">
        <f t="shared" si="7"/>
        <v>1</v>
      </c>
      <c r="L16" s="861">
        <f t="shared" si="7"/>
        <v>1</v>
      </c>
      <c r="M16" s="861"/>
      <c r="N16" s="861"/>
      <c r="O16" s="861"/>
      <c r="P16" s="861">
        <f t="shared" si="3"/>
        <v>2</v>
      </c>
      <c r="Q16" s="861"/>
    </row>
    <row r="17" ht="22.5" customHeight="1">
      <c r="A17" s="854">
        <v>23.0</v>
      </c>
      <c r="B17" s="855" t="s">
        <v>1339</v>
      </c>
      <c r="C17" s="856" t="s">
        <v>79</v>
      </c>
      <c r="D17" s="857" t="s">
        <v>1340</v>
      </c>
      <c r="E17" s="858" t="str">
        <f>IMAGE("https://flagcdn.com/w320/dk.png")</f>
        <v/>
      </c>
      <c r="F17" s="859">
        <v>34916.0</v>
      </c>
      <c r="G17" s="860">
        <f t="shared" si="2"/>
        <v>30</v>
      </c>
      <c r="H17" s="861">
        <f>1+1+1+1+1+1+1</f>
        <v>7</v>
      </c>
      <c r="I17" s="861">
        <f>90+29+90+90+90+90+90</f>
        <v>569</v>
      </c>
      <c r="J17" s="861"/>
      <c r="K17" s="861"/>
      <c r="L17" s="861">
        <f>1</f>
        <v>1</v>
      </c>
      <c r="M17" s="861"/>
      <c r="N17" s="861"/>
      <c r="O17" s="861"/>
      <c r="P17" s="861">
        <f t="shared" si="3"/>
        <v>0</v>
      </c>
      <c r="Q17" s="861"/>
    </row>
    <row r="18" ht="22.5" customHeight="1">
      <c r="A18" s="854">
        <v>26.0</v>
      </c>
      <c r="B18" s="855" t="s">
        <v>1341</v>
      </c>
      <c r="C18" s="856" t="s">
        <v>79</v>
      </c>
      <c r="D18" s="857" t="s">
        <v>1342</v>
      </c>
      <c r="E18" s="858" t="str">
        <f>IMAGE("https://flagcdn.com/w320/ma.png")</f>
        <v/>
      </c>
      <c r="F18" s="859">
        <v>37953.0</v>
      </c>
      <c r="G18" s="860">
        <f t="shared" si="2"/>
        <v>22</v>
      </c>
      <c r="H18" s="861">
        <f>1+1+1</f>
        <v>3</v>
      </c>
      <c r="I18" s="861">
        <f>45+22+23</f>
        <v>90</v>
      </c>
      <c r="J18" s="861"/>
      <c r="K18" s="861"/>
      <c r="L18" s="861"/>
      <c r="M18" s="861"/>
      <c r="N18" s="861"/>
      <c r="O18" s="861"/>
      <c r="P18" s="861">
        <f t="shared" si="3"/>
        <v>0</v>
      </c>
      <c r="Q18" s="861"/>
    </row>
    <row r="19" ht="22.5" customHeight="1">
      <c r="A19" s="854">
        <v>28.0</v>
      </c>
      <c r="B19" s="855" t="s">
        <v>1343</v>
      </c>
      <c r="C19" s="856" t="s">
        <v>70</v>
      </c>
      <c r="D19" s="857" t="s">
        <v>398</v>
      </c>
      <c r="E19" s="858" t="str">
        <f>IMAGE("https://flagcdn.com/w320/fr.png")</f>
        <v/>
      </c>
      <c r="F19" s="859">
        <v>35152.0</v>
      </c>
      <c r="G19" s="860">
        <f t="shared" si="2"/>
        <v>29</v>
      </c>
      <c r="H19" s="861">
        <f>1+1+1+1+1+1</f>
        <v>6</v>
      </c>
      <c r="I19" s="861">
        <f>86+90+90+90+90+90</f>
        <v>536</v>
      </c>
      <c r="J19" s="861"/>
      <c r="K19" s="861"/>
      <c r="L19" s="861">
        <f>1+1+1</f>
        <v>3</v>
      </c>
      <c r="M19" s="861"/>
      <c r="N19" s="861"/>
      <c r="O19" s="861"/>
      <c r="P19" s="861">
        <f t="shared" si="3"/>
        <v>0</v>
      </c>
      <c r="Q19" s="861"/>
    </row>
    <row r="20" ht="22.5" customHeight="1">
      <c r="A20" s="854">
        <v>32.0</v>
      </c>
      <c r="B20" s="855" t="s">
        <v>1344</v>
      </c>
      <c r="C20" s="856" t="s">
        <v>70</v>
      </c>
      <c r="D20" s="857" t="s">
        <v>403</v>
      </c>
      <c r="E20" s="858" t="str">
        <f>IMAGE("https://flagcdn.com/w320/ar.png")</f>
        <v/>
      </c>
      <c r="F20" s="859">
        <v>36308.0</v>
      </c>
      <c r="G20" s="860">
        <f t="shared" si="2"/>
        <v>26</v>
      </c>
      <c r="H20" s="861">
        <f>1+1+1</f>
        <v>3</v>
      </c>
      <c r="I20" s="861">
        <f>90+35+90</f>
        <v>215</v>
      </c>
      <c r="J20" s="861"/>
      <c r="K20" s="861"/>
      <c r="L20" s="861">
        <f>1</f>
        <v>1</v>
      </c>
      <c r="M20" s="861"/>
      <c r="N20" s="861"/>
      <c r="O20" s="861"/>
      <c r="P20" s="861">
        <f t="shared" si="3"/>
        <v>0</v>
      </c>
      <c r="Q20" s="861"/>
    </row>
    <row r="21" ht="22.5" customHeight="1">
      <c r="A21" s="854">
        <v>33.0</v>
      </c>
      <c r="B21" s="863" t="s">
        <v>1345</v>
      </c>
      <c r="C21" s="856" t="s">
        <v>70</v>
      </c>
      <c r="D21" s="857" t="s">
        <v>1346</v>
      </c>
      <c r="E21" s="858" t="str">
        <f>IMAGE("https://flagcdn.com/w320/br.png")</f>
        <v/>
      </c>
      <c r="F21" s="859">
        <v>34549.0</v>
      </c>
      <c r="G21" s="860">
        <f t="shared" si="2"/>
        <v>31</v>
      </c>
      <c r="H21" s="861">
        <f>1+1+1+1+1</f>
        <v>5</v>
      </c>
      <c r="I21" s="861">
        <f>77+90+44+90+90</f>
        <v>391</v>
      </c>
      <c r="J21" s="861"/>
      <c r="K21" s="861"/>
      <c r="L21" s="861">
        <f>2+1</f>
        <v>3</v>
      </c>
      <c r="M21" s="861">
        <f>1</f>
        <v>1</v>
      </c>
      <c r="N21" s="861"/>
      <c r="O21" s="861"/>
      <c r="P21" s="861">
        <f t="shared" si="3"/>
        <v>0</v>
      </c>
      <c r="Q21" s="861"/>
    </row>
    <row r="22" ht="22.5" customHeight="1">
      <c r="A22" s="854">
        <v>34.0</v>
      </c>
      <c r="B22" s="855" t="s">
        <v>1347</v>
      </c>
      <c r="C22" s="856" t="s">
        <v>82</v>
      </c>
      <c r="D22" s="857" t="s">
        <v>1348</v>
      </c>
      <c r="E22" s="858" t="str">
        <f>IMAGE("https://flagcdn.com/w320/fr.png")</f>
        <v/>
      </c>
      <c r="F22" s="859">
        <v>39130.0</v>
      </c>
      <c r="G22" s="860">
        <f t="shared" si="2"/>
        <v>18</v>
      </c>
      <c r="H22" s="862">
        <f>1+1+1+1</f>
        <v>4</v>
      </c>
      <c r="I22" s="861">
        <f>9+20+1+3</f>
        <v>33</v>
      </c>
      <c r="J22" s="861"/>
      <c r="K22" s="861"/>
      <c r="L22" s="861"/>
      <c r="M22" s="861"/>
      <c r="N22" s="861"/>
      <c r="O22" s="861"/>
      <c r="P22" s="861">
        <f t="shared" si="3"/>
        <v>0</v>
      </c>
      <c r="Q22" s="861"/>
    </row>
    <row r="23" ht="22.5" customHeight="1">
      <c r="A23" s="864">
        <v>40.0</v>
      </c>
      <c r="B23" s="865" t="s">
        <v>1349</v>
      </c>
      <c r="C23" s="866" t="s">
        <v>67</v>
      </c>
      <c r="D23" s="867" t="s">
        <v>89</v>
      </c>
      <c r="E23" s="868" t="str">
        <f>IMAGE("https://flagcdn.com/w320/be.png")</f>
        <v/>
      </c>
      <c r="F23" s="869">
        <v>38053.0</v>
      </c>
      <c r="G23" s="870">
        <f t="shared" si="2"/>
        <v>21</v>
      </c>
      <c r="H23" s="871">
        <f t="shared" ref="H23:I23" si="8">0</f>
        <v>0</v>
      </c>
      <c r="I23" s="871">
        <f t="shared" si="8"/>
        <v>0</v>
      </c>
      <c r="J23" s="871"/>
      <c r="K23" s="871"/>
      <c r="L23" s="871"/>
      <c r="M23" s="871"/>
      <c r="N23" s="871"/>
      <c r="O23" s="871"/>
      <c r="P23" s="871">
        <f t="shared" si="3"/>
        <v>0</v>
      </c>
      <c r="Q23" s="871"/>
    </row>
    <row r="24" ht="22.5" hidden="1" customHeight="1">
      <c r="A24" s="864">
        <v>41.0</v>
      </c>
      <c r="B24" s="865" t="s">
        <v>1350</v>
      </c>
      <c r="C24" s="866" t="s">
        <v>79</v>
      </c>
      <c r="D24" s="867" t="s">
        <v>398</v>
      </c>
      <c r="E24" s="868" t="str">
        <f t="shared" ref="E24:E26" si="9">IMAGE("https://flagcdn.com/w320/fr.png")</f>
        <v/>
      </c>
      <c r="F24" s="869">
        <v>38891.0</v>
      </c>
      <c r="G24" s="870">
        <f t="shared" si="2"/>
        <v>19</v>
      </c>
      <c r="H24" s="871"/>
      <c r="I24" s="871"/>
      <c r="J24" s="871"/>
      <c r="K24" s="871"/>
      <c r="L24" s="871"/>
      <c r="M24" s="871"/>
      <c r="N24" s="871"/>
      <c r="O24" s="871"/>
      <c r="P24" s="871">
        <f t="shared" si="3"/>
        <v>0</v>
      </c>
      <c r="Q24" s="871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 ht="22.5" hidden="1" customHeight="1">
      <c r="A25" s="864">
        <v>48.0</v>
      </c>
      <c r="B25" s="865" t="s">
        <v>1351</v>
      </c>
      <c r="C25" s="866" t="s">
        <v>82</v>
      </c>
      <c r="D25" s="867" t="s">
        <v>1352</v>
      </c>
      <c r="E25" s="868" t="str">
        <f t="shared" si="9"/>
        <v/>
      </c>
      <c r="F25" s="869">
        <v>38812.0</v>
      </c>
      <c r="G25" s="870">
        <f t="shared" si="2"/>
        <v>19</v>
      </c>
      <c r="H25" s="871"/>
      <c r="I25" s="871"/>
      <c r="J25" s="871"/>
      <c r="K25" s="871"/>
      <c r="L25" s="871"/>
      <c r="M25" s="871"/>
      <c r="N25" s="871"/>
      <c r="O25" s="871"/>
      <c r="P25" s="871">
        <f t="shared" si="3"/>
        <v>0</v>
      </c>
      <c r="Q25" s="871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22.5" customHeight="1">
      <c r="A26" s="864">
        <v>50.0</v>
      </c>
      <c r="B26" s="865" t="s">
        <v>1353</v>
      </c>
      <c r="C26" s="866" t="s">
        <v>79</v>
      </c>
      <c r="D26" s="867" t="s">
        <v>1354</v>
      </c>
      <c r="E26" s="868" t="str">
        <f t="shared" si="9"/>
        <v/>
      </c>
      <c r="F26" s="869">
        <v>39416.0</v>
      </c>
      <c r="G26" s="870">
        <f t="shared" si="2"/>
        <v>18</v>
      </c>
      <c r="H26" s="871">
        <f>1</f>
        <v>1</v>
      </c>
      <c r="I26" s="871">
        <f>61</f>
        <v>61</v>
      </c>
      <c r="J26" s="871"/>
      <c r="K26" s="871">
        <f t="shared" ref="K26:L26" si="10">1</f>
        <v>1</v>
      </c>
      <c r="L26" s="871">
        <f t="shared" si="10"/>
        <v>1</v>
      </c>
      <c r="M26" s="871"/>
      <c r="N26" s="871"/>
      <c r="O26" s="871"/>
      <c r="P26" s="871">
        <f t="shared" si="3"/>
        <v>1</v>
      </c>
      <c r="Q26" s="871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ht="22.5" hidden="1" customHeight="1">
      <c r="A27" s="864">
        <v>60.0</v>
      </c>
      <c r="B27" s="865" t="s">
        <v>1355</v>
      </c>
      <c r="C27" s="866" t="s">
        <v>79</v>
      </c>
      <c r="D27" s="867" t="s">
        <v>1356</v>
      </c>
      <c r="E27" s="868" t="str">
        <f t="shared" ref="E27:E28" si="11">IMAGE("https://flagcdn.com/w320/dz.png")</f>
        <v/>
      </c>
      <c r="F27" s="869">
        <v>38853.0</v>
      </c>
      <c r="G27" s="870">
        <f t="shared" si="2"/>
        <v>19</v>
      </c>
      <c r="H27" s="871"/>
      <c r="I27" s="871"/>
      <c r="J27" s="871"/>
      <c r="K27" s="871"/>
      <c r="L27" s="871"/>
      <c r="M27" s="871"/>
      <c r="N27" s="871"/>
      <c r="O27" s="871"/>
      <c r="P27" s="871">
        <f t="shared" si="3"/>
        <v>0</v>
      </c>
      <c r="Q27" s="871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ht="22.5" hidden="1" customHeight="1">
      <c r="A28" s="864">
        <v>61.0</v>
      </c>
      <c r="B28" s="865" t="s">
        <v>1357</v>
      </c>
      <c r="C28" s="866" t="s">
        <v>70</v>
      </c>
      <c r="D28" s="867" t="s">
        <v>1358</v>
      </c>
      <c r="E28" s="868" t="str">
        <f t="shared" si="11"/>
        <v/>
      </c>
      <c r="F28" s="869">
        <v>38853.0</v>
      </c>
      <c r="G28" s="870">
        <f t="shared" si="2"/>
        <v>19</v>
      </c>
      <c r="H28" s="871"/>
      <c r="I28" s="871"/>
      <c r="J28" s="871"/>
      <c r="K28" s="871"/>
      <c r="L28" s="871"/>
      <c r="M28" s="871"/>
      <c r="N28" s="871"/>
      <c r="O28" s="871"/>
      <c r="P28" s="871">
        <f t="shared" si="3"/>
        <v>0</v>
      </c>
      <c r="Q28" s="871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ht="22.5" customHeight="1">
      <c r="A29" s="854">
        <v>62.0</v>
      </c>
      <c r="B29" s="855" t="s">
        <v>1359</v>
      </c>
      <c r="C29" s="856" t="s">
        <v>70</v>
      </c>
      <c r="D29" s="857" t="s">
        <v>1360</v>
      </c>
      <c r="E29" s="858" t="str">
        <f>IMAGE("https://flagcdn.com/w320/pa.png")</f>
        <v/>
      </c>
      <c r="F29" s="859">
        <v>35457.0</v>
      </c>
      <c r="G29" s="860">
        <f t="shared" si="2"/>
        <v>29</v>
      </c>
      <c r="H29" s="861">
        <f>1+1+1+1+1+1</f>
        <v>6</v>
      </c>
      <c r="I29" s="861">
        <f>13+9+45+90+90+90</f>
        <v>337</v>
      </c>
      <c r="J29" s="861"/>
      <c r="K29" s="861"/>
      <c r="L29" s="861"/>
      <c r="M29" s="861"/>
      <c r="N29" s="861"/>
      <c r="O29" s="861"/>
      <c r="P29" s="861">
        <f t="shared" si="3"/>
        <v>0</v>
      </c>
      <c r="Q29" s="861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ht="22.5" hidden="1" customHeight="1">
      <c r="A30" s="864">
        <v>65.0</v>
      </c>
      <c r="B30" s="865" t="s">
        <v>1361</v>
      </c>
      <c r="C30" s="866" t="s">
        <v>79</v>
      </c>
      <c r="D30" s="867" t="s">
        <v>1362</v>
      </c>
      <c r="E30" s="868" t="str">
        <f>IMAGE("https://flagcdn.com/w320/ch.png")</f>
        <v/>
      </c>
      <c r="F30" s="869">
        <v>39126.0</v>
      </c>
      <c r="G30" s="870">
        <f t="shared" si="2"/>
        <v>18</v>
      </c>
      <c r="H30" s="871"/>
      <c r="I30" s="871"/>
      <c r="J30" s="871"/>
      <c r="K30" s="871"/>
      <c r="L30" s="871"/>
      <c r="M30" s="871"/>
      <c r="N30" s="871"/>
      <c r="O30" s="871"/>
      <c r="P30" s="871">
        <f t="shared" si="3"/>
        <v>0</v>
      </c>
      <c r="Q30" s="871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ht="22.5" hidden="1" customHeight="1">
      <c r="A31" s="864">
        <v>66.0</v>
      </c>
      <c r="B31" s="865" t="s">
        <v>1363</v>
      </c>
      <c r="C31" s="866" t="s">
        <v>70</v>
      </c>
      <c r="D31" s="867" t="s">
        <v>398</v>
      </c>
      <c r="E31" s="868" t="str">
        <f t="shared" ref="E31:E33" si="12">IMAGE("https://flagcdn.com/w320/fr.png")</f>
        <v/>
      </c>
      <c r="F31" s="869">
        <v>38721.0</v>
      </c>
      <c r="G31" s="870">
        <f t="shared" si="2"/>
        <v>20</v>
      </c>
      <c r="H31" s="871"/>
      <c r="I31" s="871"/>
      <c r="J31" s="871"/>
      <c r="K31" s="871"/>
      <c r="L31" s="871"/>
      <c r="M31" s="871"/>
      <c r="N31" s="871"/>
      <c r="O31" s="871"/>
      <c r="P31" s="871">
        <f t="shared" si="3"/>
        <v>0</v>
      </c>
      <c r="Q31" s="871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ht="22.5" hidden="1" customHeight="1">
      <c r="A32" s="864">
        <v>67.0</v>
      </c>
      <c r="B32" s="865" t="s">
        <v>1364</v>
      </c>
      <c r="C32" s="866" t="s">
        <v>79</v>
      </c>
      <c r="D32" s="867" t="s">
        <v>1365</v>
      </c>
      <c r="E32" s="868" t="str">
        <f t="shared" si="12"/>
        <v/>
      </c>
      <c r="F32" s="869">
        <v>38645.0</v>
      </c>
      <c r="G32" s="870">
        <f t="shared" si="2"/>
        <v>20</v>
      </c>
      <c r="H32" s="871"/>
      <c r="I32" s="871"/>
      <c r="J32" s="871"/>
      <c r="K32" s="871"/>
      <c r="L32" s="871"/>
      <c r="M32" s="871"/>
      <c r="N32" s="871"/>
      <c r="O32" s="871"/>
      <c r="P32" s="871">
        <f t="shared" si="3"/>
        <v>0</v>
      </c>
      <c r="Q32" s="871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ht="22.5" hidden="1" customHeight="1">
      <c r="A33" s="864">
        <v>68.0</v>
      </c>
      <c r="B33" s="865" t="s">
        <v>1366</v>
      </c>
      <c r="C33" s="866" t="s">
        <v>82</v>
      </c>
      <c r="D33" s="867" t="s">
        <v>398</v>
      </c>
      <c r="E33" s="868" t="str">
        <f t="shared" si="12"/>
        <v/>
      </c>
      <c r="F33" s="869">
        <v>38740.0</v>
      </c>
      <c r="G33" s="870">
        <f t="shared" si="2"/>
        <v>20</v>
      </c>
      <c r="H33" s="872">
        <v>0.0</v>
      </c>
      <c r="I33" s="872">
        <v>0.0</v>
      </c>
      <c r="J33" s="871"/>
      <c r="K33" s="871"/>
      <c r="L33" s="871"/>
      <c r="M33" s="871"/>
      <c r="N33" s="871"/>
      <c r="O33" s="871"/>
      <c r="P33" s="871">
        <f t="shared" si="3"/>
        <v>0</v>
      </c>
      <c r="Q33" s="871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ht="22.5" customHeight="1">
      <c r="A34" s="864">
        <v>70.0</v>
      </c>
      <c r="B34" s="865" t="s">
        <v>1367</v>
      </c>
      <c r="C34" s="866" t="s">
        <v>70</v>
      </c>
      <c r="D34" s="867" t="s">
        <v>1368</v>
      </c>
      <c r="E34" s="868" t="str">
        <f>IMAGE("https://flagcdn.com/w320/tn.png")</f>
        <v/>
      </c>
      <c r="F34" s="869">
        <v>39019.0</v>
      </c>
      <c r="G34" s="870">
        <f t="shared" si="2"/>
        <v>19</v>
      </c>
      <c r="H34" s="872">
        <v>0.0</v>
      </c>
      <c r="I34" s="872">
        <v>0.0</v>
      </c>
      <c r="J34" s="871"/>
      <c r="K34" s="871"/>
      <c r="L34" s="871"/>
      <c r="M34" s="871"/>
      <c r="N34" s="871"/>
      <c r="O34" s="871"/>
      <c r="P34" s="871">
        <f t="shared" si="3"/>
        <v>0</v>
      </c>
      <c r="Q34" s="871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ht="22.5" hidden="1" customHeight="1">
      <c r="A35" s="864">
        <v>72.0</v>
      </c>
      <c r="B35" s="865" t="s">
        <v>1369</v>
      </c>
      <c r="C35" s="866" t="s">
        <v>70</v>
      </c>
      <c r="D35" s="867" t="s">
        <v>1370</v>
      </c>
      <c r="E35" s="868" t="str">
        <f t="shared" ref="E35:E38" si="13">IMAGE("https://flagcdn.com/w320/fr.png")</f>
        <v/>
      </c>
      <c r="F35" s="869">
        <v>38763.0</v>
      </c>
      <c r="G35" s="870">
        <f t="shared" si="2"/>
        <v>19</v>
      </c>
      <c r="H35" s="871"/>
      <c r="I35" s="871"/>
      <c r="J35" s="871"/>
      <c r="K35" s="871"/>
      <c r="L35" s="871"/>
      <c r="M35" s="871"/>
      <c r="N35" s="871"/>
      <c r="O35" s="871"/>
      <c r="P35" s="871">
        <f t="shared" si="3"/>
        <v>0</v>
      </c>
      <c r="Q35" s="871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ht="22.5" hidden="1" customHeight="1">
      <c r="A36" s="864">
        <v>74.0</v>
      </c>
      <c r="B36" s="865" t="s">
        <v>1371</v>
      </c>
      <c r="C36" s="866" t="s">
        <v>70</v>
      </c>
      <c r="D36" s="867" t="s">
        <v>1372</v>
      </c>
      <c r="E36" s="868" t="str">
        <f t="shared" si="13"/>
        <v/>
      </c>
      <c r="F36" s="869">
        <v>38748.0</v>
      </c>
      <c r="G36" s="870">
        <f t="shared" si="2"/>
        <v>19</v>
      </c>
      <c r="H36" s="871"/>
      <c r="I36" s="871"/>
      <c r="J36" s="871"/>
      <c r="K36" s="871"/>
      <c r="L36" s="871"/>
      <c r="M36" s="871"/>
      <c r="N36" s="871"/>
      <c r="O36" s="871"/>
      <c r="P36" s="871">
        <f t="shared" si="3"/>
        <v>0</v>
      </c>
      <c r="Q36" s="871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 ht="22.5" customHeight="1">
      <c r="A37" s="864">
        <v>76.0</v>
      </c>
      <c r="B37" s="865" t="s">
        <v>1373</v>
      </c>
      <c r="C37" s="866" t="s">
        <v>79</v>
      </c>
      <c r="D37" s="867" t="s">
        <v>1374</v>
      </c>
      <c r="E37" s="868" t="str">
        <f t="shared" si="13"/>
        <v/>
      </c>
      <c r="F37" s="869">
        <v>39144.0</v>
      </c>
      <c r="G37" s="870">
        <f t="shared" si="2"/>
        <v>18</v>
      </c>
      <c r="H37" s="871">
        <f t="shared" ref="H37:I37" si="14">1</f>
        <v>1</v>
      </c>
      <c r="I37" s="871">
        <f t="shared" si="14"/>
        <v>1</v>
      </c>
      <c r="J37" s="871"/>
      <c r="K37" s="871"/>
      <c r="L37" s="871"/>
      <c r="M37" s="871"/>
      <c r="N37" s="871"/>
      <c r="O37" s="871"/>
      <c r="P37" s="871">
        <f t="shared" si="3"/>
        <v>0</v>
      </c>
      <c r="Q37" s="871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 ht="22.5" customHeight="1">
      <c r="A38" s="864">
        <v>77.0</v>
      </c>
      <c r="B38" s="865" t="s">
        <v>1375</v>
      </c>
      <c r="C38" s="866" t="s">
        <v>70</v>
      </c>
      <c r="D38" s="867" t="s">
        <v>1376</v>
      </c>
      <c r="E38" s="868" t="str">
        <f t="shared" si="13"/>
        <v/>
      </c>
      <c r="F38" s="869">
        <v>39159.0</v>
      </c>
      <c r="G38" s="870">
        <f t="shared" si="2"/>
        <v>18</v>
      </c>
      <c r="H38" s="872">
        <v>0.0</v>
      </c>
      <c r="I38" s="872">
        <v>0.0</v>
      </c>
      <c r="J38" s="871"/>
      <c r="K38" s="871"/>
      <c r="L38" s="871"/>
      <c r="M38" s="871"/>
      <c r="N38" s="871"/>
      <c r="O38" s="871"/>
      <c r="P38" s="871">
        <f t="shared" si="3"/>
        <v>0</v>
      </c>
      <c r="Q38" s="871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 ht="22.5" customHeight="1">
      <c r="A39" s="864">
        <v>78.0</v>
      </c>
      <c r="B39" s="865" t="s">
        <v>1377</v>
      </c>
      <c r="C39" s="866" t="s">
        <v>82</v>
      </c>
      <c r="D39" s="867" t="s">
        <v>284</v>
      </c>
      <c r="E39" s="868" t="str">
        <f>IMAGE("https://flagcdn.com/w320/ci.png")</f>
        <v/>
      </c>
      <c r="F39" s="869">
        <v>38348.0</v>
      </c>
      <c r="G39" s="870">
        <f t="shared" si="2"/>
        <v>21</v>
      </c>
      <c r="H39" s="872">
        <v>0.0</v>
      </c>
      <c r="I39" s="872">
        <v>0.0</v>
      </c>
      <c r="J39" s="871"/>
      <c r="K39" s="871"/>
      <c r="L39" s="871"/>
      <c r="M39" s="871"/>
      <c r="N39" s="871"/>
      <c r="O39" s="871"/>
      <c r="P39" s="871">
        <f t="shared" si="3"/>
        <v>0</v>
      </c>
      <c r="Q39" s="871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 ht="22.5" hidden="1" customHeight="1">
      <c r="A40" s="864">
        <v>79.0</v>
      </c>
      <c r="B40" s="865" t="s">
        <v>1378</v>
      </c>
      <c r="C40" s="866" t="s">
        <v>67</v>
      </c>
      <c r="D40" s="867" t="s">
        <v>1379</v>
      </c>
      <c r="E40" s="868" t="str">
        <f>IMAGE("https://flagcdn.com/w320/ma.png")</f>
        <v/>
      </c>
      <c r="F40" s="869">
        <v>38431.0</v>
      </c>
      <c r="G40" s="870">
        <f t="shared" si="2"/>
        <v>20</v>
      </c>
      <c r="H40" s="871"/>
      <c r="I40" s="871"/>
      <c r="J40" s="871"/>
      <c r="K40" s="871"/>
      <c r="L40" s="871"/>
      <c r="M40" s="871"/>
      <c r="N40" s="871"/>
      <c r="O40" s="871"/>
      <c r="P40" s="871">
        <f t="shared" si="3"/>
        <v>0</v>
      </c>
      <c r="Q40" s="871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 ht="22.5" hidden="1" customHeight="1">
      <c r="A41" s="864">
        <v>83.0</v>
      </c>
      <c r="B41" s="873" t="s">
        <v>1380</v>
      </c>
      <c r="C41" s="866" t="s">
        <v>82</v>
      </c>
      <c r="D41" s="867" t="s">
        <v>477</v>
      </c>
      <c r="E41" s="868" t="str">
        <f>IMAGE("https://flagcdn.com/w320/pt.png")</f>
        <v/>
      </c>
      <c r="F41" s="869">
        <v>38070.0</v>
      </c>
      <c r="G41" s="870">
        <f t="shared" si="2"/>
        <v>21</v>
      </c>
      <c r="H41" s="871"/>
      <c r="I41" s="871"/>
      <c r="J41" s="871"/>
      <c r="K41" s="871"/>
      <c r="L41" s="871"/>
      <c r="M41" s="871"/>
      <c r="N41" s="871"/>
      <c r="O41" s="871"/>
      <c r="P41" s="871">
        <f t="shared" si="3"/>
        <v>0</v>
      </c>
      <c r="Q41" s="871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 ht="22.5" customHeight="1">
      <c r="A42" s="854">
        <v>97.0</v>
      </c>
      <c r="B42" s="855" t="s">
        <v>1381</v>
      </c>
      <c r="C42" s="856" t="s">
        <v>82</v>
      </c>
      <c r="D42" s="857" t="s">
        <v>1382</v>
      </c>
      <c r="E42" s="858" t="str">
        <f>IMAGE("https://flagcdn.com/w320/ga.png")</f>
        <v/>
      </c>
      <c r="F42" s="859">
        <v>32677.0</v>
      </c>
      <c r="G42" s="860">
        <f t="shared" si="2"/>
        <v>36</v>
      </c>
      <c r="H42" s="861">
        <f>1+1+1+1+1+1+1</f>
        <v>7</v>
      </c>
      <c r="I42" s="861">
        <f>90+90+81+90+89+87+24</f>
        <v>551</v>
      </c>
      <c r="J42" s="861">
        <f>1+2</f>
        <v>3</v>
      </c>
      <c r="K42" s="861">
        <f>2+1+2</f>
        <v>5</v>
      </c>
      <c r="L42" s="861"/>
      <c r="M42" s="861"/>
      <c r="N42" s="861"/>
      <c r="O42" s="861"/>
      <c r="P42" s="861">
        <f t="shared" si="3"/>
        <v>8</v>
      </c>
      <c r="Q42" s="861"/>
    </row>
    <row r="43">
      <c r="A43" s="11"/>
      <c r="B43" s="18"/>
      <c r="C43" s="18"/>
      <c r="D43" s="64"/>
      <c r="E43" s="65"/>
      <c r="F43" s="18"/>
      <c r="G43" s="18"/>
      <c r="H43" s="73">
        <f>SUM(H2:H42)</f>
        <v>105</v>
      </c>
      <c r="I43" s="73">
        <f>SUM(I2:I42)+46</f>
        <v>6930</v>
      </c>
      <c r="J43" s="73">
        <f t="shared" ref="J43:Q43" si="15">SUM(J2:J42)</f>
        <v>11</v>
      </c>
      <c r="K43" s="73">
        <f t="shared" si="15"/>
        <v>11</v>
      </c>
      <c r="L43" s="73">
        <f t="shared" si="15"/>
        <v>17</v>
      </c>
      <c r="M43" s="73">
        <f t="shared" si="15"/>
        <v>1</v>
      </c>
      <c r="N43" s="73">
        <f t="shared" si="15"/>
        <v>1</v>
      </c>
      <c r="O43" s="73">
        <f t="shared" si="15"/>
        <v>1</v>
      </c>
      <c r="P43" s="73">
        <f t="shared" si="15"/>
        <v>22</v>
      </c>
      <c r="Q43" s="73">
        <f t="shared" si="15"/>
        <v>1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ht="22.5" customHeight="1">
      <c r="A44" s="874" t="s">
        <v>150</v>
      </c>
      <c r="B44" s="875" t="s">
        <v>49</v>
      </c>
      <c r="C44" s="875" t="s">
        <v>265</v>
      </c>
      <c r="D44" s="876" t="s">
        <v>56</v>
      </c>
      <c r="E44" s="875" t="s">
        <v>57</v>
      </c>
      <c r="F44" s="875" t="s">
        <v>52</v>
      </c>
      <c r="G44" s="875" t="s">
        <v>53</v>
      </c>
      <c r="H44" s="875" t="s">
        <v>4</v>
      </c>
      <c r="I44" s="875" t="s">
        <v>5</v>
      </c>
      <c r="J44" s="875" t="s">
        <v>6</v>
      </c>
      <c r="K44" s="875" t="s">
        <v>7</v>
      </c>
      <c r="L44" s="875" t="s">
        <v>8</v>
      </c>
      <c r="M44" s="875" t="s">
        <v>9</v>
      </c>
      <c r="N44" s="875" t="s">
        <v>10</v>
      </c>
    </row>
    <row r="45" ht="22.5" customHeight="1">
      <c r="A45" s="877"/>
      <c r="B45" s="878" t="s">
        <v>1383</v>
      </c>
      <c r="C45" s="878" t="s">
        <v>153</v>
      </c>
      <c r="D45" s="879" t="s">
        <v>206</v>
      </c>
      <c r="E45" s="880" t="str">
        <f>IMAGE("https://flagcdn.com/w320/it.png")</f>
        <v/>
      </c>
      <c r="F45" s="881">
        <v>29012.0</v>
      </c>
      <c r="G45" s="882">
        <f t="shared" ref="G45:G46" si="16">DATEDIF(F45,TODAY(),"Y")</f>
        <v>46</v>
      </c>
      <c r="H45" s="883">
        <f t="shared" ref="H45:H46" si="17">L45+M45+N45</f>
        <v>6</v>
      </c>
      <c r="I45" s="883">
        <f t="shared" ref="I45:I46" si="18">(3*L45)+M45</f>
        <v>6</v>
      </c>
      <c r="J45" s="883">
        <f>1+4+1+2</f>
        <v>8</v>
      </c>
      <c r="K45" s="883">
        <f>2+2+1+1+3</f>
        <v>9</v>
      </c>
      <c r="L45" s="884">
        <f>1+1</f>
        <v>2</v>
      </c>
      <c r="M45" s="885">
        <f t="shared" ref="M45:M46" si="19">0</f>
        <v>0</v>
      </c>
      <c r="N45" s="886">
        <f>1+1+1+1</f>
        <v>4</v>
      </c>
    </row>
    <row r="46" ht="22.5" customHeight="1">
      <c r="A46" s="877"/>
      <c r="B46" s="878" t="s">
        <v>1384</v>
      </c>
      <c r="C46" s="878" t="s">
        <v>1200</v>
      </c>
      <c r="D46" s="879" t="s">
        <v>1385</v>
      </c>
      <c r="E46" s="880" t="str">
        <f>IMAGE("https://flagcdn.com/w320/fr.png")</f>
        <v/>
      </c>
      <c r="F46" s="881">
        <v>28637.0</v>
      </c>
      <c r="G46" s="882">
        <f t="shared" si="16"/>
        <v>47</v>
      </c>
      <c r="H46" s="883">
        <f t="shared" si="17"/>
        <v>1</v>
      </c>
      <c r="I46" s="883">
        <f t="shared" si="18"/>
        <v>3</v>
      </c>
      <c r="J46" s="883">
        <f>3</f>
        <v>3</v>
      </c>
      <c r="K46" s="883">
        <f>2</f>
        <v>2</v>
      </c>
      <c r="L46" s="884">
        <f>1</f>
        <v>1</v>
      </c>
      <c r="M46" s="885">
        <f t="shared" si="19"/>
        <v>0</v>
      </c>
      <c r="N46" s="886">
        <f>0</f>
        <v>0</v>
      </c>
    </row>
    <row r="47">
      <c r="A47" s="11"/>
      <c r="B47" s="18"/>
      <c r="C47" s="18"/>
      <c r="D47" s="64"/>
      <c r="E47" s="65"/>
      <c r="F47" s="18"/>
      <c r="G47" s="18"/>
      <c r="H47" s="73">
        <f>SUM(trenerMarsylia[mecze])</f>
        <v>7</v>
      </c>
      <c r="I47" s="73">
        <f>SUM(trenerMarsylia[punkty])</f>
        <v>9</v>
      </c>
      <c r="J47" s="73">
        <f>SUM(trenerMarsylia[strzelone])</f>
        <v>11</v>
      </c>
      <c r="K47" s="73">
        <f>SUM(trenerMarsylia[stracone])</f>
        <v>11</v>
      </c>
      <c r="L47" s="73">
        <f>SUM(trenerMarsylia[wygrane])</f>
        <v>3</v>
      </c>
      <c r="M47" s="73">
        <f>SUM(trenerMarsylia[remisy])</f>
        <v>0</v>
      </c>
      <c r="N47" s="73">
        <f>SUM(trenerMarsylia[porażki])</f>
        <v>4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ht="22.5" customHeight="1">
      <c r="A48" s="874" t="s">
        <v>156</v>
      </c>
      <c r="B48" s="874" t="s">
        <v>157</v>
      </c>
      <c r="C48" s="874" t="s">
        <v>158</v>
      </c>
      <c r="D48" s="887" t="s">
        <v>1386</v>
      </c>
      <c r="E48" s="874" t="s">
        <v>160</v>
      </c>
      <c r="F48" s="874" t="s">
        <v>161</v>
      </c>
    </row>
    <row r="49" ht="22.5" customHeight="1">
      <c r="A49" s="77">
        <v>1.0</v>
      </c>
      <c r="B49" s="78" t="s">
        <v>17</v>
      </c>
      <c r="C49" s="78" t="s">
        <v>28</v>
      </c>
      <c r="D49" s="83" t="s">
        <v>1387</v>
      </c>
      <c r="E49" s="84">
        <v>45659.0</v>
      </c>
      <c r="F49" s="78" t="s">
        <v>1388</v>
      </c>
    </row>
    <row r="50" ht="22.5" customHeight="1">
      <c r="A50" s="86">
        <v>2.0</v>
      </c>
      <c r="B50" s="847" t="s">
        <v>28</v>
      </c>
      <c r="C50" s="87" t="s">
        <v>43</v>
      </c>
      <c r="D50" s="88" t="s">
        <v>1389</v>
      </c>
      <c r="E50" s="161" t="s">
        <v>164</v>
      </c>
      <c r="F50" s="87" t="s">
        <v>165</v>
      </c>
    </row>
    <row r="51" ht="22.5" customHeight="1">
      <c r="A51" s="77">
        <v>3.0</v>
      </c>
      <c r="B51" s="78" t="s">
        <v>24</v>
      </c>
      <c r="C51" s="78" t="s">
        <v>28</v>
      </c>
      <c r="D51" s="83" t="s">
        <v>1390</v>
      </c>
      <c r="E51" s="84">
        <v>45689.0</v>
      </c>
      <c r="F51" s="78" t="s">
        <v>837</v>
      </c>
    </row>
    <row r="52" ht="22.5" customHeight="1">
      <c r="A52" s="77">
        <v>4.0</v>
      </c>
      <c r="B52" s="697" t="s">
        <v>28</v>
      </c>
      <c r="C52" s="78" t="s">
        <v>14</v>
      </c>
      <c r="D52" s="79"/>
      <c r="E52" s="80" t="s">
        <v>333</v>
      </c>
      <c r="F52" s="78" t="s">
        <v>165</v>
      </c>
    </row>
    <row r="53" ht="22.5" customHeight="1">
      <c r="A53" s="364">
        <v>5.0</v>
      </c>
      <c r="B53" s="365" t="s">
        <v>28</v>
      </c>
      <c r="C53" s="365" t="s">
        <v>26</v>
      </c>
      <c r="D53" s="366" t="s">
        <v>1391</v>
      </c>
      <c r="E53" s="367">
        <v>45689.0</v>
      </c>
      <c r="F53" s="365" t="s">
        <v>165</v>
      </c>
    </row>
    <row r="54" ht="22.5" customHeight="1">
      <c r="A54" s="364">
        <v>6.0</v>
      </c>
      <c r="B54" s="365" t="s">
        <v>37</v>
      </c>
      <c r="C54" s="365" t="s">
        <v>28</v>
      </c>
      <c r="D54" s="366" t="s">
        <v>1392</v>
      </c>
      <c r="E54" s="367">
        <v>45691.0</v>
      </c>
      <c r="F54" s="365" t="s">
        <v>338</v>
      </c>
    </row>
    <row r="55" ht="22.5" customHeight="1">
      <c r="A55" s="77">
        <v>7.0</v>
      </c>
      <c r="B55" s="78" t="s">
        <v>28</v>
      </c>
      <c r="C55" s="78" t="s">
        <v>18</v>
      </c>
      <c r="D55" s="79"/>
      <c r="E55" s="80" t="s">
        <v>168</v>
      </c>
      <c r="F55" s="78" t="s">
        <v>165</v>
      </c>
    </row>
    <row r="56" ht="22.5" customHeight="1">
      <c r="A56" s="90">
        <v>8.0</v>
      </c>
      <c r="B56" s="91" t="s">
        <v>39</v>
      </c>
      <c r="C56" s="91" t="s">
        <v>28</v>
      </c>
      <c r="D56" s="92"/>
      <c r="E56" s="93"/>
      <c r="F56" s="94" t="s">
        <v>279</v>
      </c>
    </row>
    <row r="57">
      <c r="A57" s="12"/>
      <c r="D57" s="95"/>
      <c r="E57" s="14"/>
    </row>
    <row r="58">
      <c r="A58" s="12"/>
      <c r="D58" s="95"/>
      <c r="E58" s="14"/>
    </row>
    <row r="59">
      <c r="A59" s="12"/>
      <c r="D59" s="95"/>
      <c r="E59" s="14"/>
    </row>
    <row r="60">
      <c r="A60" s="12"/>
      <c r="D60" s="95"/>
      <c r="E60" s="14"/>
    </row>
    <row r="61">
      <c r="A61" s="12"/>
      <c r="D61" s="95"/>
      <c r="E61" s="14"/>
    </row>
    <row r="62">
      <c r="A62" s="12"/>
      <c r="D62" s="95"/>
      <c r="E62" s="14"/>
    </row>
    <row r="63">
      <c r="A63" s="12"/>
      <c r="D63" s="95"/>
      <c r="E63" s="14"/>
    </row>
    <row r="64">
      <c r="A64" s="12"/>
      <c r="D64" s="95"/>
      <c r="E64" s="14"/>
    </row>
    <row r="65">
      <c r="A65" s="12"/>
      <c r="D65" s="95"/>
      <c r="E65" s="14"/>
    </row>
    <row r="66">
      <c r="A66" s="12"/>
      <c r="D66" s="95"/>
      <c r="E66" s="14"/>
    </row>
    <row r="67">
      <c r="A67" s="12"/>
      <c r="D67" s="95"/>
      <c r="E67" s="14"/>
    </row>
    <row r="68">
      <c r="A68" s="12"/>
      <c r="D68" s="95"/>
      <c r="E68" s="14"/>
    </row>
    <row r="69">
      <c r="A69" s="12"/>
      <c r="D69" s="95"/>
      <c r="E69" s="14"/>
    </row>
    <row r="70">
      <c r="A70" s="12"/>
      <c r="D70" s="95"/>
      <c r="E70" s="14"/>
    </row>
    <row r="71">
      <c r="A71" s="12"/>
      <c r="D71" s="95"/>
      <c r="E71" s="14"/>
    </row>
    <row r="72">
      <c r="A72" s="12"/>
      <c r="D72" s="95"/>
      <c r="E72" s="14"/>
    </row>
    <row r="73">
      <c r="A73" s="12"/>
      <c r="D73" s="95"/>
      <c r="E73" s="14"/>
    </row>
    <row r="74">
      <c r="A74" s="12"/>
      <c r="D74" s="95"/>
      <c r="E74" s="14"/>
    </row>
    <row r="75">
      <c r="A75" s="12"/>
      <c r="D75" s="95"/>
      <c r="E75" s="14"/>
    </row>
    <row r="76">
      <c r="A76" s="12"/>
      <c r="D76" s="95"/>
      <c r="E76" s="14"/>
    </row>
    <row r="77">
      <c r="A77" s="12"/>
      <c r="D77" s="95"/>
      <c r="E77" s="14"/>
    </row>
    <row r="78">
      <c r="A78" s="12"/>
      <c r="D78" s="95"/>
      <c r="E78" s="14"/>
    </row>
    <row r="79">
      <c r="A79" s="12"/>
      <c r="D79" s="95"/>
      <c r="E79" s="14"/>
    </row>
    <row r="80">
      <c r="A80" s="12"/>
      <c r="D80" s="95"/>
      <c r="E80" s="14"/>
    </row>
    <row r="81">
      <c r="A81" s="12"/>
      <c r="D81" s="95"/>
      <c r="E81" s="14"/>
    </row>
    <row r="82">
      <c r="A82" s="12"/>
      <c r="D82" s="95"/>
      <c r="E82" s="14"/>
    </row>
    <row r="83">
      <c r="A83" s="12"/>
      <c r="D83" s="95"/>
      <c r="E83" s="14"/>
    </row>
    <row r="84">
      <c r="A84" s="12"/>
      <c r="D84" s="95"/>
      <c r="E84" s="14"/>
    </row>
    <row r="85">
      <c r="A85" s="12"/>
      <c r="D85" s="95"/>
      <c r="E85" s="14"/>
    </row>
    <row r="86">
      <c r="A86" s="12"/>
      <c r="D86" s="95"/>
      <c r="E86" s="14"/>
    </row>
    <row r="87">
      <c r="A87" s="12"/>
      <c r="D87" s="95"/>
      <c r="E87" s="14"/>
    </row>
    <row r="88">
      <c r="A88" s="12"/>
      <c r="D88" s="95"/>
      <c r="E88" s="14"/>
    </row>
    <row r="89">
      <c r="A89" s="12"/>
      <c r="D89" s="95"/>
      <c r="E89" s="14"/>
    </row>
    <row r="90">
      <c r="A90" s="12"/>
      <c r="D90" s="95"/>
      <c r="E90" s="14"/>
    </row>
    <row r="91">
      <c r="A91" s="12"/>
      <c r="D91" s="95"/>
      <c r="E91" s="14"/>
    </row>
    <row r="92">
      <c r="A92" s="12"/>
      <c r="D92" s="95"/>
      <c r="E92" s="14"/>
    </row>
    <row r="93">
      <c r="A93" s="12"/>
      <c r="D93" s="95"/>
      <c r="E93" s="14"/>
    </row>
    <row r="94">
      <c r="A94" s="12"/>
      <c r="D94" s="95"/>
      <c r="E94" s="14"/>
    </row>
    <row r="95">
      <c r="A95" s="12"/>
      <c r="D95" s="95"/>
      <c r="E95" s="14"/>
    </row>
    <row r="96">
      <c r="A96" s="12"/>
      <c r="D96" s="95"/>
      <c r="E96" s="14"/>
    </row>
    <row r="97">
      <c r="A97" s="12"/>
      <c r="D97" s="95"/>
      <c r="E97" s="14"/>
    </row>
    <row r="98">
      <c r="A98" s="12"/>
      <c r="D98" s="95"/>
      <c r="E98" s="14"/>
    </row>
    <row r="99">
      <c r="A99" s="12"/>
      <c r="D99" s="95"/>
      <c r="E99" s="14"/>
    </row>
    <row r="100">
      <c r="A100" s="12"/>
      <c r="D100" s="95"/>
      <c r="E100" s="14"/>
    </row>
    <row r="101">
      <c r="A101" s="12"/>
      <c r="D101" s="95"/>
      <c r="E101" s="14"/>
    </row>
    <row r="102">
      <c r="A102" s="12"/>
      <c r="D102" s="95"/>
      <c r="E102" s="14"/>
    </row>
    <row r="103">
      <c r="A103" s="12"/>
      <c r="D103" s="95"/>
      <c r="E103" s="14"/>
    </row>
    <row r="104">
      <c r="A104" s="12"/>
      <c r="D104" s="95"/>
      <c r="E104" s="14"/>
    </row>
    <row r="105">
      <c r="A105" s="12"/>
      <c r="D105" s="95"/>
      <c r="E105" s="14"/>
    </row>
    <row r="106">
      <c r="A106" s="12"/>
      <c r="D106" s="95"/>
      <c r="E106" s="14"/>
    </row>
    <row r="107">
      <c r="A107" s="12"/>
      <c r="D107" s="95"/>
      <c r="E107" s="14"/>
    </row>
    <row r="108">
      <c r="A108" s="12"/>
      <c r="D108" s="95"/>
      <c r="E108" s="14"/>
    </row>
    <row r="109">
      <c r="A109" s="12"/>
      <c r="D109" s="95"/>
      <c r="E109" s="14"/>
    </row>
    <row r="110">
      <c r="A110" s="12"/>
      <c r="D110" s="95"/>
      <c r="E110" s="14"/>
    </row>
    <row r="111">
      <c r="A111" s="12"/>
      <c r="D111" s="95"/>
      <c r="E111" s="14"/>
    </row>
    <row r="112">
      <c r="A112" s="12"/>
      <c r="D112" s="95"/>
      <c r="E112" s="14"/>
    </row>
    <row r="113">
      <c r="A113" s="12"/>
      <c r="D113" s="95"/>
      <c r="E113" s="14"/>
    </row>
    <row r="114">
      <c r="A114" s="12"/>
      <c r="D114" s="95"/>
      <c r="E114" s="14"/>
    </row>
    <row r="115">
      <c r="A115" s="12"/>
      <c r="D115" s="95"/>
      <c r="E115" s="14"/>
    </row>
    <row r="116">
      <c r="A116" s="12"/>
      <c r="D116" s="95"/>
      <c r="E116" s="14"/>
    </row>
    <row r="117">
      <c r="A117" s="12"/>
      <c r="D117" s="95"/>
      <c r="E117" s="14"/>
    </row>
    <row r="118">
      <c r="A118" s="12"/>
      <c r="D118" s="95"/>
      <c r="E118" s="14"/>
    </row>
    <row r="119">
      <c r="A119" s="12"/>
      <c r="D119" s="95"/>
      <c r="E119" s="14"/>
    </row>
    <row r="120">
      <c r="A120" s="12"/>
      <c r="D120" s="95"/>
      <c r="E120" s="14"/>
    </row>
    <row r="121">
      <c r="A121" s="12"/>
      <c r="D121" s="95"/>
      <c r="E121" s="14"/>
    </row>
    <row r="122">
      <c r="A122" s="12"/>
      <c r="D122" s="95"/>
      <c r="E122" s="14"/>
    </row>
    <row r="123">
      <c r="A123" s="12"/>
      <c r="D123" s="95"/>
      <c r="E123" s="14"/>
    </row>
    <row r="124">
      <c r="A124" s="12"/>
      <c r="D124" s="95"/>
      <c r="E124" s="14"/>
    </row>
    <row r="125">
      <c r="A125" s="12"/>
      <c r="D125" s="95"/>
      <c r="E125" s="14"/>
    </row>
    <row r="126">
      <c r="A126" s="12"/>
      <c r="D126" s="95"/>
      <c r="E126" s="14"/>
    </row>
    <row r="127">
      <c r="A127" s="12"/>
      <c r="D127" s="95"/>
      <c r="E127" s="14"/>
    </row>
    <row r="128">
      <c r="A128" s="12"/>
      <c r="D128" s="95"/>
      <c r="E128" s="14"/>
    </row>
    <row r="129">
      <c r="A129" s="12"/>
      <c r="D129" s="95"/>
      <c r="E129" s="14"/>
    </row>
    <row r="130">
      <c r="A130" s="12"/>
      <c r="D130" s="95"/>
      <c r="E130" s="14"/>
    </row>
    <row r="131">
      <c r="A131" s="12"/>
      <c r="D131" s="95"/>
      <c r="E131" s="14"/>
    </row>
    <row r="132">
      <c r="A132" s="12"/>
      <c r="D132" s="95"/>
      <c r="E132" s="14"/>
    </row>
    <row r="133">
      <c r="A133" s="12"/>
      <c r="D133" s="95"/>
      <c r="E133" s="14"/>
    </row>
    <row r="134">
      <c r="A134" s="12"/>
      <c r="D134" s="95"/>
      <c r="E134" s="14"/>
    </row>
    <row r="135">
      <c r="A135" s="12"/>
      <c r="D135" s="95"/>
      <c r="E135" s="14"/>
    </row>
    <row r="136">
      <c r="A136" s="12"/>
      <c r="D136" s="95"/>
      <c r="E136" s="14"/>
    </row>
    <row r="137">
      <c r="A137" s="12"/>
      <c r="D137" s="95"/>
      <c r="E137" s="14"/>
    </row>
    <row r="138">
      <c r="A138" s="12"/>
      <c r="D138" s="95"/>
      <c r="E138" s="14"/>
    </row>
    <row r="139">
      <c r="A139" s="12"/>
      <c r="D139" s="95"/>
      <c r="E139" s="14"/>
    </row>
    <row r="140">
      <c r="A140" s="12"/>
      <c r="D140" s="95"/>
      <c r="E140" s="14"/>
    </row>
    <row r="141">
      <c r="A141" s="12"/>
      <c r="D141" s="95"/>
      <c r="E141" s="14"/>
    </row>
    <row r="142">
      <c r="A142" s="12"/>
      <c r="D142" s="95"/>
      <c r="E142" s="14"/>
    </row>
    <row r="143">
      <c r="A143" s="12"/>
      <c r="D143" s="95"/>
      <c r="E143" s="14"/>
    </row>
    <row r="144">
      <c r="A144" s="12"/>
      <c r="D144" s="95"/>
      <c r="E144" s="14"/>
    </row>
    <row r="145">
      <c r="A145" s="12"/>
      <c r="D145" s="95"/>
      <c r="E145" s="14"/>
    </row>
    <row r="146">
      <c r="A146" s="12"/>
      <c r="D146" s="95"/>
      <c r="E146" s="14"/>
    </row>
    <row r="147">
      <c r="A147" s="12"/>
      <c r="D147" s="95"/>
      <c r="E147" s="14"/>
    </row>
    <row r="148">
      <c r="A148" s="12"/>
      <c r="D148" s="95"/>
      <c r="E148" s="14"/>
    </row>
    <row r="149">
      <c r="A149" s="12"/>
      <c r="D149" s="95"/>
      <c r="E149" s="14"/>
    </row>
    <row r="150">
      <c r="A150" s="12"/>
      <c r="D150" s="95"/>
      <c r="E150" s="14"/>
    </row>
    <row r="151">
      <c r="A151" s="12"/>
      <c r="D151" s="95"/>
      <c r="E151" s="14"/>
    </row>
    <row r="152">
      <c r="A152" s="12"/>
      <c r="D152" s="95"/>
      <c r="E152" s="14"/>
    </row>
    <row r="153">
      <c r="A153" s="12"/>
      <c r="D153" s="95"/>
      <c r="E153" s="14"/>
    </row>
    <row r="154">
      <c r="A154" s="12"/>
      <c r="D154" s="95"/>
      <c r="E154" s="14"/>
    </row>
    <row r="155">
      <c r="A155" s="12"/>
      <c r="D155" s="95"/>
      <c r="E155" s="14"/>
    </row>
    <row r="156">
      <c r="A156" s="12"/>
      <c r="D156" s="95"/>
      <c r="E156" s="14"/>
    </row>
    <row r="157">
      <c r="A157" s="12"/>
      <c r="D157" s="95"/>
      <c r="E157" s="14"/>
    </row>
    <row r="158">
      <c r="A158" s="12"/>
      <c r="D158" s="95"/>
      <c r="E158" s="14"/>
    </row>
    <row r="159">
      <c r="A159" s="12"/>
      <c r="D159" s="95"/>
      <c r="E159" s="14"/>
    </row>
    <row r="160">
      <c r="A160" s="12"/>
      <c r="D160" s="95"/>
      <c r="E160" s="14"/>
    </row>
    <row r="161">
      <c r="A161" s="12"/>
      <c r="D161" s="95"/>
      <c r="E161" s="14"/>
    </row>
    <row r="162">
      <c r="A162" s="12"/>
      <c r="D162" s="95"/>
      <c r="E162" s="14"/>
    </row>
    <row r="163">
      <c r="A163" s="12"/>
      <c r="D163" s="95"/>
      <c r="E163" s="14"/>
    </row>
    <row r="164">
      <c r="A164" s="12"/>
      <c r="D164" s="95"/>
      <c r="E164" s="14"/>
    </row>
    <row r="165">
      <c r="A165" s="12"/>
      <c r="D165" s="95"/>
      <c r="E165" s="14"/>
    </row>
    <row r="166">
      <c r="A166" s="12"/>
      <c r="D166" s="95"/>
      <c r="E166" s="14"/>
    </row>
    <row r="167">
      <c r="A167" s="12"/>
      <c r="D167" s="95"/>
      <c r="E167" s="14"/>
    </row>
    <row r="168">
      <c r="A168" s="12"/>
      <c r="D168" s="95"/>
      <c r="E168" s="14"/>
    </row>
    <row r="169">
      <c r="A169" s="12"/>
      <c r="D169" s="95"/>
      <c r="E169" s="14"/>
    </row>
    <row r="170">
      <c r="A170" s="12"/>
      <c r="D170" s="95"/>
      <c r="E170" s="14"/>
    </row>
    <row r="171">
      <c r="A171" s="12"/>
      <c r="D171" s="95"/>
      <c r="E171" s="14"/>
    </row>
    <row r="172">
      <c r="A172" s="12"/>
      <c r="D172" s="95"/>
      <c r="E172" s="14"/>
    </row>
    <row r="173">
      <c r="A173" s="12"/>
      <c r="D173" s="95"/>
      <c r="E173" s="14"/>
    </row>
    <row r="174">
      <c r="A174" s="12"/>
      <c r="D174" s="95"/>
      <c r="E174" s="14"/>
    </row>
    <row r="175">
      <c r="A175" s="12"/>
      <c r="D175" s="95"/>
      <c r="E175" s="14"/>
    </row>
    <row r="176">
      <c r="A176" s="12"/>
      <c r="D176" s="95"/>
      <c r="E176" s="14"/>
    </row>
    <row r="177">
      <c r="A177" s="12"/>
      <c r="D177" s="95"/>
      <c r="E177" s="14"/>
    </row>
    <row r="178">
      <c r="A178" s="12"/>
      <c r="D178" s="95"/>
      <c r="E178" s="14"/>
    </row>
    <row r="179">
      <c r="A179" s="12"/>
      <c r="D179" s="95"/>
      <c r="E179" s="14"/>
    </row>
    <row r="180">
      <c r="A180" s="12"/>
      <c r="D180" s="95"/>
      <c r="E180" s="14"/>
    </row>
    <row r="181">
      <c r="A181" s="12"/>
      <c r="D181" s="95"/>
      <c r="E181" s="14"/>
    </row>
    <row r="182">
      <c r="A182" s="12"/>
      <c r="D182" s="95"/>
      <c r="E182" s="14"/>
    </row>
    <row r="183">
      <c r="A183" s="12"/>
      <c r="D183" s="95"/>
      <c r="E183" s="14"/>
    </row>
    <row r="184">
      <c r="A184" s="12"/>
      <c r="D184" s="95"/>
      <c r="E184" s="14"/>
    </row>
    <row r="185">
      <c r="A185" s="12"/>
      <c r="D185" s="95"/>
      <c r="E185" s="14"/>
    </row>
    <row r="186">
      <c r="A186" s="12"/>
      <c r="D186" s="95"/>
      <c r="E186" s="14"/>
    </row>
    <row r="187">
      <c r="A187" s="12"/>
      <c r="D187" s="95"/>
      <c r="E187" s="14"/>
    </row>
    <row r="188">
      <c r="A188" s="12"/>
      <c r="D188" s="95"/>
      <c r="E188" s="14"/>
    </row>
    <row r="189">
      <c r="A189" s="12"/>
      <c r="D189" s="95"/>
      <c r="E189" s="14"/>
    </row>
    <row r="190">
      <c r="A190" s="12"/>
      <c r="D190" s="95"/>
      <c r="E190" s="14"/>
    </row>
    <row r="191">
      <c r="A191" s="12"/>
      <c r="D191" s="95"/>
      <c r="E191" s="14"/>
    </row>
    <row r="192">
      <c r="A192" s="12"/>
      <c r="D192" s="95"/>
      <c r="E192" s="14"/>
    </row>
    <row r="193">
      <c r="A193" s="12"/>
      <c r="D193" s="95"/>
      <c r="E193" s="14"/>
    </row>
    <row r="194">
      <c r="A194" s="12"/>
      <c r="D194" s="95"/>
      <c r="E194" s="14"/>
    </row>
    <row r="195">
      <c r="A195" s="12"/>
      <c r="D195" s="95"/>
      <c r="E195" s="14"/>
    </row>
    <row r="196">
      <c r="A196" s="12"/>
      <c r="D196" s="95"/>
      <c r="E196" s="14"/>
    </row>
    <row r="197">
      <c r="A197" s="12"/>
      <c r="D197" s="95"/>
      <c r="E197" s="14"/>
    </row>
    <row r="198">
      <c r="A198" s="12"/>
      <c r="D198" s="95"/>
      <c r="E198" s="14"/>
    </row>
    <row r="199">
      <c r="A199" s="12"/>
      <c r="D199" s="95"/>
      <c r="E199" s="14"/>
    </row>
    <row r="200">
      <c r="A200" s="12"/>
      <c r="D200" s="95"/>
      <c r="E200" s="14"/>
    </row>
    <row r="201">
      <c r="A201" s="12"/>
      <c r="D201" s="95"/>
      <c r="E201" s="14"/>
    </row>
    <row r="202">
      <c r="A202" s="12"/>
      <c r="D202" s="95"/>
      <c r="E202" s="14"/>
    </row>
    <row r="203">
      <c r="A203" s="12"/>
      <c r="D203" s="95"/>
      <c r="E203" s="14"/>
    </row>
    <row r="204">
      <c r="A204" s="12"/>
      <c r="D204" s="95"/>
      <c r="E204" s="14"/>
    </row>
    <row r="205">
      <c r="A205" s="12"/>
      <c r="D205" s="95"/>
      <c r="E205" s="14"/>
    </row>
    <row r="206">
      <c r="A206" s="12"/>
      <c r="D206" s="95"/>
      <c r="E206" s="14"/>
    </row>
    <row r="207">
      <c r="A207" s="12"/>
      <c r="D207" s="95"/>
      <c r="E207" s="14"/>
    </row>
    <row r="208">
      <c r="A208" s="12"/>
      <c r="D208" s="95"/>
      <c r="E208" s="14"/>
    </row>
    <row r="209">
      <c r="A209" s="12"/>
      <c r="D209" s="95"/>
      <c r="E209" s="14"/>
    </row>
    <row r="210">
      <c r="A210" s="12"/>
      <c r="D210" s="95"/>
      <c r="E210" s="14"/>
    </row>
    <row r="211">
      <c r="A211" s="12"/>
      <c r="D211" s="95"/>
      <c r="E211" s="14"/>
    </row>
    <row r="212">
      <c r="A212" s="12"/>
      <c r="D212" s="95"/>
      <c r="E212" s="14"/>
    </row>
    <row r="213">
      <c r="A213" s="12"/>
      <c r="D213" s="95"/>
      <c r="E213" s="14"/>
    </row>
    <row r="214">
      <c r="A214" s="12"/>
      <c r="D214" s="95"/>
      <c r="E214" s="14"/>
    </row>
    <row r="215">
      <c r="A215" s="12"/>
      <c r="D215" s="95"/>
      <c r="E215" s="14"/>
    </row>
    <row r="216">
      <c r="A216" s="12"/>
      <c r="D216" s="95"/>
      <c r="E216" s="14"/>
    </row>
    <row r="217">
      <c r="A217" s="12"/>
      <c r="D217" s="95"/>
      <c r="E217" s="14"/>
    </row>
    <row r="218">
      <c r="A218" s="12"/>
      <c r="D218" s="95"/>
      <c r="E218" s="14"/>
    </row>
    <row r="219">
      <c r="A219" s="12"/>
      <c r="D219" s="95"/>
      <c r="E219" s="14"/>
    </row>
    <row r="220">
      <c r="A220" s="12"/>
      <c r="D220" s="95"/>
      <c r="E220" s="14"/>
    </row>
    <row r="221">
      <c r="A221" s="12"/>
      <c r="D221" s="95"/>
      <c r="E221" s="14"/>
    </row>
    <row r="222">
      <c r="A222" s="12"/>
      <c r="D222" s="95"/>
      <c r="E222" s="14"/>
    </row>
    <row r="223">
      <c r="A223" s="12"/>
      <c r="D223" s="95"/>
      <c r="E223" s="14"/>
    </row>
    <row r="224">
      <c r="A224" s="12"/>
      <c r="D224" s="95"/>
      <c r="E224" s="14"/>
    </row>
    <row r="225">
      <c r="A225" s="12"/>
      <c r="D225" s="95"/>
      <c r="E225" s="14"/>
    </row>
    <row r="226">
      <c r="A226" s="12"/>
      <c r="D226" s="95"/>
      <c r="E226" s="14"/>
    </row>
    <row r="227">
      <c r="A227" s="12"/>
      <c r="D227" s="95"/>
      <c r="E227" s="14"/>
    </row>
    <row r="228">
      <c r="A228" s="12"/>
      <c r="D228" s="95"/>
      <c r="E228" s="14"/>
    </row>
    <row r="229">
      <c r="A229" s="12"/>
      <c r="D229" s="95"/>
      <c r="E229" s="14"/>
    </row>
    <row r="230">
      <c r="A230" s="12"/>
      <c r="D230" s="95"/>
      <c r="E230" s="14"/>
    </row>
    <row r="231">
      <c r="A231" s="12"/>
      <c r="D231" s="95"/>
      <c r="E231" s="14"/>
    </row>
    <row r="232">
      <c r="A232" s="12"/>
      <c r="D232" s="95"/>
      <c r="E232" s="14"/>
    </row>
    <row r="233">
      <c r="A233" s="12"/>
      <c r="D233" s="95"/>
      <c r="E233" s="14"/>
    </row>
    <row r="234">
      <c r="A234" s="12"/>
      <c r="D234" s="95"/>
      <c r="E234" s="14"/>
    </row>
    <row r="235">
      <c r="A235" s="12"/>
      <c r="D235" s="95"/>
      <c r="E235" s="14"/>
    </row>
    <row r="236">
      <c r="A236" s="12"/>
      <c r="D236" s="95"/>
      <c r="E236" s="14"/>
    </row>
    <row r="237">
      <c r="A237" s="12"/>
      <c r="D237" s="95"/>
      <c r="E237" s="14"/>
    </row>
    <row r="238">
      <c r="A238" s="12"/>
      <c r="D238" s="95"/>
      <c r="E238" s="14"/>
    </row>
    <row r="239">
      <c r="A239" s="12"/>
      <c r="D239" s="95"/>
      <c r="E239" s="14"/>
    </row>
    <row r="240">
      <c r="A240" s="12"/>
      <c r="D240" s="95"/>
      <c r="E240" s="14"/>
    </row>
    <row r="241">
      <c r="A241" s="12"/>
      <c r="D241" s="95"/>
      <c r="E241" s="14"/>
    </row>
    <row r="242">
      <c r="A242" s="12"/>
      <c r="D242" s="95"/>
      <c r="E242" s="14"/>
    </row>
    <row r="243">
      <c r="A243" s="12"/>
      <c r="D243" s="95"/>
      <c r="E243" s="14"/>
    </row>
    <row r="244">
      <c r="A244" s="12"/>
      <c r="D244" s="95"/>
      <c r="E244" s="14"/>
    </row>
    <row r="245">
      <c r="A245" s="12"/>
      <c r="D245" s="95"/>
      <c r="E245" s="14"/>
    </row>
    <row r="246">
      <c r="A246" s="12"/>
      <c r="D246" s="95"/>
      <c r="E246" s="14"/>
    </row>
    <row r="247">
      <c r="A247" s="12"/>
      <c r="D247" s="95"/>
      <c r="E247" s="14"/>
    </row>
    <row r="248">
      <c r="A248" s="12"/>
      <c r="D248" s="95"/>
      <c r="E248" s="14"/>
    </row>
    <row r="249">
      <c r="A249" s="12"/>
      <c r="D249" s="95"/>
      <c r="E249" s="14"/>
    </row>
    <row r="250">
      <c r="A250" s="12"/>
      <c r="D250" s="95"/>
      <c r="E250" s="14"/>
    </row>
    <row r="251">
      <c r="A251" s="12"/>
      <c r="D251" s="95"/>
      <c r="E251" s="14"/>
    </row>
    <row r="252">
      <c r="A252" s="12"/>
      <c r="D252" s="95"/>
      <c r="E252" s="14"/>
    </row>
    <row r="253">
      <c r="A253" s="12"/>
      <c r="D253" s="95"/>
      <c r="E253" s="14"/>
    </row>
    <row r="254">
      <c r="A254" s="12"/>
      <c r="D254" s="95"/>
      <c r="E254" s="14"/>
    </row>
    <row r="255">
      <c r="A255" s="12"/>
      <c r="D255" s="95"/>
      <c r="E255" s="14"/>
    </row>
    <row r="256">
      <c r="A256" s="12"/>
      <c r="D256" s="95"/>
      <c r="E256" s="14"/>
    </row>
    <row r="257">
      <c r="A257" s="12"/>
      <c r="D257" s="95"/>
      <c r="E257" s="14"/>
    </row>
    <row r="258">
      <c r="A258" s="12"/>
      <c r="D258" s="95"/>
      <c r="E258" s="14"/>
    </row>
    <row r="259">
      <c r="A259" s="12"/>
      <c r="D259" s="95"/>
      <c r="E259" s="14"/>
    </row>
    <row r="260">
      <c r="A260" s="12"/>
      <c r="D260" s="95"/>
      <c r="E260" s="14"/>
    </row>
    <row r="261">
      <c r="A261" s="12"/>
      <c r="D261" s="95"/>
      <c r="E261" s="14"/>
    </row>
    <row r="262">
      <c r="A262" s="12"/>
      <c r="D262" s="95"/>
      <c r="E262" s="14"/>
    </row>
    <row r="263">
      <c r="A263" s="12"/>
      <c r="D263" s="95"/>
      <c r="E263" s="14"/>
    </row>
    <row r="264">
      <c r="A264" s="12"/>
      <c r="D264" s="95"/>
      <c r="E264" s="14"/>
    </row>
    <row r="265">
      <c r="A265" s="12"/>
      <c r="D265" s="95"/>
      <c r="E265" s="14"/>
    </row>
    <row r="266">
      <c r="A266" s="12"/>
      <c r="D266" s="95"/>
      <c r="E266" s="14"/>
    </row>
    <row r="267">
      <c r="A267" s="12"/>
      <c r="D267" s="95"/>
      <c r="E267" s="14"/>
    </row>
    <row r="268">
      <c r="A268" s="12"/>
      <c r="D268" s="95"/>
      <c r="E268" s="14"/>
    </row>
    <row r="269">
      <c r="A269" s="12"/>
      <c r="D269" s="95"/>
      <c r="E269" s="14"/>
    </row>
    <row r="270">
      <c r="A270" s="12"/>
      <c r="D270" s="95"/>
      <c r="E270" s="14"/>
    </row>
    <row r="271">
      <c r="A271" s="12"/>
      <c r="D271" s="95"/>
      <c r="E271" s="14"/>
    </row>
    <row r="272">
      <c r="A272" s="12"/>
      <c r="D272" s="95"/>
      <c r="E272" s="14"/>
    </row>
    <row r="273">
      <c r="A273" s="12"/>
      <c r="D273" s="95"/>
      <c r="E273" s="14"/>
    </row>
    <row r="274">
      <c r="A274" s="12"/>
      <c r="D274" s="95"/>
      <c r="E274" s="14"/>
    </row>
    <row r="275">
      <c r="A275" s="12"/>
      <c r="D275" s="95"/>
      <c r="E275" s="14"/>
    </row>
    <row r="276">
      <c r="A276" s="12"/>
      <c r="D276" s="95"/>
      <c r="E276" s="14"/>
    </row>
    <row r="277">
      <c r="A277" s="12"/>
      <c r="D277" s="95"/>
      <c r="E277" s="14"/>
    </row>
    <row r="278">
      <c r="A278" s="12"/>
      <c r="D278" s="95"/>
      <c r="E278" s="14"/>
    </row>
    <row r="279">
      <c r="A279" s="12"/>
      <c r="D279" s="95"/>
      <c r="E279" s="14"/>
    </row>
    <row r="280">
      <c r="A280" s="12"/>
      <c r="D280" s="95"/>
      <c r="E280" s="14"/>
    </row>
    <row r="281">
      <c r="A281" s="12"/>
      <c r="D281" s="95"/>
      <c r="E281" s="14"/>
    </row>
    <row r="282">
      <c r="A282" s="12"/>
      <c r="D282" s="95"/>
      <c r="E282" s="14"/>
    </row>
    <row r="283">
      <c r="A283" s="12"/>
      <c r="D283" s="95"/>
      <c r="E283" s="14"/>
    </row>
    <row r="284">
      <c r="A284" s="12"/>
      <c r="D284" s="95"/>
      <c r="E284" s="14"/>
    </row>
    <row r="285">
      <c r="A285" s="12"/>
      <c r="D285" s="95"/>
      <c r="E285" s="14"/>
    </row>
    <row r="286">
      <c r="A286" s="12"/>
      <c r="D286" s="95"/>
      <c r="E286" s="14"/>
    </row>
    <row r="287">
      <c r="A287" s="12"/>
      <c r="D287" s="95"/>
      <c r="E287" s="14"/>
    </row>
    <row r="288">
      <c r="A288" s="12"/>
      <c r="D288" s="95"/>
      <c r="E288" s="14"/>
    </row>
    <row r="289">
      <c r="A289" s="12"/>
      <c r="D289" s="95"/>
      <c r="E289" s="14"/>
    </row>
    <row r="290">
      <c r="A290" s="12"/>
      <c r="D290" s="95"/>
      <c r="E290" s="14"/>
    </row>
    <row r="291">
      <c r="A291" s="12"/>
      <c r="D291" s="95"/>
      <c r="E291" s="14"/>
    </row>
    <row r="292">
      <c r="A292" s="12"/>
      <c r="D292" s="95"/>
      <c r="E292" s="14"/>
    </row>
    <row r="293">
      <c r="A293" s="12"/>
      <c r="D293" s="95"/>
      <c r="E293" s="14"/>
    </row>
    <row r="294">
      <c r="A294" s="12"/>
      <c r="D294" s="95"/>
      <c r="E294" s="14"/>
    </row>
    <row r="295">
      <c r="A295" s="12"/>
      <c r="D295" s="95"/>
      <c r="E295" s="14"/>
    </row>
    <row r="296">
      <c r="A296" s="12"/>
      <c r="D296" s="95"/>
      <c r="E296" s="14"/>
    </row>
    <row r="297">
      <c r="A297" s="12"/>
      <c r="D297" s="95"/>
      <c r="E297" s="14"/>
    </row>
    <row r="298">
      <c r="A298" s="12"/>
      <c r="D298" s="95"/>
      <c r="E298" s="14"/>
    </row>
    <row r="299">
      <c r="A299" s="12"/>
      <c r="D299" s="95"/>
      <c r="E299" s="14"/>
    </row>
    <row r="300">
      <c r="A300" s="12"/>
      <c r="D300" s="95"/>
      <c r="E300" s="14"/>
    </row>
    <row r="301">
      <c r="A301" s="12"/>
      <c r="D301" s="95"/>
      <c r="E301" s="14"/>
    </row>
    <row r="302">
      <c r="A302" s="12"/>
      <c r="D302" s="95"/>
      <c r="E302" s="14"/>
    </row>
    <row r="303">
      <c r="A303" s="12"/>
      <c r="D303" s="95"/>
      <c r="E303" s="14"/>
    </row>
    <row r="304">
      <c r="A304" s="12"/>
      <c r="D304" s="95"/>
      <c r="E304" s="14"/>
    </row>
    <row r="305">
      <c r="A305" s="12"/>
      <c r="D305" s="95"/>
      <c r="E305" s="14"/>
    </row>
    <row r="306">
      <c r="A306" s="12"/>
      <c r="D306" s="95"/>
      <c r="E306" s="14"/>
    </row>
    <row r="307">
      <c r="A307" s="12"/>
      <c r="D307" s="95"/>
      <c r="E307" s="14"/>
    </row>
    <row r="308">
      <c r="A308" s="12"/>
      <c r="D308" s="95"/>
      <c r="E308" s="14"/>
    </row>
    <row r="309">
      <c r="A309" s="12"/>
      <c r="D309" s="95"/>
      <c r="E309" s="14"/>
    </row>
    <row r="310">
      <c r="A310" s="12"/>
      <c r="D310" s="95"/>
      <c r="E310" s="14"/>
    </row>
    <row r="311">
      <c r="A311" s="12"/>
      <c r="D311" s="95"/>
      <c r="E311" s="14"/>
    </row>
    <row r="312">
      <c r="A312" s="12"/>
      <c r="D312" s="95"/>
      <c r="E312" s="14"/>
    </row>
    <row r="313">
      <c r="A313" s="12"/>
      <c r="D313" s="95"/>
      <c r="E313" s="14"/>
    </row>
    <row r="314">
      <c r="A314" s="12"/>
      <c r="D314" s="95"/>
      <c r="E314" s="14"/>
    </row>
    <row r="315">
      <c r="A315" s="12"/>
      <c r="D315" s="95"/>
      <c r="E315" s="14"/>
    </row>
    <row r="316">
      <c r="A316" s="12"/>
      <c r="D316" s="95"/>
      <c r="E316" s="14"/>
    </row>
    <row r="317">
      <c r="A317" s="12"/>
      <c r="D317" s="95"/>
      <c r="E317" s="14"/>
    </row>
    <row r="318">
      <c r="A318" s="12"/>
      <c r="D318" s="95"/>
      <c r="E318" s="14"/>
    </row>
    <row r="319">
      <c r="A319" s="12"/>
      <c r="D319" s="95"/>
      <c r="E319" s="14"/>
    </row>
    <row r="320">
      <c r="A320" s="12"/>
      <c r="D320" s="95"/>
      <c r="E320" s="14"/>
    </row>
    <row r="321">
      <c r="A321" s="12"/>
      <c r="D321" s="95"/>
      <c r="E321" s="14"/>
    </row>
    <row r="322">
      <c r="A322" s="12"/>
      <c r="D322" s="95"/>
      <c r="E322" s="14"/>
    </row>
    <row r="323">
      <c r="A323" s="12"/>
      <c r="D323" s="95"/>
      <c r="E323" s="14"/>
    </row>
    <row r="324">
      <c r="A324" s="12"/>
      <c r="D324" s="95"/>
      <c r="E324" s="14"/>
    </row>
    <row r="325">
      <c r="A325" s="12"/>
      <c r="D325" s="95"/>
      <c r="E325" s="14"/>
    </row>
    <row r="326">
      <c r="A326" s="12"/>
      <c r="D326" s="95"/>
      <c r="E326" s="14"/>
    </row>
    <row r="327">
      <c r="A327" s="12"/>
      <c r="D327" s="95"/>
      <c r="E327" s="14"/>
    </row>
    <row r="328">
      <c r="A328" s="12"/>
      <c r="D328" s="95"/>
      <c r="E328" s="14"/>
    </row>
    <row r="329">
      <c r="A329" s="12"/>
      <c r="D329" s="95"/>
      <c r="E329" s="14"/>
    </row>
    <row r="330">
      <c r="A330" s="12"/>
      <c r="D330" s="95"/>
      <c r="E330" s="14"/>
    </row>
    <row r="331">
      <c r="A331" s="12"/>
      <c r="D331" s="95"/>
      <c r="E331" s="14"/>
    </row>
    <row r="332">
      <c r="A332" s="12"/>
      <c r="D332" s="95"/>
      <c r="E332" s="14"/>
    </row>
    <row r="333">
      <c r="A333" s="12"/>
      <c r="D333" s="95"/>
      <c r="E333" s="14"/>
    </row>
    <row r="334">
      <c r="A334" s="12"/>
      <c r="D334" s="95"/>
      <c r="E334" s="14"/>
    </row>
    <row r="335">
      <c r="A335" s="12"/>
      <c r="D335" s="95"/>
      <c r="E335" s="14"/>
    </row>
    <row r="336">
      <c r="A336" s="12"/>
      <c r="D336" s="95"/>
      <c r="E336" s="14"/>
    </row>
    <row r="337">
      <c r="A337" s="12"/>
      <c r="D337" s="95"/>
      <c r="E337" s="14"/>
    </row>
    <row r="338">
      <c r="A338" s="12"/>
      <c r="D338" s="95"/>
      <c r="E338" s="14"/>
    </row>
    <row r="339">
      <c r="A339" s="12"/>
      <c r="D339" s="95"/>
      <c r="E339" s="14"/>
    </row>
    <row r="340">
      <c r="A340" s="12"/>
      <c r="D340" s="95"/>
      <c r="E340" s="14"/>
    </row>
    <row r="341">
      <c r="A341" s="12"/>
      <c r="D341" s="95"/>
      <c r="E341" s="14"/>
    </row>
    <row r="342">
      <c r="A342" s="12"/>
      <c r="D342" s="95"/>
      <c r="E342" s="14"/>
    </row>
    <row r="343">
      <c r="A343" s="12"/>
      <c r="D343" s="95"/>
      <c r="E343" s="14"/>
    </row>
    <row r="344">
      <c r="A344" s="12"/>
      <c r="D344" s="95"/>
      <c r="E344" s="14"/>
    </row>
    <row r="345">
      <c r="A345" s="12"/>
      <c r="D345" s="95"/>
      <c r="E345" s="14"/>
    </row>
    <row r="346">
      <c r="A346" s="12"/>
      <c r="D346" s="95"/>
      <c r="E346" s="14"/>
    </row>
    <row r="347">
      <c r="A347" s="12"/>
      <c r="D347" s="95"/>
      <c r="E347" s="14"/>
    </row>
    <row r="348">
      <c r="A348" s="12"/>
      <c r="D348" s="95"/>
      <c r="E348" s="14"/>
    </row>
    <row r="349">
      <c r="A349" s="12"/>
      <c r="D349" s="95"/>
      <c r="E349" s="14"/>
    </row>
    <row r="350">
      <c r="A350" s="12"/>
      <c r="D350" s="95"/>
      <c r="E350" s="14"/>
    </row>
    <row r="351">
      <c r="A351" s="12"/>
      <c r="D351" s="95"/>
      <c r="E351" s="14"/>
    </row>
    <row r="352">
      <c r="A352" s="12"/>
      <c r="D352" s="95"/>
      <c r="E352" s="14"/>
    </row>
    <row r="353">
      <c r="A353" s="12"/>
      <c r="D353" s="95"/>
      <c r="E353" s="14"/>
    </row>
    <row r="354">
      <c r="A354" s="12"/>
      <c r="D354" s="95"/>
      <c r="E354" s="14"/>
    </row>
    <row r="355">
      <c r="A355" s="12"/>
      <c r="D355" s="95"/>
      <c r="E355" s="14"/>
    </row>
    <row r="356">
      <c r="A356" s="12"/>
      <c r="D356" s="95"/>
      <c r="E356" s="14"/>
    </row>
    <row r="357">
      <c r="A357" s="12"/>
      <c r="D357" s="95"/>
      <c r="E357" s="14"/>
    </row>
    <row r="358">
      <c r="A358" s="12"/>
      <c r="D358" s="95"/>
      <c r="E358" s="14"/>
    </row>
    <row r="359">
      <c r="A359" s="12"/>
      <c r="D359" s="95"/>
      <c r="E359" s="14"/>
    </row>
    <row r="360">
      <c r="A360" s="12"/>
      <c r="D360" s="95"/>
      <c r="E360" s="14"/>
    </row>
    <row r="361">
      <c r="A361" s="12"/>
      <c r="D361" s="95"/>
      <c r="E361" s="14"/>
    </row>
    <row r="362">
      <c r="A362" s="12"/>
      <c r="D362" s="95"/>
      <c r="E362" s="14"/>
    </row>
    <row r="363">
      <c r="A363" s="12"/>
      <c r="D363" s="95"/>
      <c r="E363" s="14"/>
    </row>
    <row r="364">
      <c r="A364" s="12"/>
      <c r="D364" s="95"/>
      <c r="E364" s="14"/>
    </row>
    <row r="365">
      <c r="A365" s="12"/>
      <c r="D365" s="95"/>
      <c r="E365" s="14"/>
    </row>
    <row r="366">
      <c r="A366" s="12"/>
      <c r="D366" s="95"/>
      <c r="E366" s="14"/>
    </row>
    <row r="367">
      <c r="A367" s="12"/>
      <c r="D367" s="95"/>
      <c r="E367" s="14"/>
    </row>
    <row r="368">
      <c r="A368" s="12"/>
      <c r="D368" s="95"/>
      <c r="E368" s="14"/>
    </row>
    <row r="369">
      <c r="A369" s="12"/>
      <c r="D369" s="95"/>
      <c r="E369" s="14"/>
    </row>
    <row r="370">
      <c r="A370" s="12"/>
      <c r="D370" s="95"/>
      <c r="E370" s="14"/>
    </row>
    <row r="371">
      <c r="A371" s="12"/>
      <c r="D371" s="95"/>
      <c r="E371" s="14"/>
    </row>
    <row r="372">
      <c r="A372" s="12"/>
      <c r="D372" s="95"/>
      <c r="E372" s="14"/>
    </row>
    <row r="373">
      <c r="A373" s="12"/>
      <c r="D373" s="95"/>
      <c r="E373" s="14"/>
    </row>
    <row r="374">
      <c r="A374" s="12"/>
      <c r="D374" s="95"/>
      <c r="E374" s="14"/>
    </row>
    <row r="375">
      <c r="A375" s="12"/>
      <c r="D375" s="95"/>
      <c r="E375" s="14"/>
    </row>
    <row r="376">
      <c r="A376" s="12"/>
      <c r="D376" s="95"/>
      <c r="E376" s="14"/>
    </row>
    <row r="377">
      <c r="A377" s="12"/>
      <c r="D377" s="95"/>
      <c r="E377" s="14"/>
    </row>
    <row r="378">
      <c r="A378" s="12"/>
      <c r="D378" s="95"/>
      <c r="E378" s="14"/>
    </row>
    <row r="379">
      <c r="A379" s="12"/>
      <c r="D379" s="95"/>
      <c r="E379" s="14"/>
    </row>
    <row r="380">
      <c r="A380" s="12"/>
      <c r="D380" s="95"/>
      <c r="E380" s="14"/>
    </row>
    <row r="381">
      <c r="A381" s="12"/>
      <c r="D381" s="95"/>
      <c r="E381" s="14"/>
    </row>
    <row r="382">
      <c r="A382" s="12"/>
      <c r="D382" s="95"/>
      <c r="E382" s="14"/>
    </row>
    <row r="383">
      <c r="A383" s="12"/>
      <c r="D383" s="95"/>
      <c r="E383" s="14"/>
    </row>
    <row r="384">
      <c r="A384" s="12"/>
      <c r="D384" s="95"/>
      <c r="E384" s="14"/>
    </row>
    <row r="385">
      <c r="A385" s="12"/>
      <c r="D385" s="95"/>
      <c r="E385" s="14"/>
    </row>
    <row r="386">
      <c r="A386" s="12"/>
      <c r="D386" s="95"/>
      <c r="E386" s="14"/>
    </row>
    <row r="387">
      <c r="A387" s="12"/>
      <c r="D387" s="95"/>
      <c r="E387" s="14"/>
    </row>
    <row r="388">
      <c r="A388" s="12"/>
      <c r="D388" s="95"/>
      <c r="E388" s="14"/>
    </row>
    <row r="389">
      <c r="A389" s="12"/>
      <c r="D389" s="95"/>
      <c r="E389" s="14"/>
    </row>
    <row r="390">
      <c r="A390" s="12"/>
      <c r="D390" s="95"/>
      <c r="E390" s="14"/>
    </row>
    <row r="391">
      <c r="A391" s="12"/>
      <c r="D391" s="95"/>
      <c r="E391" s="14"/>
    </row>
    <row r="392">
      <c r="A392" s="12"/>
      <c r="D392" s="95"/>
      <c r="E392" s="14"/>
    </row>
    <row r="393">
      <c r="A393" s="12"/>
      <c r="D393" s="95"/>
      <c r="E393" s="14"/>
    </row>
    <row r="394">
      <c r="A394" s="12"/>
      <c r="D394" s="95"/>
      <c r="E394" s="14"/>
    </row>
    <row r="395">
      <c r="A395" s="12"/>
      <c r="D395" s="95"/>
      <c r="E395" s="14"/>
    </row>
    <row r="396">
      <c r="A396" s="12"/>
      <c r="D396" s="95"/>
      <c r="E396" s="14"/>
    </row>
    <row r="397">
      <c r="A397" s="12"/>
      <c r="D397" s="95"/>
      <c r="E397" s="14"/>
    </row>
    <row r="398">
      <c r="A398" s="12"/>
      <c r="D398" s="95"/>
      <c r="E398" s="14"/>
    </row>
    <row r="399">
      <c r="A399" s="12"/>
      <c r="D399" s="95"/>
      <c r="E399" s="14"/>
    </row>
    <row r="400">
      <c r="A400" s="12"/>
      <c r="D400" s="95"/>
      <c r="E400" s="14"/>
    </row>
    <row r="401">
      <c r="A401" s="12"/>
      <c r="D401" s="95"/>
      <c r="E401" s="14"/>
    </row>
    <row r="402">
      <c r="A402" s="12"/>
      <c r="D402" s="95"/>
      <c r="E402" s="14"/>
    </row>
    <row r="403">
      <c r="A403" s="12"/>
      <c r="D403" s="95"/>
      <c r="E403" s="14"/>
    </row>
    <row r="404">
      <c r="A404" s="12"/>
      <c r="D404" s="95"/>
      <c r="E404" s="14"/>
    </row>
    <row r="405">
      <c r="A405" s="12"/>
      <c r="D405" s="95"/>
      <c r="E405" s="14"/>
    </row>
    <row r="406">
      <c r="A406" s="12"/>
      <c r="D406" s="95"/>
      <c r="E406" s="14"/>
    </row>
    <row r="407">
      <c r="A407" s="12"/>
      <c r="D407" s="95"/>
      <c r="E407" s="14"/>
    </row>
    <row r="408">
      <c r="A408" s="12"/>
      <c r="D408" s="95"/>
      <c r="E408" s="14"/>
    </row>
    <row r="409">
      <c r="A409" s="12"/>
      <c r="D409" s="95"/>
      <c r="E409" s="14"/>
    </row>
    <row r="410">
      <c r="A410" s="12"/>
      <c r="D410" s="95"/>
      <c r="E410" s="14"/>
    </row>
    <row r="411">
      <c r="A411" s="12"/>
      <c r="D411" s="95"/>
      <c r="E411" s="14"/>
    </row>
    <row r="412">
      <c r="A412" s="12"/>
      <c r="D412" s="95"/>
      <c r="E412" s="14"/>
    </row>
    <row r="413">
      <c r="A413" s="12"/>
      <c r="D413" s="95"/>
      <c r="E413" s="14"/>
    </row>
    <row r="414">
      <c r="A414" s="12"/>
      <c r="D414" s="95"/>
      <c r="E414" s="14"/>
    </row>
    <row r="415">
      <c r="A415" s="12"/>
      <c r="D415" s="95"/>
      <c r="E415" s="14"/>
    </row>
    <row r="416">
      <c r="A416" s="12"/>
      <c r="D416" s="95"/>
      <c r="E416" s="14"/>
    </row>
    <row r="417">
      <c r="A417" s="12"/>
      <c r="D417" s="95"/>
      <c r="E417" s="14"/>
    </row>
    <row r="418">
      <c r="A418" s="12"/>
      <c r="D418" s="95"/>
      <c r="E418" s="14"/>
    </row>
    <row r="419">
      <c r="A419" s="12"/>
      <c r="D419" s="95"/>
      <c r="E419" s="14"/>
    </row>
    <row r="420">
      <c r="A420" s="12"/>
      <c r="D420" s="95"/>
      <c r="E420" s="14"/>
    </row>
    <row r="421">
      <c r="A421" s="12"/>
      <c r="D421" s="95"/>
      <c r="E421" s="14"/>
    </row>
    <row r="422">
      <c r="A422" s="12"/>
      <c r="D422" s="95"/>
      <c r="E422" s="14"/>
    </row>
    <row r="423">
      <c r="A423" s="12"/>
      <c r="D423" s="95"/>
      <c r="E423" s="14"/>
    </row>
    <row r="424">
      <c r="A424" s="12"/>
      <c r="D424" s="95"/>
      <c r="E424" s="14"/>
    </row>
    <row r="425">
      <c r="A425" s="12"/>
      <c r="D425" s="95"/>
      <c r="E425" s="14"/>
    </row>
    <row r="426">
      <c r="A426" s="12"/>
      <c r="D426" s="95"/>
      <c r="E426" s="14"/>
    </row>
    <row r="427">
      <c r="A427" s="12"/>
      <c r="D427" s="95"/>
      <c r="E427" s="14"/>
    </row>
    <row r="428">
      <c r="A428" s="12"/>
      <c r="D428" s="95"/>
      <c r="E428" s="14"/>
    </row>
    <row r="429">
      <c r="A429" s="12"/>
      <c r="D429" s="95"/>
      <c r="E429" s="14"/>
    </row>
    <row r="430">
      <c r="A430" s="12"/>
      <c r="D430" s="95"/>
      <c r="E430" s="14"/>
    </row>
    <row r="431">
      <c r="A431" s="12"/>
      <c r="D431" s="95"/>
      <c r="E431" s="14"/>
    </row>
    <row r="432">
      <c r="A432" s="12"/>
      <c r="D432" s="95"/>
      <c r="E432" s="14"/>
    </row>
    <row r="433">
      <c r="A433" s="12"/>
      <c r="D433" s="95"/>
      <c r="E433" s="14"/>
    </row>
    <row r="434">
      <c r="A434" s="12"/>
      <c r="D434" s="95"/>
      <c r="E434" s="14"/>
    </row>
    <row r="435">
      <c r="A435" s="12"/>
      <c r="D435" s="95"/>
      <c r="E435" s="14"/>
    </row>
    <row r="436">
      <c r="A436" s="12"/>
      <c r="D436" s="95"/>
      <c r="E436" s="14"/>
    </row>
    <row r="437">
      <c r="A437" s="12"/>
      <c r="D437" s="95"/>
      <c r="E437" s="14"/>
    </row>
    <row r="438">
      <c r="A438" s="12"/>
      <c r="D438" s="95"/>
      <c r="E438" s="14"/>
    </row>
    <row r="439">
      <c r="A439" s="12"/>
      <c r="D439" s="95"/>
      <c r="E439" s="14"/>
    </row>
    <row r="440">
      <c r="A440" s="12"/>
      <c r="D440" s="95"/>
      <c r="E440" s="14"/>
    </row>
    <row r="441">
      <c r="A441" s="12"/>
      <c r="D441" s="95"/>
      <c r="E441" s="14"/>
    </row>
    <row r="442">
      <c r="A442" s="12"/>
      <c r="D442" s="95"/>
      <c r="E442" s="14"/>
    </row>
    <row r="443">
      <c r="A443" s="12"/>
      <c r="D443" s="95"/>
      <c r="E443" s="14"/>
    </row>
    <row r="444">
      <c r="A444" s="12"/>
      <c r="D444" s="95"/>
      <c r="E444" s="14"/>
    </row>
    <row r="445">
      <c r="A445" s="12"/>
      <c r="D445" s="95"/>
      <c r="E445" s="14"/>
    </row>
    <row r="446">
      <c r="A446" s="12"/>
      <c r="D446" s="95"/>
      <c r="E446" s="14"/>
    </row>
    <row r="447">
      <c r="A447" s="12"/>
      <c r="D447" s="95"/>
      <c r="E447" s="14"/>
    </row>
    <row r="448">
      <c r="A448" s="12"/>
      <c r="D448" s="95"/>
      <c r="E448" s="14"/>
    </row>
    <row r="449">
      <c r="A449" s="12"/>
      <c r="D449" s="95"/>
      <c r="E449" s="14"/>
    </row>
    <row r="450">
      <c r="A450" s="12"/>
      <c r="D450" s="95"/>
      <c r="E450" s="14"/>
    </row>
    <row r="451">
      <c r="A451" s="12"/>
      <c r="D451" s="95"/>
      <c r="E451" s="14"/>
    </row>
    <row r="452">
      <c r="A452" s="12"/>
      <c r="D452" s="95"/>
      <c r="E452" s="14"/>
    </row>
    <row r="453">
      <c r="A453" s="12"/>
      <c r="D453" s="95"/>
      <c r="E453" s="14"/>
    </row>
    <row r="454">
      <c r="A454" s="12"/>
      <c r="D454" s="95"/>
      <c r="E454" s="14"/>
    </row>
    <row r="455">
      <c r="A455" s="12"/>
      <c r="D455" s="95"/>
      <c r="E455" s="14"/>
    </row>
    <row r="456">
      <c r="A456" s="12"/>
      <c r="D456" s="95"/>
      <c r="E456" s="14"/>
    </row>
    <row r="457">
      <c r="A457" s="12"/>
      <c r="D457" s="95"/>
      <c r="E457" s="14"/>
    </row>
    <row r="458">
      <c r="A458" s="12"/>
      <c r="D458" s="95"/>
      <c r="E458" s="14"/>
    </row>
    <row r="459">
      <c r="A459" s="12"/>
      <c r="D459" s="95"/>
      <c r="E459" s="14"/>
    </row>
    <row r="460">
      <c r="A460" s="12"/>
      <c r="D460" s="95"/>
      <c r="E460" s="14"/>
    </row>
    <row r="461">
      <c r="A461" s="12"/>
      <c r="D461" s="95"/>
      <c r="E461" s="14"/>
    </row>
    <row r="462">
      <c r="A462" s="12"/>
      <c r="D462" s="95"/>
      <c r="E462" s="14"/>
    </row>
    <row r="463">
      <c r="A463" s="12"/>
      <c r="D463" s="95"/>
      <c r="E463" s="14"/>
    </row>
    <row r="464">
      <c r="A464" s="12"/>
      <c r="D464" s="95"/>
      <c r="E464" s="14"/>
    </row>
    <row r="465">
      <c r="A465" s="12"/>
      <c r="D465" s="95"/>
      <c r="E465" s="14"/>
    </row>
    <row r="466">
      <c r="A466" s="12"/>
      <c r="D466" s="95"/>
      <c r="E466" s="14"/>
    </row>
    <row r="467">
      <c r="A467" s="12"/>
      <c r="D467" s="95"/>
      <c r="E467" s="14"/>
    </row>
    <row r="468">
      <c r="A468" s="12"/>
      <c r="D468" s="95"/>
      <c r="E468" s="14"/>
    </row>
    <row r="469">
      <c r="A469" s="12"/>
      <c r="D469" s="95"/>
      <c r="E469" s="14"/>
    </row>
    <row r="470">
      <c r="A470" s="12"/>
      <c r="D470" s="95"/>
      <c r="E470" s="14"/>
    </row>
    <row r="471">
      <c r="A471" s="12"/>
      <c r="D471" s="95"/>
      <c r="E471" s="14"/>
    </row>
    <row r="472">
      <c r="A472" s="12"/>
      <c r="D472" s="95"/>
      <c r="E472" s="14"/>
    </row>
    <row r="473">
      <c r="A473" s="12"/>
      <c r="D473" s="95"/>
      <c r="E473" s="14"/>
    </row>
    <row r="474">
      <c r="A474" s="12"/>
      <c r="D474" s="95"/>
      <c r="E474" s="14"/>
    </row>
    <row r="475">
      <c r="A475" s="12"/>
      <c r="D475" s="95"/>
      <c r="E475" s="14"/>
    </row>
    <row r="476">
      <c r="A476" s="12"/>
      <c r="D476" s="95"/>
      <c r="E476" s="14"/>
    </row>
    <row r="477">
      <c r="A477" s="12"/>
      <c r="D477" s="95"/>
      <c r="E477" s="14"/>
    </row>
    <row r="478">
      <c r="A478" s="12"/>
      <c r="D478" s="95"/>
      <c r="E478" s="14"/>
    </row>
    <row r="479">
      <c r="A479" s="12"/>
      <c r="D479" s="95"/>
      <c r="E479" s="14"/>
    </row>
    <row r="480">
      <c r="A480" s="12"/>
      <c r="D480" s="95"/>
      <c r="E480" s="14"/>
    </row>
    <row r="481">
      <c r="A481" s="12"/>
      <c r="D481" s="95"/>
      <c r="E481" s="14"/>
    </row>
    <row r="482">
      <c r="A482" s="12"/>
      <c r="D482" s="95"/>
      <c r="E482" s="14"/>
    </row>
    <row r="483">
      <c r="A483" s="12"/>
      <c r="D483" s="95"/>
      <c r="E483" s="14"/>
    </row>
    <row r="484">
      <c r="A484" s="12"/>
      <c r="D484" s="95"/>
      <c r="E484" s="14"/>
    </row>
    <row r="485">
      <c r="A485" s="12"/>
      <c r="D485" s="95"/>
      <c r="E485" s="14"/>
    </row>
    <row r="486">
      <c r="A486" s="12"/>
      <c r="D486" s="95"/>
      <c r="E486" s="14"/>
    </row>
    <row r="487">
      <c r="A487" s="12"/>
      <c r="D487" s="95"/>
      <c r="E487" s="14"/>
    </row>
    <row r="488">
      <c r="A488" s="12"/>
      <c r="D488" s="95"/>
      <c r="E488" s="14"/>
    </row>
    <row r="489">
      <c r="A489" s="12"/>
      <c r="D489" s="95"/>
      <c r="E489" s="14"/>
    </row>
    <row r="490">
      <c r="A490" s="12"/>
      <c r="D490" s="95"/>
      <c r="E490" s="14"/>
    </row>
    <row r="491">
      <c r="A491" s="12"/>
      <c r="D491" s="95"/>
      <c r="E491" s="14"/>
    </row>
    <row r="492">
      <c r="A492" s="12"/>
      <c r="D492" s="95"/>
      <c r="E492" s="14"/>
    </row>
    <row r="493">
      <c r="A493" s="12"/>
      <c r="D493" s="95"/>
      <c r="E493" s="14"/>
    </row>
    <row r="494">
      <c r="A494" s="12"/>
      <c r="D494" s="95"/>
      <c r="E494" s="14"/>
    </row>
    <row r="495">
      <c r="A495" s="12"/>
      <c r="D495" s="95"/>
      <c r="E495" s="14"/>
    </row>
    <row r="496">
      <c r="A496" s="12"/>
      <c r="D496" s="95"/>
      <c r="E496" s="14"/>
    </row>
    <row r="497">
      <c r="A497" s="12"/>
      <c r="D497" s="95"/>
      <c r="E497" s="14"/>
    </row>
    <row r="498">
      <c r="A498" s="12"/>
      <c r="D498" s="95"/>
      <c r="E498" s="14"/>
    </row>
    <row r="499">
      <c r="A499" s="12"/>
      <c r="D499" s="95"/>
      <c r="E499" s="14"/>
    </row>
    <row r="500">
      <c r="A500" s="12"/>
      <c r="D500" s="95"/>
      <c r="E500" s="14"/>
    </row>
    <row r="501">
      <c r="A501" s="12"/>
      <c r="D501" s="95"/>
      <c r="E501" s="14"/>
    </row>
    <row r="502">
      <c r="A502" s="12"/>
      <c r="D502" s="95"/>
      <c r="E502" s="14"/>
    </row>
    <row r="503">
      <c r="A503" s="12"/>
      <c r="D503" s="95"/>
      <c r="E503" s="14"/>
    </row>
    <row r="504">
      <c r="A504" s="12"/>
      <c r="D504" s="95"/>
      <c r="E504" s="14"/>
    </row>
    <row r="505">
      <c r="A505" s="12"/>
      <c r="D505" s="95"/>
      <c r="E505" s="14"/>
    </row>
    <row r="506">
      <c r="A506" s="12"/>
      <c r="D506" s="95"/>
      <c r="E506" s="14"/>
    </row>
    <row r="507">
      <c r="A507" s="12"/>
      <c r="D507" s="95"/>
      <c r="E507" s="14"/>
    </row>
    <row r="508">
      <c r="A508" s="12"/>
      <c r="D508" s="95"/>
      <c r="E508" s="14"/>
    </row>
    <row r="509">
      <c r="A509" s="12"/>
      <c r="D509" s="95"/>
      <c r="E509" s="14"/>
    </row>
    <row r="510">
      <c r="A510" s="12"/>
      <c r="D510" s="95"/>
      <c r="E510" s="14"/>
    </row>
    <row r="511">
      <c r="A511" s="12"/>
      <c r="D511" s="95"/>
      <c r="E511" s="14"/>
    </row>
    <row r="512">
      <c r="A512" s="12"/>
      <c r="D512" s="95"/>
      <c r="E512" s="14"/>
    </row>
    <row r="513">
      <c r="A513" s="12"/>
      <c r="D513" s="95"/>
      <c r="E513" s="14"/>
    </row>
    <row r="514">
      <c r="A514" s="12"/>
      <c r="D514" s="95"/>
      <c r="E514" s="14"/>
    </row>
    <row r="515">
      <c r="A515" s="12"/>
      <c r="D515" s="95"/>
      <c r="E515" s="14"/>
    </row>
    <row r="516">
      <c r="A516" s="12"/>
      <c r="D516" s="95"/>
      <c r="E516" s="14"/>
    </row>
    <row r="517">
      <c r="A517" s="12"/>
      <c r="D517" s="95"/>
      <c r="E517" s="14"/>
    </row>
    <row r="518">
      <c r="A518" s="12"/>
      <c r="D518" s="95"/>
      <c r="E518" s="14"/>
    </row>
    <row r="519">
      <c r="A519" s="12"/>
      <c r="D519" s="95"/>
      <c r="E519" s="14"/>
    </row>
    <row r="520">
      <c r="A520" s="12"/>
      <c r="D520" s="95"/>
      <c r="E520" s="14"/>
    </row>
    <row r="521">
      <c r="A521" s="12"/>
      <c r="D521" s="95"/>
      <c r="E521" s="14"/>
    </row>
    <row r="522">
      <c r="A522" s="12"/>
      <c r="D522" s="95"/>
      <c r="E522" s="14"/>
    </row>
    <row r="523">
      <c r="A523" s="12"/>
      <c r="D523" s="95"/>
      <c r="E523" s="14"/>
    </row>
    <row r="524">
      <c r="A524" s="12"/>
      <c r="D524" s="95"/>
      <c r="E524" s="14"/>
    </row>
    <row r="525">
      <c r="A525" s="12"/>
      <c r="D525" s="95"/>
      <c r="E525" s="14"/>
    </row>
    <row r="526">
      <c r="A526" s="12"/>
      <c r="D526" s="95"/>
      <c r="E526" s="14"/>
    </row>
    <row r="527">
      <c r="A527" s="12"/>
      <c r="D527" s="95"/>
      <c r="E527" s="14"/>
    </row>
    <row r="528">
      <c r="A528" s="12"/>
      <c r="D528" s="95"/>
      <c r="E528" s="14"/>
    </row>
    <row r="529">
      <c r="A529" s="12"/>
      <c r="D529" s="95"/>
      <c r="E529" s="14"/>
    </row>
    <row r="530">
      <c r="A530" s="12"/>
      <c r="D530" s="95"/>
      <c r="E530" s="14"/>
    </row>
    <row r="531">
      <c r="A531" s="12"/>
      <c r="D531" s="95"/>
      <c r="E531" s="14"/>
    </row>
    <row r="532">
      <c r="A532" s="12"/>
      <c r="D532" s="95"/>
      <c r="E532" s="14"/>
    </row>
    <row r="533">
      <c r="A533" s="12"/>
      <c r="D533" s="95"/>
      <c r="E533" s="14"/>
    </row>
    <row r="534">
      <c r="A534" s="12"/>
      <c r="D534" s="95"/>
      <c r="E534" s="14"/>
    </row>
    <row r="535">
      <c r="A535" s="12"/>
      <c r="D535" s="95"/>
      <c r="E535" s="14"/>
    </row>
    <row r="536">
      <c r="A536" s="12"/>
      <c r="D536" s="95"/>
      <c r="E536" s="14"/>
    </row>
    <row r="537">
      <c r="A537" s="12"/>
      <c r="D537" s="95"/>
      <c r="E537" s="14"/>
    </row>
    <row r="538">
      <c r="A538" s="12"/>
      <c r="D538" s="95"/>
      <c r="E538" s="14"/>
    </row>
    <row r="539">
      <c r="A539" s="12"/>
      <c r="D539" s="95"/>
      <c r="E539" s="14"/>
    </row>
    <row r="540">
      <c r="A540" s="12"/>
      <c r="D540" s="95"/>
      <c r="E540" s="14"/>
    </row>
    <row r="541">
      <c r="A541" s="12"/>
      <c r="D541" s="95"/>
      <c r="E541" s="14"/>
    </row>
    <row r="542">
      <c r="A542" s="12"/>
      <c r="D542" s="95"/>
      <c r="E542" s="14"/>
    </row>
    <row r="543">
      <c r="A543" s="12"/>
      <c r="D543" s="95"/>
      <c r="E543" s="14"/>
    </row>
    <row r="544">
      <c r="A544" s="12"/>
      <c r="D544" s="95"/>
      <c r="E544" s="14"/>
    </row>
    <row r="545">
      <c r="A545" s="12"/>
      <c r="D545" s="95"/>
      <c r="E545" s="14"/>
    </row>
    <row r="546">
      <c r="A546" s="12"/>
      <c r="D546" s="95"/>
      <c r="E546" s="14"/>
    </row>
    <row r="547">
      <c r="A547" s="12"/>
      <c r="D547" s="95"/>
      <c r="E547" s="14"/>
    </row>
    <row r="548">
      <c r="A548" s="12"/>
      <c r="D548" s="95"/>
      <c r="E548" s="14"/>
    </row>
    <row r="549">
      <c r="A549" s="12"/>
      <c r="D549" s="95"/>
      <c r="E549" s="14"/>
    </row>
    <row r="550">
      <c r="A550" s="12"/>
      <c r="D550" s="95"/>
      <c r="E550" s="14"/>
    </row>
    <row r="551">
      <c r="A551" s="12"/>
      <c r="D551" s="95"/>
      <c r="E551" s="14"/>
    </row>
    <row r="552">
      <c r="A552" s="12"/>
      <c r="D552" s="95"/>
      <c r="E552" s="14"/>
    </row>
    <row r="553">
      <c r="A553" s="12"/>
      <c r="D553" s="95"/>
      <c r="E553" s="14"/>
    </row>
    <row r="554">
      <c r="A554" s="12"/>
      <c r="D554" s="95"/>
      <c r="E554" s="14"/>
    </row>
    <row r="555">
      <c r="A555" s="12"/>
      <c r="D555" s="95"/>
      <c r="E555" s="14"/>
    </row>
    <row r="556">
      <c r="A556" s="12"/>
      <c r="D556" s="95"/>
      <c r="E556" s="14"/>
    </row>
    <row r="557">
      <c r="A557" s="12"/>
      <c r="D557" s="95"/>
      <c r="E557" s="14"/>
    </row>
    <row r="558">
      <c r="A558" s="12"/>
      <c r="D558" s="95"/>
      <c r="E558" s="14"/>
    </row>
    <row r="559">
      <c r="A559" s="12"/>
      <c r="D559" s="95"/>
      <c r="E559" s="14"/>
    </row>
    <row r="560">
      <c r="A560" s="12"/>
      <c r="D560" s="95"/>
      <c r="E560" s="14"/>
    </row>
    <row r="561">
      <c r="A561" s="12"/>
      <c r="D561" s="95"/>
      <c r="E561" s="14"/>
    </row>
    <row r="562">
      <c r="A562" s="12"/>
      <c r="D562" s="95"/>
      <c r="E562" s="14"/>
    </row>
    <row r="563">
      <c r="A563" s="12"/>
      <c r="D563" s="95"/>
      <c r="E563" s="14"/>
    </row>
    <row r="564">
      <c r="A564" s="12"/>
      <c r="D564" s="95"/>
      <c r="E564" s="14"/>
    </row>
    <row r="565">
      <c r="A565" s="12"/>
      <c r="D565" s="95"/>
      <c r="E565" s="14"/>
    </row>
    <row r="566">
      <c r="A566" s="12"/>
      <c r="D566" s="95"/>
      <c r="E566" s="14"/>
    </row>
    <row r="567">
      <c r="A567" s="12"/>
      <c r="D567" s="95"/>
      <c r="E567" s="14"/>
    </row>
    <row r="568">
      <c r="A568" s="12"/>
      <c r="D568" s="95"/>
      <c r="E568" s="14"/>
    </row>
    <row r="569">
      <c r="A569" s="12"/>
      <c r="D569" s="95"/>
      <c r="E569" s="14"/>
    </row>
    <row r="570">
      <c r="A570" s="12"/>
      <c r="D570" s="95"/>
      <c r="E570" s="14"/>
    </row>
    <row r="571">
      <c r="A571" s="12"/>
      <c r="D571" s="95"/>
      <c r="E571" s="14"/>
    </row>
    <row r="572">
      <c r="A572" s="12"/>
      <c r="D572" s="95"/>
      <c r="E572" s="14"/>
    </row>
    <row r="573">
      <c r="A573" s="12"/>
      <c r="D573" s="95"/>
      <c r="E573" s="14"/>
    </row>
    <row r="574">
      <c r="A574" s="12"/>
      <c r="D574" s="95"/>
      <c r="E574" s="14"/>
    </row>
    <row r="575">
      <c r="A575" s="12"/>
      <c r="D575" s="95"/>
      <c r="E575" s="14"/>
    </row>
    <row r="576">
      <c r="A576" s="12"/>
      <c r="D576" s="95"/>
      <c r="E576" s="14"/>
    </row>
    <row r="577">
      <c r="A577" s="12"/>
      <c r="D577" s="95"/>
      <c r="E577" s="14"/>
    </row>
    <row r="578">
      <c r="A578" s="12"/>
      <c r="D578" s="95"/>
      <c r="E578" s="14"/>
    </row>
    <row r="579">
      <c r="A579" s="12"/>
      <c r="D579" s="95"/>
      <c r="E579" s="14"/>
    </row>
    <row r="580">
      <c r="A580" s="12"/>
      <c r="D580" s="95"/>
      <c r="E580" s="14"/>
    </row>
    <row r="581">
      <c r="A581" s="12"/>
      <c r="D581" s="95"/>
      <c r="E581" s="14"/>
    </row>
    <row r="582">
      <c r="A582" s="12"/>
      <c r="D582" s="95"/>
      <c r="E582" s="14"/>
    </row>
    <row r="583">
      <c r="A583" s="12"/>
      <c r="D583" s="95"/>
      <c r="E583" s="14"/>
    </row>
    <row r="584">
      <c r="A584" s="12"/>
      <c r="D584" s="95"/>
      <c r="E584" s="14"/>
    </row>
    <row r="585">
      <c r="A585" s="12"/>
      <c r="D585" s="95"/>
      <c r="E585" s="14"/>
    </row>
    <row r="586">
      <c r="A586" s="12"/>
      <c r="D586" s="95"/>
      <c r="E586" s="14"/>
    </row>
    <row r="587">
      <c r="A587" s="12"/>
      <c r="D587" s="95"/>
      <c r="E587" s="14"/>
    </row>
    <row r="588">
      <c r="A588" s="12"/>
      <c r="D588" s="95"/>
      <c r="E588" s="14"/>
    </row>
    <row r="589">
      <c r="A589" s="12"/>
      <c r="D589" s="95"/>
      <c r="E589" s="14"/>
    </row>
    <row r="590">
      <c r="A590" s="12"/>
      <c r="D590" s="95"/>
      <c r="E590" s="14"/>
    </row>
    <row r="591">
      <c r="A591" s="12"/>
      <c r="D591" s="95"/>
      <c r="E591" s="14"/>
    </row>
    <row r="592">
      <c r="A592" s="12"/>
      <c r="D592" s="95"/>
      <c r="E592" s="14"/>
    </row>
    <row r="593">
      <c r="A593" s="12"/>
      <c r="D593" s="95"/>
      <c r="E593" s="14"/>
    </row>
    <row r="594">
      <c r="A594" s="12"/>
      <c r="D594" s="95"/>
      <c r="E594" s="14"/>
    </row>
    <row r="595">
      <c r="A595" s="12"/>
      <c r="D595" s="95"/>
      <c r="E595" s="14"/>
    </row>
    <row r="596">
      <c r="A596" s="12"/>
      <c r="D596" s="95"/>
      <c r="E596" s="14"/>
    </row>
    <row r="597">
      <c r="A597" s="12"/>
      <c r="D597" s="95"/>
      <c r="E597" s="14"/>
    </row>
    <row r="598">
      <c r="A598" s="12"/>
      <c r="D598" s="95"/>
      <c r="E598" s="14"/>
    </row>
    <row r="599">
      <c r="A599" s="12"/>
      <c r="D599" s="95"/>
      <c r="E599" s="14"/>
    </row>
    <row r="600">
      <c r="A600" s="12"/>
      <c r="D600" s="95"/>
      <c r="E600" s="14"/>
    </row>
    <row r="601">
      <c r="A601" s="12"/>
      <c r="D601" s="95"/>
      <c r="E601" s="14"/>
    </row>
    <row r="602">
      <c r="A602" s="12"/>
      <c r="D602" s="95"/>
      <c r="E602" s="14"/>
    </row>
    <row r="603">
      <c r="A603" s="12"/>
      <c r="D603" s="95"/>
      <c r="E603" s="14"/>
    </row>
    <row r="604">
      <c r="A604" s="12"/>
      <c r="D604" s="95"/>
      <c r="E604" s="14"/>
    </row>
    <row r="605">
      <c r="A605" s="12"/>
      <c r="D605" s="95"/>
      <c r="E605" s="14"/>
    </row>
    <row r="606">
      <c r="A606" s="12"/>
      <c r="D606" s="95"/>
      <c r="E606" s="14"/>
    </row>
    <row r="607">
      <c r="A607" s="12"/>
      <c r="D607" s="95"/>
      <c r="E607" s="14"/>
    </row>
    <row r="608">
      <c r="A608" s="12"/>
      <c r="D608" s="95"/>
      <c r="E608" s="14"/>
    </row>
    <row r="609">
      <c r="A609" s="12"/>
      <c r="D609" s="95"/>
      <c r="E609" s="14"/>
    </row>
    <row r="610">
      <c r="A610" s="12"/>
      <c r="D610" s="95"/>
      <c r="E610" s="14"/>
    </row>
    <row r="611">
      <c r="A611" s="12"/>
      <c r="D611" s="95"/>
      <c r="E611" s="14"/>
    </row>
    <row r="612">
      <c r="A612" s="12"/>
      <c r="D612" s="95"/>
      <c r="E612" s="14"/>
    </row>
    <row r="613">
      <c r="A613" s="12"/>
      <c r="D613" s="95"/>
      <c r="E613" s="14"/>
    </row>
    <row r="614">
      <c r="A614" s="12"/>
      <c r="D614" s="95"/>
      <c r="E614" s="14"/>
    </row>
    <row r="615">
      <c r="A615" s="12"/>
      <c r="D615" s="95"/>
      <c r="E615" s="14"/>
    </row>
    <row r="616">
      <c r="A616" s="12"/>
      <c r="D616" s="95"/>
      <c r="E616" s="14"/>
    </row>
    <row r="617">
      <c r="A617" s="12"/>
      <c r="D617" s="95"/>
      <c r="E617" s="14"/>
    </row>
    <row r="618">
      <c r="A618" s="12"/>
      <c r="D618" s="95"/>
      <c r="E618" s="14"/>
    </row>
    <row r="619">
      <c r="A619" s="12"/>
      <c r="D619" s="95"/>
      <c r="E619" s="14"/>
    </row>
    <row r="620">
      <c r="A620" s="12"/>
      <c r="D620" s="95"/>
      <c r="E620" s="14"/>
    </row>
    <row r="621">
      <c r="A621" s="12"/>
      <c r="D621" s="95"/>
      <c r="E621" s="14"/>
    </row>
    <row r="622">
      <c r="A622" s="12"/>
      <c r="D622" s="95"/>
      <c r="E622" s="14"/>
    </row>
    <row r="623">
      <c r="A623" s="12"/>
      <c r="D623" s="95"/>
      <c r="E623" s="14"/>
    </row>
    <row r="624">
      <c r="A624" s="12"/>
      <c r="D624" s="95"/>
      <c r="E624" s="14"/>
    </row>
    <row r="625">
      <c r="A625" s="12"/>
      <c r="D625" s="95"/>
      <c r="E625" s="14"/>
    </row>
    <row r="626">
      <c r="A626" s="12"/>
      <c r="D626" s="95"/>
      <c r="E626" s="14"/>
    </row>
    <row r="627">
      <c r="A627" s="12"/>
      <c r="D627" s="95"/>
      <c r="E627" s="14"/>
    </row>
    <row r="628">
      <c r="A628" s="12"/>
      <c r="D628" s="95"/>
      <c r="E628" s="14"/>
    </row>
    <row r="629">
      <c r="A629" s="12"/>
      <c r="D629" s="95"/>
      <c r="E629" s="14"/>
    </row>
    <row r="630">
      <c r="A630" s="12"/>
      <c r="D630" s="95"/>
      <c r="E630" s="14"/>
    </row>
    <row r="631">
      <c r="A631" s="12"/>
      <c r="D631" s="95"/>
      <c r="E631" s="14"/>
    </row>
    <row r="632">
      <c r="A632" s="12"/>
      <c r="D632" s="95"/>
      <c r="E632" s="14"/>
    </row>
    <row r="633">
      <c r="A633" s="12"/>
      <c r="D633" s="95"/>
      <c r="E633" s="14"/>
    </row>
    <row r="634">
      <c r="A634" s="12"/>
      <c r="D634" s="95"/>
      <c r="E634" s="14"/>
    </row>
    <row r="635">
      <c r="A635" s="12"/>
      <c r="D635" s="95"/>
      <c r="E635" s="14"/>
    </row>
    <row r="636">
      <c r="A636" s="12"/>
      <c r="D636" s="95"/>
      <c r="E636" s="14"/>
    </row>
    <row r="637">
      <c r="A637" s="12"/>
      <c r="D637" s="95"/>
      <c r="E637" s="14"/>
    </row>
    <row r="638">
      <c r="A638" s="12"/>
      <c r="D638" s="95"/>
      <c r="E638" s="14"/>
    </row>
    <row r="639">
      <c r="A639" s="12"/>
      <c r="D639" s="95"/>
      <c r="E639" s="14"/>
    </row>
    <row r="640">
      <c r="A640" s="12"/>
      <c r="D640" s="95"/>
      <c r="E640" s="14"/>
    </row>
    <row r="641">
      <c r="A641" s="12"/>
      <c r="D641" s="95"/>
      <c r="E641" s="14"/>
    </row>
    <row r="642">
      <c r="A642" s="12"/>
      <c r="D642" s="95"/>
      <c r="E642" s="14"/>
    </row>
    <row r="643">
      <c r="A643" s="12"/>
      <c r="D643" s="95"/>
      <c r="E643" s="14"/>
    </row>
    <row r="644">
      <c r="A644" s="12"/>
      <c r="D644" s="95"/>
      <c r="E644" s="14"/>
    </row>
    <row r="645">
      <c r="A645" s="12"/>
      <c r="D645" s="95"/>
      <c r="E645" s="14"/>
    </row>
    <row r="646">
      <c r="A646" s="12"/>
      <c r="D646" s="95"/>
      <c r="E646" s="14"/>
    </row>
    <row r="647">
      <c r="A647" s="12"/>
      <c r="D647" s="95"/>
      <c r="E647" s="14"/>
    </row>
    <row r="648">
      <c r="A648" s="12"/>
      <c r="D648" s="95"/>
      <c r="E648" s="14"/>
    </row>
    <row r="649">
      <c r="A649" s="12"/>
      <c r="D649" s="95"/>
      <c r="E649" s="14"/>
    </row>
    <row r="650">
      <c r="A650" s="12"/>
      <c r="D650" s="95"/>
      <c r="E650" s="14"/>
    </row>
    <row r="651">
      <c r="A651" s="12"/>
      <c r="D651" s="95"/>
      <c r="E651" s="14"/>
    </row>
    <row r="652">
      <c r="A652" s="12"/>
      <c r="D652" s="95"/>
      <c r="E652" s="14"/>
    </row>
    <row r="653">
      <c r="A653" s="12"/>
      <c r="D653" s="95"/>
      <c r="E653" s="14"/>
    </row>
    <row r="654">
      <c r="A654" s="12"/>
      <c r="D654" s="95"/>
      <c r="E654" s="14"/>
    </row>
    <row r="655">
      <c r="A655" s="12"/>
      <c r="D655" s="95"/>
      <c r="E655" s="14"/>
    </row>
    <row r="656">
      <c r="A656" s="12"/>
      <c r="D656" s="95"/>
      <c r="E656" s="14"/>
    </row>
    <row r="657">
      <c r="A657" s="12"/>
      <c r="D657" s="95"/>
      <c r="E657" s="14"/>
    </row>
    <row r="658">
      <c r="A658" s="12"/>
      <c r="D658" s="95"/>
      <c r="E658" s="14"/>
    </row>
    <row r="659">
      <c r="A659" s="12"/>
      <c r="D659" s="95"/>
      <c r="E659" s="14"/>
    </row>
    <row r="660">
      <c r="A660" s="12"/>
      <c r="D660" s="95"/>
      <c r="E660" s="14"/>
    </row>
    <row r="661">
      <c r="A661" s="12"/>
      <c r="D661" s="95"/>
      <c r="E661" s="14"/>
    </row>
    <row r="662">
      <c r="A662" s="12"/>
      <c r="D662" s="95"/>
      <c r="E662" s="14"/>
    </row>
    <row r="663">
      <c r="A663" s="12"/>
      <c r="D663" s="95"/>
      <c r="E663" s="14"/>
    </row>
    <row r="664">
      <c r="A664" s="12"/>
      <c r="D664" s="95"/>
      <c r="E664" s="14"/>
    </row>
    <row r="665">
      <c r="A665" s="12"/>
      <c r="D665" s="95"/>
      <c r="E665" s="14"/>
    </row>
    <row r="666">
      <c r="A666" s="12"/>
      <c r="D666" s="95"/>
      <c r="E666" s="14"/>
    </row>
    <row r="667">
      <c r="A667" s="12"/>
      <c r="D667" s="95"/>
      <c r="E667" s="14"/>
    </row>
    <row r="668">
      <c r="A668" s="12"/>
      <c r="D668" s="95"/>
      <c r="E668" s="14"/>
    </row>
    <row r="669">
      <c r="A669" s="12"/>
      <c r="D669" s="95"/>
      <c r="E669" s="14"/>
    </row>
    <row r="670">
      <c r="A670" s="12"/>
      <c r="D670" s="95"/>
      <c r="E670" s="14"/>
    </row>
    <row r="671">
      <c r="A671" s="12"/>
      <c r="D671" s="95"/>
      <c r="E671" s="14"/>
    </row>
    <row r="672">
      <c r="A672" s="12"/>
      <c r="D672" s="95"/>
      <c r="E672" s="14"/>
    </row>
    <row r="673">
      <c r="A673" s="12"/>
      <c r="D673" s="95"/>
      <c r="E673" s="14"/>
    </row>
    <row r="674">
      <c r="A674" s="12"/>
      <c r="D674" s="95"/>
      <c r="E674" s="14"/>
    </row>
    <row r="675">
      <c r="A675" s="12"/>
      <c r="D675" s="95"/>
      <c r="E675" s="14"/>
    </row>
    <row r="676">
      <c r="A676" s="12"/>
      <c r="D676" s="95"/>
      <c r="E676" s="14"/>
    </row>
    <row r="677">
      <c r="A677" s="12"/>
      <c r="D677" s="95"/>
      <c r="E677" s="14"/>
    </row>
    <row r="678">
      <c r="A678" s="12"/>
      <c r="D678" s="95"/>
      <c r="E678" s="14"/>
    </row>
    <row r="679">
      <c r="A679" s="12"/>
      <c r="D679" s="95"/>
      <c r="E679" s="14"/>
    </row>
    <row r="680">
      <c r="A680" s="12"/>
      <c r="D680" s="95"/>
      <c r="E680" s="14"/>
    </row>
    <row r="681">
      <c r="A681" s="12"/>
      <c r="D681" s="95"/>
      <c r="E681" s="14"/>
    </row>
    <row r="682">
      <c r="A682" s="12"/>
      <c r="D682" s="95"/>
      <c r="E682" s="14"/>
    </row>
    <row r="683">
      <c r="A683" s="12"/>
      <c r="D683" s="95"/>
      <c r="E683" s="14"/>
    </row>
    <row r="684">
      <c r="A684" s="12"/>
      <c r="D684" s="95"/>
      <c r="E684" s="14"/>
    </row>
    <row r="685">
      <c r="A685" s="12"/>
      <c r="D685" s="95"/>
      <c r="E685" s="14"/>
    </row>
    <row r="686">
      <c r="A686" s="12"/>
      <c r="D686" s="95"/>
      <c r="E686" s="14"/>
    </row>
    <row r="687">
      <c r="A687" s="12"/>
      <c r="D687" s="95"/>
      <c r="E687" s="14"/>
    </row>
    <row r="688">
      <c r="A688" s="12"/>
      <c r="D688" s="95"/>
      <c r="E688" s="14"/>
    </row>
    <row r="689">
      <c r="A689" s="12"/>
      <c r="D689" s="95"/>
      <c r="E689" s="14"/>
    </row>
    <row r="690">
      <c r="A690" s="12"/>
      <c r="D690" s="95"/>
      <c r="E690" s="14"/>
    </row>
    <row r="691">
      <c r="A691" s="12"/>
      <c r="D691" s="95"/>
      <c r="E691" s="14"/>
    </row>
    <row r="692">
      <c r="A692" s="12"/>
      <c r="D692" s="95"/>
      <c r="E692" s="14"/>
    </row>
    <row r="693">
      <c r="A693" s="12"/>
      <c r="D693" s="95"/>
      <c r="E693" s="14"/>
    </row>
    <row r="694">
      <c r="A694" s="12"/>
      <c r="D694" s="95"/>
      <c r="E694" s="14"/>
    </row>
    <row r="695">
      <c r="A695" s="12"/>
      <c r="D695" s="95"/>
      <c r="E695" s="14"/>
    </row>
    <row r="696">
      <c r="A696" s="12"/>
      <c r="D696" s="95"/>
      <c r="E696" s="14"/>
    </row>
    <row r="697">
      <c r="A697" s="12"/>
      <c r="D697" s="95"/>
      <c r="E697" s="14"/>
    </row>
    <row r="698">
      <c r="A698" s="12"/>
      <c r="D698" s="95"/>
      <c r="E698" s="14"/>
    </row>
    <row r="699">
      <c r="A699" s="12"/>
      <c r="D699" s="95"/>
      <c r="E699" s="14"/>
    </row>
    <row r="700">
      <c r="A700" s="12"/>
      <c r="D700" s="95"/>
      <c r="E700" s="14"/>
    </row>
    <row r="701">
      <c r="A701" s="12"/>
      <c r="D701" s="95"/>
      <c r="E701" s="14"/>
    </row>
    <row r="702">
      <c r="A702" s="12"/>
      <c r="D702" s="95"/>
      <c r="E702" s="14"/>
    </row>
    <row r="703">
      <c r="A703" s="12"/>
      <c r="D703" s="95"/>
      <c r="E703" s="14"/>
    </row>
    <row r="704">
      <c r="A704" s="12"/>
      <c r="D704" s="95"/>
      <c r="E704" s="14"/>
    </row>
    <row r="705">
      <c r="A705" s="12"/>
      <c r="D705" s="95"/>
      <c r="E705" s="14"/>
    </row>
    <row r="706">
      <c r="A706" s="12"/>
      <c r="D706" s="95"/>
      <c r="E706" s="14"/>
    </row>
    <row r="707">
      <c r="A707" s="12"/>
      <c r="D707" s="95"/>
      <c r="E707" s="14"/>
    </row>
    <row r="708">
      <c r="A708" s="12"/>
      <c r="D708" s="95"/>
      <c r="E708" s="14"/>
    </row>
    <row r="709">
      <c r="A709" s="12"/>
      <c r="D709" s="95"/>
      <c r="E709" s="14"/>
    </row>
    <row r="710">
      <c r="A710" s="12"/>
      <c r="D710" s="95"/>
      <c r="E710" s="14"/>
    </row>
    <row r="711">
      <c r="A711" s="12"/>
      <c r="D711" s="95"/>
      <c r="E711" s="14"/>
    </row>
    <row r="712">
      <c r="A712" s="12"/>
      <c r="D712" s="95"/>
      <c r="E712" s="14"/>
    </row>
    <row r="713">
      <c r="A713" s="12"/>
      <c r="D713" s="95"/>
      <c r="E713" s="14"/>
    </row>
    <row r="714">
      <c r="A714" s="12"/>
      <c r="D714" s="95"/>
      <c r="E714" s="14"/>
    </row>
    <row r="715">
      <c r="A715" s="12"/>
      <c r="D715" s="95"/>
      <c r="E715" s="14"/>
    </row>
    <row r="716">
      <c r="A716" s="12"/>
      <c r="D716" s="95"/>
      <c r="E716" s="14"/>
    </row>
    <row r="717">
      <c r="A717" s="12"/>
      <c r="D717" s="95"/>
      <c r="E717" s="14"/>
    </row>
    <row r="718">
      <c r="A718" s="12"/>
      <c r="D718" s="95"/>
      <c r="E718" s="14"/>
    </row>
    <row r="719">
      <c r="A719" s="12"/>
      <c r="D719" s="95"/>
      <c r="E719" s="14"/>
    </row>
    <row r="720">
      <c r="A720" s="12"/>
      <c r="D720" s="95"/>
      <c r="E720" s="14"/>
    </row>
    <row r="721">
      <c r="A721" s="12"/>
      <c r="D721" s="95"/>
      <c r="E721" s="14"/>
    </row>
    <row r="722">
      <c r="A722" s="12"/>
      <c r="D722" s="95"/>
      <c r="E722" s="14"/>
    </row>
    <row r="723">
      <c r="A723" s="12"/>
      <c r="D723" s="95"/>
      <c r="E723" s="14"/>
    </row>
    <row r="724">
      <c r="A724" s="12"/>
      <c r="D724" s="95"/>
      <c r="E724" s="14"/>
    </row>
    <row r="725">
      <c r="A725" s="12"/>
      <c r="D725" s="95"/>
      <c r="E725" s="14"/>
    </row>
    <row r="726">
      <c r="A726" s="12"/>
      <c r="D726" s="95"/>
      <c r="E726" s="14"/>
    </row>
    <row r="727">
      <c r="A727" s="12"/>
      <c r="D727" s="95"/>
      <c r="E727" s="14"/>
    </row>
    <row r="728">
      <c r="A728" s="12"/>
      <c r="D728" s="95"/>
      <c r="E728" s="14"/>
    </row>
    <row r="729">
      <c r="A729" s="12"/>
      <c r="D729" s="95"/>
      <c r="E729" s="14"/>
    </row>
    <row r="730">
      <c r="A730" s="12"/>
      <c r="D730" s="95"/>
      <c r="E730" s="14"/>
    </row>
    <row r="731">
      <c r="A731" s="12"/>
      <c r="D731" s="95"/>
      <c r="E731" s="14"/>
    </row>
    <row r="732">
      <c r="A732" s="12"/>
      <c r="D732" s="95"/>
      <c r="E732" s="14"/>
    </row>
    <row r="733">
      <c r="A733" s="12"/>
      <c r="D733" s="95"/>
      <c r="E733" s="14"/>
    </row>
    <row r="734">
      <c r="A734" s="12"/>
      <c r="D734" s="95"/>
      <c r="E734" s="14"/>
    </row>
    <row r="735">
      <c r="A735" s="12"/>
      <c r="D735" s="95"/>
      <c r="E735" s="14"/>
    </row>
    <row r="736">
      <c r="A736" s="12"/>
      <c r="D736" s="95"/>
      <c r="E736" s="14"/>
    </row>
    <row r="737">
      <c r="A737" s="12"/>
      <c r="D737" s="95"/>
      <c r="E737" s="14"/>
    </row>
    <row r="738">
      <c r="A738" s="12"/>
      <c r="D738" s="95"/>
      <c r="E738" s="14"/>
    </row>
    <row r="739">
      <c r="A739" s="12"/>
      <c r="D739" s="95"/>
      <c r="E739" s="14"/>
    </row>
    <row r="740">
      <c r="A740" s="12"/>
      <c r="D740" s="95"/>
      <c r="E740" s="14"/>
    </row>
    <row r="741">
      <c r="A741" s="12"/>
      <c r="D741" s="95"/>
      <c r="E741" s="14"/>
    </row>
    <row r="742">
      <c r="A742" s="12"/>
      <c r="D742" s="95"/>
      <c r="E742" s="14"/>
    </row>
    <row r="743">
      <c r="A743" s="12"/>
      <c r="D743" s="95"/>
      <c r="E743" s="14"/>
    </row>
    <row r="744">
      <c r="A744" s="12"/>
      <c r="D744" s="95"/>
      <c r="E744" s="14"/>
    </row>
    <row r="745">
      <c r="A745" s="12"/>
      <c r="D745" s="95"/>
      <c r="E745" s="14"/>
    </row>
    <row r="746">
      <c r="A746" s="12"/>
      <c r="D746" s="95"/>
      <c r="E746" s="14"/>
    </row>
    <row r="747">
      <c r="A747" s="12"/>
      <c r="D747" s="95"/>
      <c r="E747" s="14"/>
    </row>
    <row r="748">
      <c r="A748" s="12"/>
      <c r="D748" s="95"/>
      <c r="E748" s="14"/>
    </row>
    <row r="749">
      <c r="A749" s="12"/>
      <c r="D749" s="95"/>
      <c r="E749" s="14"/>
    </row>
    <row r="750">
      <c r="A750" s="12"/>
      <c r="D750" s="95"/>
      <c r="E750" s="14"/>
    </row>
    <row r="751">
      <c r="A751" s="12"/>
      <c r="D751" s="95"/>
      <c r="E751" s="14"/>
    </row>
    <row r="752">
      <c r="A752" s="12"/>
      <c r="D752" s="95"/>
      <c r="E752" s="14"/>
    </row>
    <row r="753">
      <c r="A753" s="12"/>
      <c r="D753" s="95"/>
      <c r="E753" s="14"/>
    </row>
    <row r="754">
      <c r="A754" s="12"/>
      <c r="D754" s="95"/>
      <c r="E754" s="14"/>
    </row>
    <row r="755">
      <c r="A755" s="12"/>
      <c r="D755" s="95"/>
      <c r="E755" s="14"/>
    </row>
    <row r="756">
      <c r="A756" s="12"/>
      <c r="D756" s="95"/>
      <c r="E756" s="14"/>
    </row>
    <row r="757">
      <c r="A757" s="12"/>
      <c r="D757" s="95"/>
      <c r="E757" s="14"/>
    </row>
    <row r="758">
      <c r="A758" s="12"/>
      <c r="D758" s="95"/>
      <c r="E758" s="14"/>
    </row>
    <row r="759">
      <c r="A759" s="12"/>
      <c r="D759" s="95"/>
      <c r="E759" s="14"/>
    </row>
    <row r="760">
      <c r="A760" s="12"/>
      <c r="D760" s="95"/>
      <c r="E760" s="14"/>
    </row>
    <row r="761">
      <c r="A761" s="12"/>
      <c r="D761" s="95"/>
      <c r="E761" s="14"/>
    </row>
    <row r="762">
      <c r="A762" s="12"/>
      <c r="D762" s="95"/>
      <c r="E762" s="14"/>
    </row>
    <row r="763">
      <c r="A763" s="12"/>
      <c r="D763" s="95"/>
      <c r="E763" s="14"/>
    </row>
    <row r="764">
      <c r="A764" s="12"/>
      <c r="D764" s="95"/>
      <c r="E764" s="14"/>
    </row>
    <row r="765">
      <c r="A765" s="12"/>
      <c r="D765" s="95"/>
      <c r="E765" s="14"/>
    </row>
    <row r="766">
      <c r="A766" s="12"/>
      <c r="D766" s="95"/>
      <c r="E766" s="14"/>
    </row>
    <row r="767">
      <c r="A767" s="12"/>
      <c r="D767" s="95"/>
      <c r="E767" s="14"/>
    </row>
    <row r="768">
      <c r="A768" s="12"/>
      <c r="D768" s="95"/>
      <c r="E768" s="14"/>
    </row>
    <row r="769">
      <c r="A769" s="12"/>
      <c r="D769" s="95"/>
      <c r="E769" s="14"/>
    </row>
    <row r="770">
      <c r="A770" s="12"/>
      <c r="D770" s="95"/>
      <c r="E770" s="14"/>
    </row>
    <row r="771">
      <c r="A771" s="12"/>
      <c r="D771" s="95"/>
      <c r="E771" s="14"/>
    </row>
    <row r="772">
      <c r="A772" s="12"/>
      <c r="D772" s="95"/>
      <c r="E772" s="14"/>
    </row>
    <row r="773">
      <c r="A773" s="12"/>
      <c r="D773" s="95"/>
      <c r="E773" s="14"/>
    </row>
    <row r="774">
      <c r="A774" s="12"/>
      <c r="D774" s="95"/>
      <c r="E774" s="14"/>
    </row>
    <row r="775">
      <c r="A775" s="12"/>
      <c r="D775" s="95"/>
      <c r="E775" s="14"/>
    </row>
    <row r="776">
      <c r="A776" s="12"/>
      <c r="D776" s="95"/>
      <c r="E776" s="14"/>
    </row>
    <row r="777">
      <c r="A777" s="12"/>
      <c r="D777" s="95"/>
      <c r="E777" s="14"/>
    </row>
    <row r="778">
      <c r="A778" s="12"/>
      <c r="D778" s="95"/>
      <c r="E778" s="14"/>
    </row>
    <row r="779">
      <c r="A779" s="12"/>
      <c r="D779" s="95"/>
      <c r="E779" s="14"/>
    </row>
    <row r="780">
      <c r="A780" s="12"/>
      <c r="D780" s="95"/>
      <c r="E780" s="14"/>
    </row>
    <row r="781">
      <c r="A781" s="12"/>
      <c r="D781" s="95"/>
      <c r="E781" s="14"/>
    </row>
    <row r="782">
      <c r="A782" s="12"/>
      <c r="D782" s="95"/>
      <c r="E782" s="14"/>
    </row>
    <row r="783">
      <c r="A783" s="12"/>
      <c r="D783" s="95"/>
      <c r="E783" s="14"/>
    </row>
    <row r="784">
      <c r="A784" s="12"/>
      <c r="D784" s="95"/>
      <c r="E784" s="14"/>
    </row>
    <row r="785">
      <c r="A785" s="12"/>
      <c r="D785" s="95"/>
      <c r="E785" s="14"/>
    </row>
    <row r="786">
      <c r="A786" s="12"/>
      <c r="D786" s="95"/>
      <c r="E786" s="14"/>
    </row>
    <row r="787">
      <c r="A787" s="12"/>
      <c r="D787" s="95"/>
      <c r="E787" s="14"/>
    </row>
    <row r="788">
      <c r="A788" s="12"/>
      <c r="D788" s="95"/>
      <c r="E788" s="14"/>
    </row>
    <row r="789">
      <c r="A789" s="12"/>
      <c r="D789" s="95"/>
      <c r="E789" s="14"/>
    </row>
    <row r="790">
      <c r="A790" s="12"/>
      <c r="D790" s="95"/>
      <c r="E790" s="14"/>
    </row>
    <row r="791">
      <c r="A791" s="12"/>
      <c r="D791" s="95"/>
      <c r="E791" s="14"/>
    </row>
    <row r="792">
      <c r="A792" s="12"/>
      <c r="D792" s="95"/>
      <c r="E792" s="14"/>
    </row>
    <row r="793">
      <c r="A793" s="12"/>
      <c r="D793" s="95"/>
      <c r="E793" s="14"/>
    </row>
    <row r="794">
      <c r="A794" s="12"/>
      <c r="D794" s="95"/>
      <c r="E794" s="14"/>
    </row>
    <row r="795">
      <c r="A795" s="12"/>
      <c r="D795" s="95"/>
      <c r="E795" s="14"/>
    </row>
    <row r="796">
      <c r="A796" s="12"/>
      <c r="D796" s="95"/>
      <c r="E796" s="14"/>
    </row>
    <row r="797">
      <c r="A797" s="12"/>
      <c r="D797" s="95"/>
      <c r="E797" s="14"/>
    </row>
    <row r="798">
      <c r="A798" s="12"/>
      <c r="D798" s="95"/>
      <c r="E798" s="14"/>
    </row>
    <row r="799">
      <c r="A799" s="12"/>
      <c r="D799" s="95"/>
      <c r="E799" s="14"/>
    </row>
    <row r="800">
      <c r="A800" s="12"/>
      <c r="D800" s="95"/>
      <c r="E800" s="14"/>
    </row>
    <row r="801">
      <c r="A801" s="12"/>
      <c r="D801" s="95"/>
      <c r="E801" s="14"/>
    </row>
    <row r="802">
      <c r="A802" s="12"/>
      <c r="D802" s="95"/>
      <c r="E802" s="14"/>
    </row>
    <row r="803">
      <c r="A803" s="12"/>
      <c r="D803" s="95"/>
      <c r="E803" s="14"/>
    </row>
    <row r="804">
      <c r="A804" s="12"/>
      <c r="D804" s="95"/>
      <c r="E804" s="14"/>
    </row>
    <row r="805">
      <c r="A805" s="12"/>
      <c r="D805" s="95"/>
      <c r="E805" s="14"/>
    </row>
    <row r="806">
      <c r="A806" s="12"/>
      <c r="D806" s="95"/>
      <c r="E806" s="14"/>
    </row>
    <row r="807">
      <c r="A807" s="12"/>
      <c r="D807" s="95"/>
      <c r="E807" s="14"/>
    </row>
    <row r="808">
      <c r="A808" s="12"/>
      <c r="D808" s="95"/>
      <c r="E808" s="14"/>
    </row>
    <row r="809">
      <c r="A809" s="12"/>
      <c r="D809" s="95"/>
      <c r="E809" s="14"/>
    </row>
    <row r="810">
      <c r="A810" s="12"/>
      <c r="D810" s="95"/>
      <c r="E810" s="14"/>
    </row>
    <row r="811">
      <c r="A811" s="12"/>
      <c r="D811" s="95"/>
      <c r="E811" s="14"/>
    </row>
    <row r="812">
      <c r="A812" s="12"/>
      <c r="D812" s="95"/>
      <c r="E812" s="14"/>
    </row>
    <row r="813">
      <c r="A813" s="12"/>
      <c r="D813" s="95"/>
      <c r="E813" s="14"/>
    </row>
    <row r="814">
      <c r="A814" s="12"/>
      <c r="D814" s="95"/>
      <c r="E814" s="14"/>
    </row>
    <row r="815">
      <c r="A815" s="12"/>
      <c r="D815" s="95"/>
      <c r="E815" s="14"/>
    </row>
    <row r="816">
      <c r="A816" s="12"/>
      <c r="D816" s="95"/>
      <c r="E816" s="14"/>
    </row>
    <row r="817">
      <c r="A817" s="12"/>
      <c r="D817" s="95"/>
      <c r="E817" s="14"/>
    </row>
    <row r="818">
      <c r="A818" s="12"/>
      <c r="D818" s="95"/>
      <c r="E818" s="14"/>
    </row>
    <row r="819">
      <c r="A819" s="12"/>
      <c r="D819" s="95"/>
      <c r="E819" s="14"/>
    </row>
    <row r="820">
      <c r="A820" s="12"/>
      <c r="D820" s="95"/>
      <c r="E820" s="14"/>
    </row>
    <row r="821">
      <c r="A821" s="12"/>
      <c r="D821" s="95"/>
      <c r="E821" s="14"/>
    </row>
    <row r="822">
      <c r="A822" s="12"/>
      <c r="D822" s="95"/>
      <c r="E822" s="14"/>
    </row>
    <row r="823">
      <c r="A823" s="12"/>
      <c r="D823" s="95"/>
      <c r="E823" s="14"/>
    </row>
    <row r="824">
      <c r="A824" s="12"/>
      <c r="D824" s="95"/>
      <c r="E824" s="14"/>
    </row>
    <row r="825">
      <c r="A825" s="12"/>
      <c r="D825" s="95"/>
      <c r="E825" s="14"/>
    </row>
    <row r="826">
      <c r="A826" s="12"/>
      <c r="D826" s="95"/>
      <c r="E826" s="14"/>
    </row>
    <row r="827">
      <c r="A827" s="12"/>
      <c r="D827" s="95"/>
      <c r="E827" s="14"/>
    </row>
    <row r="828">
      <c r="A828" s="12"/>
      <c r="D828" s="95"/>
      <c r="E828" s="14"/>
    </row>
    <row r="829">
      <c r="A829" s="12"/>
      <c r="D829" s="95"/>
      <c r="E829" s="14"/>
    </row>
    <row r="830">
      <c r="A830" s="12"/>
      <c r="D830" s="95"/>
      <c r="E830" s="14"/>
    </row>
    <row r="831">
      <c r="A831" s="12"/>
      <c r="D831" s="95"/>
      <c r="E831" s="14"/>
    </row>
    <row r="832">
      <c r="A832" s="12"/>
      <c r="D832" s="95"/>
      <c r="E832" s="14"/>
    </row>
    <row r="833">
      <c r="A833" s="12"/>
      <c r="D833" s="95"/>
      <c r="E833" s="14"/>
    </row>
    <row r="834">
      <c r="A834" s="12"/>
      <c r="D834" s="95"/>
      <c r="E834" s="14"/>
    </row>
    <row r="835">
      <c r="A835" s="12"/>
      <c r="D835" s="95"/>
      <c r="E835" s="14"/>
    </row>
    <row r="836">
      <c r="A836" s="12"/>
      <c r="D836" s="95"/>
      <c r="E836" s="14"/>
    </row>
    <row r="837">
      <c r="A837" s="12"/>
      <c r="D837" s="95"/>
      <c r="E837" s="14"/>
    </row>
    <row r="838">
      <c r="A838" s="12"/>
      <c r="D838" s="95"/>
      <c r="E838" s="14"/>
    </row>
    <row r="839">
      <c r="A839" s="12"/>
      <c r="D839" s="95"/>
      <c r="E839" s="14"/>
    </row>
    <row r="840">
      <c r="A840" s="12"/>
      <c r="D840" s="95"/>
      <c r="E840" s="14"/>
    </row>
    <row r="841">
      <c r="A841" s="12"/>
      <c r="D841" s="95"/>
      <c r="E841" s="14"/>
    </row>
    <row r="842">
      <c r="A842" s="12"/>
      <c r="D842" s="95"/>
      <c r="E842" s="14"/>
    </row>
    <row r="843">
      <c r="A843" s="12"/>
      <c r="D843" s="95"/>
      <c r="E843" s="14"/>
    </row>
    <row r="844">
      <c r="A844" s="12"/>
      <c r="D844" s="95"/>
      <c r="E844" s="14"/>
    </row>
    <row r="845">
      <c r="A845" s="12"/>
      <c r="D845" s="95"/>
      <c r="E845" s="14"/>
    </row>
    <row r="846">
      <c r="A846" s="12"/>
      <c r="D846" s="95"/>
      <c r="E846" s="14"/>
    </row>
    <row r="847">
      <c r="A847" s="12"/>
      <c r="D847" s="95"/>
      <c r="E847" s="14"/>
    </row>
    <row r="848">
      <c r="A848" s="12"/>
      <c r="D848" s="95"/>
      <c r="E848" s="14"/>
    </row>
    <row r="849">
      <c r="A849" s="12"/>
      <c r="D849" s="95"/>
      <c r="E849" s="14"/>
    </row>
    <row r="850">
      <c r="A850" s="12"/>
      <c r="D850" s="95"/>
      <c r="E850" s="14"/>
    </row>
    <row r="851">
      <c r="A851" s="12"/>
      <c r="D851" s="95"/>
      <c r="E851" s="14"/>
    </row>
    <row r="852">
      <c r="A852" s="12"/>
      <c r="D852" s="95"/>
      <c r="E852" s="14"/>
    </row>
    <row r="853">
      <c r="A853" s="12"/>
      <c r="D853" s="95"/>
      <c r="E853" s="14"/>
    </row>
    <row r="854">
      <c r="A854" s="12"/>
      <c r="D854" s="95"/>
      <c r="E854" s="14"/>
    </row>
    <row r="855">
      <c r="A855" s="12"/>
      <c r="D855" s="95"/>
      <c r="E855" s="14"/>
    </row>
    <row r="856">
      <c r="A856" s="12"/>
      <c r="D856" s="95"/>
      <c r="E856" s="14"/>
    </row>
    <row r="857">
      <c r="A857" s="12"/>
      <c r="D857" s="95"/>
      <c r="E857" s="14"/>
    </row>
    <row r="858">
      <c r="A858" s="12"/>
      <c r="D858" s="95"/>
      <c r="E858" s="14"/>
    </row>
    <row r="859">
      <c r="A859" s="12"/>
      <c r="D859" s="95"/>
      <c r="E859" s="14"/>
    </row>
    <row r="860">
      <c r="A860" s="12"/>
      <c r="D860" s="95"/>
      <c r="E860" s="14"/>
    </row>
    <row r="861">
      <c r="A861" s="12"/>
      <c r="D861" s="95"/>
      <c r="E861" s="14"/>
    </row>
    <row r="862">
      <c r="A862" s="12"/>
      <c r="D862" s="95"/>
      <c r="E862" s="14"/>
    </row>
    <row r="863">
      <c r="A863" s="12"/>
      <c r="D863" s="95"/>
      <c r="E863" s="14"/>
    </row>
    <row r="864">
      <c r="A864" s="12"/>
      <c r="D864" s="95"/>
      <c r="E864" s="14"/>
    </row>
    <row r="865">
      <c r="A865" s="12"/>
      <c r="D865" s="95"/>
      <c r="E865" s="14"/>
    </row>
    <row r="866">
      <c r="A866" s="12"/>
      <c r="D866" s="95"/>
      <c r="E866" s="14"/>
    </row>
    <row r="867">
      <c r="A867" s="12"/>
      <c r="D867" s="95"/>
      <c r="E867" s="14"/>
    </row>
    <row r="868">
      <c r="A868" s="12"/>
      <c r="D868" s="95"/>
      <c r="E868" s="14"/>
    </row>
    <row r="869">
      <c r="A869" s="12"/>
      <c r="D869" s="95"/>
      <c r="E869" s="14"/>
    </row>
    <row r="870">
      <c r="A870" s="12"/>
      <c r="D870" s="95"/>
      <c r="E870" s="14"/>
    </row>
    <row r="871">
      <c r="A871" s="12"/>
      <c r="D871" s="95"/>
      <c r="E871" s="14"/>
    </row>
    <row r="872">
      <c r="A872" s="12"/>
      <c r="D872" s="95"/>
      <c r="E872" s="14"/>
    </row>
    <row r="873">
      <c r="A873" s="12"/>
      <c r="D873" s="95"/>
      <c r="E873" s="14"/>
    </row>
    <row r="874">
      <c r="A874" s="12"/>
      <c r="D874" s="95"/>
      <c r="E874" s="14"/>
    </row>
    <row r="875">
      <c r="A875" s="12"/>
      <c r="D875" s="95"/>
      <c r="E875" s="14"/>
    </row>
    <row r="876">
      <c r="A876" s="12"/>
      <c r="D876" s="95"/>
      <c r="E876" s="14"/>
    </row>
    <row r="877">
      <c r="A877" s="12"/>
      <c r="D877" s="95"/>
      <c r="E877" s="14"/>
    </row>
    <row r="878">
      <c r="A878" s="12"/>
      <c r="D878" s="95"/>
      <c r="E878" s="14"/>
    </row>
    <row r="879">
      <c r="A879" s="12"/>
      <c r="D879" s="95"/>
      <c r="E879" s="14"/>
    </row>
    <row r="880">
      <c r="A880" s="12"/>
      <c r="D880" s="95"/>
      <c r="E880" s="14"/>
    </row>
    <row r="881">
      <c r="A881" s="12"/>
      <c r="D881" s="95"/>
      <c r="E881" s="14"/>
    </row>
    <row r="882">
      <c r="A882" s="12"/>
      <c r="D882" s="95"/>
      <c r="E882" s="14"/>
    </row>
    <row r="883">
      <c r="A883" s="12"/>
      <c r="D883" s="95"/>
      <c r="E883" s="14"/>
    </row>
    <row r="884">
      <c r="A884" s="12"/>
      <c r="D884" s="95"/>
      <c r="E884" s="14"/>
    </row>
    <row r="885">
      <c r="A885" s="12"/>
      <c r="D885" s="95"/>
      <c r="E885" s="14"/>
    </row>
    <row r="886">
      <c r="A886" s="12"/>
      <c r="D886" s="95"/>
      <c r="E886" s="14"/>
    </row>
    <row r="887">
      <c r="A887" s="12"/>
      <c r="D887" s="95"/>
      <c r="E887" s="14"/>
    </row>
    <row r="888">
      <c r="A888" s="12"/>
      <c r="D888" s="95"/>
      <c r="E888" s="14"/>
    </row>
    <row r="889">
      <c r="A889" s="12"/>
      <c r="D889" s="95"/>
      <c r="E889" s="14"/>
    </row>
    <row r="890">
      <c r="A890" s="12"/>
      <c r="D890" s="95"/>
      <c r="E890" s="14"/>
    </row>
    <row r="891">
      <c r="A891" s="12"/>
      <c r="D891" s="95"/>
      <c r="E891" s="14"/>
    </row>
    <row r="892">
      <c r="A892" s="12"/>
      <c r="D892" s="95"/>
      <c r="E892" s="14"/>
    </row>
    <row r="893">
      <c r="A893" s="12"/>
      <c r="D893" s="95"/>
      <c r="E893" s="14"/>
    </row>
    <row r="894">
      <c r="A894" s="12"/>
      <c r="D894" s="95"/>
      <c r="E894" s="14"/>
    </row>
    <row r="895">
      <c r="A895" s="12"/>
      <c r="D895" s="95"/>
      <c r="E895" s="14"/>
    </row>
    <row r="896">
      <c r="A896" s="12"/>
      <c r="D896" s="95"/>
      <c r="E896" s="14"/>
    </row>
    <row r="897">
      <c r="A897" s="12"/>
      <c r="D897" s="95"/>
      <c r="E897" s="14"/>
    </row>
    <row r="898">
      <c r="A898" s="12"/>
      <c r="D898" s="95"/>
      <c r="E898" s="14"/>
    </row>
    <row r="899">
      <c r="A899" s="12"/>
      <c r="D899" s="95"/>
      <c r="E899" s="14"/>
    </row>
    <row r="900">
      <c r="A900" s="12"/>
      <c r="D900" s="95"/>
      <c r="E900" s="14"/>
    </row>
    <row r="901">
      <c r="A901" s="12"/>
      <c r="D901" s="95"/>
      <c r="E901" s="14"/>
    </row>
    <row r="902">
      <c r="A902" s="12"/>
      <c r="D902" s="95"/>
      <c r="E902" s="14"/>
    </row>
    <row r="903">
      <c r="A903" s="12"/>
      <c r="D903" s="95"/>
      <c r="E903" s="14"/>
    </row>
    <row r="904">
      <c r="A904" s="12"/>
      <c r="D904" s="95"/>
      <c r="E904" s="14"/>
    </row>
    <row r="905">
      <c r="A905" s="12"/>
      <c r="D905" s="95"/>
      <c r="E905" s="14"/>
    </row>
    <row r="906">
      <c r="A906" s="12"/>
      <c r="D906" s="95"/>
      <c r="E906" s="14"/>
    </row>
    <row r="907">
      <c r="A907" s="12"/>
      <c r="D907" s="95"/>
      <c r="E907" s="14"/>
    </row>
    <row r="908">
      <c r="A908" s="12"/>
      <c r="D908" s="95"/>
      <c r="E908" s="14"/>
    </row>
    <row r="909">
      <c r="A909" s="12"/>
      <c r="D909" s="95"/>
      <c r="E909" s="14"/>
    </row>
    <row r="910">
      <c r="A910" s="12"/>
      <c r="D910" s="95"/>
      <c r="E910" s="14"/>
    </row>
    <row r="911">
      <c r="A911" s="12"/>
      <c r="D911" s="95"/>
      <c r="E911" s="14"/>
    </row>
    <row r="912">
      <c r="A912" s="12"/>
      <c r="D912" s="95"/>
      <c r="E912" s="14"/>
    </row>
    <row r="913">
      <c r="A913" s="12"/>
      <c r="D913" s="95"/>
      <c r="E913" s="14"/>
    </row>
    <row r="914">
      <c r="A914" s="12"/>
      <c r="D914" s="95"/>
      <c r="E914" s="14"/>
    </row>
    <row r="915">
      <c r="A915" s="12"/>
      <c r="D915" s="95"/>
      <c r="E915" s="14"/>
    </row>
    <row r="916">
      <c r="A916" s="12"/>
      <c r="D916" s="95"/>
      <c r="E916" s="14"/>
    </row>
    <row r="917">
      <c r="A917" s="12"/>
      <c r="D917" s="95"/>
      <c r="E917" s="14"/>
    </row>
    <row r="918">
      <c r="A918" s="12"/>
      <c r="D918" s="95"/>
      <c r="E918" s="14"/>
    </row>
    <row r="919">
      <c r="A919" s="12"/>
      <c r="D919" s="95"/>
      <c r="E919" s="14"/>
    </row>
    <row r="920">
      <c r="A920" s="12"/>
      <c r="D920" s="95"/>
      <c r="E920" s="14"/>
    </row>
    <row r="921">
      <c r="A921" s="12"/>
      <c r="D921" s="95"/>
      <c r="E921" s="14"/>
    </row>
    <row r="922">
      <c r="A922" s="12"/>
      <c r="D922" s="95"/>
      <c r="E922" s="14"/>
    </row>
    <row r="923">
      <c r="A923" s="12"/>
      <c r="D923" s="95"/>
      <c r="E923" s="14"/>
    </row>
    <row r="924">
      <c r="A924" s="12"/>
      <c r="D924" s="95"/>
      <c r="E924" s="14"/>
    </row>
    <row r="925">
      <c r="A925" s="12"/>
      <c r="D925" s="95"/>
      <c r="E925" s="14"/>
    </row>
    <row r="926">
      <c r="A926" s="12"/>
      <c r="D926" s="95"/>
      <c r="E926" s="14"/>
    </row>
    <row r="927">
      <c r="A927" s="12"/>
      <c r="D927" s="95"/>
      <c r="E927" s="14"/>
    </row>
    <row r="928">
      <c r="A928" s="12"/>
      <c r="D928" s="95"/>
      <c r="E928" s="14"/>
    </row>
    <row r="929">
      <c r="A929" s="12"/>
      <c r="D929" s="95"/>
      <c r="E929" s="14"/>
    </row>
    <row r="930">
      <c r="A930" s="12"/>
      <c r="D930" s="95"/>
      <c r="E930" s="14"/>
    </row>
    <row r="931">
      <c r="A931" s="12"/>
      <c r="D931" s="95"/>
      <c r="E931" s="14"/>
    </row>
    <row r="932">
      <c r="A932" s="12"/>
      <c r="D932" s="95"/>
      <c r="E932" s="14"/>
    </row>
    <row r="933">
      <c r="A933" s="12"/>
      <c r="D933" s="95"/>
      <c r="E933" s="14"/>
    </row>
    <row r="934">
      <c r="A934" s="12"/>
      <c r="D934" s="95"/>
      <c r="E934" s="14"/>
    </row>
    <row r="935">
      <c r="A935" s="12"/>
      <c r="D935" s="95"/>
      <c r="E935" s="14"/>
    </row>
    <row r="936">
      <c r="A936" s="12"/>
      <c r="D936" s="95"/>
      <c r="E936" s="14"/>
    </row>
    <row r="937">
      <c r="A937" s="12"/>
      <c r="D937" s="95"/>
      <c r="E937" s="14"/>
    </row>
    <row r="938">
      <c r="A938" s="12"/>
      <c r="D938" s="95"/>
      <c r="E938" s="14"/>
    </row>
    <row r="939">
      <c r="A939" s="12"/>
      <c r="D939" s="95"/>
      <c r="E939" s="14"/>
    </row>
    <row r="940">
      <c r="A940" s="12"/>
      <c r="D940" s="95"/>
      <c r="E940" s="14"/>
    </row>
    <row r="941">
      <c r="A941" s="12"/>
      <c r="D941" s="95"/>
      <c r="E941" s="14"/>
    </row>
    <row r="942">
      <c r="A942" s="12"/>
      <c r="D942" s="95"/>
      <c r="E942" s="14"/>
    </row>
    <row r="943">
      <c r="A943" s="12"/>
      <c r="D943" s="95"/>
      <c r="E943" s="14"/>
    </row>
    <row r="944">
      <c r="A944" s="12"/>
      <c r="D944" s="95"/>
      <c r="E944" s="14"/>
    </row>
    <row r="945">
      <c r="A945" s="12"/>
      <c r="D945" s="95"/>
      <c r="E945" s="14"/>
    </row>
    <row r="946">
      <c r="A946" s="12"/>
      <c r="D946" s="95"/>
      <c r="E946" s="14"/>
    </row>
    <row r="947">
      <c r="A947" s="12"/>
      <c r="D947" s="95"/>
      <c r="E947" s="14"/>
    </row>
    <row r="948">
      <c r="A948" s="12"/>
      <c r="D948" s="95"/>
      <c r="E948" s="14"/>
    </row>
    <row r="949">
      <c r="A949" s="12"/>
      <c r="D949" s="95"/>
      <c r="E949" s="14"/>
    </row>
    <row r="950">
      <c r="A950" s="12"/>
      <c r="D950" s="95"/>
      <c r="E950" s="14"/>
    </row>
    <row r="951">
      <c r="A951" s="12"/>
      <c r="D951" s="95"/>
      <c r="E951" s="14"/>
    </row>
    <row r="952">
      <c r="A952" s="12"/>
      <c r="D952" s="95"/>
      <c r="E952" s="14"/>
    </row>
    <row r="953">
      <c r="A953" s="12"/>
      <c r="D953" s="95"/>
      <c r="E953" s="14"/>
    </row>
    <row r="954">
      <c r="A954" s="12"/>
      <c r="D954" s="95"/>
      <c r="E954" s="14"/>
    </row>
    <row r="955">
      <c r="A955" s="12"/>
      <c r="D955" s="95"/>
      <c r="E955" s="14"/>
    </row>
    <row r="956">
      <c r="A956" s="12"/>
      <c r="D956" s="95"/>
      <c r="E956" s="14"/>
    </row>
    <row r="957">
      <c r="A957" s="12"/>
      <c r="D957" s="95"/>
      <c r="E957" s="14"/>
    </row>
    <row r="958">
      <c r="A958" s="12"/>
      <c r="D958" s="95"/>
      <c r="E958" s="14"/>
    </row>
    <row r="959">
      <c r="A959" s="12"/>
      <c r="D959" s="95"/>
      <c r="E959" s="14"/>
    </row>
    <row r="960">
      <c r="A960" s="12"/>
      <c r="D960" s="95"/>
      <c r="E960" s="14"/>
    </row>
    <row r="961">
      <c r="A961" s="12"/>
      <c r="D961" s="95"/>
      <c r="E961" s="14"/>
    </row>
    <row r="962">
      <c r="A962" s="12"/>
      <c r="D962" s="95"/>
      <c r="E962" s="14"/>
    </row>
    <row r="963">
      <c r="A963" s="12"/>
      <c r="D963" s="95"/>
      <c r="E963" s="14"/>
    </row>
    <row r="964">
      <c r="A964" s="12"/>
      <c r="D964" s="95"/>
      <c r="E964" s="14"/>
    </row>
    <row r="965">
      <c r="A965" s="12"/>
      <c r="D965" s="95"/>
      <c r="E965" s="14"/>
    </row>
    <row r="966">
      <c r="A966" s="12"/>
      <c r="D966" s="95"/>
      <c r="E966" s="14"/>
    </row>
    <row r="967">
      <c r="A967" s="12"/>
      <c r="D967" s="95"/>
      <c r="E967" s="14"/>
    </row>
    <row r="968">
      <c r="A968" s="12"/>
      <c r="D968" s="95"/>
      <c r="E968" s="14"/>
    </row>
    <row r="969">
      <c r="A969" s="12"/>
      <c r="D969" s="95"/>
      <c r="E969" s="14"/>
    </row>
    <row r="970">
      <c r="A970" s="12"/>
      <c r="D970" s="95"/>
      <c r="E970" s="14"/>
    </row>
    <row r="971">
      <c r="A971" s="12"/>
      <c r="D971" s="95"/>
      <c r="E971" s="14"/>
    </row>
    <row r="972">
      <c r="A972" s="12"/>
      <c r="D972" s="95"/>
      <c r="E972" s="14"/>
    </row>
    <row r="973">
      <c r="A973" s="12"/>
      <c r="D973" s="95"/>
      <c r="E973" s="14"/>
    </row>
    <row r="974">
      <c r="A974" s="12"/>
      <c r="D974" s="95"/>
      <c r="E974" s="14"/>
    </row>
    <row r="975">
      <c r="A975" s="12"/>
      <c r="D975" s="95"/>
      <c r="E975" s="14"/>
    </row>
    <row r="976">
      <c r="A976" s="12"/>
      <c r="D976" s="95"/>
      <c r="E976" s="14"/>
    </row>
    <row r="977">
      <c r="A977" s="12"/>
      <c r="D977" s="95"/>
      <c r="E977" s="14"/>
    </row>
    <row r="978">
      <c r="A978" s="12"/>
      <c r="D978" s="95"/>
      <c r="E978" s="14"/>
    </row>
    <row r="979">
      <c r="A979" s="12"/>
      <c r="D979" s="95"/>
      <c r="E979" s="14"/>
    </row>
    <row r="980">
      <c r="A980" s="12"/>
      <c r="D980" s="95"/>
      <c r="E980" s="14"/>
    </row>
    <row r="981">
      <c r="A981" s="12"/>
      <c r="D981" s="95"/>
      <c r="E981" s="14"/>
    </row>
    <row r="982">
      <c r="A982" s="12"/>
      <c r="D982" s="95"/>
      <c r="E982" s="14"/>
    </row>
    <row r="983">
      <c r="A983" s="12"/>
      <c r="D983" s="95"/>
      <c r="E983" s="14"/>
    </row>
    <row r="984">
      <c r="A984" s="12"/>
      <c r="D984" s="95"/>
      <c r="E984" s="14"/>
    </row>
    <row r="985">
      <c r="A985" s="12"/>
      <c r="D985" s="95"/>
      <c r="E985" s="14"/>
    </row>
    <row r="986">
      <c r="A986" s="12"/>
      <c r="D986" s="95"/>
      <c r="E986" s="14"/>
    </row>
    <row r="987">
      <c r="A987" s="12"/>
      <c r="D987" s="95"/>
      <c r="E987" s="14"/>
    </row>
    <row r="988">
      <c r="A988" s="12"/>
      <c r="D988" s="95"/>
      <c r="E988" s="14"/>
    </row>
    <row r="989">
      <c r="A989" s="12"/>
      <c r="D989" s="95"/>
      <c r="E989" s="14"/>
    </row>
    <row r="990">
      <c r="A990" s="12"/>
      <c r="D990" s="95"/>
      <c r="E990" s="14"/>
    </row>
    <row r="991">
      <c r="A991" s="12"/>
      <c r="D991" s="95"/>
      <c r="E991" s="14"/>
    </row>
    <row r="992">
      <c r="A992" s="12"/>
      <c r="D992" s="95"/>
      <c r="E992" s="14"/>
    </row>
    <row r="993">
      <c r="A993" s="12"/>
      <c r="D993" s="95"/>
      <c r="E993" s="14"/>
    </row>
    <row r="994">
      <c r="A994" s="12"/>
      <c r="D994" s="95"/>
      <c r="E994" s="14"/>
    </row>
    <row r="995">
      <c r="A995" s="12"/>
      <c r="D995" s="95"/>
      <c r="E995" s="14"/>
    </row>
    <row r="996">
      <c r="A996" s="12"/>
      <c r="D996" s="95"/>
      <c r="E996" s="14"/>
    </row>
    <row r="997">
      <c r="A997" s="12"/>
      <c r="D997" s="95"/>
      <c r="E997" s="14"/>
    </row>
    <row r="998">
      <c r="A998" s="12"/>
      <c r="D998" s="95"/>
      <c r="E998" s="14"/>
    </row>
    <row r="999">
      <c r="A999" s="12"/>
      <c r="D999" s="95"/>
      <c r="E999" s="14"/>
    </row>
    <row r="1000">
      <c r="A1000" s="12"/>
      <c r="D1000" s="95"/>
      <c r="E1000" s="14"/>
    </row>
    <row r="1001">
      <c r="A1001" s="12"/>
      <c r="D1001" s="95"/>
      <c r="E1001" s="14"/>
    </row>
    <row r="1002">
      <c r="A1002" s="12"/>
      <c r="D1002" s="95"/>
      <c r="E1002" s="14"/>
    </row>
    <row r="1003">
      <c r="A1003" s="12"/>
      <c r="D1003" s="95"/>
      <c r="E1003" s="14"/>
    </row>
    <row r="1004">
      <c r="A1004" s="12"/>
      <c r="D1004" s="95"/>
      <c r="E1004" s="14"/>
    </row>
    <row r="1005">
      <c r="A1005" s="12"/>
      <c r="D1005" s="95"/>
      <c r="E1005" s="14"/>
    </row>
    <row r="1006">
      <c r="A1006" s="12"/>
      <c r="D1006" s="95"/>
      <c r="E1006" s="14"/>
    </row>
    <row r="1007">
      <c r="A1007" s="12"/>
      <c r="D1007" s="95"/>
      <c r="E1007" s="14"/>
    </row>
    <row r="1008">
      <c r="A1008" s="12"/>
      <c r="D1008" s="95"/>
      <c r="E1008" s="14"/>
    </row>
    <row r="1009">
      <c r="A1009" s="12"/>
      <c r="D1009" s="95"/>
      <c r="E1009" s="14"/>
    </row>
    <row r="1010">
      <c r="A1010" s="12"/>
      <c r="D1010" s="95"/>
      <c r="E1010" s="14"/>
    </row>
    <row r="1011">
      <c r="A1011" s="12"/>
      <c r="D1011" s="95"/>
      <c r="E1011" s="14"/>
    </row>
    <row r="1012">
      <c r="A1012" s="12"/>
      <c r="D1012" s="95"/>
      <c r="E1012" s="14"/>
    </row>
    <row r="1013">
      <c r="A1013" s="12"/>
      <c r="D1013" s="95"/>
      <c r="E1013" s="14"/>
    </row>
    <row r="1014">
      <c r="A1014" s="12"/>
      <c r="D1014" s="95"/>
      <c r="E1014" s="14"/>
    </row>
    <row r="1015">
      <c r="A1015" s="12"/>
      <c r="D1015" s="95"/>
      <c r="E1015" s="14"/>
    </row>
    <row r="1016">
      <c r="A1016" s="12"/>
      <c r="D1016" s="95"/>
      <c r="E1016" s="14"/>
    </row>
    <row r="1017">
      <c r="A1017" s="12"/>
      <c r="D1017" s="95"/>
      <c r="E1017" s="14"/>
    </row>
    <row r="1018">
      <c r="A1018" s="12"/>
      <c r="D1018" s="95"/>
      <c r="E1018" s="14"/>
    </row>
    <row r="1019">
      <c r="A1019" s="12"/>
      <c r="D1019" s="95"/>
      <c r="E1019" s="14"/>
    </row>
    <row r="1020">
      <c r="A1020" s="12"/>
      <c r="D1020" s="95"/>
      <c r="E1020" s="14"/>
    </row>
  </sheetData>
  <conditionalFormatting sqref="H2:Q42">
    <cfRule type="cellIs" dxfId="30" priority="1" operator="equal">
      <formula>0</formula>
    </cfRule>
  </conditionalFormatting>
  <conditionalFormatting sqref="H2:H42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42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42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42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42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42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42">
    <cfRule type="colorScale" priority="8">
      <colorScale>
        <cfvo type="formula" val="0"/>
        <cfvo type="percentile" val="50"/>
        <cfvo type="max"/>
        <color rgb="FFFF0000"/>
        <color rgb="FFFFFF00"/>
        <color rgb="FF34A853"/>
      </colorScale>
    </cfRule>
  </conditionalFormatting>
  <conditionalFormatting sqref="P2:P42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Q2:Q42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42">
    <cfRule type="colorScale" priority="11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49:C56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9:F56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(Santiago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2:F42 F45:F46">
      <formula1>OR(NOT(ISERROR(DATEVALUE(F2))), AND(ISNUMBER(F2), LEFT(CELL("format", F2))="D"))</formula1>
    </dataValidation>
    <dataValidation type="list" allowBlank="1" showDropDown="1" sqref="C2:C42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13"/>
    <col customWidth="1" min="3" max="3" width="15.5"/>
    <col customWidth="1" min="4" max="4" width="35.0"/>
    <col customWidth="1" min="5" max="5" width="9.25"/>
    <col customWidth="1" min="6" max="6" width="24.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888" t="s">
        <v>48</v>
      </c>
      <c r="B1" s="889" t="s">
        <v>49</v>
      </c>
      <c r="C1" s="889" t="s">
        <v>50</v>
      </c>
      <c r="D1" s="890" t="s">
        <v>56</v>
      </c>
      <c r="E1" s="888" t="s">
        <v>57</v>
      </c>
      <c r="F1" s="891" t="s">
        <v>52</v>
      </c>
      <c r="G1" s="890" t="s">
        <v>53</v>
      </c>
      <c r="H1" s="888" t="s">
        <v>4</v>
      </c>
      <c r="I1" s="888" t="s">
        <v>58</v>
      </c>
      <c r="J1" s="888" t="s">
        <v>59</v>
      </c>
      <c r="K1" s="888" t="s">
        <v>60</v>
      </c>
      <c r="L1" s="888" t="s">
        <v>61</v>
      </c>
      <c r="M1" s="888" t="s">
        <v>62</v>
      </c>
      <c r="N1" s="888" t="s">
        <v>63</v>
      </c>
      <c r="O1" s="892" t="s">
        <v>387</v>
      </c>
      <c r="P1" s="892" t="s">
        <v>64</v>
      </c>
      <c r="Q1" s="888" t="s">
        <v>65</v>
      </c>
    </row>
    <row r="2" ht="22.5" customHeight="1">
      <c r="A2" s="893">
        <v>1.0</v>
      </c>
      <c r="B2" s="894" t="s">
        <v>1393</v>
      </c>
      <c r="C2" s="895" t="s">
        <v>67</v>
      </c>
      <c r="D2" s="896" t="s">
        <v>1394</v>
      </c>
      <c r="E2" s="897" t="str">
        <f>IMAGE("https://flagcdn.com/w320/fi.png")</f>
        <v/>
      </c>
      <c r="F2" s="898">
        <v>32836.0</v>
      </c>
      <c r="G2" s="899">
        <f t="shared" ref="G2:G35" si="1">DATEDIF(F2,TODAY(),"Y")</f>
        <v>36</v>
      </c>
      <c r="H2" s="900">
        <f>1+1</f>
        <v>2</v>
      </c>
      <c r="I2" s="900">
        <f>90+90</f>
        <v>180</v>
      </c>
      <c r="J2" s="900"/>
      <c r="K2" s="900"/>
      <c r="L2" s="900"/>
      <c r="M2" s="900"/>
      <c r="N2" s="900">
        <f>1</f>
        <v>1</v>
      </c>
      <c r="O2" s="900"/>
      <c r="P2" s="900">
        <f t="shared" ref="P2:P35" si="2">J2+K2</f>
        <v>0</v>
      </c>
      <c r="Q2" s="900"/>
    </row>
    <row r="3" ht="22.5" customHeight="1">
      <c r="A3" s="893">
        <v>2.0</v>
      </c>
      <c r="B3" s="901" t="s">
        <v>1395</v>
      </c>
      <c r="C3" s="895" t="s">
        <v>70</v>
      </c>
      <c r="D3" s="896" t="s">
        <v>182</v>
      </c>
      <c r="E3" s="897" t="str">
        <f>IMAGE("https://flagcdn.com/w320/br.png")</f>
        <v/>
      </c>
      <c r="F3" s="898">
        <v>37063.0</v>
      </c>
      <c r="G3" s="899">
        <f t="shared" si="1"/>
        <v>24</v>
      </c>
      <c r="H3" s="900">
        <f>1+1+1+1+1</f>
        <v>5</v>
      </c>
      <c r="I3" s="900">
        <f>90+21+75+90+60</f>
        <v>336</v>
      </c>
      <c r="J3" s="900"/>
      <c r="K3" s="900"/>
      <c r="L3" s="900"/>
      <c r="M3" s="900"/>
      <c r="N3" s="900"/>
      <c r="O3" s="900"/>
      <c r="P3" s="900">
        <f t="shared" si="2"/>
        <v>0</v>
      </c>
      <c r="Q3" s="900"/>
    </row>
    <row r="4" ht="22.5" customHeight="1">
      <c r="A4" s="893">
        <v>3.0</v>
      </c>
      <c r="B4" s="894" t="s">
        <v>1396</v>
      </c>
      <c r="C4" s="895" t="s">
        <v>70</v>
      </c>
      <c r="D4" s="896" t="s">
        <v>1397</v>
      </c>
      <c r="E4" s="897" t="str">
        <f>IMAGE("https://flagcdn.com/w320/gb-eng.png")</f>
        <v/>
      </c>
      <c r="F4" s="898">
        <v>34349.0</v>
      </c>
      <c r="G4" s="899">
        <f t="shared" si="1"/>
        <v>32</v>
      </c>
      <c r="H4" s="900">
        <f>1+1+1</f>
        <v>3</v>
      </c>
      <c r="I4" s="900">
        <f>90+90+90</f>
        <v>270</v>
      </c>
      <c r="J4" s="900">
        <f>1</f>
        <v>1</v>
      </c>
      <c r="K4" s="900"/>
      <c r="L4" s="900"/>
      <c r="M4" s="900"/>
      <c r="N4" s="900"/>
      <c r="O4" s="900"/>
      <c r="P4" s="900">
        <f t="shared" si="2"/>
        <v>1</v>
      </c>
      <c r="Q4" s="900"/>
    </row>
    <row r="5" ht="22.5" customHeight="1">
      <c r="A5" s="893">
        <v>4.0</v>
      </c>
      <c r="B5" s="894" t="s">
        <v>1398</v>
      </c>
      <c r="C5" s="895" t="s">
        <v>70</v>
      </c>
      <c r="D5" s="896" t="s">
        <v>1399</v>
      </c>
      <c r="E5" s="897" t="str">
        <f>IMAGE("https://flagcdn.com/w320/nl.png")</f>
        <v/>
      </c>
      <c r="F5" s="898">
        <v>36433.0</v>
      </c>
      <c r="G5" s="899">
        <f t="shared" si="1"/>
        <v>26</v>
      </c>
      <c r="H5" s="902">
        <f>1+1+1+1+1+1</f>
        <v>6</v>
      </c>
      <c r="I5" s="902">
        <f>90+90+90+90+16+90</f>
        <v>466</v>
      </c>
      <c r="J5" s="900">
        <f>1+1</f>
        <v>2</v>
      </c>
      <c r="K5" s="900"/>
      <c r="L5" s="900"/>
      <c r="M5" s="900"/>
      <c r="N5" s="900"/>
      <c r="O5" s="900"/>
      <c r="P5" s="900">
        <f t="shared" si="2"/>
        <v>2</v>
      </c>
      <c r="Q5" s="900"/>
    </row>
    <row r="6" ht="22.5" customHeight="1">
      <c r="A6" s="893">
        <v>5.0</v>
      </c>
      <c r="B6" s="894" t="s">
        <v>1400</v>
      </c>
      <c r="C6" s="895" t="s">
        <v>70</v>
      </c>
      <c r="D6" s="896" t="s">
        <v>1401</v>
      </c>
      <c r="E6" s="897" t="str">
        <f>IMAGE("https://flagcdn.com/w320/de.png")</f>
        <v/>
      </c>
      <c r="F6" s="898">
        <v>35329.0</v>
      </c>
      <c r="G6" s="899">
        <f t="shared" si="1"/>
        <v>29</v>
      </c>
      <c r="H6" s="900">
        <f>1+1+1+1+1+1+1</f>
        <v>7</v>
      </c>
      <c r="I6" s="900">
        <f>45+90+90+90+15+90+90</f>
        <v>510</v>
      </c>
      <c r="J6" s="900"/>
      <c r="K6" s="900"/>
      <c r="L6" s="900">
        <f t="shared" ref="L6:L7" si="3">1</f>
        <v>1</v>
      </c>
      <c r="M6" s="900"/>
      <c r="N6" s="900"/>
      <c r="O6" s="900">
        <f>1</f>
        <v>1</v>
      </c>
      <c r="P6" s="900">
        <f t="shared" si="2"/>
        <v>0</v>
      </c>
      <c r="Q6" s="900"/>
    </row>
    <row r="7" ht="22.5" customHeight="1">
      <c r="A7" s="893">
        <v>6.0</v>
      </c>
      <c r="B7" s="894" t="s">
        <v>1402</v>
      </c>
      <c r="C7" s="895" t="s">
        <v>79</v>
      </c>
      <c r="D7" s="896" t="s">
        <v>1403</v>
      </c>
      <c r="E7" s="897" t="str">
        <f>IMAGE("https://flagcdn.com/w320/ch.png")</f>
        <v/>
      </c>
      <c r="F7" s="898">
        <v>35389.0</v>
      </c>
      <c r="G7" s="899">
        <f t="shared" si="1"/>
        <v>29</v>
      </c>
      <c r="H7" s="900">
        <f>1+1+1</f>
        <v>3</v>
      </c>
      <c r="I7" s="900">
        <f>90+90+72</f>
        <v>252</v>
      </c>
      <c r="J7" s="900"/>
      <c r="K7" s="900"/>
      <c r="L7" s="900">
        <f t="shared" si="3"/>
        <v>1</v>
      </c>
      <c r="M7" s="900"/>
      <c r="N7" s="900"/>
      <c r="O7" s="900"/>
      <c r="P7" s="900">
        <f t="shared" si="2"/>
        <v>0</v>
      </c>
      <c r="Q7" s="900"/>
    </row>
    <row r="8" ht="22.5" customHeight="1">
      <c r="A8" s="893">
        <v>8.0</v>
      </c>
      <c r="B8" s="894" t="s">
        <v>1404</v>
      </c>
      <c r="C8" s="895" t="s">
        <v>79</v>
      </c>
      <c r="D8" s="896" t="s">
        <v>1405</v>
      </c>
      <c r="E8" s="897" t="str">
        <f>IMAGE("https://flagcdn.com/w320/fr.png")</f>
        <v/>
      </c>
      <c r="F8" s="898">
        <v>34043.0</v>
      </c>
      <c r="G8" s="899">
        <f t="shared" si="1"/>
        <v>32</v>
      </c>
      <c r="H8" s="902">
        <v>0.0</v>
      </c>
      <c r="I8" s="902">
        <v>0.0</v>
      </c>
      <c r="J8" s="900"/>
      <c r="K8" s="900"/>
      <c r="L8" s="900"/>
      <c r="M8" s="900"/>
      <c r="N8" s="900"/>
      <c r="O8" s="900"/>
      <c r="P8" s="900">
        <f t="shared" si="2"/>
        <v>0</v>
      </c>
      <c r="Q8" s="900"/>
    </row>
    <row r="9" ht="22.5" customHeight="1">
      <c r="A9" s="893">
        <v>9.0</v>
      </c>
      <c r="B9" s="894" t="s">
        <v>1406</v>
      </c>
      <c r="C9" s="895" t="s">
        <v>82</v>
      </c>
      <c r="D9" s="896" t="s">
        <v>1407</v>
      </c>
      <c r="E9" s="897" t="str">
        <f>IMAGE("https://flagcdn.com/w320/us.png")</f>
        <v/>
      </c>
      <c r="F9" s="898">
        <v>37075.0</v>
      </c>
      <c r="G9" s="899">
        <f t="shared" si="1"/>
        <v>24</v>
      </c>
      <c r="H9" s="900">
        <f>1+1+1+1+1+1+1</f>
        <v>7</v>
      </c>
      <c r="I9" s="900">
        <f>62+81+82+90+88+85+72</f>
        <v>560</v>
      </c>
      <c r="J9" s="900">
        <f>1+1+1</f>
        <v>3</v>
      </c>
      <c r="K9" s="900"/>
      <c r="L9" s="900"/>
      <c r="M9" s="900"/>
      <c r="N9" s="900"/>
      <c r="O9" s="900"/>
      <c r="P9" s="900">
        <f t="shared" si="2"/>
        <v>3</v>
      </c>
      <c r="Q9" s="900"/>
    </row>
    <row r="10" ht="22.5" customHeight="1">
      <c r="A10" s="893">
        <v>10.0</v>
      </c>
      <c r="B10" s="894" t="s">
        <v>1408</v>
      </c>
      <c r="C10" s="895" t="s">
        <v>79</v>
      </c>
      <c r="D10" s="896" t="s">
        <v>1088</v>
      </c>
      <c r="E10" s="897" t="str">
        <f>IMAGE("https://flagcdn.com/w320/ru.png")</f>
        <v/>
      </c>
      <c r="F10" s="898">
        <v>35215.0</v>
      </c>
      <c r="G10" s="899">
        <f t="shared" si="1"/>
        <v>29</v>
      </c>
      <c r="H10" s="900">
        <f>1+1+1+1+1</f>
        <v>5</v>
      </c>
      <c r="I10" s="900">
        <f>34+90+64+81+83</f>
        <v>352</v>
      </c>
      <c r="J10" s="900"/>
      <c r="K10" s="900"/>
      <c r="L10" s="900">
        <f>1+1</f>
        <v>2</v>
      </c>
      <c r="M10" s="900"/>
      <c r="N10" s="900"/>
      <c r="O10" s="900"/>
      <c r="P10" s="900">
        <f t="shared" si="2"/>
        <v>0</v>
      </c>
      <c r="Q10" s="900"/>
    </row>
    <row r="11" ht="22.5" customHeight="1">
      <c r="A11" s="893">
        <v>11.0</v>
      </c>
      <c r="B11" s="894" t="s">
        <v>1409</v>
      </c>
      <c r="C11" s="895" t="s">
        <v>82</v>
      </c>
      <c r="D11" s="896" t="s">
        <v>1410</v>
      </c>
      <c r="E11" s="897" t="str">
        <f>IMAGE("https://flagcdn.com/w320/fr.png")</f>
        <v/>
      </c>
      <c r="F11" s="898">
        <v>37312.0</v>
      </c>
      <c r="G11" s="899">
        <f t="shared" si="1"/>
        <v>23</v>
      </c>
      <c r="H11" s="900">
        <f>1+1+1+1+1+1+1</f>
        <v>7</v>
      </c>
      <c r="I11" s="900">
        <f>90+90+90+71+90+90+90</f>
        <v>611</v>
      </c>
      <c r="J11" s="900"/>
      <c r="K11" s="900">
        <f>1+1</f>
        <v>2</v>
      </c>
      <c r="L11" s="900"/>
      <c r="M11" s="900"/>
      <c r="N11" s="900"/>
      <c r="O11" s="900"/>
      <c r="P11" s="900">
        <f t="shared" si="2"/>
        <v>2</v>
      </c>
      <c r="Q11" s="900"/>
    </row>
    <row r="12" ht="22.5" customHeight="1">
      <c r="A12" s="893">
        <v>12.0</v>
      </c>
      <c r="B12" s="901" t="s">
        <v>1411</v>
      </c>
      <c r="C12" s="895" t="s">
        <v>70</v>
      </c>
      <c r="D12" s="896" t="s">
        <v>1412</v>
      </c>
      <c r="E12" s="897" t="str">
        <f>IMAGE("https://flagcdn.com/w320/br.png")</f>
        <v/>
      </c>
      <c r="F12" s="898">
        <v>35642.0</v>
      </c>
      <c r="G12" s="899">
        <f t="shared" si="1"/>
        <v>28</v>
      </c>
      <c r="H12" s="900">
        <f>1+1+1+1+1+1</f>
        <v>6</v>
      </c>
      <c r="I12" s="900">
        <f>45+90+90+90+90+90</f>
        <v>495</v>
      </c>
      <c r="J12" s="900"/>
      <c r="K12" s="900"/>
      <c r="L12" s="900"/>
      <c r="M12" s="900"/>
      <c r="N12" s="900"/>
      <c r="O12" s="900"/>
      <c r="P12" s="900">
        <f t="shared" si="2"/>
        <v>0</v>
      </c>
      <c r="Q12" s="900"/>
    </row>
    <row r="13" ht="22.5" customHeight="1">
      <c r="A13" s="893">
        <v>13.0</v>
      </c>
      <c r="B13" s="894" t="s">
        <v>1413</v>
      </c>
      <c r="C13" s="895" t="s">
        <v>70</v>
      </c>
      <c r="D13" s="896" t="s">
        <v>1414</v>
      </c>
      <c r="E13" s="897" t="str">
        <f>IMAGE("https://flagcdn.com/w320/fr.png")</f>
        <v/>
      </c>
      <c r="F13" s="898">
        <v>38460.0</v>
      </c>
      <c r="G13" s="899">
        <f t="shared" si="1"/>
        <v>20</v>
      </c>
      <c r="H13" s="900">
        <f>1+1</f>
        <v>2</v>
      </c>
      <c r="I13" s="900">
        <f>77+21</f>
        <v>98</v>
      </c>
      <c r="J13" s="900"/>
      <c r="K13" s="900"/>
      <c r="L13" s="900">
        <f t="shared" ref="L13:L15" si="4">1</f>
        <v>1</v>
      </c>
      <c r="M13" s="900"/>
      <c r="N13" s="900"/>
      <c r="O13" s="900"/>
      <c r="P13" s="900">
        <f t="shared" si="2"/>
        <v>0</v>
      </c>
      <c r="Q13" s="900"/>
    </row>
    <row r="14" ht="22.5" customHeight="1">
      <c r="A14" s="893">
        <v>14.0</v>
      </c>
      <c r="B14" s="894" t="s">
        <v>1415</v>
      </c>
      <c r="C14" s="895" t="s">
        <v>82</v>
      </c>
      <c r="D14" s="896" t="s">
        <v>1416</v>
      </c>
      <c r="E14" s="897" t="str">
        <f>IMAGE("https://flagcdn.com/w320/dk.png")</f>
        <v/>
      </c>
      <c r="F14" s="898">
        <v>37660.0</v>
      </c>
      <c r="G14" s="899">
        <f t="shared" si="1"/>
        <v>22</v>
      </c>
      <c r="H14" s="900">
        <f>1+1+1+1+1+1</f>
        <v>6</v>
      </c>
      <c r="I14" s="900">
        <f>62+9+8+19+2+5</f>
        <v>105</v>
      </c>
      <c r="J14" s="900"/>
      <c r="K14" s="900"/>
      <c r="L14" s="900">
        <f t="shared" si="4"/>
        <v>1</v>
      </c>
      <c r="M14" s="900"/>
      <c r="N14" s="900"/>
      <c r="O14" s="900"/>
      <c r="P14" s="900">
        <f t="shared" si="2"/>
        <v>0</v>
      </c>
      <c r="Q14" s="900"/>
    </row>
    <row r="15" ht="22.5" customHeight="1">
      <c r="A15" s="893">
        <v>15.0</v>
      </c>
      <c r="B15" s="894" t="s">
        <v>1417</v>
      </c>
      <c r="C15" s="895" t="s">
        <v>79</v>
      </c>
      <c r="D15" s="896" t="s">
        <v>1418</v>
      </c>
      <c r="E15" s="897" t="str">
        <f>IMAGE("https://flagcdn.com/w320/sn.png")</f>
        <v/>
      </c>
      <c r="F15" s="898">
        <v>37987.0</v>
      </c>
      <c r="G15" s="899">
        <f t="shared" si="1"/>
        <v>22</v>
      </c>
      <c r="H15" s="900">
        <f>1+1+1</f>
        <v>3</v>
      </c>
      <c r="I15" s="900">
        <f>90+64+90</f>
        <v>244</v>
      </c>
      <c r="J15" s="900"/>
      <c r="K15" s="900"/>
      <c r="L15" s="900">
        <f t="shared" si="4"/>
        <v>1</v>
      </c>
      <c r="M15" s="900"/>
      <c r="N15" s="900"/>
      <c r="O15" s="900"/>
      <c r="P15" s="900">
        <f t="shared" si="2"/>
        <v>0</v>
      </c>
      <c r="Q15" s="900"/>
    </row>
    <row r="16" ht="22.5" customHeight="1">
      <c r="A16" s="893">
        <v>16.0</v>
      </c>
      <c r="B16" s="894" t="s">
        <v>1419</v>
      </c>
      <c r="C16" s="895" t="s">
        <v>67</v>
      </c>
      <c r="D16" s="896" t="s">
        <v>1420</v>
      </c>
      <c r="E16" s="897" t="str">
        <f>IMAGE("https://flagcdn.com/w320/ch.png")</f>
        <v/>
      </c>
      <c r="F16" s="898">
        <v>35887.0</v>
      </c>
      <c r="G16" s="899">
        <f t="shared" si="1"/>
        <v>27</v>
      </c>
      <c r="H16" s="900">
        <f>1+1+1+1+1</f>
        <v>5</v>
      </c>
      <c r="I16" s="900">
        <f>90+90+90+90+90</f>
        <v>450</v>
      </c>
      <c r="J16" s="900"/>
      <c r="K16" s="900"/>
      <c r="L16" s="900"/>
      <c r="M16" s="900"/>
      <c r="N16" s="900">
        <f>1+1</f>
        <v>2</v>
      </c>
      <c r="O16" s="900"/>
      <c r="P16" s="900">
        <f t="shared" si="2"/>
        <v>0</v>
      </c>
      <c r="Q16" s="900"/>
    </row>
    <row r="17" ht="22.5" customHeight="1">
      <c r="A17" s="893">
        <v>17.0</v>
      </c>
      <c r="B17" s="894" t="s">
        <v>1421</v>
      </c>
      <c r="C17" s="895" t="s">
        <v>79</v>
      </c>
      <c r="D17" s="896" t="s">
        <v>1422</v>
      </c>
      <c r="E17" s="897" t="str">
        <f>IMAGE("https://flagcdn.com/w320/be.png")</f>
        <v/>
      </c>
      <c r="F17" s="898">
        <v>38532.0</v>
      </c>
      <c r="G17" s="899">
        <f t="shared" si="1"/>
        <v>20</v>
      </c>
      <c r="H17" s="902">
        <f>1</f>
        <v>1</v>
      </c>
      <c r="I17" s="902">
        <f>27</f>
        <v>27</v>
      </c>
      <c r="J17" s="900"/>
      <c r="K17" s="900"/>
      <c r="L17" s="900"/>
      <c r="M17" s="900"/>
      <c r="N17" s="900"/>
      <c r="O17" s="900"/>
      <c r="P17" s="900">
        <f t="shared" si="2"/>
        <v>0</v>
      </c>
      <c r="Q17" s="900"/>
    </row>
    <row r="18" ht="22.5" customHeight="1">
      <c r="A18" s="893">
        <v>18.0</v>
      </c>
      <c r="B18" s="894" t="s">
        <v>1423</v>
      </c>
      <c r="C18" s="895" t="s">
        <v>82</v>
      </c>
      <c r="D18" s="896" t="s">
        <v>75</v>
      </c>
      <c r="E18" s="897" t="str">
        <f>IMAGE("https://flagcdn.com/w320/jp.png")</f>
        <v/>
      </c>
      <c r="F18" s="898">
        <v>34715.0</v>
      </c>
      <c r="G18" s="899">
        <f t="shared" si="1"/>
        <v>31</v>
      </c>
      <c r="H18" s="900">
        <f>1+1+1+1+1</f>
        <v>5</v>
      </c>
      <c r="I18" s="900">
        <f>90+21+62+75+74</f>
        <v>322</v>
      </c>
      <c r="J18" s="900">
        <f t="shared" ref="J18:K18" si="5">1</f>
        <v>1</v>
      </c>
      <c r="K18" s="900">
        <f t="shared" si="5"/>
        <v>1</v>
      </c>
      <c r="L18" s="900"/>
      <c r="M18" s="900"/>
      <c r="N18" s="900"/>
      <c r="O18" s="900"/>
      <c r="P18" s="900">
        <f t="shared" si="2"/>
        <v>2</v>
      </c>
      <c r="Q18" s="900"/>
    </row>
    <row r="19" ht="22.5" customHeight="1">
      <c r="A19" s="893">
        <v>19.0</v>
      </c>
      <c r="B19" s="894" t="s">
        <v>1424</v>
      </c>
      <c r="C19" s="895" t="s">
        <v>82</v>
      </c>
      <c r="D19" s="896" t="s">
        <v>1425</v>
      </c>
      <c r="E19" s="897" t="str">
        <f>IMAGE("https://flagcdn.com/w320/ng.png")</f>
        <v/>
      </c>
      <c r="F19" s="898">
        <v>38945.0</v>
      </c>
      <c r="G19" s="899">
        <f t="shared" si="1"/>
        <v>19</v>
      </c>
      <c r="H19" s="900">
        <f>1+1+1</f>
        <v>3</v>
      </c>
      <c r="I19" s="900">
        <f>28+9+18</f>
        <v>55</v>
      </c>
      <c r="J19" s="900"/>
      <c r="K19" s="900"/>
      <c r="L19" s="900"/>
      <c r="M19" s="900"/>
      <c r="N19" s="900"/>
      <c r="O19" s="900"/>
      <c r="P19" s="900">
        <f t="shared" si="2"/>
        <v>0</v>
      </c>
      <c r="Q19" s="900"/>
    </row>
    <row r="20" ht="22.5" customHeight="1">
      <c r="A20" s="893">
        <v>20.0</v>
      </c>
      <c r="B20" s="894" t="s">
        <v>1426</v>
      </c>
      <c r="C20" s="895" t="s">
        <v>70</v>
      </c>
      <c r="D20" s="896" t="s">
        <v>1427</v>
      </c>
      <c r="E20" s="897" t="str">
        <f t="shared" ref="E20:E21" si="6">IMAGE("https://flagcdn.com/w320/fr.png")</f>
        <v/>
      </c>
      <c r="F20" s="898">
        <v>38274.0</v>
      </c>
      <c r="G20" s="899">
        <f t="shared" si="1"/>
        <v>21</v>
      </c>
      <c r="H20" s="900">
        <f>1+1+1+1+1+1</f>
        <v>6</v>
      </c>
      <c r="I20" s="900">
        <f>13+69+69+90+9+30</f>
        <v>280</v>
      </c>
      <c r="J20" s="900"/>
      <c r="K20" s="900"/>
      <c r="L20" s="900">
        <f>1</f>
        <v>1</v>
      </c>
      <c r="M20" s="900"/>
      <c r="N20" s="900"/>
      <c r="O20" s="900"/>
      <c r="P20" s="900">
        <f t="shared" si="2"/>
        <v>0</v>
      </c>
      <c r="Q20" s="900"/>
    </row>
    <row r="21" ht="22.5" customHeight="1">
      <c r="A21" s="893">
        <v>21.0</v>
      </c>
      <c r="B21" s="894" t="s">
        <v>1428</v>
      </c>
      <c r="C21" s="895" t="s">
        <v>82</v>
      </c>
      <c r="D21" s="896" t="s">
        <v>1429</v>
      </c>
      <c r="E21" s="897" t="str">
        <f t="shared" si="6"/>
        <v/>
      </c>
      <c r="F21" s="898">
        <v>38525.0</v>
      </c>
      <c r="G21" s="899">
        <f t="shared" si="1"/>
        <v>20</v>
      </c>
      <c r="H21" s="902">
        <f>1+1</f>
        <v>2</v>
      </c>
      <c r="I21" s="902">
        <f>26+7</f>
        <v>33</v>
      </c>
      <c r="J21" s="900"/>
      <c r="K21" s="900"/>
      <c r="L21" s="900"/>
      <c r="M21" s="900"/>
      <c r="N21" s="900"/>
      <c r="O21" s="900"/>
      <c r="P21" s="900">
        <f t="shared" si="2"/>
        <v>0</v>
      </c>
      <c r="Q21" s="900"/>
    </row>
    <row r="22" ht="22.5" customHeight="1">
      <c r="A22" s="893">
        <v>22.0</v>
      </c>
      <c r="B22" s="894" t="s">
        <v>1430</v>
      </c>
      <c r="C22" s="895" t="s">
        <v>70</v>
      </c>
      <c r="D22" s="896" t="s">
        <v>291</v>
      </c>
      <c r="E22" s="897" t="str">
        <f>IMAGE("https://flagcdn.com/w320/gh.png")</f>
        <v/>
      </c>
      <c r="F22" s="898">
        <v>36267.0</v>
      </c>
      <c r="G22" s="899">
        <f t="shared" si="1"/>
        <v>26</v>
      </c>
      <c r="H22" s="900">
        <f>1+1+1+1+1</f>
        <v>5</v>
      </c>
      <c r="I22" s="900">
        <f>81+90+90+90+90</f>
        <v>441</v>
      </c>
      <c r="J22" s="900"/>
      <c r="K22" s="900"/>
      <c r="L22" s="900">
        <f>1+1</f>
        <v>2</v>
      </c>
      <c r="M22" s="900"/>
      <c r="N22" s="900"/>
      <c r="O22" s="900">
        <f>1</f>
        <v>1</v>
      </c>
      <c r="P22" s="900">
        <f t="shared" si="2"/>
        <v>0</v>
      </c>
      <c r="Q22" s="900"/>
    </row>
    <row r="23" ht="22.5" customHeight="1">
      <c r="A23" s="893">
        <v>23.0</v>
      </c>
      <c r="B23" s="894" t="s">
        <v>1431</v>
      </c>
      <c r="C23" s="895" t="s">
        <v>79</v>
      </c>
      <c r="D23" s="896" t="s">
        <v>1432</v>
      </c>
      <c r="E23" s="897" t="str">
        <f>IMAGE("https://flagcdn.com/w320/fr.png")</f>
        <v/>
      </c>
      <c r="F23" s="898">
        <v>38912.0</v>
      </c>
      <c r="G23" s="899">
        <f t="shared" si="1"/>
        <v>19</v>
      </c>
      <c r="H23" s="900">
        <f t="shared" ref="H23:H24" si="7">1+1</f>
        <v>2</v>
      </c>
      <c r="I23" s="900">
        <f>45+18</f>
        <v>63</v>
      </c>
      <c r="J23" s="900"/>
      <c r="K23" s="900"/>
      <c r="L23" s="900"/>
      <c r="M23" s="900"/>
      <c r="N23" s="900"/>
      <c r="O23" s="900"/>
      <c r="P23" s="900">
        <f t="shared" si="2"/>
        <v>0</v>
      </c>
      <c r="Q23" s="900"/>
    </row>
    <row r="24" ht="22.5" customHeight="1">
      <c r="A24" s="893">
        <v>27.0</v>
      </c>
      <c r="B24" s="894" t="s">
        <v>1433</v>
      </c>
      <c r="C24" s="895" t="s">
        <v>82</v>
      </c>
      <c r="D24" s="896" t="s">
        <v>1418</v>
      </c>
      <c r="E24" s="897" t="str">
        <f>IMAGE("https://flagcdn.com/w320/sn.png")</f>
        <v/>
      </c>
      <c r="F24" s="898">
        <v>36185.0</v>
      </c>
      <c r="G24" s="899">
        <f t="shared" si="1"/>
        <v>27</v>
      </c>
      <c r="H24" s="900">
        <f t="shared" si="7"/>
        <v>2</v>
      </c>
      <c r="I24" s="900">
        <f>90+56</f>
        <v>146</v>
      </c>
      <c r="J24" s="900"/>
      <c r="K24" s="900">
        <f t="shared" ref="K24:L24" si="8">1</f>
        <v>1</v>
      </c>
      <c r="L24" s="900">
        <f t="shared" si="8"/>
        <v>1</v>
      </c>
      <c r="M24" s="900"/>
      <c r="N24" s="900"/>
      <c r="O24" s="900"/>
      <c r="P24" s="900">
        <f t="shared" si="2"/>
        <v>1</v>
      </c>
      <c r="Q24" s="900"/>
    </row>
    <row r="25" ht="22.5" customHeight="1">
      <c r="A25" s="893">
        <v>28.0</v>
      </c>
      <c r="B25" s="894" t="s">
        <v>1434</v>
      </c>
      <c r="C25" s="895" t="s">
        <v>79</v>
      </c>
      <c r="D25" s="896" t="s">
        <v>1435</v>
      </c>
      <c r="E25" s="897" t="str">
        <f>IMAGE("https://flagcdn.com/w320/fr.png")</f>
        <v/>
      </c>
      <c r="F25" s="898">
        <v>38098.0</v>
      </c>
      <c r="G25" s="899">
        <f t="shared" si="1"/>
        <v>21</v>
      </c>
      <c r="H25" s="900">
        <f>1+1+1+1+1+1</f>
        <v>6</v>
      </c>
      <c r="I25" s="900">
        <f>45+81+90+90+26+30</f>
        <v>362</v>
      </c>
      <c r="J25" s="900"/>
      <c r="K25" s="900"/>
      <c r="L25" s="900">
        <f>1</f>
        <v>1</v>
      </c>
      <c r="M25" s="900"/>
      <c r="N25" s="900"/>
      <c r="O25" s="900"/>
      <c r="P25" s="900">
        <f t="shared" si="2"/>
        <v>0</v>
      </c>
      <c r="Q25" s="900"/>
    </row>
    <row r="26" ht="22.5" customHeight="1">
      <c r="A26" s="893">
        <v>31.0</v>
      </c>
      <c r="B26" s="894" t="s">
        <v>1436</v>
      </c>
      <c r="C26" s="895" t="s">
        <v>82</v>
      </c>
      <c r="D26" s="896" t="s">
        <v>1437</v>
      </c>
      <c r="E26" s="897" t="str">
        <f>IMAGE("https://flagcdn.com/w320/es.png")</f>
        <v/>
      </c>
      <c r="F26" s="898">
        <v>37560.0</v>
      </c>
      <c r="G26" s="899">
        <f t="shared" si="1"/>
        <v>23</v>
      </c>
      <c r="H26" s="900">
        <f>1+1+1+1+1</f>
        <v>5</v>
      </c>
      <c r="I26" s="900">
        <f>28+63+69+15+60</f>
        <v>235</v>
      </c>
      <c r="J26" s="900">
        <f>1</f>
        <v>1</v>
      </c>
      <c r="K26" s="900"/>
      <c r="L26" s="900"/>
      <c r="M26" s="900"/>
      <c r="N26" s="900"/>
      <c r="O26" s="900"/>
      <c r="P26" s="900">
        <f t="shared" si="2"/>
        <v>1</v>
      </c>
      <c r="Q26" s="900"/>
    </row>
    <row r="27" ht="22.5" customHeight="1">
      <c r="A27" s="893">
        <v>40.0</v>
      </c>
      <c r="B27" s="894" t="s">
        <v>1438</v>
      </c>
      <c r="C27" s="895" t="s">
        <v>67</v>
      </c>
      <c r="D27" s="896" t="s">
        <v>1439</v>
      </c>
      <c r="E27" s="897" t="str">
        <f t="shared" ref="E27:E30" si="9">IMAGE("https://flagcdn.com/w320/fr.png")</f>
        <v/>
      </c>
      <c r="F27" s="898">
        <v>39182.0</v>
      </c>
      <c r="G27" s="899">
        <f t="shared" si="1"/>
        <v>18</v>
      </c>
      <c r="H27" s="902">
        <v>0.0</v>
      </c>
      <c r="I27" s="902">
        <v>0.0</v>
      </c>
      <c r="J27" s="900"/>
      <c r="K27" s="900"/>
      <c r="L27" s="900"/>
      <c r="M27" s="900"/>
      <c r="N27" s="900"/>
      <c r="O27" s="900"/>
      <c r="P27" s="900">
        <f t="shared" si="2"/>
        <v>0</v>
      </c>
      <c r="Q27" s="900"/>
    </row>
    <row r="28" ht="22.5" customHeight="1">
      <c r="A28" s="903">
        <v>41.0</v>
      </c>
      <c r="B28" s="904" t="s">
        <v>1440</v>
      </c>
      <c r="C28" s="905" t="s">
        <v>79</v>
      </c>
      <c r="D28" s="906" t="s">
        <v>1441</v>
      </c>
      <c r="E28" s="907" t="str">
        <f t="shared" si="9"/>
        <v/>
      </c>
      <c r="F28" s="908">
        <v>38933.0</v>
      </c>
      <c r="G28" s="909">
        <f t="shared" si="1"/>
        <v>19</v>
      </c>
      <c r="H28" s="910">
        <v>0.0</v>
      </c>
      <c r="I28" s="910">
        <v>0.0</v>
      </c>
      <c r="J28" s="911"/>
      <c r="K28" s="911"/>
      <c r="L28" s="911"/>
      <c r="M28" s="911"/>
      <c r="N28" s="911"/>
      <c r="O28" s="911"/>
      <c r="P28" s="911">
        <f t="shared" si="2"/>
        <v>0</v>
      </c>
      <c r="Q28" s="911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ht="22.5" customHeight="1">
      <c r="A29" s="903">
        <v>42.0</v>
      </c>
      <c r="B29" s="904" t="s">
        <v>1442</v>
      </c>
      <c r="C29" s="905" t="s">
        <v>82</v>
      </c>
      <c r="D29" s="906" t="s">
        <v>398</v>
      </c>
      <c r="E29" s="907" t="str">
        <f t="shared" si="9"/>
        <v/>
      </c>
      <c r="F29" s="908">
        <v>38885.0</v>
      </c>
      <c r="G29" s="909">
        <f t="shared" si="1"/>
        <v>19</v>
      </c>
      <c r="H29" s="911"/>
      <c r="I29" s="911"/>
      <c r="J29" s="911"/>
      <c r="K29" s="911"/>
      <c r="L29" s="911"/>
      <c r="M29" s="911"/>
      <c r="N29" s="911"/>
      <c r="O29" s="911"/>
      <c r="P29" s="911">
        <f t="shared" si="2"/>
        <v>0</v>
      </c>
      <c r="Q29" s="911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ht="22.5" customHeight="1">
      <c r="A30" s="903">
        <v>43.0</v>
      </c>
      <c r="B30" s="904" t="s">
        <v>1443</v>
      </c>
      <c r="C30" s="905" t="s">
        <v>79</v>
      </c>
      <c r="D30" s="906" t="s">
        <v>1444</v>
      </c>
      <c r="E30" s="907" t="str">
        <f t="shared" si="9"/>
        <v/>
      </c>
      <c r="F30" s="908">
        <v>39102.0</v>
      </c>
      <c r="G30" s="909">
        <f t="shared" si="1"/>
        <v>19</v>
      </c>
      <c r="H30" s="911">
        <f>1+1</f>
        <v>2</v>
      </c>
      <c r="I30" s="911">
        <f>9+28</f>
        <v>37</v>
      </c>
      <c r="J30" s="911"/>
      <c r="K30" s="911"/>
      <c r="L30" s="911"/>
      <c r="M30" s="911"/>
      <c r="N30" s="911"/>
      <c r="O30" s="911"/>
      <c r="P30" s="911">
        <f t="shared" si="2"/>
        <v>0</v>
      </c>
      <c r="Q30" s="911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ht="22.5" customHeight="1">
      <c r="A31" s="903">
        <v>44.0</v>
      </c>
      <c r="B31" s="904" t="s">
        <v>1445</v>
      </c>
      <c r="C31" s="905" t="s">
        <v>70</v>
      </c>
      <c r="D31" s="906" t="s">
        <v>1446</v>
      </c>
      <c r="E31" s="907" t="str">
        <f>IMAGE("https://flagcdn.com/w320/be.png")</f>
        <v/>
      </c>
      <c r="F31" s="908">
        <v>39309.0</v>
      </c>
      <c r="G31" s="909">
        <f t="shared" si="1"/>
        <v>18</v>
      </c>
      <c r="H31" s="910">
        <v>0.0</v>
      </c>
      <c r="I31" s="910">
        <v>0.0</v>
      </c>
      <c r="J31" s="911"/>
      <c r="K31" s="911"/>
      <c r="L31" s="911"/>
      <c r="M31" s="911"/>
      <c r="N31" s="911"/>
      <c r="O31" s="911"/>
      <c r="P31" s="911">
        <f t="shared" si="2"/>
        <v>0</v>
      </c>
      <c r="Q31" s="911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ht="22.5" customHeight="1">
      <c r="A32" s="903">
        <v>45.0</v>
      </c>
      <c r="B32" s="904" t="s">
        <v>1447</v>
      </c>
      <c r="C32" s="905" t="s">
        <v>82</v>
      </c>
      <c r="D32" s="906" t="s">
        <v>1448</v>
      </c>
      <c r="E32" s="907" t="str">
        <f t="shared" ref="E32:E35" si="10">IMAGE("https://flagcdn.com/w320/fr.png")</f>
        <v/>
      </c>
      <c r="F32" s="908">
        <v>39580.0</v>
      </c>
      <c r="G32" s="909">
        <f t="shared" si="1"/>
        <v>17</v>
      </c>
      <c r="H32" s="911"/>
      <c r="I32" s="911"/>
      <c r="J32" s="911"/>
      <c r="K32" s="911"/>
      <c r="L32" s="911"/>
      <c r="M32" s="911"/>
      <c r="N32" s="911"/>
      <c r="O32" s="911"/>
      <c r="P32" s="911">
        <f t="shared" si="2"/>
        <v>0</v>
      </c>
      <c r="Q32" s="911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ht="22.5" customHeight="1">
      <c r="A33" s="903">
        <v>46.0</v>
      </c>
      <c r="B33" s="904" t="s">
        <v>1449</v>
      </c>
      <c r="C33" s="905" t="s">
        <v>70</v>
      </c>
      <c r="D33" s="906" t="s">
        <v>1450</v>
      </c>
      <c r="E33" s="907" t="str">
        <f t="shared" si="10"/>
        <v/>
      </c>
      <c r="F33" s="908">
        <v>39219.0</v>
      </c>
      <c r="G33" s="909">
        <f t="shared" si="1"/>
        <v>18</v>
      </c>
      <c r="H33" s="911"/>
      <c r="I33" s="911"/>
      <c r="J33" s="911"/>
      <c r="K33" s="911"/>
      <c r="L33" s="911"/>
      <c r="M33" s="911"/>
      <c r="N33" s="911"/>
      <c r="O33" s="911"/>
      <c r="P33" s="911">
        <f t="shared" si="2"/>
        <v>0</v>
      </c>
      <c r="Q33" s="911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ht="22.5" customHeight="1">
      <c r="A34" s="893">
        <v>50.0</v>
      </c>
      <c r="B34" s="894" t="s">
        <v>1451</v>
      </c>
      <c r="C34" s="895" t="s">
        <v>67</v>
      </c>
      <c r="D34" s="896" t="s">
        <v>398</v>
      </c>
      <c r="E34" s="897" t="str">
        <f t="shared" si="10"/>
        <v/>
      </c>
      <c r="F34" s="898">
        <v>37696.0</v>
      </c>
      <c r="G34" s="899">
        <f t="shared" si="1"/>
        <v>22</v>
      </c>
      <c r="H34" s="902">
        <v>0.0</v>
      </c>
      <c r="I34" s="902">
        <v>0.0</v>
      </c>
      <c r="J34" s="900"/>
      <c r="K34" s="900"/>
      <c r="L34" s="900"/>
      <c r="M34" s="900"/>
      <c r="N34" s="900"/>
      <c r="O34" s="900"/>
      <c r="P34" s="900">
        <f t="shared" si="2"/>
        <v>0</v>
      </c>
      <c r="Q34" s="900"/>
    </row>
    <row r="35" ht="22.5" customHeight="1">
      <c r="A35" s="903">
        <v>60.0</v>
      </c>
      <c r="B35" s="904" t="s">
        <v>1452</v>
      </c>
      <c r="C35" s="905" t="s">
        <v>67</v>
      </c>
      <c r="D35" s="906" t="s">
        <v>1453</v>
      </c>
      <c r="E35" s="907" t="str">
        <f t="shared" si="10"/>
        <v/>
      </c>
      <c r="F35" s="908">
        <v>38817.0</v>
      </c>
      <c r="G35" s="909">
        <f t="shared" si="1"/>
        <v>19</v>
      </c>
      <c r="H35" s="910">
        <v>0.0</v>
      </c>
      <c r="I35" s="910">
        <v>0.0</v>
      </c>
      <c r="J35" s="911"/>
      <c r="K35" s="911"/>
      <c r="L35" s="911"/>
      <c r="M35" s="911"/>
      <c r="N35" s="911"/>
      <c r="O35" s="911"/>
      <c r="P35" s="911">
        <f t="shared" si="2"/>
        <v>0</v>
      </c>
      <c r="Q35" s="911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11"/>
      <c r="B36" s="18"/>
      <c r="C36" s="18"/>
      <c r="D36" s="18"/>
      <c r="E36" s="65"/>
      <c r="F36" s="66"/>
      <c r="G36" s="18"/>
      <c r="H36" s="11">
        <f t="shared" ref="H36:Q36" si="11">SUM(H2:H35)</f>
        <v>106</v>
      </c>
      <c r="I36" s="11">
        <f t="shared" si="11"/>
        <v>6930</v>
      </c>
      <c r="J36" s="11">
        <f t="shared" si="11"/>
        <v>8</v>
      </c>
      <c r="K36" s="11">
        <f t="shared" si="11"/>
        <v>4</v>
      </c>
      <c r="L36" s="11">
        <f t="shared" si="11"/>
        <v>12</v>
      </c>
      <c r="M36" s="11">
        <f t="shared" si="11"/>
        <v>0</v>
      </c>
      <c r="N36" s="11">
        <f t="shared" si="11"/>
        <v>3</v>
      </c>
      <c r="O36" s="11">
        <f t="shared" si="11"/>
        <v>2</v>
      </c>
      <c r="P36" s="11">
        <f t="shared" si="11"/>
        <v>12</v>
      </c>
      <c r="Q36" s="11">
        <f t="shared" si="11"/>
        <v>0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ht="22.5" customHeight="1">
      <c r="A37" s="888" t="s">
        <v>150</v>
      </c>
      <c r="B37" s="889" t="s">
        <v>49</v>
      </c>
      <c r="C37" s="889" t="s">
        <v>265</v>
      </c>
      <c r="D37" s="912" t="s">
        <v>56</v>
      </c>
      <c r="E37" s="889" t="s">
        <v>57</v>
      </c>
      <c r="F37" s="889" t="s">
        <v>52</v>
      </c>
      <c r="G37" s="889" t="s">
        <v>53</v>
      </c>
      <c r="H37" s="913" t="s">
        <v>4</v>
      </c>
      <c r="I37" s="913" t="s">
        <v>5</v>
      </c>
      <c r="J37" s="913" t="s">
        <v>6</v>
      </c>
      <c r="K37" s="913" t="s">
        <v>7</v>
      </c>
      <c r="L37" s="913" t="s">
        <v>8</v>
      </c>
      <c r="M37" s="913" t="s">
        <v>9</v>
      </c>
      <c r="N37" s="913" t="s">
        <v>10</v>
      </c>
      <c r="O37" s="12"/>
      <c r="P37" s="12"/>
      <c r="Q37" s="12"/>
    </row>
    <row r="38" ht="22.5" customHeight="1">
      <c r="A38" s="914"/>
      <c r="B38" s="894" t="s">
        <v>1454</v>
      </c>
      <c r="C38" s="894" t="s">
        <v>153</v>
      </c>
      <c r="D38" s="915" t="s">
        <v>475</v>
      </c>
      <c r="E38" s="916" t="str">
        <f>IMAGE("https://flagcdn.com/w320/at.png")</f>
        <v/>
      </c>
      <c r="F38" s="898">
        <v>25610.0</v>
      </c>
      <c r="G38" s="899">
        <f t="shared" ref="G38:G39" si="13">DATEDIF(F38,TODAY(),"Y")</f>
        <v>55</v>
      </c>
      <c r="H38" s="917">
        <f t="shared" ref="H38:H39" si="14">L38+M38+N38</f>
        <v>2</v>
      </c>
      <c r="I38" s="917">
        <f t="shared" ref="I38:I39" si="15">(3*L38)+M38</f>
        <v>1</v>
      </c>
      <c r="J38" s="917">
        <f>1+2</f>
        <v>3</v>
      </c>
      <c r="K38" s="917">
        <f>4+2</f>
        <v>6</v>
      </c>
      <c r="L38" s="918">
        <f>0</f>
        <v>0</v>
      </c>
      <c r="M38" s="919">
        <f t="shared" ref="M38:N38" si="12">1</f>
        <v>1</v>
      </c>
      <c r="N38" s="920">
        <f t="shared" si="12"/>
        <v>1</v>
      </c>
      <c r="O38" s="12"/>
      <c r="P38" s="12"/>
      <c r="Q38" s="12"/>
    </row>
    <row r="39" ht="22.5" customHeight="1">
      <c r="A39" s="914"/>
      <c r="B39" s="894" t="s">
        <v>1455</v>
      </c>
      <c r="C39" s="896" t="s">
        <v>153</v>
      </c>
      <c r="D39" s="915" t="s">
        <v>1456</v>
      </c>
      <c r="E39" s="916" t="str">
        <f>IMAGE("https://flagcdn.com/w320/be.png")</f>
        <v/>
      </c>
      <c r="F39" s="898">
        <v>31990.0</v>
      </c>
      <c r="G39" s="899">
        <f t="shared" si="13"/>
        <v>38</v>
      </c>
      <c r="H39" s="917">
        <f t="shared" si="14"/>
        <v>5</v>
      </c>
      <c r="I39" s="917">
        <f t="shared" si="15"/>
        <v>8</v>
      </c>
      <c r="J39" s="917">
        <f>1+2+1+1</f>
        <v>5</v>
      </c>
      <c r="K39" s="917">
        <f>2+6</f>
        <v>8</v>
      </c>
      <c r="L39" s="918">
        <f t="shared" ref="L39:M39" si="16">1+1</f>
        <v>2</v>
      </c>
      <c r="M39" s="919">
        <f t="shared" si="16"/>
        <v>2</v>
      </c>
      <c r="N39" s="920">
        <f>1</f>
        <v>1</v>
      </c>
      <c r="O39" s="12"/>
      <c r="P39" s="12"/>
      <c r="Q39" s="12"/>
    </row>
    <row r="40">
      <c r="A40" s="11"/>
      <c r="B40" s="18"/>
      <c r="C40" s="18"/>
      <c r="D40" s="18"/>
      <c r="E40" s="65"/>
      <c r="F40" s="66"/>
      <c r="G40" s="18"/>
      <c r="H40" s="11">
        <f t="shared" ref="H40:N40" si="17">SUM(H38:H39)</f>
        <v>7</v>
      </c>
      <c r="I40" s="11">
        <f t="shared" si="17"/>
        <v>9</v>
      </c>
      <c r="J40" s="11">
        <f t="shared" si="17"/>
        <v>8</v>
      </c>
      <c r="K40" s="11">
        <f t="shared" si="17"/>
        <v>14</v>
      </c>
      <c r="L40" s="11">
        <f t="shared" si="17"/>
        <v>2</v>
      </c>
      <c r="M40" s="11">
        <f t="shared" si="17"/>
        <v>3</v>
      </c>
      <c r="N40" s="11">
        <f t="shared" si="17"/>
        <v>2</v>
      </c>
      <c r="O40" s="11"/>
      <c r="P40" s="11"/>
      <c r="Q40" s="11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ht="22.5" customHeight="1">
      <c r="A41" s="888" t="s">
        <v>156</v>
      </c>
      <c r="B41" s="888" t="s">
        <v>157</v>
      </c>
      <c r="C41" s="888" t="s">
        <v>158</v>
      </c>
      <c r="D41" s="890" t="s">
        <v>554</v>
      </c>
      <c r="E41" s="888" t="s">
        <v>160</v>
      </c>
      <c r="F41" s="888" t="s">
        <v>161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22.5" customHeight="1">
      <c r="A42" s="77">
        <v>1.0</v>
      </c>
      <c r="B42" s="78" t="s">
        <v>39</v>
      </c>
      <c r="C42" s="78" t="s">
        <v>29</v>
      </c>
      <c r="D42" s="921" t="s">
        <v>1457</v>
      </c>
      <c r="E42" s="84">
        <v>45748.0</v>
      </c>
      <c r="F42" s="78" t="s">
        <v>279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22.5" customHeight="1">
      <c r="A43" s="197">
        <v>2.0</v>
      </c>
      <c r="B43" s="727" t="s">
        <v>29</v>
      </c>
      <c r="C43" s="198" t="s">
        <v>23</v>
      </c>
      <c r="D43" s="922" t="s">
        <v>1458</v>
      </c>
      <c r="E43" s="265">
        <v>45690.0</v>
      </c>
      <c r="F43" s="198" t="s">
        <v>997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22.5" customHeight="1">
      <c r="A44" s="197">
        <v>3.0</v>
      </c>
      <c r="B44" s="727" t="s">
        <v>29</v>
      </c>
      <c r="C44" s="727" t="s">
        <v>20</v>
      </c>
      <c r="D44" s="923"/>
      <c r="E44" s="200" t="s">
        <v>331</v>
      </c>
      <c r="F44" s="198" t="s">
        <v>997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22.5" customHeight="1">
      <c r="A45" s="86">
        <v>4.0</v>
      </c>
      <c r="B45" s="847" t="s">
        <v>44</v>
      </c>
      <c r="C45" s="847" t="s">
        <v>29</v>
      </c>
      <c r="D45" s="924" t="s">
        <v>1459</v>
      </c>
      <c r="E45" s="161" t="s">
        <v>333</v>
      </c>
      <c r="F45" s="87" t="s">
        <v>719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22.5" customHeight="1">
      <c r="A46" s="197">
        <v>5.0</v>
      </c>
      <c r="B46" s="198" t="s">
        <v>36</v>
      </c>
      <c r="C46" s="727" t="s">
        <v>29</v>
      </c>
      <c r="D46" s="922" t="s">
        <v>1460</v>
      </c>
      <c r="E46" s="265">
        <v>45690.0</v>
      </c>
      <c r="F46" s="198" t="s">
        <v>619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22.5" customHeight="1">
      <c r="A47" s="86">
        <v>6.0</v>
      </c>
      <c r="B47" s="847" t="s">
        <v>29</v>
      </c>
      <c r="C47" s="87" t="s">
        <v>27</v>
      </c>
      <c r="D47" s="924" t="s">
        <v>1461</v>
      </c>
      <c r="E47" s="161" t="s">
        <v>677</v>
      </c>
      <c r="F47" s="87" t="s">
        <v>997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ht="22.5" customHeight="1">
      <c r="A48" s="77">
        <v>7.0</v>
      </c>
      <c r="B48" s="78" t="s">
        <v>17</v>
      </c>
      <c r="C48" s="697" t="s">
        <v>29</v>
      </c>
      <c r="D48" s="921" t="s">
        <v>1462</v>
      </c>
      <c r="E48" s="84">
        <v>46174.0</v>
      </c>
      <c r="F48" s="78" t="s">
        <v>1388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ht="22.5" customHeight="1">
      <c r="A49" s="90">
        <v>8.0</v>
      </c>
      <c r="B49" s="925" t="s">
        <v>29</v>
      </c>
      <c r="C49" s="91" t="s">
        <v>35</v>
      </c>
      <c r="D49" s="926"/>
      <c r="E49" s="93"/>
      <c r="F49" s="94" t="s">
        <v>997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>
      <c r="A50" s="12"/>
      <c r="E50" s="14"/>
      <c r="F50" s="96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A51" s="12"/>
      <c r="E51" s="14"/>
      <c r="F51" s="96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A52" s="12"/>
      <c r="E52" s="14"/>
      <c r="F52" s="96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A53" s="12"/>
      <c r="E53" s="14"/>
      <c r="F53" s="96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A54" s="12"/>
      <c r="E54" s="14"/>
      <c r="F54" s="96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A55" s="12"/>
      <c r="E55" s="14"/>
      <c r="F55" s="96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A56" s="12"/>
      <c r="E56" s="14"/>
      <c r="F56" s="96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A57" s="12"/>
      <c r="E57" s="14"/>
      <c r="F57" s="96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A58" s="12"/>
      <c r="E58" s="14"/>
      <c r="F58" s="96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A59" s="12"/>
      <c r="E59" s="14"/>
      <c r="F59" s="96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A60" s="12"/>
      <c r="E60" s="14"/>
      <c r="F60" s="96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A61" s="12"/>
      <c r="E61" s="14"/>
      <c r="F61" s="96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A62" s="12"/>
      <c r="E62" s="14"/>
      <c r="F62" s="96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A63" s="12"/>
      <c r="E63" s="14"/>
      <c r="F63" s="96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A64" s="12"/>
      <c r="E64" s="14"/>
      <c r="F64" s="96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A65" s="12"/>
      <c r="E65" s="14"/>
      <c r="F65" s="96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A66" s="12"/>
      <c r="E66" s="14"/>
      <c r="F66" s="96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A67" s="12"/>
      <c r="E67" s="14"/>
      <c r="F67" s="96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A68" s="12"/>
      <c r="E68" s="14"/>
      <c r="F68" s="96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A69" s="12"/>
      <c r="E69" s="14"/>
      <c r="F69" s="96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A70" s="12"/>
      <c r="E70" s="14"/>
      <c r="F70" s="96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A71" s="12"/>
      <c r="E71" s="14"/>
      <c r="F71" s="96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A72" s="12"/>
      <c r="E72" s="14"/>
      <c r="F72" s="96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A73" s="12"/>
      <c r="E73" s="14"/>
      <c r="F73" s="96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A74" s="12"/>
      <c r="E74" s="14"/>
      <c r="F74" s="96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A75" s="12"/>
      <c r="E75" s="14"/>
      <c r="F75" s="96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A76" s="12"/>
      <c r="E76" s="14"/>
      <c r="F76" s="96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A77" s="12"/>
      <c r="E77" s="14"/>
      <c r="F77" s="96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A78" s="12"/>
      <c r="E78" s="14"/>
      <c r="F78" s="96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A79" s="12"/>
      <c r="E79" s="14"/>
      <c r="F79" s="96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A80" s="12"/>
      <c r="E80" s="14"/>
      <c r="F80" s="96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A81" s="12"/>
      <c r="E81" s="14"/>
      <c r="F81" s="96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A82" s="12"/>
      <c r="E82" s="14"/>
      <c r="F82" s="96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A83" s="12"/>
      <c r="E83" s="14"/>
      <c r="F83" s="96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A84" s="12"/>
      <c r="E84" s="14"/>
      <c r="F84" s="96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A85" s="12"/>
      <c r="E85" s="14"/>
      <c r="F85" s="96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A86" s="12"/>
      <c r="E86" s="14"/>
      <c r="F86" s="96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A87" s="12"/>
      <c r="E87" s="14"/>
      <c r="F87" s="96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A88" s="12"/>
      <c r="E88" s="14"/>
      <c r="F88" s="96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A89" s="12"/>
      <c r="E89" s="14"/>
      <c r="F89" s="96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A90" s="12"/>
      <c r="E90" s="14"/>
      <c r="F90" s="96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A91" s="12"/>
      <c r="E91" s="14"/>
      <c r="F91" s="96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A92" s="12"/>
      <c r="E92" s="14"/>
      <c r="F92" s="96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A93" s="12"/>
      <c r="E93" s="14"/>
      <c r="F93" s="96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A94" s="12"/>
      <c r="E94" s="14"/>
      <c r="F94" s="96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A95" s="12"/>
      <c r="E95" s="14"/>
      <c r="F95" s="96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A96" s="12"/>
      <c r="E96" s="14"/>
      <c r="F96" s="96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A97" s="12"/>
      <c r="E97" s="14"/>
      <c r="F97" s="96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A98" s="12"/>
      <c r="E98" s="14"/>
      <c r="F98" s="96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A99" s="12"/>
      <c r="E99" s="14"/>
      <c r="F99" s="96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A100" s="12"/>
      <c r="E100" s="14"/>
      <c r="F100" s="96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A101" s="12"/>
      <c r="E101" s="14"/>
      <c r="F101" s="96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A102" s="12"/>
      <c r="E102" s="14"/>
      <c r="F102" s="96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A103" s="12"/>
      <c r="E103" s="14"/>
      <c r="F103" s="96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12"/>
      <c r="E104" s="14"/>
      <c r="F104" s="96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12"/>
      <c r="E105" s="14"/>
      <c r="F105" s="96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12"/>
      <c r="E106" s="14"/>
      <c r="F106" s="96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12"/>
      <c r="E107" s="14"/>
      <c r="F107" s="96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A108" s="12"/>
      <c r="E108" s="14"/>
      <c r="F108" s="96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A109" s="12"/>
      <c r="E109" s="14"/>
      <c r="F109" s="96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A110" s="12"/>
      <c r="E110" s="14"/>
      <c r="F110" s="96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A111" s="12"/>
      <c r="E111" s="14"/>
      <c r="F111" s="96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A112" s="12"/>
      <c r="E112" s="14"/>
      <c r="F112" s="96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A113" s="12"/>
      <c r="E113" s="14"/>
      <c r="F113" s="96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A114" s="12"/>
      <c r="E114" s="14"/>
      <c r="F114" s="96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A115" s="12"/>
      <c r="E115" s="14"/>
      <c r="F115" s="96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A116" s="12"/>
      <c r="E116" s="14"/>
      <c r="F116" s="96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A117" s="12"/>
      <c r="E117" s="14"/>
      <c r="F117" s="96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A118" s="12"/>
      <c r="E118" s="14"/>
      <c r="F118" s="96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A119" s="12"/>
      <c r="E119" s="14"/>
      <c r="F119" s="96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A120" s="12"/>
      <c r="E120" s="14"/>
      <c r="F120" s="96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A121" s="12"/>
      <c r="E121" s="14"/>
      <c r="F121" s="96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A122" s="12"/>
      <c r="E122" s="14"/>
      <c r="F122" s="96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A123" s="12"/>
      <c r="E123" s="14"/>
      <c r="F123" s="96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A124" s="12"/>
      <c r="E124" s="14"/>
      <c r="F124" s="96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A125" s="12"/>
      <c r="E125" s="14"/>
      <c r="F125" s="96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A126" s="12"/>
      <c r="E126" s="14"/>
      <c r="F126" s="96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A127" s="12"/>
      <c r="E127" s="14"/>
      <c r="F127" s="96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A128" s="12"/>
      <c r="E128" s="14"/>
      <c r="F128" s="96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A129" s="12"/>
      <c r="E129" s="14"/>
      <c r="F129" s="96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A130" s="12"/>
      <c r="E130" s="14"/>
      <c r="F130" s="96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A131" s="12"/>
      <c r="E131" s="14"/>
      <c r="F131" s="96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A132" s="12"/>
      <c r="E132" s="14"/>
      <c r="F132" s="96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A133" s="12"/>
      <c r="E133" s="14"/>
      <c r="F133" s="96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A134" s="12"/>
      <c r="E134" s="14"/>
      <c r="F134" s="96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A135" s="12"/>
      <c r="E135" s="14"/>
      <c r="F135" s="96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A136" s="12"/>
      <c r="E136" s="14"/>
      <c r="F136" s="96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A137" s="12"/>
      <c r="E137" s="14"/>
      <c r="F137" s="96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A138" s="12"/>
      <c r="E138" s="14"/>
      <c r="F138" s="96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A139" s="12"/>
      <c r="E139" s="14"/>
      <c r="F139" s="96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A140" s="12"/>
      <c r="E140" s="14"/>
      <c r="F140" s="96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A141" s="12"/>
      <c r="E141" s="14"/>
      <c r="F141" s="96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A142" s="12"/>
      <c r="E142" s="14"/>
      <c r="F142" s="96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A143" s="12"/>
      <c r="E143" s="14"/>
      <c r="F143" s="96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A144" s="12"/>
      <c r="E144" s="14"/>
      <c r="F144" s="96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A145" s="12"/>
      <c r="E145" s="14"/>
      <c r="F145" s="96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A146" s="12"/>
      <c r="E146" s="14"/>
      <c r="F146" s="96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A147" s="12"/>
      <c r="E147" s="14"/>
      <c r="F147" s="96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A148" s="12"/>
      <c r="E148" s="14"/>
      <c r="F148" s="96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A149" s="12"/>
      <c r="E149" s="14"/>
      <c r="F149" s="96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A150" s="12"/>
      <c r="E150" s="14"/>
      <c r="F150" s="96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A151" s="12"/>
      <c r="E151" s="14"/>
      <c r="F151" s="96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A152" s="12"/>
      <c r="E152" s="14"/>
      <c r="F152" s="96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A153" s="12"/>
      <c r="E153" s="14"/>
      <c r="F153" s="96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A154" s="12"/>
      <c r="E154" s="14"/>
      <c r="F154" s="96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A155" s="12"/>
      <c r="E155" s="14"/>
      <c r="F155" s="96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A156" s="12"/>
      <c r="E156" s="14"/>
      <c r="F156" s="96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A157" s="12"/>
      <c r="E157" s="14"/>
      <c r="F157" s="96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A158" s="12"/>
      <c r="E158" s="14"/>
      <c r="F158" s="96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A159" s="12"/>
      <c r="E159" s="14"/>
      <c r="F159" s="96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A160" s="12"/>
      <c r="E160" s="14"/>
      <c r="F160" s="96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A161" s="12"/>
      <c r="E161" s="14"/>
      <c r="F161" s="96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A162" s="12"/>
      <c r="E162" s="14"/>
      <c r="F162" s="96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A163" s="12"/>
      <c r="E163" s="14"/>
      <c r="F163" s="96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A164" s="12"/>
      <c r="E164" s="14"/>
      <c r="F164" s="96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A165" s="12"/>
      <c r="E165" s="14"/>
      <c r="F165" s="96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A166" s="12"/>
      <c r="E166" s="14"/>
      <c r="F166" s="96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A167" s="12"/>
      <c r="E167" s="14"/>
      <c r="F167" s="96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A168" s="12"/>
      <c r="E168" s="14"/>
      <c r="F168" s="96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A169" s="12"/>
      <c r="E169" s="14"/>
      <c r="F169" s="96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A170" s="12"/>
      <c r="E170" s="14"/>
      <c r="F170" s="96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A171" s="12"/>
      <c r="E171" s="14"/>
      <c r="F171" s="96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A172" s="12"/>
      <c r="E172" s="14"/>
      <c r="F172" s="96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2"/>
      <c r="E173" s="14"/>
      <c r="F173" s="96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A174" s="12"/>
      <c r="E174" s="14"/>
      <c r="F174" s="96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A175" s="12"/>
      <c r="E175" s="14"/>
      <c r="F175" s="96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A176" s="12"/>
      <c r="E176" s="14"/>
      <c r="F176" s="96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A177" s="12"/>
      <c r="E177" s="14"/>
      <c r="F177" s="96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A178" s="12"/>
      <c r="E178" s="14"/>
      <c r="F178" s="96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A179" s="12"/>
      <c r="E179" s="14"/>
      <c r="F179" s="96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A180" s="12"/>
      <c r="E180" s="14"/>
      <c r="F180" s="96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A181" s="12"/>
      <c r="E181" s="14"/>
      <c r="F181" s="96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A182" s="12"/>
      <c r="E182" s="14"/>
      <c r="F182" s="96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A183" s="12"/>
      <c r="E183" s="14"/>
      <c r="F183" s="96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A184" s="12"/>
      <c r="E184" s="14"/>
      <c r="F184" s="96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A185" s="12"/>
      <c r="E185" s="14"/>
      <c r="F185" s="96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A186" s="12"/>
      <c r="E186" s="14"/>
      <c r="F186" s="96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A187" s="12"/>
      <c r="E187" s="14"/>
      <c r="F187" s="96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A188" s="12"/>
      <c r="E188" s="14"/>
      <c r="F188" s="96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A189" s="12"/>
      <c r="E189" s="14"/>
      <c r="F189" s="96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A190" s="12"/>
      <c r="E190" s="14"/>
      <c r="F190" s="96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A191" s="12"/>
      <c r="E191" s="14"/>
      <c r="F191" s="96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A192" s="12"/>
      <c r="E192" s="14"/>
      <c r="F192" s="96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A193" s="12"/>
      <c r="E193" s="14"/>
      <c r="F193" s="96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A194" s="12"/>
      <c r="E194" s="14"/>
      <c r="F194" s="96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A195" s="12"/>
      <c r="E195" s="14"/>
      <c r="F195" s="96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A196" s="12"/>
      <c r="E196" s="14"/>
      <c r="F196" s="96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A197" s="12"/>
      <c r="E197" s="14"/>
      <c r="F197" s="96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A198" s="12"/>
      <c r="E198" s="14"/>
      <c r="F198" s="96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A199" s="12"/>
      <c r="E199" s="14"/>
      <c r="F199" s="96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A200" s="12"/>
      <c r="E200" s="14"/>
      <c r="F200" s="96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A201" s="12"/>
      <c r="E201" s="14"/>
      <c r="F201" s="96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A202" s="12"/>
      <c r="E202" s="14"/>
      <c r="F202" s="96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A203" s="12"/>
      <c r="E203" s="14"/>
      <c r="F203" s="96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A204" s="12"/>
      <c r="E204" s="14"/>
      <c r="F204" s="96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A205" s="12"/>
      <c r="E205" s="14"/>
      <c r="F205" s="96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A206" s="12"/>
      <c r="E206" s="14"/>
      <c r="F206" s="96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A207" s="12"/>
      <c r="E207" s="14"/>
      <c r="F207" s="96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A208" s="12"/>
      <c r="E208" s="14"/>
      <c r="F208" s="96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A209" s="12"/>
      <c r="E209" s="14"/>
      <c r="F209" s="96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A210" s="12"/>
      <c r="E210" s="14"/>
      <c r="F210" s="96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A211" s="12"/>
      <c r="E211" s="14"/>
      <c r="F211" s="96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A212" s="12"/>
      <c r="E212" s="14"/>
      <c r="F212" s="96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A213" s="12"/>
      <c r="E213" s="14"/>
      <c r="F213" s="96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A214" s="12"/>
      <c r="E214" s="14"/>
      <c r="F214" s="96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A215" s="12"/>
      <c r="E215" s="14"/>
      <c r="F215" s="96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A216" s="12"/>
      <c r="E216" s="14"/>
      <c r="F216" s="96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A217" s="12"/>
      <c r="E217" s="14"/>
      <c r="F217" s="96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A218" s="12"/>
      <c r="E218" s="14"/>
      <c r="F218" s="96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A219" s="12"/>
      <c r="E219" s="14"/>
      <c r="F219" s="96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A220" s="12"/>
      <c r="E220" s="14"/>
      <c r="F220" s="96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A221" s="12"/>
      <c r="E221" s="14"/>
      <c r="F221" s="96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A222" s="12"/>
      <c r="E222" s="14"/>
      <c r="F222" s="96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A223" s="12"/>
      <c r="E223" s="14"/>
      <c r="F223" s="96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A224" s="12"/>
      <c r="E224" s="14"/>
      <c r="F224" s="96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A225" s="12"/>
      <c r="E225" s="14"/>
      <c r="F225" s="96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A226" s="12"/>
      <c r="E226" s="14"/>
      <c r="F226" s="96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A227" s="12"/>
      <c r="E227" s="14"/>
      <c r="F227" s="96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A228" s="12"/>
      <c r="E228" s="14"/>
      <c r="F228" s="96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A229" s="12"/>
      <c r="E229" s="14"/>
      <c r="F229" s="96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A230" s="12"/>
      <c r="E230" s="14"/>
      <c r="F230" s="96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A231" s="12"/>
      <c r="E231" s="14"/>
      <c r="F231" s="96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A232" s="12"/>
      <c r="E232" s="14"/>
      <c r="F232" s="96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A233" s="12"/>
      <c r="E233" s="14"/>
      <c r="F233" s="96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A234" s="12"/>
      <c r="E234" s="14"/>
      <c r="F234" s="96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A235" s="12"/>
      <c r="E235" s="14"/>
      <c r="F235" s="96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A236" s="12"/>
      <c r="E236" s="14"/>
      <c r="F236" s="96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A237" s="12"/>
      <c r="E237" s="14"/>
      <c r="F237" s="96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A238" s="12"/>
      <c r="E238" s="14"/>
      <c r="F238" s="96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A239" s="12"/>
      <c r="E239" s="14"/>
      <c r="F239" s="96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A240" s="12"/>
      <c r="E240" s="14"/>
      <c r="F240" s="96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A241" s="12"/>
      <c r="E241" s="14"/>
      <c r="F241" s="96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A242" s="12"/>
      <c r="E242" s="14"/>
      <c r="F242" s="96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A243" s="12"/>
      <c r="E243" s="14"/>
      <c r="F243" s="96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A244" s="12"/>
      <c r="E244" s="14"/>
      <c r="F244" s="96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A245" s="12"/>
      <c r="E245" s="14"/>
      <c r="F245" s="96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A246" s="12"/>
      <c r="E246" s="14"/>
      <c r="F246" s="96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A247" s="12"/>
      <c r="E247" s="14"/>
      <c r="F247" s="96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A248" s="12"/>
      <c r="E248" s="14"/>
      <c r="F248" s="96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A249" s="12"/>
      <c r="E249" s="14"/>
      <c r="F249" s="96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A250" s="12"/>
      <c r="E250" s="14"/>
      <c r="F250" s="96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A251" s="12"/>
      <c r="E251" s="14"/>
      <c r="F251" s="96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A252" s="12"/>
      <c r="E252" s="14"/>
      <c r="F252" s="96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A253" s="12"/>
      <c r="E253" s="14"/>
      <c r="F253" s="96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A254" s="12"/>
      <c r="E254" s="14"/>
      <c r="F254" s="96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A255" s="12"/>
      <c r="E255" s="14"/>
      <c r="F255" s="96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A256" s="12"/>
      <c r="E256" s="14"/>
      <c r="F256" s="96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A257" s="12"/>
      <c r="E257" s="14"/>
      <c r="F257" s="96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A258" s="12"/>
      <c r="E258" s="14"/>
      <c r="F258" s="96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A259" s="12"/>
      <c r="E259" s="14"/>
      <c r="F259" s="96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A260" s="12"/>
      <c r="E260" s="14"/>
      <c r="F260" s="96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A261" s="12"/>
      <c r="E261" s="14"/>
      <c r="F261" s="96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A262" s="12"/>
      <c r="E262" s="14"/>
      <c r="F262" s="96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A263" s="12"/>
      <c r="E263" s="14"/>
      <c r="F263" s="96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A264" s="12"/>
      <c r="E264" s="14"/>
      <c r="F264" s="96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A265" s="12"/>
      <c r="E265" s="14"/>
      <c r="F265" s="96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A266" s="12"/>
      <c r="E266" s="14"/>
      <c r="F266" s="96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A267" s="12"/>
      <c r="E267" s="14"/>
      <c r="F267" s="96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A268" s="12"/>
      <c r="E268" s="14"/>
      <c r="F268" s="96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A269" s="12"/>
      <c r="E269" s="14"/>
      <c r="F269" s="96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A270" s="12"/>
      <c r="E270" s="14"/>
      <c r="F270" s="96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A271" s="12"/>
      <c r="E271" s="14"/>
      <c r="F271" s="96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A272" s="12"/>
      <c r="E272" s="14"/>
      <c r="F272" s="96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A273" s="12"/>
      <c r="E273" s="14"/>
      <c r="F273" s="96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A274" s="12"/>
      <c r="E274" s="14"/>
      <c r="F274" s="96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A275" s="12"/>
      <c r="E275" s="14"/>
      <c r="F275" s="96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A276" s="12"/>
      <c r="E276" s="14"/>
      <c r="F276" s="96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A277" s="12"/>
      <c r="E277" s="14"/>
      <c r="F277" s="96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A278" s="12"/>
      <c r="E278" s="14"/>
      <c r="F278" s="96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A279" s="12"/>
      <c r="E279" s="14"/>
      <c r="F279" s="96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A280" s="12"/>
      <c r="E280" s="14"/>
      <c r="F280" s="96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A281" s="12"/>
      <c r="E281" s="14"/>
      <c r="F281" s="96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A282" s="12"/>
      <c r="E282" s="14"/>
      <c r="F282" s="96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A283" s="12"/>
      <c r="E283" s="14"/>
      <c r="F283" s="96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A284" s="12"/>
      <c r="E284" s="14"/>
      <c r="F284" s="96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A285" s="12"/>
      <c r="E285" s="14"/>
      <c r="F285" s="96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A286" s="12"/>
      <c r="E286" s="14"/>
      <c r="F286" s="96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A287" s="12"/>
      <c r="E287" s="14"/>
      <c r="F287" s="96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A288" s="12"/>
      <c r="E288" s="14"/>
      <c r="F288" s="96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A289" s="12"/>
      <c r="E289" s="14"/>
      <c r="F289" s="96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A290" s="12"/>
      <c r="E290" s="14"/>
      <c r="F290" s="96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A291" s="12"/>
      <c r="E291" s="14"/>
      <c r="F291" s="96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A292" s="12"/>
      <c r="E292" s="14"/>
      <c r="F292" s="96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A293" s="12"/>
      <c r="E293" s="14"/>
      <c r="F293" s="96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A294" s="12"/>
      <c r="E294" s="14"/>
      <c r="F294" s="96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A295" s="12"/>
      <c r="E295" s="14"/>
      <c r="F295" s="96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A296" s="12"/>
      <c r="E296" s="14"/>
      <c r="F296" s="96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A297" s="12"/>
      <c r="E297" s="14"/>
      <c r="F297" s="96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A298" s="12"/>
      <c r="E298" s="14"/>
      <c r="F298" s="96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A299" s="12"/>
      <c r="E299" s="14"/>
      <c r="F299" s="96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A300" s="12"/>
      <c r="E300" s="14"/>
      <c r="F300" s="96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A301" s="12"/>
      <c r="E301" s="14"/>
      <c r="F301" s="96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A302" s="12"/>
      <c r="E302" s="14"/>
      <c r="F302" s="96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A303" s="12"/>
      <c r="E303" s="14"/>
      <c r="F303" s="96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A304" s="12"/>
      <c r="E304" s="14"/>
      <c r="F304" s="96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A305" s="12"/>
      <c r="E305" s="14"/>
      <c r="F305" s="96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A306" s="12"/>
      <c r="E306" s="14"/>
      <c r="F306" s="96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A307" s="12"/>
      <c r="E307" s="14"/>
      <c r="F307" s="96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A308" s="12"/>
      <c r="E308" s="14"/>
      <c r="F308" s="96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A309" s="12"/>
      <c r="E309" s="14"/>
      <c r="F309" s="96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A310" s="12"/>
      <c r="E310" s="14"/>
      <c r="F310" s="96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A311" s="12"/>
      <c r="E311" s="14"/>
      <c r="F311" s="96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A312" s="12"/>
      <c r="E312" s="14"/>
      <c r="F312" s="96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A313" s="12"/>
      <c r="E313" s="14"/>
      <c r="F313" s="96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A314" s="12"/>
      <c r="E314" s="14"/>
      <c r="F314" s="96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A315" s="12"/>
      <c r="E315" s="14"/>
      <c r="F315" s="96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A316" s="12"/>
      <c r="E316" s="14"/>
      <c r="F316" s="96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A317" s="12"/>
      <c r="E317" s="14"/>
      <c r="F317" s="96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A318" s="12"/>
      <c r="E318" s="14"/>
      <c r="F318" s="96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A319" s="12"/>
      <c r="E319" s="14"/>
      <c r="F319" s="96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A320" s="12"/>
      <c r="E320" s="14"/>
      <c r="F320" s="96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A321" s="12"/>
      <c r="E321" s="14"/>
      <c r="F321" s="96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A322" s="12"/>
      <c r="E322" s="14"/>
      <c r="F322" s="96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A323" s="12"/>
      <c r="E323" s="14"/>
      <c r="F323" s="96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A324" s="12"/>
      <c r="E324" s="14"/>
      <c r="F324" s="96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A325" s="12"/>
      <c r="E325" s="14"/>
      <c r="F325" s="96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A326" s="12"/>
      <c r="E326" s="14"/>
      <c r="F326" s="96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A327" s="12"/>
      <c r="E327" s="14"/>
      <c r="F327" s="96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A328" s="12"/>
      <c r="E328" s="14"/>
      <c r="F328" s="96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A329" s="12"/>
      <c r="E329" s="14"/>
      <c r="F329" s="96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A330" s="12"/>
      <c r="E330" s="14"/>
      <c r="F330" s="96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A331" s="12"/>
      <c r="E331" s="14"/>
      <c r="F331" s="96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A332" s="12"/>
      <c r="E332" s="14"/>
      <c r="F332" s="96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A333" s="12"/>
      <c r="E333" s="14"/>
      <c r="F333" s="96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A334" s="12"/>
      <c r="E334" s="14"/>
      <c r="F334" s="96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A335" s="12"/>
      <c r="E335" s="14"/>
      <c r="F335" s="96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A336" s="12"/>
      <c r="E336" s="14"/>
      <c r="F336" s="96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A337" s="12"/>
      <c r="E337" s="14"/>
      <c r="F337" s="96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A338" s="12"/>
      <c r="E338" s="14"/>
      <c r="F338" s="96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A339" s="12"/>
      <c r="E339" s="14"/>
      <c r="F339" s="96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A340" s="12"/>
      <c r="E340" s="14"/>
      <c r="F340" s="96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A341" s="12"/>
      <c r="E341" s="14"/>
      <c r="F341" s="96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A342" s="12"/>
      <c r="E342" s="14"/>
      <c r="F342" s="96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A343" s="12"/>
      <c r="E343" s="14"/>
      <c r="F343" s="96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A344" s="12"/>
      <c r="E344" s="14"/>
      <c r="F344" s="96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A345" s="12"/>
      <c r="E345" s="14"/>
      <c r="F345" s="96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A346" s="12"/>
      <c r="E346" s="14"/>
      <c r="F346" s="96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A347" s="12"/>
      <c r="E347" s="14"/>
      <c r="F347" s="96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A348" s="12"/>
      <c r="E348" s="14"/>
      <c r="F348" s="96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A349" s="12"/>
      <c r="E349" s="14"/>
      <c r="F349" s="96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A350" s="12"/>
      <c r="E350" s="14"/>
      <c r="F350" s="96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A351" s="12"/>
      <c r="E351" s="14"/>
      <c r="F351" s="96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A352" s="12"/>
      <c r="E352" s="14"/>
      <c r="F352" s="96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A353" s="12"/>
      <c r="E353" s="14"/>
      <c r="F353" s="96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A354" s="12"/>
      <c r="E354" s="14"/>
      <c r="F354" s="96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A355" s="12"/>
      <c r="E355" s="14"/>
      <c r="F355" s="96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A356" s="12"/>
      <c r="E356" s="14"/>
      <c r="F356" s="96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A357" s="12"/>
      <c r="E357" s="14"/>
      <c r="F357" s="96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A358" s="12"/>
      <c r="E358" s="14"/>
      <c r="F358" s="96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A359" s="12"/>
      <c r="E359" s="14"/>
      <c r="F359" s="96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A360" s="12"/>
      <c r="E360" s="14"/>
      <c r="F360" s="96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A361" s="12"/>
      <c r="E361" s="14"/>
      <c r="F361" s="96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A362" s="12"/>
      <c r="E362" s="14"/>
      <c r="F362" s="96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A363" s="12"/>
      <c r="E363" s="14"/>
      <c r="F363" s="96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A364" s="12"/>
      <c r="E364" s="14"/>
      <c r="F364" s="96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A365" s="12"/>
      <c r="E365" s="14"/>
      <c r="F365" s="96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A366" s="12"/>
      <c r="E366" s="14"/>
      <c r="F366" s="96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A367" s="12"/>
      <c r="E367" s="14"/>
      <c r="F367" s="96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A368" s="12"/>
      <c r="E368" s="14"/>
      <c r="F368" s="96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A369" s="12"/>
      <c r="E369" s="14"/>
      <c r="F369" s="96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A370" s="12"/>
      <c r="E370" s="14"/>
      <c r="F370" s="96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A371" s="12"/>
      <c r="E371" s="14"/>
      <c r="F371" s="96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A372" s="12"/>
      <c r="E372" s="14"/>
      <c r="F372" s="96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A373" s="12"/>
      <c r="E373" s="14"/>
      <c r="F373" s="96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A374" s="12"/>
      <c r="E374" s="14"/>
      <c r="F374" s="96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A375" s="12"/>
      <c r="E375" s="14"/>
      <c r="F375" s="96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A376" s="12"/>
      <c r="E376" s="14"/>
      <c r="F376" s="96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A377" s="12"/>
      <c r="E377" s="14"/>
      <c r="F377" s="96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A378" s="12"/>
      <c r="E378" s="14"/>
      <c r="F378" s="96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A379" s="12"/>
      <c r="E379" s="14"/>
      <c r="F379" s="96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A380" s="12"/>
      <c r="E380" s="14"/>
      <c r="F380" s="96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A381" s="12"/>
      <c r="E381" s="14"/>
      <c r="F381" s="96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A382" s="12"/>
      <c r="E382" s="14"/>
      <c r="F382" s="96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A383" s="12"/>
      <c r="E383" s="14"/>
      <c r="F383" s="96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A384" s="12"/>
      <c r="E384" s="14"/>
      <c r="F384" s="96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A385" s="12"/>
      <c r="E385" s="14"/>
      <c r="F385" s="96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A386" s="12"/>
      <c r="E386" s="14"/>
      <c r="F386" s="96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A387" s="12"/>
      <c r="E387" s="14"/>
      <c r="F387" s="96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A388" s="12"/>
      <c r="E388" s="14"/>
      <c r="F388" s="96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A389" s="12"/>
      <c r="E389" s="14"/>
      <c r="F389" s="96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A390" s="12"/>
      <c r="E390" s="14"/>
      <c r="F390" s="96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A391" s="12"/>
      <c r="E391" s="14"/>
      <c r="F391" s="96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A392" s="12"/>
      <c r="E392" s="14"/>
      <c r="F392" s="96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A393" s="12"/>
      <c r="E393" s="14"/>
      <c r="F393" s="96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A394" s="12"/>
      <c r="E394" s="14"/>
      <c r="F394" s="96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A395" s="12"/>
      <c r="E395" s="14"/>
      <c r="F395" s="96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A396" s="12"/>
      <c r="E396" s="14"/>
      <c r="F396" s="96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A397" s="12"/>
      <c r="E397" s="14"/>
      <c r="F397" s="96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A398" s="12"/>
      <c r="E398" s="14"/>
      <c r="F398" s="96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A399" s="12"/>
      <c r="E399" s="14"/>
      <c r="F399" s="96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A400" s="12"/>
      <c r="E400" s="14"/>
      <c r="F400" s="96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A401" s="12"/>
      <c r="E401" s="14"/>
      <c r="F401" s="96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A402" s="12"/>
      <c r="E402" s="14"/>
      <c r="F402" s="96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A403" s="12"/>
      <c r="E403" s="14"/>
      <c r="F403" s="96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A404" s="12"/>
      <c r="E404" s="14"/>
      <c r="F404" s="96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A405" s="12"/>
      <c r="E405" s="14"/>
      <c r="F405" s="96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A406" s="12"/>
      <c r="E406" s="14"/>
      <c r="F406" s="96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A407" s="12"/>
      <c r="E407" s="14"/>
      <c r="F407" s="96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A408" s="12"/>
      <c r="E408" s="14"/>
      <c r="F408" s="96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A409" s="12"/>
      <c r="E409" s="14"/>
      <c r="F409" s="96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A410" s="12"/>
      <c r="E410" s="14"/>
      <c r="F410" s="96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A411" s="12"/>
      <c r="E411" s="14"/>
      <c r="F411" s="96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A412" s="12"/>
      <c r="E412" s="14"/>
      <c r="F412" s="96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A413" s="12"/>
      <c r="E413" s="14"/>
      <c r="F413" s="96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A414" s="12"/>
      <c r="E414" s="14"/>
      <c r="F414" s="96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A415" s="12"/>
      <c r="E415" s="14"/>
      <c r="F415" s="96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A416" s="12"/>
      <c r="E416" s="14"/>
      <c r="F416" s="96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A417" s="12"/>
      <c r="E417" s="14"/>
      <c r="F417" s="96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A418" s="12"/>
      <c r="E418" s="14"/>
      <c r="F418" s="96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A419" s="12"/>
      <c r="E419" s="14"/>
      <c r="F419" s="96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A420" s="12"/>
      <c r="E420" s="14"/>
      <c r="F420" s="96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A421" s="12"/>
      <c r="E421" s="14"/>
      <c r="F421" s="96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A422" s="12"/>
      <c r="E422" s="14"/>
      <c r="F422" s="96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A423" s="12"/>
      <c r="E423" s="14"/>
      <c r="F423" s="96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A424" s="12"/>
      <c r="E424" s="14"/>
      <c r="F424" s="96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A425" s="12"/>
      <c r="E425" s="14"/>
      <c r="F425" s="96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A426" s="12"/>
      <c r="E426" s="14"/>
      <c r="F426" s="96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A427" s="12"/>
      <c r="E427" s="14"/>
      <c r="F427" s="96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A428" s="12"/>
      <c r="E428" s="14"/>
      <c r="F428" s="96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A429" s="12"/>
      <c r="E429" s="14"/>
      <c r="F429" s="96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A430" s="12"/>
      <c r="E430" s="14"/>
      <c r="F430" s="96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A431" s="12"/>
      <c r="E431" s="14"/>
      <c r="F431" s="96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A432" s="12"/>
      <c r="E432" s="14"/>
      <c r="F432" s="96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A433" s="12"/>
      <c r="E433" s="14"/>
      <c r="F433" s="96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A434" s="12"/>
      <c r="E434" s="14"/>
      <c r="F434" s="96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A435" s="12"/>
      <c r="E435" s="14"/>
      <c r="F435" s="96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A436" s="12"/>
      <c r="E436" s="14"/>
      <c r="F436" s="96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A437" s="12"/>
      <c r="E437" s="14"/>
      <c r="F437" s="96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A438" s="12"/>
      <c r="E438" s="14"/>
      <c r="F438" s="96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A439" s="12"/>
      <c r="E439" s="14"/>
      <c r="F439" s="96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A440" s="12"/>
      <c r="E440" s="14"/>
      <c r="F440" s="96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A441" s="12"/>
      <c r="E441" s="14"/>
      <c r="F441" s="96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A442" s="12"/>
      <c r="E442" s="14"/>
      <c r="F442" s="96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A443" s="12"/>
      <c r="E443" s="14"/>
      <c r="F443" s="96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A444" s="12"/>
      <c r="E444" s="14"/>
      <c r="F444" s="96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A445" s="12"/>
      <c r="E445" s="14"/>
      <c r="F445" s="96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A446" s="12"/>
      <c r="E446" s="14"/>
      <c r="F446" s="96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A447" s="12"/>
      <c r="E447" s="14"/>
      <c r="F447" s="96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A448" s="12"/>
      <c r="E448" s="14"/>
      <c r="F448" s="96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A449" s="12"/>
      <c r="E449" s="14"/>
      <c r="F449" s="96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A450" s="12"/>
      <c r="E450" s="14"/>
      <c r="F450" s="96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A451" s="12"/>
      <c r="E451" s="14"/>
      <c r="F451" s="96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A452" s="12"/>
      <c r="E452" s="14"/>
      <c r="F452" s="96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A453" s="12"/>
      <c r="E453" s="14"/>
      <c r="F453" s="96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A454" s="12"/>
      <c r="E454" s="14"/>
      <c r="F454" s="96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A455" s="12"/>
      <c r="E455" s="14"/>
      <c r="F455" s="96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A456" s="12"/>
      <c r="E456" s="14"/>
      <c r="F456" s="96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A457" s="12"/>
      <c r="E457" s="14"/>
      <c r="F457" s="96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A458" s="12"/>
      <c r="E458" s="14"/>
      <c r="F458" s="96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A459" s="12"/>
      <c r="E459" s="14"/>
      <c r="F459" s="96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A460" s="12"/>
      <c r="E460" s="14"/>
      <c r="F460" s="96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A461" s="12"/>
      <c r="E461" s="14"/>
      <c r="F461" s="96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A462" s="12"/>
      <c r="E462" s="14"/>
      <c r="F462" s="96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A463" s="12"/>
      <c r="E463" s="14"/>
      <c r="F463" s="96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A464" s="12"/>
      <c r="E464" s="14"/>
      <c r="F464" s="96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A465" s="12"/>
      <c r="E465" s="14"/>
      <c r="F465" s="96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A466" s="12"/>
      <c r="E466" s="14"/>
      <c r="F466" s="96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A467" s="12"/>
      <c r="E467" s="14"/>
      <c r="F467" s="96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A468" s="12"/>
      <c r="E468" s="14"/>
      <c r="F468" s="96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A469" s="12"/>
      <c r="E469" s="14"/>
      <c r="F469" s="96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A470" s="12"/>
      <c r="E470" s="14"/>
      <c r="F470" s="96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A471" s="12"/>
      <c r="E471" s="14"/>
      <c r="F471" s="96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A472" s="12"/>
      <c r="E472" s="14"/>
      <c r="F472" s="96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A473" s="12"/>
      <c r="E473" s="14"/>
      <c r="F473" s="96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A474" s="12"/>
      <c r="E474" s="14"/>
      <c r="F474" s="96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A475" s="12"/>
      <c r="E475" s="14"/>
      <c r="F475" s="96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A476" s="12"/>
      <c r="E476" s="14"/>
      <c r="F476" s="96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A477" s="12"/>
      <c r="E477" s="14"/>
      <c r="F477" s="96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A478" s="12"/>
      <c r="E478" s="14"/>
      <c r="F478" s="96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A479" s="12"/>
      <c r="E479" s="14"/>
      <c r="F479" s="96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A480" s="12"/>
      <c r="E480" s="14"/>
      <c r="F480" s="96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A481" s="12"/>
      <c r="E481" s="14"/>
      <c r="F481" s="96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A482" s="12"/>
      <c r="E482" s="14"/>
      <c r="F482" s="96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A483" s="12"/>
      <c r="E483" s="14"/>
      <c r="F483" s="96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A484" s="12"/>
      <c r="E484" s="14"/>
      <c r="F484" s="96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A485" s="12"/>
      <c r="E485" s="14"/>
      <c r="F485" s="96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A486" s="12"/>
      <c r="E486" s="14"/>
      <c r="F486" s="96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A487" s="12"/>
      <c r="E487" s="14"/>
      <c r="F487" s="96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A488" s="12"/>
      <c r="E488" s="14"/>
      <c r="F488" s="96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A489" s="12"/>
      <c r="E489" s="14"/>
      <c r="F489" s="96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A490" s="12"/>
      <c r="E490" s="14"/>
      <c r="F490" s="96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A491" s="12"/>
      <c r="E491" s="14"/>
      <c r="F491" s="96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A492" s="12"/>
      <c r="E492" s="14"/>
      <c r="F492" s="96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A493" s="12"/>
      <c r="E493" s="14"/>
      <c r="F493" s="96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A494" s="12"/>
      <c r="E494" s="14"/>
      <c r="F494" s="96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A495" s="12"/>
      <c r="E495" s="14"/>
      <c r="F495" s="96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A496" s="12"/>
      <c r="E496" s="14"/>
      <c r="F496" s="96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A497" s="12"/>
      <c r="E497" s="14"/>
      <c r="F497" s="96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A498" s="12"/>
      <c r="E498" s="14"/>
      <c r="F498" s="96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A499" s="12"/>
      <c r="E499" s="14"/>
      <c r="F499" s="96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A500" s="12"/>
      <c r="E500" s="14"/>
      <c r="F500" s="96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A501" s="12"/>
      <c r="E501" s="14"/>
      <c r="F501" s="96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A502" s="12"/>
      <c r="E502" s="14"/>
      <c r="F502" s="96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A503" s="12"/>
      <c r="E503" s="14"/>
      <c r="F503" s="96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A504" s="12"/>
      <c r="E504" s="14"/>
      <c r="F504" s="96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A505" s="12"/>
      <c r="E505" s="14"/>
      <c r="F505" s="96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A506" s="12"/>
      <c r="E506" s="14"/>
      <c r="F506" s="96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A507" s="12"/>
      <c r="E507" s="14"/>
      <c r="F507" s="96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A508" s="12"/>
      <c r="E508" s="14"/>
      <c r="F508" s="96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A509" s="12"/>
      <c r="E509" s="14"/>
      <c r="F509" s="96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A510" s="12"/>
      <c r="E510" s="14"/>
      <c r="F510" s="96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A511" s="12"/>
      <c r="E511" s="14"/>
      <c r="F511" s="96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A512" s="12"/>
      <c r="E512" s="14"/>
      <c r="F512" s="96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A513" s="12"/>
      <c r="E513" s="14"/>
      <c r="F513" s="96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A514" s="12"/>
      <c r="E514" s="14"/>
      <c r="F514" s="96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A515" s="12"/>
      <c r="E515" s="14"/>
      <c r="F515" s="96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A516" s="12"/>
      <c r="E516" s="14"/>
      <c r="F516" s="96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A517" s="12"/>
      <c r="E517" s="14"/>
      <c r="F517" s="96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A518" s="12"/>
      <c r="E518" s="14"/>
      <c r="F518" s="96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A519" s="12"/>
      <c r="E519" s="14"/>
      <c r="F519" s="96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A520" s="12"/>
      <c r="E520" s="14"/>
      <c r="F520" s="96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A521" s="12"/>
      <c r="E521" s="14"/>
      <c r="F521" s="96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A522" s="12"/>
      <c r="E522" s="14"/>
      <c r="F522" s="96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A523" s="12"/>
      <c r="E523" s="14"/>
      <c r="F523" s="96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A524" s="12"/>
      <c r="E524" s="14"/>
      <c r="F524" s="96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A525" s="12"/>
      <c r="E525" s="14"/>
      <c r="F525" s="96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A526" s="12"/>
      <c r="E526" s="14"/>
      <c r="F526" s="96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A527" s="12"/>
      <c r="E527" s="14"/>
      <c r="F527" s="96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A528" s="12"/>
      <c r="E528" s="14"/>
      <c r="F528" s="96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A529" s="12"/>
      <c r="E529" s="14"/>
      <c r="F529" s="96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A530" s="12"/>
      <c r="E530" s="14"/>
      <c r="F530" s="96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A531" s="12"/>
      <c r="E531" s="14"/>
      <c r="F531" s="96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A532" s="12"/>
      <c r="E532" s="14"/>
      <c r="F532" s="96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A533" s="12"/>
      <c r="E533" s="14"/>
      <c r="F533" s="96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A534" s="12"/>
      <c r="E534" s="14"/>
      <c r="F534" s="96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A535" s="12"/>
      <c r="E535" s="14"/>
      <c r="F535" s="96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A536" s="12"/>
      <c r="E536" s="14"/>
      <c r="F536" s="96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A537" s="12"/>
      <c r="E537" s="14"/>
      <c r="F537" s="96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A538" s="12"/>
      <c r="E538" s="14"/>
      <c r="F538" s="96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A539" s="12"/>
      <c r="E539" s="14"/>
      <c r="F539" s="96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A540" s="12"/>
      <c r="E540" s="14"/>
      <c r="F540" s="96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A541" s="12"/>
      <c r="E541" s="14"/>
      <c r="F541" s="96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A542" s="12"/>
      <c r="E542" s="14"/>
      <c r="F542" s="96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A543" s="12"/>
      <c r="E543" s="14"/>
      <c r="F543" s="96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A544" s="12"/>
      <c r="E544" s="14"/>
      <c r="F544" s="96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A545" s="12"/>
      <c r="E545" s="14"/>
      <c r="F545" s="96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A546" s="12"/>
      <c r="E546" s="14"/>
      <c r="F546" s="96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A547" s="12"/>
      <c r="E547" s="14"/>
      <c r="F547" s="96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A548" s="12"/>
      <c r="E548" s="14"/>
      <c r="F548" s="96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A549" s="12"/>
      <c r="E549" s="14"/>
      <c r="F549" s="96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A550" s="12"/>
      <c r="E550" s="14"/>
      <c r="F550" s="96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A551" s="12"/>
      <c r="E551" s="14"/>
      <c r="F551" s="96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A552" s="12"/>
      <c r="E552" s="14"/>
      <c r="F552" s="96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A553" s="12"/>
      <c r="E553" s="14"/>
      <c r="F553" s="96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A554" s="12"/>
      <c r="E554" s="14"/>
      <c r="F554" s="96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A555" s="12"/>
      <c r="E555" s="14"/>
      <c r="F555" s="96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A556" s="12"/>
      <c r="E556" s="14"/>
      <c r="F556" s="96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A557" s="12"/>
      <c r="E557" s="14"/>
      <c r="F557" s="96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A558" s="12"/>
      <c r="E558" s="14"/>
      <c r="F558" s="96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A559" s="12"/>
      <c r="E559" s="14"/>
      <c r="F559" s="96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A560" s="12"/>
      <c r="E560" s="14"/>
      <c r="F560" s="96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A561" s="12"/>
      <c r="E561" s="14"/>
      <c r="F561" s="96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A562" s="12"/>
      <c r="E562" s="14"/>
      <c r="F562" s="96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A563" s="12"/>
      <c r="E563" s="14"/>
      <c r="F563" s="96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A564" s="12"/>
      <c r="E564" s="14"/>
      <c r="F564" s="96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A565" s="12"/>
      <c r="E565" s="14"/>
      <c r="F565" s="96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A566" s="12"/>
      <c r="E566" s="14"/>
      <c r="F566" s="96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A567" s="12"/>
      <c r="E567" s="14"/>
      <c r="F567" s="96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A568" s="12"/>
      <c r="E568" s="14"/>
      <c r="F568" s="96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A569" s="12"/>
      <c r="E569" s="14"/>
      <c r="F569" s="96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A570" s="12"/>
      <c r="E570" s="14"/>
      <c r="F570" s="96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A571" s="12"/>
      <c r="E571" s="14"/>
      <c r="F571" s="96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A572" s="12"/>
      <c r="E572" s="14"/>
      <c r="F572" s="96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A573" s="12"/>
      <c r="E573" s="14"/>
      <c r="F573" s="96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A574" s="12"/>
      <c r="E574" s="14"/>
      <c r="F574" s="96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A575" s="12"/>
      <c r="E575" s="14"/>
      <c r="F575" s="96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A576" s="12"/>
      <c r="E576" s="14"/>
      <c r="F576" s="96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A577" s="12"/>
      <c r="E577" s="14"/>
      <c r="F577" s="96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A578" s="12"/>
      <c r="E578" s="14"/>
      <c r="F578" s="96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A579" s="12"/>
      <c r="E579" s="14"/>
      <c r="F579" s="96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A580" s="12"/>
      <c r="E580" s="14"/>
      <c r="F580" s="96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A581" s="12"/>
      <c r="E581" s="14"/>
      <c r="F581" s="96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A582" s="12"/>
      <c r="E582" s="14"/>
      <c r="F582" s="96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A583" s="12"/>
      <c r="E583" s="14"/>
      <c r="F583" s="96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A584" s="12"/>
      <c r="E584" s="14"/>
      <c r="F584" s="96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A585" s="12"/>
      <c r="E585" s="14"/>
      <c r="F585" s="96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A586" s="12"/>
      <c r="E586" s="14"/>
      <c r="F586" s="96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A587" s="12"/>
      <c r="E587" s="14"/>
      <c r="F587" s="96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A588" s="12"/>
      <c r="E588" s="14"/>
      <c r="F588" s="96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A589" s="12"/>
      <c r="E589" s="14"/>
      <c r="F589" s="96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A590" s="12"/>
      <c r="E590" s="14"/>
      <c r="F590" s="96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A591" s="12"/>
      <c r="E591" s="14"/>
      <c r="F591" s="96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A592" s="12"/>
      <c r="E592" s="14"/>
      <c r="F592" s="96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A593" s="12"/>
      <c r="E593" s="14"/>
      <c r="F593" s="96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A594" s="12"/>
      <c r="E594" s="14"/>
      <c r="F594" s="96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A595" s="12"/>
      <c r="E595" s="14"/>
      <c r="F595" s="96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A596" s="12"/>
      <c r="E596" s="14"/>
      <c r="F596" s="96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A597" s="12"/>
      <c r="E597" s="14"/>
      <c r="F597" s="96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A598" s="12"/>
      <c r="E598" s="14"/>
      <c r="F598" s="96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A599" s="12"/>
      <c r="E599" s="14"/>
      <c r="F599" s="96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A600" s="12"/>
      <c r="E600" s="14"/>
      <c r="F600" s="96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A601" s="12"/>
      <c r="E601" s="14"/>
      <c r="F601" s="96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A602" s="12"/>
      <c r="E602" s="14"/>
      <c r="F602" s="96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A603" s="12"/>
      <c r="E603" s="14"/>
      <c r="F603" s="96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A604" s="12"/>
      <c r="E604" s="14"/>
      <c r="F604" s="96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A605" s="12"/>
      <c r="E605" s="14"/>
      <c r="F605" s="96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A606" s="12"/>
      <c r="E606" s="14"/>
      <c r="F606" s="96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A607" s="12"/>
      <c r="E607" s="14"/>
      <c r="F607" s="96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A608" s="12"/>
      <c r="E608" s="14"/>
      <c r="F608" s="96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A609" s="12"/>
      <c r="E609" s="14"/>
      <c r="F609" s="96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A610" s="12"/>
      <c r="E610" s="14"/>
      <c r="F610" s="96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A611" s="12"/>
      <c r="E611" s="14"/>
      <c r="F611" s="96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A612" s="12"/>
      <c r="E612" s="14"/>
      <c r="F612" s="96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A613" s="12"/>
      <c r="E613" s="14"/>
      <c r="F613" s="96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A614" s="12"/>
      <c r="E614" s="14"/>
      <c r="F614" s="96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A615" s="12"/>
      <c r="E615" s="14"/>
      <c r="F615" s="96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A616" s="12"/>
      <c r="E616" s="14"/>
      <c r="F616" s="96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A617" s="12"/>
      <c r="E617" s="14"/>
      <c r="F617" s="96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A618" s="12"/>
      <c r="E618" s="14"/>
      <c r="F618" s="96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A619" s="12"/>
      <c r="E619" s="14"/>
      <c r="F619" s="96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A620" s="12"/>
      <c r="E620" s="14"/>
      <c r="F620" s="96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A621" s="12"/>
      <c r="E621" s="14"/>
      <c r="F621" s="96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A622" s="12"/>
      <c r="E622" s="14"/>
      <c r="F622" s="96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A623" s="12"/>
      <c r="E623" s="14"/>
      <c r="F623" s="96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A624" s="12"/>
      <c r="E624" s="14"/>
      <c r="F624" s="96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A625" s="12"/>
      <c r="E625" s="14"/>
      <c r="F625" s="96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A626" s="12"/>
      <c r="E626" s="14"/>
      <c r="F626" s="96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A627" s="12"/>
      <c r="E627" s="14"/>
      <c r="F627" s="96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A628" s="12"/>
      <c r="E628" s="14"/>
      <c r="F628" s="96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A629" s="12"/>
      <c r="E629" s="14"/>
      <c r="F629" s="96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A630" s="12"/>
      <c r="E630" s="14"/>
      <c r="F630" s="96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A631" s="12"/>
      <c r="E631" s="14"/>
      <c r="F631" s="96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A632" s="12"/>
      <c r="E632" s="14"/>
      <c r="F632" s="96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A633" s="12"/>
      <c r="E633" s="14"/>
      <c r="F633" s="96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A634" s="12"/>
      <c r="E634" s="14"/>
      <c r="F634" s="96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A635" s="12"/>
      <c r="E635" s="14"/>
      <c r="F635" s="96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A636" s="12"/>
      <c r="E636" s="14"/>
      <c r="F636" s="96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A637" s="12"/>
      <c r="E637" s="14"/>
      <c r="F637" s="96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A638" s="12"/>
      <c r="E638" s="14"/>
      <c r="F638" s="96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A639" s="12"/>
      <c r="E639" s="14"/>
      <c r="F639" s="96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A640" s="12"/>
      <c r="E640" s="14"/>
      <c r="F640" s="96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A641" s="12"/>
      <c r="E641" s="14"/>
      <c r="F641" s="96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A642" s="12"/>
      <c r="E642" s="14"/>
      <c r="F642" s="96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A643" s="12"/>
      <c r="E643" s="14"/>
      <c r="F643" s="96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A644" s="12"/>
      <c r="E644" s="14"/>
      <c r="F644" s="96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A645" s="12"/>
      <c r="E645" s="14"/>
      <c r="F645" s="96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A646" s="12"/>
      <c r="E646" s="14"/>
      <c r="F646" s="96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A647" s="12"/>
      <c r="E647" s="14"/>
      <c r="F647" s="96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A648" s="12"/>
      <c r="E648" s="14"/>
      <c r="F648" s="96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A649" s="12"/>
      <c r="E649" s="14"/>
      <c r="F649" s="96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A650" s="12"/>
      <c r="E650" s="14"/>
      <c r="F650" s="96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A651" s="12"/>
      <c r="E651" s="14"/>
      <c r="F651" s="96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A652" s="12"/>
      <c r="E652" s="14"/>
      <c r="F652" s="96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A653" s="12"/>
      <c r="E653" s="14"/>
      <c r="F653" s="96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A654" s="12"/>
      <c r="E654" s="14"/>
      <c r="F654" s="96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A655" s="12"/>
      <c r="E655" s="14"/>
      <c r="F655" s="96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A656" s="12"/>
      <c r="E656" s="14"/>
      <c r="F656" s="96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A657" s="12"/>
      <c r="E657" s="14"/>
      <c r="F657" s="96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A658" s="12"/>
      <c r="E658" s="14"/>
      <c r="F658" s="96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A659" s="12"/>
      <c r="E659" s="14"/>
      <c r="F659" s="96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A660" s="12"/>
      <c r="E660" s="14"/>
      <c r="F660" s="96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A661" s="12"/>
      <c r="E661" s="14"/>
      <c r="F661" s="96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A662" s="12"/>
      <c r="E662" s="14"/>
      <c r="F662" s="96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A663" s="12"/>
      <c r="E663" s="14"/>
      <c r="F663" s="96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A664" s="12"/>
      <c r="E664" s="14"/>
      <c r="F664" s="96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A665" s="12"/>
      <c r="E665" s="14"/>
      <c r="F665" s="96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A666" s="12"/>
      <c r="E666" s="14"/>
      <c r="F666" s="96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A667" s="12"/>
      <c r="E667" s="14"/>
      <c r="F667" s="96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A668" s="12"/>
      <c r="E668" s="14"/>
      <c r="F668" s="96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A669" s="12"/>
      <c r="E669" s="14"/>
      <c r="F669" s="96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A670" s="12"/>
      <c r="E670" s="14"/>
      <c r="F670" s="96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A671" s="12"/>
      <c r="E671" s="14"/>
      <c r="F671" s="96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A672" s="12"/>
      <c r="E672" s="14"/>
      <c r="F672" s="96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A673" s="12"/>
      <c r="E673" s="14"/>
      <c r="F673" s="96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A674" s="12"/>
      <c r="E674" s="14"/>
      <c r="F674" s="96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A675" s="12"/>
      <c r="E675" s="14"/>
      <c r="F675" s="96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A676" s="12"/>
      <c r="E676" s="14"/>
      <c r="F676" s="96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A677" s="12"/>
      <c r="E677" s="14"/>
      <c r="F677" s="96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A678" s="12"/>
      <c r="E678" s="14"/>
      <c r="F678" s="96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A679" s="12"/>
      <c r="E679" s="14"/>
      <c r="F679" s="96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A680" s="12"/>
      <c r="E680" s="14"/>
      <c r="F680" s="96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A681" s="12"/>
      <c r="E681" s="14"/>
      <c r="F681" s="96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A682" s="12"/>
      <c r="E682" s="14"/>
      <c r="F682" s="96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A683" s="12"/>
      <c r="E683" s="14"/>
      <c r="F683" s="96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A684" s="12"/>
      <c r="E684" s="14"/>
      <c r="F684" s="96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A685" s="12"/>
      <c r="E685" s="14"/>
      <c r="F685" s="96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A686" s="12"/>
      <c r="E686" s="14"/>
      <c r="F686" s="96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A687" s="12"/>
      <c r="E687" s="14"/>
      <c r="F687" s="96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A688" s="12"/>
      <c r="E688" s="14"/>
      <c r="F688" s="96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A689" s="12"/>
      <c r="E689" s="14"/>
      <c r="F689" s="96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A690" s="12"/>
      <c r="E690" s="14"/>
      <c r="F690" s="96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A691" s="12"/>
      <c r="E691" s="14"/>
      <c r="F691" s="96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A692" s="12"/>
      <c r="E692" s="14"/>
      <c r="F692" s="96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A693" s="12"/>
      <c r="E693" s="14"/>
      <c r="F693" s="96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A694" s="12"/>
      <c r="E694" s="14"/>
      <c r="F694" s="96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A695" s="12"/>
      <c r="E695" s="14"/>
      <c r="F695" s="96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A696" s="12"/>
      <c r="E696" s="14"/>
      <c r="F696" s="96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A697" s="12"/>
      <c r="E697" s="14"/>
      <c r="F697" s="96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A698" s="12"/>
      <c r="E698" s="14"/>
      <c r="F698" s="96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A699" s="12"/>
      <c r="E699" s="14"/>
      <c r="F699" s="96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A700" s="12"/>
      <c r="E700" s="14"/>
      <c r="F700" s="96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A701" s="12"/>
      <c r="E701" s="14"/>
      <c r="F701" s="96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A702" s="12"/>
      <c r="E702" s="14"/>
      <c r="F702" s="96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A703" s="12"/>
      <c r="E703" s="14"/>
      <c r="F703" s="96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A704" s="12"/>
      <c r="E704" s="14"/>
      <c r="F704" s="96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A705" s="12"/>
      <c r="E705" s="14"/>
      <c r="F705" s="96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A706" s="12"/>
      <c r="E706" s="14"/>
      <c r="F706" s="96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A707" s="12"/>
      <c r="E707" s="14"/>
      <c r="F707" s="96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A708" s="12"/>
      <c r="E708" s="14"/>
      <c r="F708" s="96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A709" s="12"/>
      <c r="E709" s="14"/>
      <c r="F709" s="96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A710" s="12"/>
      <c r="E710" s="14"/>
      <c r="F710" s="96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A711" s="12"/>
      <c r="E711" s="14"/>
      <c r="F711" s="96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A712" s="12"/>
      <c r="E712" s="14"/>
      <c r="F712" s="96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A713" s="12"/>
      <c r="E713" s="14"/>
      <c r="F713" s="96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A714" s="12"/>
      <c r="E714" s="14"/>
      <c r="F714" s="96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A715" s="12"/>
      <c r="E715" s="14"/>
      <c r="F715" s="96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A716" s="12"/>
      <c r="E716" s="14"/>
      <c r="F716" s="96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A717" s="12"/>
      <c r="E717" s="14"/>
      <c r="F717" s="96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A718" s="12"/>
      <c r="E718" s="14"/>
      <c r="F718" s="96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A719" s="12"/>
      <c r="E719" s="14"/>
      <c r="F719" s="96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A720" s="12"/>
      <c r="E720" s="14"/>
      <c r="F720" s="96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A721" s="12"/>
      <c r="E721" s="14"/>
      <c r="F721" s="96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A722" s="12"/>
      <c r="E722" s="14"/>
      <c r="F722" s="96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A723" s="12"/>
      <c r="E723" s="14"/>
      <c r="F723" s="96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A724" s="12"/>
      <c r="E724" s="14"/>
      <c r="F724" s="96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A725" s="12"/>
      <c r="E725" s="14"/>
      <c r="F725" s="96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A726" s="12"/>
      <c r="E726" s="14"/>
      <c r="F726" s="96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A727" s="12"/>
      <c r="E727" s="14"/>
      <c r="F727" s="96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A728" s="12"/>
      <c r="E728" s="14"/>
      <c r="F728" s="96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A729" s="12"/>
      <c r="E729" s="14"/>
      <c r="F729" s="96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A730" s="12"/>
      <c r="E730" s="14"/>
      <c r="F730" s="96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A731" s="12"/>
      <c r="E731" s="14"/>
      <c r="F731" s="96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A732" s="12"/>
      <c r="E732" s="14"/>
      <c r="F732" s="96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A733" s="12"/>
      <c r="E733" s="14"/>
      <c r="F733" s="96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A734" s="12"/>
      <c r="E734" s="14"/>
      <c r="F734" s="96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A735" s="12"/>
      <c r="E735" s="14"/>
      <c r="F735" s="96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A736" s="12"/>
      <c r="E736" s="14"/>
      <c r="F736" s="96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A737" s="12"/>
      <c r="E737" s="14"/>
      <c r="F737" s="96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A738" s="12"/>
      <c r="E738" s="14"/>
      <c r="F738" s="96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A739" s="12"/>
      <c r="E739" s="14"/>
      <c r="F739" s="96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A740" s="12"/>
      <c r="E740" s="14"/>
      <c r="F740" s="96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A741" s="12"/>
      <c r="E741" s="14"/>
      <c r="F741" s="96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A742" s="12"/>
      <c r="E742" s="14"/>
      <c r="F742" s="96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A743" s="12"/>
      <c r="E743" s="14"/>
      <c r="F743" s="96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A744" s="12"/>
      <c r="E744" s="14"/>
      <c r="F744" s="96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A745" s="12"/>
      <c r="E745" s="14"/>
      <c r="F745" s="96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A746" s="12"/>
      <c r="E746" s="14"/>
      <c r="F746" s="96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A747" s="12"/>
      <c r="E747" s="14"/>
      <c r="F747" s="96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A748" s="12"/>
      <c r="E748" s="14"/>
      <c r="F748" s="96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A749" s="12"/>
      <c r="E749" s="14"/>
      <c r="F749" s="96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A750" s="12"/>
      <c r="E750" s="14"/>
      <c r="F750" s="96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A751" s="12"/>
      <c r="E751" s="14"/>
      <c r="F751" s="96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A752" s="12"/>
      <c r="E752" s="14"/>
      <c r="F752" s="96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A753" s="12"/>
      <c r="E753" s="14"/>
      <c r="F753" s="96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A754" s="12"/>
      <c r="E754" s="14"/>
      <c r="F754" s="96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A755" s="12"/>
      <c r="E755" s="14"/>
      <c r="F755" s="96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A756" s="12"/>
      <c r="E756" s="14"/>
      <c r="F756" s="96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A757" s="12"/>
      <c r="E757" s="14"/>
      <c r="F757" s="96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A758" s="12"/>
      <c r="E758" s="14"/>
      <c r="F758" s="96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A759" s="12"/>
      <c r="E759" s="14"/>
      <c r="F759" s="96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A760" s="12"/>
      <c r="E760" s="14"/>
      <c r="F760" s="96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A761" s="12"/>
      <c r="E761" s="14"/>
      <c r="F761" s="96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A762" s="12"/>
      <c r="E762" s="14"/>
      <c r="F762" s="96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A763" s="12"/>
      <c r="E763" s="14"/>
      <c r="F763" s="96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A764" s="12"/>
      <c r="E764" s="14"/>
      <c r="F764" s="96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A765" s="12"/>
      <c r="E765" s="14"/>
      <c r="F765" s="96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A766" s="12"/>
      <c r="E766" s="14"/>
      <c r="F766" s="96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A767" s="12"/>
      <c r="E767" s="14"/>
      <c r="F767" s="96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A768" s="12"/>
      <c r="E768" s="14"/>
      <c r="F768" s="96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A769" s="12"/>
      <c r="E769" s="14"/>
      <c r="F769" s="96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A770" s="12"/>
      <c r="E770" s="14"/>
      <c r="F770" s="96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A771" s="12"/>
      <c r="E771" s="14"/>
      <c r="F771" s="96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A772" s="12"/>
      <c r="E772" s="14"/>
      <c r="F772" s="96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A773" s="12"/>
      <c r="E773" s="14"/>
      <c r="F773" s="96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A774" s="12"/>
      <c r="E774" s="14"/>
      <c r="F774" s="96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A775" s="12"/>
      <c r="E775" s="14"/>
      <c r="F775" s="96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A776" s="12"/>
      <c r="E776" s="14"/>
      <c r="F776" s="96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A777" s="12"/>
      <c r="E777" s="14"/>
      <c r="F777" s="96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A778" s="12"/>
      <c r="E778" s="14"/>
      <c r="F778" s="96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A779" s="12"/>
      <c r="E779" s="14"/>
      <c r="F779" s="96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A780" s="12"/>
      <c r="E780" s="14"/>
      <c r="F780" s="96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A781" s="12"/>
      <c r="E781" s="14"/>
      <c r="F781" s="96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A782" s="12"/>
      <c r="E782" s="14"/>
      <c r="F782" s="96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A783" s="12"/>
      <c r="E783" s="14"/>
      <c r="F783" s="96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A784" s="12"/>
      <c r="E784" s="14"/>
      <c r="F784" s="96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A785" s="12"/>
      <c r="E785" s="14"/>
      <c r="F785" s="96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A786" s="12"/>
      <c r="E786" s="14"/>
      <c r="F786" s="96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A787" s="12"/>
      <c r="E787" s="14"/>
      <c r="F787" s="96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A788" s="12"/>
      <c r="E788" s="14"/>
      <c r="F788" s="96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A789" s="12"/>
      <c r="E789" s="14"/>
      <c r="F789" s="96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A790" s="12"/>
      <c r="E790" s="14"/>
      <c r="F790" s="96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A791" s="12"/>
      <c r="E791" s="14"/>
      <c r="F791" s="96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A792" s="12"/>
      <c r="E792" s="14"/>
      <c r="F792" s="96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A793" s="12"/>
      <c r="E793" s="14"/>
      <c r="F793" s="96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A794" s="12"/>
      <c r="E794" s="14"/>
      <c r="F794" s="96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A795" s="12"/>
      <c r="E795" s="14"/>
      <c r="F795" s="96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A796" s="12"/>
      <c r="E796" s="14"/>
      <c r="F796" s="96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A797" s="12"/>
      <c r="E797" s="14"/>
      <c r="F797" s="96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A798" s="12"/>
      <c r="E798" s="14"/>
      <c r="F798" s="96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A799" s="12"/>
      <c r="E799" s="14"/>
      <c r="F799" s="96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A800" s="12"/>
      <c r="E800" s="14"/>
      <c r="F800" s="96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A801" s="12"/>
      <c r="E801" s="14"/>
      <c r="F801" s="96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A802" s="12"/>
      <c r="E802" s="14"/>
      <c r="F802" s="96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A803" s="12"/>
      <c r="E803" s="14"/>
      <c r="F803" s="96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A804" s="12"/>
      <c r="E804" s="14"/>
      <c r="F804" s="96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A805" s="12"/>
      <c r="E805" s="14"/>
      <c r="F805" s="96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A806" s="12"/>
      <c r="E806" s="14"/>
      <c r="F806" s="96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A807" s="12"/>
      <c r="E807" s="14"/>
      <c r="F807" s="96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A808" s="12"/>
      <c r="E808" s="14"/>
      <c r="F808" s="96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A809" s="12"/>
      <c r="E809" s="14"/>
      <c r="F809" s="96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A810" s="12"/>
      <c r="E810" s="14"/>
      <c r="F810" s="96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A811" s="12"/>
      <c r="E811" s="14"/>
      <c r="F811" s="96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A812" s="12"/>
      <c r="E812" s="14"/>
      <c r="F812" s="96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A813" s="12"/>
      <c r="E813" s="14"/>
      <c r="F813" s="96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A814" s="12"/>
      <c r="E814" s="14"/>
      <c r="F814" s="96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A815" s="12"/>
      <c r="E815" s="14"/>
      <c r="F815" s="96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A816" s="12"/>
      <c r="E816" s="14"/>
      <c r="F816" s="96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A817" s="12"/>
      <c r="E817" s="14"/>
      <c r="F817" s="96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A818" s="12"/>
      <c r="E818" s="14"/>
      <c r="F818" s="96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A819" s="12"/>
      <c r="E819" s="14"/>
      <c r="F819" s="96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A820" s="12"/>
      <c r="E820" s="14"/>
      <c r="F820" s="96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A821" s="12"/>
      <c r="E821" s="14"/>
      <c r="F821" s="96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A822" s="12"/>
      <c r="E822" s="14"/>
      <c r="F822" s="96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A823" s="12"/>
      <c r="E823" s="14"/>
      <c r="F823" s="96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A824" s="12"/>
      <c r="E824" s="14"/>
      <c r="F824" s="96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A825" s="12"/>
      <c r="E825" s="14"/>
      <c r="F825" s="96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A826" s="12"/>
      <c r="E826" s="14"/>
      <c r="F826" s="96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A827" s="12"/>
      <c r="E827" s="14"/>
      <c r="F827" s="96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A828" s="12"/>
      <c r="E828" s="14"/>
      <c r="F828" s="96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A829" s="12"/>
      <c r="E829" s="14"/>
      <c r="F829" s="96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A830" s="12"/>
      <c r="E830" s="14"/>
      <c r="F830" s="96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A831" s="12"/>
      <c r="E831" s="14"/>
      <c r="F831" s="96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A832" s="12"/>
      <c r="E832" s="14"/>
      <c r="F832" s="96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A833" s="12"/>
      <c r="E833" s="14"/>
      <c r="F833" s="96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A834" s="12"/>
      <c r="E834" s="14"/>
      <c r="F834" s="96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A835" s="12"/>
      <c r="E835" s="14"/>
      <c r="F835" s="96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A836" s="12"/>
      <c r="E836" s="14"/>
      <c r="F836" s="96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A837" s="12"/>
      <c r="E837" s="14"/>
      <c r="F837" s="96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A838" s="12"/>
      <c r="E838" s="14"/>
      <c r="F838" s="96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A839" s="12"/>
      <c r="E839" s="14"/>
      <c r="F839" s="96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A840" s="12"/>
      <c r="E840" s="14"/>
      <c r="F840" s="96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A841" s="12"/>
      <c r="E841" s="14"/>
      <c r="F841" s="96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A842" s="12"/>
      <c r="E842" s="14"/>
      <c r="F842" s="96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A843" s="12"/>
      <c r="E843" s="14"/>
      <c r="F843" s="96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A844" s="12"/>
      <c r="E844" s="14"/>
      <c r="F844" s="96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A845" s="12"/>
      <c r="E845" s="14"/>
      <c r="F845" s="96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A846" s="12"/>
      <c r="E846" s="14"/>
      <c r="F846" s="96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A847" s="12"/>
      <c r="E847" s="14"/>
      <c r="F847" s="96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A848" s="12"/>
      <c r="E848" s="14"/>
      <c r="F848" s="96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A849" s="12"/>
      <c r="E849" s="14"/>
      <c r="F849" s="96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A850" s="12"/>
      <c r="E850" s="14"/>
      <c r="F850" s="96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A851" s="12"/>
      <c r="E851" s="14"/>
      <c r="F851" s="96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A852" s="12"/>
      <c r="E852" s="14"/>
      <c r="F852" s="96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A853" s="12"/>
      <c r="E853" s="14"/>
      <c r="F853" s="96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A854" s="12"/>
      <c r="E854" s="14"/>
      <c r="F854" s="96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A855" s="12"/>
      <c r="E855" s="14"/>
      <c r="F855" s="96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A856" s="12"/>
      <c r="E856" s="14"/>
      <c r="F856" s="96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A857" s="12"/>
      <c r="E857" s="14"/>
      <c r="F857" s="96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A858" s="12"/>
      <c r="E858" s="14"/>
      <c r="F858" s="96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A859" s="12"/>
      <c r="E859" s="14"/>
      <c r="F859" s="96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A860" s="12"/>
      <c r="E860" s="14"/>
      <c r="F860" s="96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A861" s="12"/>
      <c r="E861" s="14"/>
      <c r="F861" s="96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A862" s="12"/>
      <c r="E862" s="14"/>
      <c r="F862" s="96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A863" s="12"/>
      <c r="E863" s="14"/>
      <c r="F863" s="96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A864" s="12"/>
      <c r="E864" s="14"/>
      <c r="F864" s="96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A865" s="12"/>
      <c r="E865" s="14"/>
      <c r="F865" s="96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A866" s="12"/>
      <c r="E866" s="14"/>
      <c r="F866" s="96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A867" s="12"/>
      <c r="E867" s="14"/>
      <c r="F867" s="96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A868" s="12"/>
      <c r="E868" s="14"/>
      <c r="F868" s="96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A869" s="12"/>
      <c r="E869" s="14"/>
      <c r="F869" s="96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A870" s="12"/>
      <c r="E870" s="14"/>
      <c r="F870" s="96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A871" s="12"/>
      <c r="E871" s="14"/>
      <c r="F871" s="96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A872" s="12"/>
      <c r="E872" s="14"/>
      <c r="F872" s="96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A873" s="12"/>
      <c r="E873" s="14"/>
      <c r="F873" s="96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A874" s="12"/>
      <c r="E874" s="14"/>
      <c r="F874" s="96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A875" s="12"/>
      <c r="E875" s="14"/>
      <c r="F875" s="96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A876" s="12"/>
      <c r="E876" s="14"/>
      <c r="F876" s="96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A877" s="12"/>
      <c r="E877" s="14"/>
      <c r="F877" s="96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A878" s="12"/>
      <c r="E878" s="14"/>
      <c r="F878" s="96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A879" s="12"/>
      <c r="E879" s="14"/>
      <c r="F879" s="96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A880" s="12"/>
      <c r="E880" s="14"/>
      <c r="F880" s="96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A881" s="12"/>
      <c r="E881" s="14"/>
      <c r="F881" s="96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A882" s="12"/>
      <c r="E882" s="14"/>
      <c r="F882" s="96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A883" s="12"/>
      <c r="E883" s="14"/>
      <c r="F883" s="96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A884" s="12"/>
      <c r="E884" s="14"/>
      <c r="F884" s="96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A885" s="12"/>
      <c r="E885" s="14"/>
      <c r="F885" s="96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A886" s="12"/>
      <c r="E886" s="14"/>
      <c r="F886" s="96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A887" s="12"/>
      <c r="E887" s="14"/>
      <c r="F887" s="96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A888" s="12"/>
      <c r="E888" s="14"/>
      <c r="F888" s="96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A889" s="12"/>
      <c r="E889" s="14"/>
      <c r="F889" s="96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A890" s="12"/>
      <c r="E890" s="14"/>
      <c r="F890" s="96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A891" s="12"/>
      <c r="E891" s="14"/>
      <c r="F891" s="96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A892" s="12"/>
      <c r="E892" s="14"/>
      <c r="F892" s="96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A893" s="12"/>
      <c r="E893" s="14"/>
      <c r="F893" s="96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A894" s="12"/>
      <c r="E894" s="14"/>
      <c r="F894" s="96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A895" s="12"/>
      <c r="E895" s="14"/>
      <c r="F895" s="96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A896" s="12"/>
      <c r="E896" s="14"/>
      <c r="F896" s="96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A897" s="12"/>
      <c r="E897" s="14"/>
      <c r="F897" s="96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A898" s="12"/>
      <c r="E898" s="14"/>
      <c r="F898" s="96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A899" s="12"/>
      <c r="E899" s="14"/>
      <c r="F899" s="96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A900" s="12"/>
      <c r="E900" s="14"/>
      <c r="F900" s="96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A901" s="12"/>
      <c r="E901" s="14"/>
      <c r="F901" s="96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A902" s="12"/>
      <c r="E902" s="14"/>
      <c r="F902" s="96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A903" s="12"/>
      <c r="E903" s="14"/>
      <c r="F903" s="96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A904" s="12"/>
      <c r="E904" s="14"/>
      <c r="F904" s="96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A905" s="12"/>
      <c r="E905" s="14"/>
      <c r="F905" s="96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A906" s="12"/>
      <c r="E906" s="14"/>
      <c r="F906" s="96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A907" s="12"/>
      <c r="E907" s="14"/>
      <c r="F907" s="96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A908" s="12"/>
      <c r="E908" s="14"/>
      <c r="F908" s="96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A909" s="12"/>
      <c r="E909" s="14"/>
      <c r="F909" s="96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A910" s="12"/>
      <c r="E910" s="14"/>
      <c r="F910" s="96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A911" s="12"/>
      <c r="E911" s="14"/>
      <c r="F911" s="96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A912" s="12"/>
      <c r="E912" s="14"/>
      <c r="F912" s="96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A913" s="12"/>
      <c r="E913" s="14"/>
      <c r="F913" s="96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A914" s="12"/>
      <c r="E914" s="14"/>
      <c r="F914" s="96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A915" s="12"/>
      <c r="E915" s="14"/>
      <c r="F915" s="96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A916" s="12"/>
      <c r="E916" s="14"/>
      <c r="F916" s="96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A917" s="12"/>
      <c r="E917" s="14"/>
      <c r="F917" s="96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A918" s="12"/>
      <c r="E918" s="14"/>
      <c r="F918" s="96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A919" s="12"/>
      <c r="E919" s="14"/>
      <c r="F919" s="96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A920" s="12"/>
      <c r="E920" s="14"/>
      <c r="F920" s="96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A921" s="12"/>
      <c r="E921" s="14"/>
      <c r="F921" s="96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A922" s="12"/>
      <c r="E922" s="14"/>
      <c r="F922" s="96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A923" s="12"/>
      <c r="E923" s="14"/>
      <c r="F923" s="96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A924" s="12"/>
      <c r="E924" s="14"/>
      <c r="F924" s="96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A925" s="12"/>
      <c r="E925" s="14"/>
      <c r="F925" s="96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A926" s="12"/>
      <c r="E926" s="14"/>
      <c r="F926" s="96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A927" s="12"/>
      <c r="E927" s="14"/>
      <c r="F927" s="96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A928" s="12"/>
      <c r="E928" s="14"/>
      <c r="F928" s="96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A929" s="12"/>
      <c r="E929" s="14"/>
      <c r="F929" s="96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A930" s="12"/>
      <c r="E930" s="14"/>
      <c r="F930" s="96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A931" s="12"/>
      <c r="E931" s="14"/>
      <c r="F931" s="96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A932" s="12"/>
      <c r="E932" s="14"/>
      <c r="F932" s="96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A933" s="12"/>
      <c r="E933" s="14"/>
      <c r="F933" s="96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A934" s="12"/>
      <c r="E934" s="14"/>
      <c r="F934" s="96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A935" s="12"/>
      <c r="E935" s="14"/>
      <c r="F935" s="96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A936" s="12"/>
      <c r="E936" s="14"/>
      <c r="F936" s="96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A937" s="12"/>
      <c r="E937" s="14"/>
      <c r="F937" s="96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A938" s="12"/>
      <c r="E938" s="14"/>
      <c r="F938" s="96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A939" s="12"/>
      <c r="E939" s="14"/>
      <c r="F939" s="96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A940" s="12"/>
      <c r="E940" s="14"/>
      <c r="F940" s="96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A941" s="12"/>
      <c r="E941" s="14"/>
      <c r="F941" s="96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A942" s="12"/>
      <c r="E942" s="14"/>
      <c r="F942" s="96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A943" s="12"/>
      <c r="E943" s="14"/>
      <c r="F943" s="96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A944" s="12"/>
      <c r="E944" s="14"/>
      <c r="F944" s="96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A945" s="12"/>
      <c r="E945" s="14"/>
      <c r="F945" s="96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A946" s="12"/>
      <c r="E946" s="14"/>
      <c r="F946" s="96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A947" s="12"/>
      <c r="E947" s="14"/>
      <c r="F947" s="96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A948" s="12"/>
      <c r="E948" s="14"/>
      <c r="F948" s="96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A949" s="12"/>
      <c r="E949" s="14"/>
      <c r="F949" s="96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A950" s="12"/>
      <c r="E950" s="14"/>
      <c r="F950" s="96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A951" s="12"/>
      <c r="E951" s="14"/>
      <c r="F951" s="96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A952" s="12"/>
      <c r="E952" s="14"/>
      <c r="F952" s="96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A953" s="12"/>
      <c r="E953" s="14"/>
      <c r="F953" s="96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A954" s="12"/>
      <c r="E954" s="14"/>
      <c r="F954" s="96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A955" s="12"/>
      <c r="E955" s="14"/>
      <c r="F955" s="96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A956" s="12"/>
      <c r="E956" s="14"/>
      <c r="F956" s="96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A957" s="12"/>
      <c r="E957" s="14"/>
      <c r="F957" s="96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A958" s="12"/>
      <c r="E958" s="14"/>
      <c r="F958" s="96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A959" s="12"/>
      <c r="E959" s="14"/>
      <c r="F959" s="96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A960" s="12"/>
      <c r="E960" s="14"/>
      <c r="F960" s="96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A961" s="12"/>
      <c r="E961" s="14"/>
      <c r="F961" s="96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A962" s="12"/>
      <c r="E962" s="14"/>
      <c r="F962" s="96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A963" s="12"/>
      <c r="E963" s="14"/>
      <c r="F963" s="96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A964" s="12"/>
      <c r="E964" s="14"/>
      <c r="F964" s="96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A965" s="12"/>
      <c r="E965" s="14"/>
      <c r="F965" s="96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A966" s="12"/>
      <c r="E966" s="14"/>
      <c r="F966" s="96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A967" s="12"/>
      <c r="E967" s="14"/>
      <c r="F967" s="96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A968" s="12"/>
      <c r="E968" s="14"/>
      <c r="F968" s="96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A969" s="12"/>
      <c r="E969" s="14"/>
      <c r="F969" s="96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A970" s="12"/>
      <c r="E970" s="14"/>
      <c r="F970" s="96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A971" s="12"/>
      <c r="E971" s="14"/>
      <c r="F971" s="96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A972" s="12"/>
      <c r="E972" s="14"/>
      <c r="F972" s="96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A973" s="12"/>
      <c r="E973" s="14"/>
      <c r="F973" s="96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A974" s="12"/>
      <c r="E974" s="14"/>
      <c r="F974" s="96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A975" s="12"/>
      <c r="E975" s="14"/>
      <c r="F975" s="96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A976" s="12"/>
      <c r="E976" s="14"/>
      <c r="F976" s="96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A977" s="12"/>
      <c r="E977" s="14"/>
      <c r="F977" s="96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A978" s="12"/>
      <c r="E978" s="14"/>
      <c r="F978" s="96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A979" s="12"/>
      <c r="E979" s="14"/>
      <c r="F979" s="96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A980" s="12"/>
      <c r="E980" s="14"/>
      <c r="F980" s="96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A981" s="12"/>
      <c r="E981" s="14"/>
      <c r="F981" s="96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A982" s="12"/>
      <c r="E982" s="14"/>
      <c r="F982" s="96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A983" s="12"/>
      <c r="E983" s="14"/>
      <c r="F983" s="96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A984" s="12"/>
      <c r="E984" s="14"/>
      <c r="F984" s="96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A985" s="12"/>
      <c r="E985" s="14"/>
      <c r="F985" s="96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A986" s="12"/>
      <c r="E986" s="14"/>
      <c r="F986" s="96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A987" s="12"/>
      <c r="E987" s="14"/>
      <c r="F987" s="96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A988" s="12"/>
      <c r="E988" s="14"/>
      <c r="F988" s="96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A989" s="12"/>
      <c r="E989" s="14"/>
      <c r="F989" s="96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A990" s="12"/>
      <c r="E990" s="14"/>
      <c r="F990" s="96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A991" s="12"/>
      <c r="E991" s="14"/>
      <c r="F991" s="96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A992" s="12"/>
      <c r="E992" s="14"/>
      <c r="F992" s="96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A993" s="12"/>
      <c r="E993" s="14"/>
      <c r="F993" s="96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A994" s="12"/>
      <c r="E994" s="14"/>
      <c r="F994" s="96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A995" s="12"/>
      <c r="E995" s="14"/>
      <c r="F995" s="96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A996" s="12"/>
      <c r="E996" s="14"/>
      <c r="F996" s="96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A997" s="12"/>
      <c r="E997" s="14"/>
      <c r="F997" s="96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A998" s="12"/>
      <c r="E998" s="14"/>
      <c r="F998" s="96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A999" s="12"/>
      <c r="E999" s="14"/>
      <c r="F999" s="96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A1000" s="12"/>
      <c r="E1000" s="14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>
      <c r="A1001" s="12"/>
      <c r="E1001" s="14"/>
      <c r="F1001" s="96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>
      <c r="A1002" s="12"/>
      <c r="E1002" s="14"/>
      <c r="F1002" s="96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</sheetData>
  <conditionalFormatting sqref="H2:Q35">
    <cfRule type="cellIs" dxfId="31" priority="1" operator="equal">
      <formula>0</formula>
    </cfRule>
  </conditionalFormatting>
  <conditionalFormatting sqref="H2:H35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5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5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5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35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35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5">
    <cfRule type="colorScale" priority="8">
      <colorScale>
        <cfvo type="formula" val="0"/>
        <cfvo type="percentile" val="50"/>
        <cfvo type="max"/>
        <color rgb="FFFF0000"/>
        <color rgb="FFFFFF00"/>
        <color rgb="FF34A853"/>
      </colorScale>
    </cfRule>
  </conditionalFormatting>
  <conditionalFormatting sqref="Q2:Q35">
    <cfRule type="colorScale" priority="9">
      <colorScale>
        <cfvo type="formula" val="0"/>
        <cfvo type="percentile" val="50"/>
        <cfvo type="max"/>
        <color rgb="FFFF0000"/>
        <color rgb="FFFFFF00"/>
        <color rgb="FF34A853"/>
      </colorScale>
    </cfRule>
  </conditionalFormatting>
  <conditionalFormatting sqref="P2:P35">
    <cfRule type="colorScale" priority="10">
      <colorScale>
        <cfvo type="formula" val="0"/>
        <cfvo type="percentile" val="50"/>
        <cfvo type="max"/>
        <color rgb="FFFF0000"/>
        <color rgb="FFFFFF00"/>
        <color rgb="FF34A853"/>
      </colorScale>
    </cfRule>
  </conditionalFormatting>
  <conditionalFormatting sqref="O2:O35">
    <cfRule type="colorScale" priority="11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42:C49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2:F49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(Santiago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8:F39">
      <formula1>OR(NOT(ISERROR(DATEVALUE(F38))), AND(ISNUMBER(F38), LEFT(CELL("format", F38))="D"))</formula1>
    </dataValidation>
    <dataValidation type="list" allowBlank="1" showDropDown="1" sqref="C2:C35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9.75"/>
    <col customWidth="1" min="3" max="3" width="15.13"/>
    <col customWidth="1" min="4" max="4" width="31.88"/>
    <col customWidth="1" min="5" max="5" width="9.88"/>
    <col customWidth="1" min="6" max="6" width="32.63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13"/>
    <col customWidth="1" min="17" max="17" width="17.75"/>
  </cols>
  <sheetData>
    <row r="1" ht="22.5" customHeight="1">
      <c r="A1" s="927" t="s">
        <v>48</v>
      </c>
      <c r="B1" s="928" t="s">
        <v>49</v>
      </c>
      <c r="C1" s="928" t="s">
        <v>50</v>
      </c>
      <c r="D1" s="929" t="s">
        <v>56</v>
      </c>
      <c r="E1" s="927" t="s">
        <v>57</v>
      </c>
      <c r="F1" s="930" t="s">
        <v>52</v>
      </c>
      <c r="G1" s="931" t="s">
        <v>53</v>
      </c>
      <c r="H1" s="927" t="s">
        <v>4</v>
      </c>
      <c r="I1" s="927" t="s">
        <v>58</v>
      </c>
      <c r="J1" s="927" t="s">
        <v>59</v>
      </c>
      <c r="K1" s="927" t="s">
        <v>60</v>
      </c>
      <c r="L1" s="927" t="s">
        <v>61</v>
      </c>
      <c r="M1" s="927" t="s">
        <v>62</v>
      </c>
      <c r="N1" s="927" t="s">
        <v>63</v>
      </c>
      <c r="O1" s="932" t="s">
        <v>387</v>
      </c>
      <c r="P1" s="932" t="s">
        <v>64</v>
      </c>
      <c r="Q1" s="927" t="s">
        <v>65</v>
      </c>
    </row>
    <row r="2" ht="22.5" customHeight="1">
      <c r="A2" s="933">
        <v>1.0</v>
      </c>
      <c r="B2" s="934" t="s">
        <v>1463</v>
      </c>
      <c r="C2" s="935" t="s">
        <v>67</v>
      </c>
      <c r="D2" s="936" t="s">
        <v>206</v>
      </c>
      <c r="E2" s="937" t="str">
        <f>IMAGE("https://flagcdn.com/w320/it.png")</f>
        <v/>
      </c>
      <c r="F2" s="938">
        <v>35511.0</v>
      </c>
      <c r="G2" s="939">
        <f t="shared" ref="G2:G29" si="1">DATEDIF(F2,TODAY(),"Y")</f>
        <v>28</v>
      </c>
      <c r="H2" s="940">
        <v>0.0</v>
      </c>
      <c r="I2" s="940">
        <v>0.0</v>
      </c>
      <c r="J2" s="941"/>
      <c r="K2" s="941"/>
      <c r="L2" s="941"/>
      <c r="M2" s="941"/>
      <c r="N2" s="941"/>
      <c r="O2" s="941"/>
      <c r="P2" s="941">
        <f t="shared" ref="P2:P29" si="2">J2+K2</f>
        <v>0</v>
      </c>
      <c r="Q2" s="941"/>
    </row>
    <row r="3" ht="22.5" customHeight="1">
      <c r="A3" s="933">
        <v>3.0</v>
      </c>
      <c r="B3" s="934" t="s">
        <v>1464</v>
      </c>
      <c r="C3" s="935" t="s">
        <v>70</v>
      </c>
      <c r="D3" s="936" t="s">
        <v>83</v>
      </c>
      <c r="E3" s="937" t="str">
        <f>IMAGE("https://flagcdn.com/w320/es.png")</f>
        <v/>
      </c>
      <c r="F3" s="938">
        <v>37099.0</v>
      </c>
      <c r="G3" s="939">
        <f t="shared" si="1"/>
        <v>24</v>
      </c>
      <c r="H3" s="940">
        <f>1+1+1+1</f>
        <v>4</v>
      </c>
      <c r="I3" s="940">
        <f>80+33+90+74</f>
        <v>277</v>
      </c>
      <c r="J3" s="941"/>
      <c r="K3" s="941"/>
      <c r="L3" s="941">
        <f>1</f>
        <v>1</v>
      </c>
      <c r="M3" s="941"/>
      <c r="N3" s="941"/>
      <c r="O3" s="941"/>
      <c r="P3" s="941">
        <f t="shared" si="2"/>
        <v>0</v>
      </c>
      <c r="Q3" s="941"/>
    </row>
    <row r="4" ht="22.5" customHeight="1">
      <c r="A4" s="933">
        <v>4.0</v>
      </c>
      <c r="B4" s="934" t="s">
        <v>1465</v>
      </c>
      <c r="C4" s="935" t="s">
        <v>70</v>
      </c>
      <c r="D4" s="936" t="s">
        <v>206</v>
      </c>
      <c r="E4" s="937" t="str">
        <f>IMAGE("https://flagcdn.com/w320/it.png")</f>
        <v/>
      </c>
      <c r="F4" s="938">
        <v>36317.0</v>
      </c>
      <c r="G4" s="939">
        <f t="shared" si="1"/>
        <v>26</v>
      </c>
      <c r="H4" s="941">
        <f t="shared" ref="H4:H5" si="3">1+1+1+1+1+1</f>
        <v>6</v>
      </c>
      <c r="I4" s="941">
        <f>90+90+90+89+58+90</f>
        <v>507</v>
      </c>
      <c r="J4" s="941"/>
      <c r="K4" s="941"/>
      <c r="L4" s="941"/>
      <c r="M4" s="941"/>
      <c r="N4" s="941"/>
      <c r="O4" s="941">
        <f>1</f>
        <v>1</v>
      </c>
      <c r="P4" s="941">
        <f t="shared" si="2"/>
        <v>0</v>
      </c>
      <c r="Q4" s="941"/>
    </row>
    <row r="5" ht="22.5" customHeight="1">
      <c r="A5" s="933">
        <v>5.0</v>
      </c>
      <c r="B5" s="942" t="s">
        <v>1466</v>
      </c>
      <c r="C5" s="935" t="s">
        <v>70</v>
      </c>
      <c r="D5" s="936" t="s">
        <v>1467</v>
      </c>
      <c r="E5" s="937" t="str">
        <f>IMAGE("https://flagcdn.com/w320/br.png")</f>
        <v/>
      </c>
      <c r="F5" s="938">
        <v>33399.0</v>
      </c>
      <c r="G5" s="939">
        <f t="shared" si="1"/>
        <v>34</v>
      </c>
      <c r="H5" s="941">
        <f t="shared" si="3"/>
        <v>6</v>
      </c>
      <c r="I5" s="941">
        <f>36+90+33+1+32+90</f>
        <v>282</v>
      </c>
      <c r="J5" s="941"/>
      <c r="K5" s="941"/>
      <c r="L5" s="941"/>
      <c r="M5" s="941"/>
      <c r="N5" s="941"/>
      <c r="O5" s="941"/>
      <c r="P5" s="941">
        <f t="shared" si="2"/>
        <v>0</v>
      </c>
      <c r="Q5" s="941"/>
    </row>
    <row r="6" ht="22.5" customHeight="1">
      <c r="A6" s="933">
        <v>6.0</v>
      </c>
      <c r="B6" s="934" t="s">
        <v>1468</v>
      </c>
      <c r="C6" s="935" t="s">
        <v>79</v>
      </c>
      <c r="D6" s="936" t="s">
        <v>1239</v>
      </c>
      <c r="E6" s="937" t="str">
        <f>IMAGE("https://flagcdn.com/w320/gb-sct.png")</f>
        <v/>
      </c>
      <c r="F6" s="938">
        <v>37053.0</v>
      </c>
      <c r="G6" s="939">
        <f t="shared" si="1"/>
        <v>24</v>
      </c>
      <c r="H6" s="941">
        <f>1+1+1</f>
        <v>3</v>
      </c>
      <c r="I6" s="941">
        <f>20+10+57</f>
        <v>87</v>
      </c>
      <c r="J6" s="941"/>
      <c r="K6" s="941"/>
      <c r="L6" s="941"/>
      <c r="M6" s="941"/>
      <c r="N6" s="941"/>
      <c r="O6" s="941"/>
      <c r="P6" s="941">
        <f t="shared" si="2"/>
        <v>0</v>
      </c>
      <c r="Q6" s="941"/>
    </row>
    <row r="7" ht="22.5" customHeight="1">
      <c r="A7" s="933">
        <v>7.0</v>
      </c>
      <c r="B7" s="942" t="s">
        <v>1469</v>
      </c>
      <c r="C7" s="935" t="s">
        <v>82</v>
      </c>
      <c r="D7" s="936" t="s">
        <v>182</v>
      </c>
      <c r="E7" s="937" t="str">
        <f>IMAGE("https://flagcdn.com/w320/br.png")</f>
        <v/>
      </c>
      <c r="F7" s="938">
        <v>35492.0</v>
      </c>
      <c r="G7" s="939">
        <f t="shared" si="1"/>
        <v>28</v>
      </c>
      <c r="H7" s="941">
        <f>1+1+1+1+1+1</f>
        <v>6</v>
      </c>
      <c r="I7" s="941">
        <f>20+22+18+26+89+90</f>
        <v>265</v>
      </c>
      <c r="J7" s="941"/>
      <c r="K7" s="941">
        <f>1</f>
        <v>1</v>
      </c>
      <c r="L7" s="941"/>
      <c r="M7" s="941"/>
      <c r="N7" s="941"/>
      <c r="O7" s="941"/>
      <c r="P7" s="941">
        <f t="shared" si="2"/>
        <v>1</v>
      </c>
      <c r="Q7" s="941"/>
    </row>
    <row r="8" ht="22.5" customHeight="1">
      <c r="A8" s="933">
        <v>8.0</v>
      </c>
      <c r="B8" s="934" t="s">
        <v>1470</v>
      </c>
      <c r="C8" s="935" t="s">
        <v>79</v>
      </c>
      <c r="D8" s="936" t="s">
        <v>1471</v>
      </c>
      <c r="E8" s="937" t="str">
        <f>IMAGE("https://flagcdn.com/w320/gb-sct.png")</f>
        <v/>
      </c>
      <c r="F8" s="938">
        <v>35407.0</v>
      </c>
      <c r="G8" s="939">
        <f t="shared" si="1"/>
        <v>29</v>
      </c>
      <c r="H8" s="941">
        <f>1+1+1+1+1+1+1</f>
        <v>7</v>
      </c>
      <c r="I8" s="941">
        <f>90+80+90+90+90+90+90</f>
        <v>620</v>
      </c>
      <c r="J8" s="941">
        <f>2+1+1</f>
        <v>4</v>
      </c>
      <c r="K8" s="941"/>
      <c r="L8" s="941"/>
      <c r="M8" s="941"/>
      <c r="N8" s="941"/>
      <c r="O8" s="941"/>
      <c r="P8" s="941">
        <f t="shared" si="2"/>
        <v>4</v>
      </c>
      <c r="Q8" s="941"/>
    </row>
    <row r="9" ht="22.5" customHeight="1">
      <c r="A9" s="933">
        <v>9.0</v>
      </c>
      <c r="B9" s="934" t="s">
        <v>1472</v>
      </c>
      <c r="C9" s="935" t="s">
        <v>82</v>
      </c>
      <c r="D9" s="936" t="s">
        <v>1473</v>
      </c>
      <c r="E9" s="937" t="str">
        <f t="shared" ref="E9:E10" si="4">IMAGE("https://flagcdn.com/w320/be.png")</f>
        <v/>
      </c>
      <c r="F9" s="938">
        <v>34102.0</v>
      </c>
      <c r="G9" s="939">
        <f t="shared" si="1"/>
        <v>32</v>
      </c>
      <c r="H9" s="940">
        <v>0.0</v>
      </c>
      <c r="I9" s="940">
        <v>0.0</v>
      </c>
      <c r="J9" s="941"/>
      <c r="K9" s="941"/>
      <c r="L9" s="941"/>
      <c r="M9" s="941"/>
      <c r="N9" s="941"/>
      <c r="O9" s="941"/>
      <c r="P9" s="941">
        <f t="shared" si="2"/>
        <v>0</v>
      </c>
      <c r="Q9" s="941"/>
    </row>
    <row r="10" ht="22.5" customHeight="1">
      <c r="A10" s="933">
        <v>11.0</v>
      </c>
      <c r="B10" s="934" t="s">
        <v>1474</v>
      </c>
      <c r="C10" s="935" t="s">
        <v>79</v>
      </c>
      <c r="D10" s="936" t="s">
        <v>89</v>
      </c>
      <c r="E10" s="937" t="str">
        <f t="shared" si="4"/>
        <v/>
      </c>
      <c r="F10" s="938">
        <v>33417.0</v>
      </c>
      <c r="G10" s="939">
        <f t="shared" si="1"/>
        <v>34</v>
      </c>
      <c r="H10" s="941">
        <f t="shared" ref="H10:H11" si="5">1+1+1</f>
        <v>3</v>
      </c>
      <c r="I10" s="941">
        <f>25+68+84</f>
        <v>177</v>
      </c>
      <c r="J10" s="941"/>
      <c r="K10" s="941">
        <f>2</f>
        <v>2</v>
      </c>
      <c r="L10" s="941"/>
      <c r="M10" s="941"/>
      <c r="N10" s="941"/>
      <c r="O10" s="941"/>
      <c r="P10" s="941">
        <f t="shared" si="2"/>
        <v>2</v>
      </c>
      <c r="Q10" s="941"/>
    </row>
    <row r="11" ht="22.5" customHeight="1">
      <c r="A11" s="933">
        <v>13.0</v>
      </c>
      <c r="B11" s="934" t="s">
        <v>1475</v>
      </c>
      <c r="C11" s="935" t="s">
        <v>70</v>
      </c>
      <c r="D11" s="936" t="s">
        <v>1476</v>
      </c>
      <c r="E11" s="937" t="str">
        <f>IMAGE("https://flagcdn.com/w320/xk.png")</f>
        <v/>
      </c>
      <c r="F11" s="938">
        <v>34389.0</v>
      </c>
      <c r="G11" s="939">
        <f t="shared" si="1"/>
        <v>31</v>
      </c>
      <c r="H11" s="941">
        <f t="shared" si="5"/>
        <v>3</v>
      </c>
      <c r="I11" s="941">
        <f>90+90+90</f>
        <v>270</v>
      </c>
      <c r="J11" s="941"/>
      <c r="K11" s="941"/>
      <c r="L11" s="941">
        <f>1+1</f>
        <v>2</v>
      </c>
      <c r="M11" s="941"/>
      <c r="N11" s="941"/>
      <c r="O11" s="941"/>
      <c r="P11" s="941">
        <f t="shared" si="2"/>
        <v>0</v>
      </c>
      <c r="Q11" s="941"/>
    </row>
    <row r="12" ht="22.5" customHeight="1">
      <c r="A12" s="933">
        <v>14.0</v>
      </c>
      <c r="B12" s="934" t="s">
        <v>1477</v>
      </c>
      <c r="C12" s="935" t="s">
        <v>67</v>
      </c>
      <c r="D12" s="936" t="s">
        <v>1478</v>
      </c>
      <c r="E12" s="937" t="str">
        <f>IMAGE("https://flagcdn.com/w320/it.png")</f>
        <v/>
      </c>
      <c r="F12" s="938">
        <v>35206.0</v>
      </c>
      <c r="G12" s="939">
        <f t="shared" si="1"/>
        <v>29</v>
      </c>
      <c r="H12" s="940">
        <v>0.0</v>
      </c>
      <c r="I12" s="940">
        <v>0.0</v>
      </c>
      <c r="J12" s="941"/>
      <c r="K12" s="941"/>
      <c r="L12" s="941"/>
      <c r="M12" s="941"/>
      <c r="N12" s="941"/>
      <c r="O12" s="941"/>
      <c r="P12" s="941">
        <f t="shared" si="2"/>
        <v>0</v>
      </c>
      <c r="Q12" s="941"/>
    </row>
    <row r="13" ht="22.5" customHeight="1">
      <c r="A13" s="933">
        <v>17.0</v>
      </c>
      <c r="B13" s="934" t="s">
        <v>1479</v>
      </c>
      <c r="C13" s="935" t="s">
        <v>70</v>
      </c>
      <c r="D13" s="936" t="s">
        <v>1480</v>
      </c>
      <c r="E13" s="937" t="str">
        <f>IMAGE("https://flagcdn.com/w320/uy.png")</f>
        <v/>
      </c>
      <c r="F13" s="938">
        <v>35734.0</v>
      </c>
      <c r="G13" s="939">
        <f t="shared" si="1"/>
        <v>28</v>
      </c>
      <c r="H13" s="941">
        <f>1+1+1+1+1</f>
        <v>5</v>
      </c>
      <c r="I13" s="941">
        <f>65+10+90+45+28</f>
        <v>238</v>
      </c>
      <c r="J13" s="941"/>
      <c r="K13" s="941"/>
      <c r="L13" s="941"/>
      <c r="M13" s="941"/>
      <c r="N13" s="941"/>
      <c r="O13" s="941"/>
      <c r="P13" s="941">
        <f t="shared" si="2"/>
        <v>0</v>
      </c>
      <c r="Q13" s="941"/>
    </row>
    <row r="14" ht="22.5" customHeight="1">
      <c r="A14" s="933">
        <v>19.0</v>
      </c>
      <c r="B14" s="934" t="s">
        <v>1481</v>
      </c>
      <c r="C14" s="935" t="s">
        <v>82</v>
      </c>
      <c r="D14" s="936" t="s">
        <v>73</v>
      </c>
      <c r="E14" s="937" t="str">
        <f>IMAGE("https://flagcdn.com/w320/dk.png")</f>
        <v/>
      </c>
      <c r="F14" s="938">
        <v>37656.0</v>
      </c>
      <c r="G14" s="939">
        <f t="shared" si="1"/>
        <v>22</v>
      </c>
      <c r="H14" s="941">
        <f t="shared" ref="H14:H17" si="6">1+1+1+1+1+1</f>
        <v>6</v>
      </c>
      <c r="I14" s="941">
        <f>70+89+90+74+90+90</f>
        <v>503</v>
      </c>
      <c r="J14" s="941">
        <f>2</f>
        <v>2</v>
      </c>
      <c r="K14" s="941"/>
      <c r="L14" s="941">
        <f>1</f>
        <v>1</v>
      </c>
      <c r="M14" s="941"/>
      <c r="N14" s="941"/>
      <c r="O14" s="941"/>
      <c r="P14" s="941">
        <f t="shared" si="2"/>
        <v>2</v>
      </c>
      <c r="Q14" s="941"/>
    </row>
    <row r="15" ht="22.5" customHeight="1">
      <c r="A15" s="933">
        <v>20.0</v>
      </c>
      <c r="B15" s="934" t="s">
        <v>1482</v>
      </c>
      <c r="C15" s="935" t="s">
        <v>79</v>
      </c>
      <c r="D15" s="936" t="s">
        <v>1483</v>
      </c>
      <c r="E15" s="937" t="str">
        <f>IMAGE("https://flagcdn.com/w320/mk.png")</f>
        <v/>
      </c>
      <c r="F15" s="938">
        <v>36427.0</v>
      </c>
      <c r="G15" s="939">
        <f t="shared" si="1"/>
        <v>26</v>
      </c>
      <c r="H15" s="941">
        <f t="shared" si="6"/>
        <v>6</v>
      </c>
      <c r="I15" s="941">
        <f>20+6+90+16+80+79</f>
        <v>291</v>
      </c>
      <c r="J15" s="941"/>
      <c r="K15" s="941">
        <f>1</f>
        <v>1</v>
      </c>
      <c r="L15" s="941"/>
      <c r="M15" s="941"/>
      <c r="N15" s="941"/>
      <c r="O15" s="941"/>
      <c r="P15" s="941">
        <f t="shared" si="2"/>
        <v>1</v>
      </c>
      <c r="Q15" s="941"/>
    </row>
    <row r="16" ht="22.5" customHeight="1">
      <c r="A16" s="933">
        <v>21.0</v>
      </c>
      <c r="B16" s="934" t="s">
        <v>1484</v>
      </c>
      <c r="C16" s="935" t="s">
        <v>79</v>
      </c>
      <c r="D16" s="936" t="s">
        <v>206</v>
      </c>
      <c r="E16" s="937" t="str">
        <f t="shared" ref="E16:E20" si="7">IMAGE("https://flagcdn.com/w320/it.png")</f>
        <v/>
      </c>
      <c r="F16" s="938">
        <v>34184.0</v>
      </c>
      <c r="G16" s="939">
        <f t="shared" si="1"/>
        <v>32</v>
      </c>
      <c r="H16" s="941">
        <f t="shared" si="6"/>
        <v>6</v>
      </c>
      <c r="I16" s="941">
        <f>54+68+72+64+27+45</f>
        <v>330</v>
      </c>
      <c r="J16" s="941"/>
      <c r="K16" s="941"/>
      <c r="L16" s="941">
        <f t="shared" ref="L16:L17" si="8">1</f>
        <v>1</v>
      </c>
      <c r="M16" s="941"/>
      <c r="N16" s="941"/>
      <c r="O16" s="941"/>
      <c r="P16" s="941">
        <f t="shared" si="2"/>
        <v>0</v>
      </c>
      <c r="Q16" s="941"/>
    </row>
    <row r="17" ht="22.5" customHeight="1">
      <c r="A17" s="933">
        <v>22.0</v>
      </c>
      <c r="B17" s="934" t="s">
        <v>1485</v>
      </c>
      <c r="C17" s="935" t="s">
        <v>70</v>
      </c>
      <c r="D17" s="936" t="s">
        <v>206</v>
      </c>
      <c r="E17" s="937" t="str">
        <f t="shared" si="7"/>
        <v/>
      </c>
      <c r="F17" s="938">
        <v>34185.0</v>
      </c>
      <c r="G17" s="939">
        <f t="shared" si="1"/>
        <v>32</v>
      </c>
      <c r="H17" s="941">
        <f t="shared" si="6"/>
        <v>6</v>
      </c>
      <c r="I17" s="941">
        <f>20+90+90+90+90+90</f>
        <v>470</v>
      </c>
      <c r="J17" s="941"/>
      <c r="K17" s="941"/>
      <c r="L17" s="941">
        <f t="shared" si="8"/>
        <v>1</v>
      </c>
      <c r="M17" s="941">
        <f>1</f>
        <v>1</v>
      </c>
      <c r="N17" s="941"/>
      <c r="O17" s="941"/>
      <c r="P17" s="941">
        <f t="shared" si="2"/>
        <v>0</v>
      </c>
      <c r="Q17" s="941"/>
    </row>
    <row r="18" ht="22.5" customHeight="1">
      <c r="A18" s="943">
        <v>25.0</v>
      </c>
      <c r="B18" s="944" t="s">
        <v>1486</v>
      </c>
      <c r="C18" s="945" t="s">
        <v>67</v>
      </c>
      <c r="D18" s="946" t="s">
        <v>206</v>
      </c>
      <c r="E18" s="947" t="str">
        <f t="shared" si="7"/>
        <v/>
      </c>
      <c r="F18" s="948">
        <v>38961.0</v>
      </c>
      <c r="G18" s="949">
        <f t="shared" si="1"/>
        <v>19</v>
      </c>
      <c r="H18" s="950">
        <v>0.0</v>
      </c>
      <c r="I18" s="950">
        <v>0.0</v>
      </c>
      <c r="J18" s="951"/>
      <c r="K18" s="951"/>
      <c r="L18" s="951"/>
      <c r="M18" s="951"/>
      <c r="N18" s="951"/>
      <c r="O18" s="951"/>
      <c r="P18" s="951">
        <f t="shared" si="2"/>
        <v>0</v>
      </c>
      <c r="Q18" s="951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ht="22.5" customHeight="1">
      <c r="A19" s="933">
        <v>26.0</v>
      </c>
      <c r="B19" s="934" t="s">
        <v>1487</v>
      </c>
      <c r="C19" s="935" t="s">
        <v>79</v>
      </c>
      <c r="D19" s="936" t="s">
        <v>206</v>
      </c>
      <c r="E19" s="937" t="str">
        <f t="shared" si="7"/>
        <v/>
      </c>
      <c r="F19" s="938">
        <v>37637.0</v>
      </c>
      <c r="G19" s="939">
        <f t="shared" si="1"/>
        <v>23</v>
      </c>
      <c r="H19" s="940">
        <f>1+1+1</f>
        <v>3</v>
      </c>
      <c r="I19" s="941">
        <f>1+10+62</f>
        <v>73</v>
      </c>
      <c r="J19" s="941"/>
      <c r="K19" s="941"/>
      <c r="L19" s="941">
        <f>1</f>
        <v>1</v>
      </c>
      <c r="M19" s="941"/>
      <c r="N19" s="941"/>
      <c r="O19" s="941"/>
      <c r="P19" s="941">
        <f t="shared" si="2"/>
        <v>0</v>
      </c>
      <c r="Q19" s="941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ht="22.5" customHeight="1">
      <c r="A20" s="933">
        <v>27.0</v>
      </c>
      <c r="B20" s="934" t="s">
        <v>1488</v>
      </c>
      <c r="C20" s="935" t="s">
        <v>82</v>
      </c>
      <c r="D20" s="936" t="s">
        <v>206</v>
      </c>
      <c r="E20" s="937" t="str">
        <f t="shared" si="7"/>
        <v/>
      </c>
      <c r="F20" s="938">
        <v>36779.0</v>
      </c>
      <c r="G20" s="939">
        <f t="shared" si="1"/>
        <v>25</v>
      </c>
      <c r="H20" s="940">
        <f t="shared" ref="H20:H21" si="9">1+1+1+1+1</f>
        <v>5</v>
      </c>
      <c r="I20" s="940">
        <f>1+75+16+17+11</f>
        <v>120</v>
      </c>
      <c r="J20" s="941"/>
      <c r="K20" s="941"/>
      <c r="L20" s="941"/>
      <c r="M20" s="941">
        <f>1</f>
        <v>1</v>
      </c>
      <c r="N20" s="941"/>
      <c r="O20" s="941"/>
      <c r="P20" s="941">
        <f t="shared" si="2"/>
        <v>0</v>
      </c>
      <c r="Q20" s="941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ht="22.5" customHeight="1">
      <c r="A21" s="933">
        <v>31.0</v>
      </c>
      <c r="B21" s="934" t="s">
        <v>1489</v>
      </c>
      <c r="C21" s="935" t="s">
        <v>70</v>
      </c>
      <c r="D21" s="936" t="s">
        <v>80</v>
      </c>
      <c r="E21" s="937" t="str">
        <f>IMAGE("https://flagcdn.com/w320/nl.png")</f>
        <v/>
      </c>
      <c r="F21" s="938">
        <v>36116.0</v>
      </c>
      <c r="G21" s="939">
        <f t="shared" si="1"/>
        <v>27</v>
      </c>
      <c r="H21" s="941">
        <f t="shared" si="9"/>
        <v>5</v>
      </c>
      <c r="I21" s="941">
        <f>90+90+57+63+45</f>
        <v>345</v>
      </c>
      <c r="J21" s="941"/>
      <c r="K21" s="941"/>
      <c r="L21" s="941"/>
      <c r="M21" s="941"/>
      <c r="N21" s="941"/>
      <c r="O21" s="941"/>
      <c r="P21" s="941">
        <f t="shared" si="2"/>
        <v>0</v>
      </c>
      <c r="Q21" s="941"/>
    </row>
    <row r="22" ht="22.5" customHeight="1">
      <c r="A22" s="933">
        <v>32.0</v>
      </c>
      <c r="B22" s="934" t="s">
        <v>1490</v>
      </c>
      <c r="C22" s="935" t="s">
        <v>67</v>
      </c>
      <c r="D22" s="936" t="s">
        <v>1491</v>
      </c>
      <c r="E22" s="937" t="str">
        <f>IMAGE("https://flagcdn.com/w320/rs.png")</f>
        <v/>
      </c>
      <c r="F22" s="938">
        <v>35481.0</v>
      </c>
      <c r="G22" s="939">
        <f t="shared" si="1"/>
        <v>28</v>
      </c>
      <c r="H22" s="941">
        <f>1+1+1+1+1+1+1</f>
        <v>7</v>
      </c>
      <c r="I22" s="941">
        <f>90+90+90+90+90+90+90</f>
        <v>630</v>
      </c>
      <c r="J22" s="941"/>
      <c r="K22" s="941"/>
      <c r="L22" s="941"/>
      <c r="M22" s="941"/>
      <c r="N22" s="941">
        <f>1+1</f>
        <v>2</v>
      </c>
      <c r="O22" s="941"/>
      <c r="P22" s="941">
        <f t="shared" si="2"/>
        <v>0</v>
      </c>
      <c r="Q22" s="941">
        <f>1</f>
        <v>1</v>
      </c>
    </row>
    <row r="23" ht="22.5" customHeight="1">
      <c r="A23" s="933">
        <v>37.0</v>
      </c>
      <c r="B23" s="934" t="s">
        <v>1492</v>
      </c>
      <c r="C23" s="935" t="s">
        <v>70</v>
      </c>
      <c r="D23" s="936" t="s">
        <v>206</v>
      </c>
      <c r="E23" s="937" t="str">
        <f t="shared" ref="E23:E25" si="11">IMAGE("https://flagcdn.com/w320/it.png")</f>
        <v/>
      </c>
      <c r="F23" s="938">
        <v>34053.0</v>
      </c>
      <c r="G23" s="939">
        <f t="shared" si="1"/>
        <v>32</v>
      </c>
      <c r="H23" s="941">
        <f>1+1+1+1+1</f>
        <v>5</v>
      </c>
      <c r="I23" s="941">
        <f>90+90+57+45+62</f>
        <v>344</v>
      </c>
      <c r="J23" s="941"/>
      <c r="K23" s="941">
        <f t="shared" ref="K23:L23" si="10">1</f>
        <v>1</v>
      </c>
      <c r="L23" s="941">
        <f t="shared" si="10"/>
        <v>1</v>
      </c>
      <c r="M23" s="941"/>
      <c r="N23" s="941"/>
      <c r="O23" s="941"/>
      <c r="P23" s="941">
        <f t="shared" si="2"/>
        <v>1</v>
      </c>
      <c r="Q23" s="941"/>
    </row>
    <row r="24" ht="22.5" customHeight="1">
      <c r="A24" s="943">
        <v>52.0</v>
      </c>
      <c r="B24" s="944" t="s">
        <v>1493</v>
      </c>
      <c r="C24" s="945" t="s">
        <v>79</v>
      </c>
      <c r="D24" s="946" t="s">
        <v>206</v>
      </c>
      <c r="E24" s="947" t="str">
        <f t="shared" si="11"/>
        <v/>
      </c>
      <c r="F24" s="948">
        <v>38769.0</v>
      </c>
      <c r="G24" s="949">
        <f t="shared" si="1"/>
        <v>19</v>
      </c>
      <c r="H24" s="950">
        <v>0.0</v>
      </c>
      <c r="I24" s="950">
        <v>0.0</v>
      </c>
      <c r="J24" s="951"/>
      <c r="K24" s="951"/>
      <c r="L24" s="951"/>
      <c r="M24" s="951"/>
      <c r="N24" s="951"/>
      <c r="O24" s="951"/>
      <c r="P24" s="951">
        <f t="shared" si="2"/>
        <v>0</v>
      </c>
      <c r="Q24" s="951"/>
    </row>
    <row r="25" ht="22.5" customHeight="1">
      <c r="A25" s="943">
        <v>58.0</v>
      </c>
      <c r="B25" s="944" t="s">
        <v>1494</v>
      </c>
      <c r="C25" s="945" t="s">
        <v>79</v>
      </c>
      <c r="D25" s="946" t="s">
        <v>206</v>
      </c>
      <c r="E25" s="947" t="str">
        <f t="shared" si="11"/>
        <v/>
      </c>
      <c r="F25" s="948">
        <v>39667.0</v>
      </c>
      <c r="G25" s="949">
        <f t="shared" si="1"/>
        <v>17</v>
      </c>
      <c r="H25" s="950">
        <v>0.0</v>
      </c>
      <c r="I25" s="950">
        <v>0.0</v>
      </c>
      <c r="J25" s="951"/>
      <c r="K25" s="951"/>
      <c r="L25" s="951"/>
      <c r="M25" s="951"/>
      <c r="N25" s="951"/>
      <c r="O25" s="951"/>
      <c r="P25" s="951">
        <f t="shared" si="2"/>
        <v>0</v>
      </c>
      <c r="Q25" s="951"/>
    </row>
    <row r="26" ht="22.5" customHeight="1">
      <c r="A26" s="933">
        <v>68.0</v>
      </c>
      <c r="B26" s="934" t="s">
        <v>1495</v>
      </c>
      <c r="C26" s="935" t="s">
        <v>79</v>
      </c>
      <c r="D26" s="936" t="s">
        <v>411</v>
      </c>
      <c r="E26" s="937" t="str">
        <f>IMAGE("https://flagcdn.com/w320/sk.png")</f>
        <v/>
      </c>
      <c r="F26" s="938">
        <v>34663.0</v>
      </c>
      <c r="G26" s="939">
        <f t="shared" si="1"/>
        <v>31</v>
      </c>
      <c r="H26" s="941">
        <f>1+1+1+1+1</f>
        <v>5</v>
      </c>
      <c r="I26" s="941">
        <f>70+90+73+90+90</f>
        <v>413</v>
      </c>
      <c r="J26" s="941"/>
      <c r="K26" s="941"/>
      <c r="L26" s="941"/>
      <c r="M26" s="941"/>
      <c r="N26" s="941"/>
      <c r="O26" s="941"/>
      <c r="P26" s="941">
        <f t="shared" si="2"/>
        <v>0</v>
      </c>
      <c r="Q26" s="941"/>
    </row>
    <row r="27" ht="22.5" customHeight="1">
      <c r="A27" s="933">
        <v>69.0</v>
      </c>
      <c r="B27" s="934" t="s">
        <v>1496</v>
      </c>
      <c r="C27" s="935" t="s">
        <v>82</v>
      </c>
      <c r="D27" s="936" t="s">
        <v>206</v>
      </c>
      <c r="E27" s="937" t="str">
        <f>IMAGE("https://flagcdn.com/w320/it.png")</f>
        <v/>
      </c>
      <c r="F27" s="938">
        <v>37874.0</v>
      </c>
      <c r="G27" s="939">
        <f t="shared" si="1"/>
        <v>22</v>
      </c>
      <c r="H27" s="940">
        <f>1</f>
        <v>1</v>
      </c>
      <c r="I27" s="940">
        <f>16</f>
        <v>16</v>
      </c>
      <c r="J27" s="941"/>
      <c r="K27" s="941"/>
      <c r="L27" s="941"/>
      <c r="M27" s="941"/>
      <c r="N27" s="941"/>
      <c r="O27" s="941"/>
      <c r="P27" s="941">
        <f t="shared" si="2"/>
        <v>0</v>
      </c>
      <c r="Q27" s="941"/>
    </row>
    <row r="28" ht="22.5" customHeight="1">
      <c r="A28" s="933">
        <v>70.0</v>
      </c>
      <c r="B28" s="934" t="s">
        <v>1497</v>
      </c>
      <c r="C28" s="935" t="s">
        <v>82</v>
      </c>
      <c r="D28" s="936" t="s">
        <v>1498</v>
      </c>
      <c r="E28" s="937" t="str">
        <f>IMAGE("https://flagcdn.com/w320/nl.png")</f>
        <v/>
      </c>
      <c r="F28" s="938">
        <v>36328.0</v>
      </c>
      <c r="G28" s="939">
        <f t="shared" si="1"/>
        <v>26</v>
      </c>
      <c r="H28" s="940">
        <f>1+1+1+1+1+1</f>
        <v>6</v>
      </c>
      <c r="I28" s="940">
        <f>22+33+17+74+73+28</f>
        <v>247</v>
      </c>
      <c r="J28" s="941"/>
      <c r="K28" s="941"/>
      <c r="L28" s="941">
        <f>1+1</f>
        <v>2</v>
      </c>
      <c r="M28" s="941"/>
      <c r="N28" s="941"/>
      <c r="O28" s="941"/>
      <c r="P28" s="941">
        <f t="shared" si="2"/>
        <v>0</v>
      </c>
      <c r="Q28" s="941"/>
    </row>
    <row r="29" ht="22.5" customHeight="1">
      <c r="A29" s="933">
        <v>99.0</v>
      </c>
      <c r="B29" s="934" t="s">
        <v>1499</v>
      </c>
      <c r="C29" s="935" t="s">
        <v>79</v>
      </c>
      <c r="D29" s="936" t="s">
        <v>1185</v>
      </c>
      <c r="E29" s="937" t="str">
        <f>IMAGE("https://flagcdn.com/w320/cm.png")</f>
        <v/>
      </c>
      <c r="F29" s="938">
        <v>35019.0</v>
      </c>
      <c r="G29" s="939">
        <f t="shared" si="1"/>
        <v>30</v>
      </c>
      <c r="H29" s="941">
        <f>1+1+1+1</f>
        <v>4</v>
      </c>
      <c r="I29" s="941">
        <f>70+90+90+90</f>
        <v>340</v>
      </c>
      <c r="J29" s="941"/>
      <c r="K29" s="941"/>
      <c r="L29" s="941"/>
      <c r="M29" s="941"/>
      <c r="N29" s="941"/>
      <c r="O29" s="941"/>
      <c r="P29" s="941">
        <f t="shared" si="2"/>
        <v>0</v>
      </c>
      <c r="Q29" s="941"/>
    </row>
    <row r="30">
      <c r="A30" s="11"/>
      <c r="B30" s="18"/>
      <c r="C30" s="18"/>
      <c r="D30" s="64"/>
      <c r="E30" s="65"/>
      <c r="F30" s="18"/>
      <c r="G30" s="18"/>
      <c r="H30" s="11">
        <f>SUM(H2:H29)</f>
        <v>108</v>
      </c>
      <c r="I30" s="11">
        <f>SUM(I2:I29)+70+15</f>
        <v>6930</v>
      </c>
      <c r="J30" s="11">
        <f t="shared" ref="J30:Q30" si="12">SUM(J2:J29)</f>
        <v>6</v>
      </c>
      <c r="K30" s="11">
        <f t="shared" si="12"/>
        <v>5</v>
      </c>
      <c r="L30" s="11">
        <f t="shared" si="12"/>
        <v>10</v>
      </c>
      <c r="M30" s="11">
        <f t="shared" si="12"/>
        <v>2</v>
      </c>
      <c r="N30" s="11">
        <f t="shared" si="12"/>
        <v>2</v>
      </c>
      <c r="O30" s="11">
        <f t="shared" si="12"/>
        <v>1</v>
      </c>
      <c r="P30" s="11">
        <f t="shared" si="12"/>
        <v>11</v>
      </c>
      <c r="Q30" s="11">
        <f t="shared" si="12"/>
        <v>1</v>
      </c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ht="22.5" customHeight="1">
      <c r="A31" s="927" t="s">
        <v>150</v>
      </c>
      <c r="B31" s="928" t="s">
        <v>49</v>
      </c>
      <c r="C31" s="928" t="s">
        <v>265</v>
      </c>
      <c r="D31" s="952" t="s">
        <v>56</v>
      </c>
      <c r="E31" s="928" t="s">
        <v>57</v>
      </c>
      <c r="F31" s="928" t="s">
        <v>52</v>
      </c>
      <c r="G31" s="928" t="s">
        <v>53</v>
      </c>
      <c r="H31" s="953" t="s">
        <v>4</v>
      </c>
      <c r="I31" s="953" t="s">
        <v>5</v>
      </c>
      <c r="J31" s="953" t="s">
        <v>6</v>
      </c>
      <c r="K31" s="953" t="s">
        <v>7</v>
      </c>
      <c r="L31" s="953" t="s">
        <v>8</v>
      </c>
      <c r="M31" s="953" t="s">
        <v>9</v>
      </c>
      <c r="N31" s="953" t="s">
        <v>10</v>
      </c>
      <c r="O31" s="12"/>
      <c r="P31" s="12"/>
      <c r="Q31" s="12"/>
    </row>
    <row r="32" ht="22.5" customHeight="1">
      <c r="A32" s="954"/>
      <c r="B32" s="934" t="s">
        <v>1500</v>
      </c>
      <c r="C32" s="934" t="s">
        <v>153</v>
      </c>
      <c r="D32" s="936" t="s">
        <v>206</v>
      </c>
      <c r="E32" s="955" t="str">
        <f>IMAGE("https://flagcdn.com/w320/it.png")</f>
        <v/>
      </c>
      <c r="F32" s="956">
        <v>25415.0</v>
      </c>
      <c r="G32" s="939">
        <f>DATEDIF(F32,TODAY(),"Y")</f>
        <v>56</v>
      </c>
      <c r="H32" s="157">
        <f>L32+M32+N32</f>
        <v>7</v>
      </c>
      <c r="I32" s="157">
        <f>(3*L32)+M32</f>
        <v>8</v>
      </c>
      <c r="J32" s="157">
        <f>2+2+2+1</f>
        <v>7</v>
      </c>
      <c r="K32" s="157">
        <f>2+1+6+2+1</f>
        <v>12</v>
      </c>
      <c r="L32" s="158">
        <f t="shared" ref="L32:M32" si="13">1+1</f>
        <v>2</v>
      </c>
      <c r="M32" s="159">
        <f t="shared" si="13"/>
        <v>2</v>
      </c>
      <c r="N32" s="487">
        <f>1+1+1</f>
        <v>3</v>
      </c>
      <c r="O32" s="12"/>
      <c r="P32" s="12"/>
      <c r="Q32" s="12"/>
    </row>
    <row r="33">
      <c r="A33" s="11"/>
      <c r="B33" s="18"/>
      <c r="C33" s="18"/>
      <c r="D33" s="64"/>
      <c r="E33" s="65"/>
      <c r="F33" s="18"/>
      <c r="G33" s="18"/>
      <c r="H33" s="11">
        <f t="shared" ref="H33:N33" si="14">SUM(H32)</f>
        <v>7</v>
      </c>
      <c r="I33" s="11">
        <f t="shared" si="14"/>
        <v>8</v>
      </c>
      <c r="J33" s="11">
        <f t="shared" si="14"/>
        <v>7</v>
      </c>
      <c r="K33" s="11">
        <f t="shared" si="14"/>
        <v>12</v>
      </c>
      <c r="L33" s="11">
        <f t="shared" si="14"/>
        <v>2</v>
      </c>
      <c r="M33" s="11">
        <f t="shared" si="14"/>
        <v>2</v>
      </c>
      <c r="N33" s="11">
        <f t="shared" si="14"/>
        <v>3</v>
      </c>
      <c r="O33" s="11"/>
      <c r="P33" s="11"/>
      <c r="Q33" s="11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ht="22.5" customHeight="1">
      <c r="A34" s="927" t="s">
        <v>156</v>
      </c>
      <c r="B34" s="927" t="s">
        <v>157</v>
      </c>
      <c r="C34" s="927" t="s">
        <v>158</v>
      </c>
      <c r="D34" s="929" t="s">
        <v>1501</v>
      </c>
      <c r="E34" s="927" t="s">
        <v>160</v>
      </c>
      <c r="F34" s="927" t="s">
        <v>161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ht="22.5" customHeight="1">
      <c r="A35" s="77">
        <v>1.0</v>
      </c>
      <c r="B35" s="78" t="s">
        <v>23</v>
      </c>
      <c r="C35" s="78" t="s">
        <v>33</v>
      </c>
      <c r="D35" s="79"/>
      <c r="E35" s="80" t="s">
        <v>271</v>
      </c>
      <c r="F35" s="78" t="s">
        <v>507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22.5" customHeight="1">
      <c r="A36" s="86">
        <v>2.0</v>
      </c>
      <c r="B36" s="847" t="s">
        <v>33</v>
      </c>
      <c r="C36" s="87" t="s">
        <v>24</v>
      </c>
      <c r="D36" s="88" t="s">
        <v>1502</v>
      </c>
      <c r="E36" s="89">
        <v>45689.0</v>
      </c>
      <c r="F36" s="87" t="s">
        <v>785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ht="22.5" customHeight="1">
      <c r="A37" s="77">
        <v>3.0</v>
      </c>
      <c r="B37" s="697" t="s">
        <v>30</v>
      </c>
      <c r="C37" s="697" t="s">
        <v>33</v>
      </c>
      <c r="D37" s="83" t="s">
        <v>1503</v>
      </c>
      <c r="E37" s="84">
        <v>45810.0</v>
      </c>
      <c r="F37" s="78" t="s">
        <v>451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22.5" customHeight="1">
      <c r="A38" s="197">
        <v>4.0</v>
      </c>
      <c r="B38" s="727" t="s">
        <v>33</v>
      </c>
      <c r="C38" s="727" t="s">
        <v>41</v>
      </c>
      <c r="D38" s="199"/>
      <c r="E38" s="200" t="s">
        <v>331</v>
      </c>
      <c r="F38" s="198" t="s">
        <v>785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22.5" customHeight="1">
      <c r="A39" s="86">
        <v>5.0</v>
      </c>
      <c r="B39" s="87" t="s">
        <v>33</v>
      </c>
      <c r="C39" s="847" t="s">
        <v>32</v>
      </c>
      <c r="D39" s="88" t="s">
        <v>1504</v>
      </c>
      <c r="E39" s="161" t="s">
        <v>271</v>
      </c>
      <c r="F39" s="87" t="s">
        <v>785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22.5" customHeight="1">
      <c r="A40" s="77">
        <v>6.0</v>
      </c>
      <c r="B40" s="697" t="s">
        <v>42</v>
      </c>
      <c r="C40" s="78" t="s">
        <v>33</v>
      </c>
      <c r="D40" s="79"/>
      <c r="E40" s="80" t="s">
        <v>271</v>
      </c>
      <c r="F40" s="78" t="s">
        <v>676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22.5" customHeight="1">
      <c r="A41" s="197">
        <v>7.0</v>
      </c>
      <c r="B41" s="198" t="s">
        <v>34</v>
      </c>
      <c r="C41" s="727" t="s">
        <v>33</v>
      </c>
      <c r="D41" s="264" t="s">
        <v>1505</v>
      </c>
      <c r="E41" s="265">
        <v>46023.0</v>
      </c>
      <c r="F41" s="198" t="s">
        <v>505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22.5" customHeight="1">
      <c r="A42" s="90">
        <v>8.0</v>
      </c>
      <c r="B42" s="925" t="s">
        <v>33</v>
      </c>
      <c r="C42" s="91" t="s">
        <v>22</v>
      </c>
      <c r="D42" s="92"/>
      <c r="E42" s="93"/>
      <c r="F42" s="94" t="s">
        <v>785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>
      <c r="A43" s="12"/>
      <c r="D43" s="95"/>
      <c r="E43" s="14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>
      <c r="A44" s="12"/>
      <c r="D44" s="95"/>
      <c r="E44" s="14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>
      <c r="A45" s="12"/>
      <c r="D45" s="95"/>
      <c r="E45" s="14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>
      <c r="A46" s="12"/>
      <c r="D46" s="95"/>
      <c r="E46" s="14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>
      <c r="A47" s="12"/>
      <c r="D47" s="95"/>
      <c r="E47" s="14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>
      <c r="A48" s="12"/>
      <c r="D48" s="95"/>
      <c r="E48" s="14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>
      <c r="A49" s="12"/>
      <c r="D49" s="95"/>
      <c r="E49" s="14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>
      <c r="A50" s="12"/>
      <c r="D50" s="95"/>
      <c r="E50" s="14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A51" s="12"/>
      <c r="D51" s="95"/>
      <c r="E51" s="14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A52" s="12"/>
      <c r="D52" s="95"/>
      <c r="E52" s="14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A53" s="12"/>
      <c r="D53" s="95"/>
      <c r="E53" s="14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A54" s="12"/>
      <c r="D54" s="95"/>
      <c r="E54" s="14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A55" s="12"/>
      <c r="D55" s="95"/>
      <c r="E55" s="14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A56" s="12"/>
      <c r="D56" s="95"/>
      <c r="E56" s="14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A57" s="12"/>
      <c r="D57" s="95"/>
      <c r="E57" s="14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A58" s="12"/>
      <c r="D58" s="95"/>
      <c r="E58" s="14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A59" s="12"/>
      <c r="D59" s="95"/>
      <c r="E59" s="14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A60" s="12"/>
      <c r="D60" s="95"/>
      <c r="E60" s="14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A61" s="12"/>
      <c r="D61" s="95"/>
      <c r="E61" s="14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A62" s="12"/>
      <c r="D62" s="95"/>
      <c r="E62" s="14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A63" s="12"/>
      <c r="D63" s="95"/>
      <c r="E63" s="14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A64" s="12"/>
      <c r="D64" s="95"/>
      <c r="E64" s="14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A65" s="12"/>
      <c r="D65" s="95"/>
      <c r="E65" s="14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A66" s="12"/>
      <c r="D66" s="95"/>
      <c r="E66" s="14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A67" s="12"/>
      <c r="D67" s="95"/>
      <c r="E67" s="14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A68" s="12"/>
      <c r="D68" s="95"/>
      <c r="E68" s="14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A69" s="12"/>
      <c r="D69" s="95"/>
      <c r="E69" s="14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A70" s="12"/>
      <c r="D70" s="95"/>
      <c r="E70" s="14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A71" s="12"/>
      <c r="D71" s="95"/>
      <c r="E71" s="14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A72" s="12"/>
      <c r="D72" s="95"/>
      <c r="E72" s="14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A73" s="12"/>
      <c r="D73" s="95"/>
      <c r="E73" s="14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A74" s="12"/>
      <c r="D74" s="95"/>
      <c r="E74" s="14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A75" s="12"/>
      <c r="D75" s="95"/>
      <c r="E75" s="14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A76" s="12"/>
      <c r="D76" s="95"/>
      <c r="E76" s="14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A77" s="12"/>
      <c r="D77" s="95"/>
      <c r="E77" s="14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A78" s="12"/>
      <c r="D78" s="95"/>
      <c r="E78" s="14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A79" s="12"/>
      <c r="D79" s="95"/>
      <c r="E79" s="14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A80" s="12"/>
      <c r="D80" s="95"/>
      <c r="E80" s="14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A81" s="12"/>
      <c r="D81" s="95"/>
      <c r="E81" s="14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A82" s="12"/>
      <c r="D82" s="95"/>
      <c r="E82" s="14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A83" s="12"/>
      <c r="D83" s="95"/>
      <c r="E83" s="14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A84" s="12"/>
      <c r="D84" s="95"/>
      <c r="E84" s="14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A85" s="12"/>
      <c r="D85" s="95"/>
      <c r="E85" s="14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A86" s="12"/>
      <c r="D86" s="95"/>
      <c r="E86" s="14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A87" s="12"/>
      <c r="D87" s="95"/>
      <c r="E87" s="14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A88" s="12"/>
      <c r="D88" s="95"/>
      <c r="E88" s="14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A89" s="12"/>
      <c r="D89" s="95"/>
      <c r="E89" s="14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A90" s="12"/>
      <c r="D90" s="95"/>
      <c r="E90" s="14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A91" s="12"/>
      <c r="D91" s="95"/>
      <c r="E91" s="14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A92" s="12"/>
      <c r="D92" s="95"/>
      <c r="E92" s="14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A93" s="12"/>
      <c r="D93" s="95"/>
      <c r="E93" s="14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A94" s="12"/>
      <c r="D94" s="95"/>
      <c r="E94" s="14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A95" s="12"/>
      <c r="D95" s="95"/>
      <c r="E95" s="14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A96" s="12"/>
      <c r="D96" s="95"/>
      <c r="E96" s="14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A97" s="12"/>
      <c r="D97" s="95"/>
      <c r="E97" s="14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A98" s="12"/>
      <c r="D98" s="95"/>
      <c r="E98" s="14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A99" s="12"/>
      <c r="D99" s="95"/>
      <c r="E99" s="14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A100" s="12"/>
      <c r="D100" s="95"/>
      <c r="E100" s="14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A101" s="12"/>
      <c r="D101" s="95"/>
      <c r="E101" s="14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A102" s="12"/>
      <c r="D102" s="95"/>
      <c r="E102" s="14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A103" s="12"/>
      <c r="D103" s="95"/>
      <c r="E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12"/>
      <c r="D104" s="95"/>
      <c r="E104" s="14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12"/>
      <c r="D105" s="95"/>
      <c r="E105" s="14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12"/>
      <c r="D106" s="95"/>
      <c r="E106" s="14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12"/>
      <c r="D107" s="95"/>
      <c r="E107" s="14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A108" s="12"/>
      <c r="D108" s="95"/>
      <c r="E108" s="14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A109" s="12"/>
      <c r="D109" s="95"/>
      <c r="E109" s="14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A110" s="12"/>
      <c r="D110" s="95"/>
      <c r="E110" s="14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A111" s="12"/>
      <c r="D111" s="95"/>
      <c r="E111" s="14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A112" s="12"/>
      <c r="D112" s="95"/>
      <c r="E112" s="14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A113" s="12"/>
      <c r="D113" s="95"/>
      <c r="E113" s="14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A114" s="12"/>
      <c r="D114" s="95"/>
      <c r="E114" s="14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A115" s="12"/>
      <c r="D115" s="95"/>
      <c r="E115" s="14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A116" s="12"/>
      <c r="D116" s="95"/>
      <c r="E116" s="14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A117" s="12"/>
      <c r="D117" s="95"/>
      <c r="E117" s="14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A118" s="12"/>
      <c r="D118" s="95"/>
      <c r="E118" s="14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A119" s="12"/>
      <c r="D119" s="95"/>
      <c r="E119" s="14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A120" s="12"/>
      <c r="D120" s="95"/>
      <c r="E120" s="14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A121" s="12"/>
      <c r="D121" s="95"/>
      <c r="E121" s="14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A122" s="12"/>
      <c r="D122" s="95"/>
      <c r="E122" s="14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A123" s="12"/>
      <c r="D123" s="95"/>
      <c r="E123" s="14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A124" s="12"/>
      <c r="D124" s="95"/>
      <c r="E124" s="14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A125" s="12"/>
      <c r="D125" s="95"/>
      <c r="E125" s="14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A126" s="12"/>
      <c r="D126" s="95"/>
      <c r="E126" s="14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A127" s="12"/>
      <c r="D127" s="95"/>
      <c r="E127" s="14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A128" s="12"/>
      <c r="D128" s="95"/>
      <c r="E128" s="14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A129" s="12"/>
      <c r="D129" s="95"/>
      <c r="E129" s="14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A130" s="12"/>
      <c r="D130" s="95"/>
      <c r="E130" s="14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A131" s="12"/>
      <c r="D131" s="95"/>
      <c r="E131" s="14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A132" s="12"/>
      <c r="D132" s="95"/>
      <c r="E132" s="14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A133" s="12"/>
      <c r="D133" s="95"/>
      <c r="E133" s="14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A134" s="12"/>
      <c r="D134" s="95"/>
      <c r="E134" s="14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A135" s="12"/>
      <c r="D135" s="95"/>
      <c r="E135" s="14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A136" s="12"/>
      <c r="D136" s="95"/>
      <c r="E136" s="14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A137" s="12"/>
      <c r="D137" s="95"/>
      <c r="E137" s="14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A138" s="12"/>
      <c r="D138" s="95"/>
      <c r="E138" s="14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A139" s="12"/>
      <c r="D139" s="95"/>
      <c r="E139" s="14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A140" s="12"/>
      <c r="D140" s="95"/>
      <c r="E140" s="14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A141" s="12"/>
      <c r="D141" s="95"/>
      <c r="E141" s="14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A142" s="12"/>
      <c r="D142" s="95"/>
      <c r="E142" s="14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A143" s="12"/>
      <c r="D143" s="95"/>
      <c r="E143" s="14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A144" s="12"/>
      <c r="D144" s="95"/>
      <c r="E144" s="14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A145" s="12"/>
      <c r="D145" s="95"/>
      <c r="E145" s="14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A146" s="12"/>
      <c r="D146" s="95"/>
      <c r="E146" s="14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A147" s="12"/>
      <c r="D147" s="95"/>
      <c r="E147" s="14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A148" s="12"/>
      <c r="D148" s="95"/>
      <c r="E148" s="14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A149" s="12"/>
      <c r="D149" s="95"/>
      <c r="E149" s="14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A150" s="12"/>
      <c r="D150" s="95"/>
      <c r="E150" s="14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A151" s="12"/>
      <c r="D151" s="95"/>
      <c r="E151" s="14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A152" s="12"/>
      <c r="D152" s="95"/>
      <c r="E152" s="14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A153" s="12"/>
      <c r="D153" s="95"/>
      <c r="E153" s="14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A154" s="12"/>
      <c r="D154" s="95"/>
      <c r="E154" s="14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A155" s="12"/>
      <c r="D155" s="95"/>
      <c r="E155" s="14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A156" s="12"/>
      <c r="D156" s="95"/>
      <c r="E156" s="14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A157" s="12"/>
      <c r="D157" s="95"/>
      <c r="E157" s="14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A158" s="12"/>
      <c r="D158" s="95"/>
      <c r="E158" s="14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A159" s="12"/>
      <c r="D159" s="95"/>
      <c r="E159" s="14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A160" s="12"/>
      <c r="D160" s="95"/>
      <c r="E160" s="14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A161" s="12"/>
      <c r="D161" s="95"/>
      <c r="E161" s="14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A162" s="12"/>
      <c r="D162" s="95"/>
      <c r="E162" s="14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A163" s="12"/>
      <c r="D163" s="95"/>
      <c r="E163" s="14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A164" s="12"/>
      <c r="D164" s="95"/>
      <c r="E164" s="14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A165" s="12"/>
      <c r="D165" s="95"/>
      <c r="E165" s="14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A166" s="12"/>
      <c r="D166" s="95"/>
      <c r="E166" s="14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A167" s="12"/>
      <c r="D167" s="95"/>
      <c r="E167" s="14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A168" s="12"/>
      <c r="D168" s="95"/>
      <c r="E168" s="14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A169" s="12"/>
      <c r="D169" s="95"/>
      <c r="E169" s="14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A170" s="12"/>
      <c r="D170" s="95"/>
      <c r="E170" s="14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A171" s="12"/>
      <c r="D171" s="95"/>
      <c r="E171" s="14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A172" s="12"/>
      <c r="D172" s="95"/>
      <c r="E172" s="14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2"/>
      <c r="D173" s="95"/>
      <c r="E173" s="14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A174" s="12"/>
      <c r="D174" s="95"/>
      <c r="E174" s="14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A175" s="12"/>
      <c r="D175" s="95"/>
      <c r="E175" s="14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A176" s="12"/>
      <c r="D176" s="95"/>
      <c r="E176" s="14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A177" s="12"/>
      <c r="D177" s="95"/>
      <c r="E177" s="14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A178" s="12"/>
      <c r="D178" s="95"/>
      <c r="E178" s="14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A179" s="12"/>
      <c r="D179" s="95"/>
      <c r="E179" s="14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A180" s="12"/>
      <c r="D180" s="95"/>
      <c r="E180" s="14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A181" s="12"/>
      <c r="D181" s="95"/>
      <c r="E181" s="14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A182" s="12"/>
      <c r="D182" s="95"/>
      <c r="E182" s="14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A183" s="12"/>
      <c r="D183" s="95"/>
      <c r="E183" s="14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A184" s="12"/>
      <c r="D184" s="95"/>
      <c r="E184" s="14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A185" s="12"/>
      <c r="D185" s="95"/>
      <c r="E185" s="14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A186" s="12"/>
      <c r="D186" s="95"/>
      <c r="E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A187" s="12"/>
      <c r="D187" s="95"/>
      <c r="E187" s="14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A188" s="12"/>
      <c r="D188" s="95"/>
      <c r="E188" s="14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A189" s="12"/>
      <c r="D189" s="95"/>
      <c r="E189" s="14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A190" s="12"/>
      <c r="D190" s="95"/>
      <c r="E190" s="14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A191" s="12"/>
      <c r="D191" s="95"/>
      <c r="E191" s="14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A192" s="12"/>
      <c r="D192" s="95"/>
      <c r="E192" s="14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A193" s="12"/>
      <c r="D193" s="95"/>
      <c r="E193" s="14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A194" s="12"/>
      <c r="D194" s="95"/>
      <c r="E194" s="14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A195" s="12"/>
      <c r="D195" s="95"/>
      <c r="E195" s="14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A196" s="12"/>
      <c r="D196" s="95"/>
      <c r="E196" s="14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A197" s="12"/>
      <c r="D197" s="95"/>
      <c r="E197" s="14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A198" s="12"/>
      <c r="D198" s="95"/>
      <c r="E198" s="14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A199" s="12"/>
      <c r="D199" s="95"/>
      <c r="E199" s="14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A200" s="12"/>
      <c r="D200" s="95"/>
      <c r="E200" s="14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A201" s="12"/>
      <c r="D201" s="95"/>
      <c r="E201" s="14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A202" s="12"/>
      <c r="D202" s="95"/>
      <c r="E202" s="14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A203" s="12"/>
      <c r="D203" s="95"/>
      <c r="E203" s="14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A204" s="12"/>
      <c r="D204" s="95"/>
      <c r="E204" s="14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A205" s="12"/>
      <c r="D205" s="95"/>
      <c r="E205" s="14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A206" s="12"/>
      <c r="D206" s="95"/>
      <c r="E206" s="14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A207" s="12"/>
      <c r="D207" s="95"/>
      <c r="E207" s="14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A208" s="12"/>
      <c r="D208" s="95"/>
      <c r="E208" s="14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A209" s="12"/>
      <c r="D209" s="95"/>
      <c r="E209" s="14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A210" s="12"/>
      <c r="D210" s="95"/>
      <c r="E210" s="14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A211" s="12"/>
      <c r="D211" s="95"/>
      <c r="E211" s="14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A212" s="12"/>
      <c r="D212" s="95"/>
      <c r="E212" s="14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A213" s="12"/>
      <c r="D213" s="95"/>
      <c r="E213" s="14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A214" s="12"/>
      <c r="D214" s="95"/>
      <c r="E214" s="14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A215" s="12"/>
      <c r="D215" s="95"/>
      <c r="E215" s="14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A216" s="12"/>
      <c r="D216" s="95"/>
      <c r="E216" s="14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A217" s="12"/>
      <c r="D217" s="95"/>
      <c r="E217" s="14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A218" s="12"/>
      <c r="D218" s="95"/>
      <c r="E218" s="14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A219" s="12"/>
      <c r="D219" s="95"/>
      <c r="E219" s="14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A220" s="12"/>
      <c r="D220" s="95"/>
      <c r="E220" s="14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A221" s="12"/>
      <c r="D221" s="95"/>
      <c r="E221" s="14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A222" s="12"/>
      <c r="D222" s="95"/>
      <c r="E222" s="14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A223" s="12"/>
      <c r="D223" s="95"/>
      <c r="E223" s="14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A224" s="12"/>
      <c r="D224" s="95"/>
      <c r="E224" s="14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A225" s="12"/>
      <c r="D225" s="95"/>
      <c r="E225" s="14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A226" s="12"/>
      <c r="D226" s="95"/>
      <c r="E226" s="14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A227" s="12"/>
      <c r="D227" s="95"/>
      <c r="E227" s="14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A228" s="12"/>
      <c r="D228" s="95"/>
      <c r="E228" s="14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A229" s="12"/>
      <c r="D229" s="95"/>
      <c r="E229" s="14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A230" s="12"/>
      <c r="D230" s="95"/>
      <c r="E230" s="14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A231" s="12"/>
      <c r="D231" s="95"/>
      <c r="E231" s="14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A232" s="12"/>
      <c r="D232" s="95"/>
      <c r="E232" s="14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A233" s="12"/>
      <c r="D233" s="95"/>
      <c r="E233" s="14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A234" s="12"/>
      <c r="D234" s="95"/>
      <c r="E234" s="14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A235" s="12"/>
      <c r="D235" s="95"/>
      <c r="E235" s="14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A236" s="12"/>
      <c r="D236" s="95"/>
      <c r="E236" s="14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A237" s="12"/>
      <c r="D237" s="95"/>
      <c r="E237" s="14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A238" s="12"/>
      <c r="D238" s="95"/>
      <c r="E238" s="14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A239" s="12"/>
      <c r="D239" s="95"/>
      <c r="E239" s="14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A240" s="12"/>
      <c r="D240" s="95"/>
      <c r="E240" s="14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A241" s="12"/>
      <c r="D241" s="95"/>
      <c r="E241" s="14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A242" s="12"/>
      <c r="D242" s="95"/>
      <c r="E242" s="14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A243" s="12"/>
      <c r="D243" s="95"/>
      <c r="E243" s="14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A244" s="12"/>
      <c r="D244" s="95"/>
      <c r="E244" s="14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A245" s="12"/>
      <c r="D245" s="95"/>
      <c r="E245" s="14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A246" s="12"/>
      <c r="D246" s="95"/>
      <c r="E246" s="14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A247" s="12"/>
      <c r="D247" s="95"/>
      <c r="E247" s="14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A248" s="12"/>
      <c r="D248" s="95"/>
      <c r="E248" s="14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A249" s="12"/>
      <c r="D249" s="95"/>
      <c r="E249" s="14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A250" s="12"/>
      <c r="D250" s="95"/>
      <c r="E250" s="14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A251" s="12"/>
      <c r="D251" s="95"/>
      <c r="E251" s="14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A252" s="12"/>
      <c r="D252" s="95"/>
      <c r="E252" s="14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A253" s="12"/>
      <c r="D253" s="95"/>
      <c r="E253" s="14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A254" s="12"/>
      <c r="D254" s="95"/>
      <c r="E254" s="14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A255" s="12"/>
      <c r="D255" s="95"/>
      <c r="E255" s="14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A256" s="12"/>
      <c r="D256" s="95"/>
      <c r="E256" s="14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A257" s="12"/>
      <c r="D257" s="95"/>
      <c r="E257" s="14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A258" s="12"/>
      <c r="D258" s="95"/>
      <c r="E258" s="14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A259" s="12"/>
      <c r="D259" s="95"/>
      <c r="E259" s="14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A260" s="12"/>
      <c r="D260" s="95"/>
      <c r="E260" s="14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A261" s="12"/>
      <c r="D261" s="95"/>
      <c r="E261" s="14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A262" s="12"/>
      <c r="D262" s="95"/>
      <c r="E262" s="14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A263" s="12"/>
      <c r="D263" s="95"/>
      <c r="E263" s="14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A264" s="12"/>
      <c r="D264" s="95"/>
      <c r="E264" s="14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A265" s="12"/>
      <c r="D265" s="95"/>
      <c r="E265" s="14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A266" s="12"/>
      <c r="D266" s="95"/>
      <c r="E266" s="14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A267" s="12"/>
      <c r="D267" s="95"/>
      <c r="E267" s="14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A268" s="12"/>
      <c r="D268" s="95"/>
      <c r="E268" s="14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A269" s="12"/>
      <c r="D269" s="95"/>
      <c r="E269" s="14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A270" s="12"/>
      <c r="D270" s="95"/>
      <c r="E270" s="14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A271" s="12"/>
      <c r="D271" s="95"/>
      <c r="E271" s="14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A272" s="12"/>
      <c r="D272" s="95"/>
      <c r="E272" s="14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A273" s="12"/>
      <c r="D273" s="95"/>
      <c r="E273" s="14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A274" s="12"/>
      <c r="D274" s="95"/>
      <c r="E274" s="14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A275" s="12"/>
      <c r="D275" s="95"/>
      <c r="E275" s="14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A276" s="12"/>
      <c r="D276" s="95"/>
      <c r="E276" s="14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A277" s="12"/>
      <c r="D277" s="95"/>
      <c r="E277" s="14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A278" s="12"/>
      <c r="D278" s="95"/>
      <c r="E278" s="14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A279" s="12"/>
      <c r="D279" s="95"/>
      <c r="E279" s="14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A280" s="12"/>
      <c r="D280" s="95"/>
      <c r="E280" s="14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A281" s="12"/>
      <c r="D281" s="95"/>
      <c r="E281" s="14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A282" s="12"/>
      <c r="D282" s="95"/>
      <c r="E282" s="14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A283" s="12"/>
      <c r="D283" s="95"/>
      <c r="E283" s="14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A284" s="12"/>
      <c r="D284" s="95"/>
      <c r="E284" s="14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A285" s="12"/>
      <c r="D285" s="95"/>
      <c r="E285" s="14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A286" s="12"/>
      <c r="D286" s="95"/>
      <c r="E286" s="14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A287" s="12"/>
      <c r="D287" s="95"/>
      <c r="E287" s="14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A288" s="12"/>
      <c r="D288" s="95"/>
      <c r="E288" s="14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A289" s="12"/>
      <c r="D289" s="95"/>
      <c r="E289" s="14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A290" s="12"/>
      <c r="D290" s="95"/>
      <c r="E290" s="14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A291" s="12"/>
      <c r="D291" s="95"/>
      <c r="E291" s="14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A292" s="12"/>
      <c r="D292" s="95"/>
      <c r="E292" s="14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A293" s="12"/>
      <c r="D293" s="95"/>
      <c r="E293" s="14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A294" s="12"/>
      <c r="D294" s="95"/>
      <c r="E294" s="14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A295" s="12"/>
      <c r="D295" s="95"/>
      <c r="E295" s="14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A296" s="12"/>
      <c r="D296" s="95"/>
      <c r="E296" s="14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A297" s="12"/>
      <c r="D297" s="95"/>
      <c r="E297" s="14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A298" s="12"/>
      <c r="D298" s="95"/>
      <c r="E298" s="14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A299" s="12"/>
      <c r="D299" s="95"/>
      <c r="E299" s="14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A300" s="12"/>
      <c r="D300" s="95"/>
      <c r="E300" s="14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A301" s="12"/>
      <c r="D301" s="95"/>
      <c r="E301" s="14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A302" s="12"/>
      <c r="D302" s="95"/>
      <c r="E302" s="14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A303" s="12"/>
      <c r="D303" s="95"/>
      <c r="E303" s="14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A304" s="12"/>
      <c r="D304" s="95"/>
      <c r="E304" s="14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A305" s="12"/>
      <c r="D305" s="95"/>
      <c r="E305" s="14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A306" s="12"/>
      <c r="D306" s="95"/>
      <c r="E306" s="14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A307" s="12"/>
      <c r="D307" s="95"/>
      <c r="E307" s="14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A308" s="12"/>
      <c r="D308" s="95"/>
      <c r="E308" s="14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A309" s="12"/>
      <c r="D309" s="95"/>
      <c r="E309" s="14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A310" s="12"/>
      <c r="D310" s="95"/>
      <c r="E310" s="14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A311" s="12"/>
      <c r="D311" s="95"/>
      <c r="E311" s="14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A312" s="12"/>
      <c r="D312" s="95"/>
      <c r="E312" s="14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A313" s="12"/>
      <c r="D313" s="95"/>
      <c r="E313" s="14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A314" s="12"/>
      <c r="D314" s="95"/>
      <c r="E314" s="14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A315" s="12"/>
      <c r="D315" s="95"/>
      <c r="E315" s="14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A316" s="12"/>
      <c r="D316" s="95"/>
      <c r="E316" s="14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A317" s="12"/>
      <c r="D317" s="95"/>
      <c r="E317" s="14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A318" s="12"/>
      <c r="D318" s="95"/>
      <c r="E318" s="14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A319" s="12"/>
      <c r="D319" s="95"/>
      <c r="E319" s="14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A320" s="12"/>
      <c r="D320" s="95"/>
      <c r="E320" s="14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A321" s="12"/>
      <c r="D321" s="95"/>
      <c r="E321" s="14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A322" s="12"/>
      <c r="D322" s="95"/>
      <c r="E322" s="14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A323" s="12"/>
      <c r="D323" s="95"/>
      <c r="E323" s="14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A324" s="12"/>
      <c r="D324" s="95"/>
      <c r="E324" s="14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A325" s="12"/>
      <c r="D325" s="95"/>
      <c r="E325" s="14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A326" s="12"/>
      <c r="D326" s="95"/>
      <c r="E326" s="14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A327" s="12"/>
      <c r="D327" s="95"/>
      <c r="E327" s="14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A328" s="12"/>
      <c r="D328" s="95"/>
      <c r="E328" s="14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A329" s="12"/>
      <c r="D329" s="95"/>
      <c r="E329" s="14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A330" s="12"/>
      <c r="D330" s="95"/>
      <c r="E330" s="14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A331" s="12"/>
      <c r="D331" s="95"/>
      <c r="E331" s="14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A332" s="12"/>
      <c r="D332" s="95"/>
      <c r="E332" s="14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A333" s="12"/>
      <c r="D333" s="95"/>
      <c r="E333" s="14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A334" s="12"/>
      <c r="D334" s="95"/>
      <c r="E334" s="14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A335" s="12"/>
      <c r="D335" s="95"/>
      <c r="E335" s="14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A336" s="12"/>
      <c r="D336" s="95"/>
      <c r="E336" s="14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A337" s="12"/>
      <c r="D337" s="95"/>
      <c r="E337" s="14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A338" s="12"/>
      <c r="D338" s="95"/>
      <c r="E338" s="14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A339" s="12"/>
      <c r="D339" s="95"/>
      <c r="E339" s="14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A340" s="12"/>
      <c r="D340" s="95"/>
      <c r="E340" s="14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A341" s="12"/>
      <c r="D341" s="95"/>
      <c r="E341" s="14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A342" s="12"/>
      <c r="D342" s="95"/>
      <c r="E342" s="14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A343" s="12"/>
      <c r="D343" s="95"/>
      <c r="E343" s="14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A344" s="12"/>
      <c r="D344" s="95"/>
      <c r="E344" s="14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A345" s="12"/>
      <c r="D345" s="95"/>
      <c r="E345" s="14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A346" s="12"/>
      <c r="D346" s="95"/>
      <c r="E346" s="14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A347" s="12"/>
      <c r="D347" s="95"/>
      <c r="E347" s="14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A348" s="12"/>
      <c r="D348" s="95"/>
      <c r="E348" s="14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A349" s="12"/>
      <c r="D349" s="95"/>
      <c r="E349" s="14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A350" s="12"/>
      <c r="D350" s="95"/>
      <c r="E350" s="14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A351" s="12"/>
      <c r="D351" s="95"/>
      <c r="E351" s="14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A352" s="12"/>
      <c r="D352" s="95"/>
      <c r="E352" s="14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A353" s="12"/>
      <c r="D353" s="95"/>
      <c r="E353" s="14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A354" s="12"/>
      <c r="D354" s="95"/>
      <c r="E354" s="14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A355" s="12"/>
      <c r="D355" s="95"/>
      <c r="E355" s="14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A356" s="12"/>
      <c r="D356" s="95"/>
      <c r="E356" s="14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A357" s="12"/>
      <c r="D357" s="95"/>
      <c r="E357" s="14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A358" s="12"/>
      <c r="D358" s="95"/>
      <c r="E358" s="14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A359" s="12"/>
      <c r="D359" s="95"/>
      <c r="E359" s="14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A360" s="12"/>
      <c r="D360" s="95"/>
      <c r="E360" s="14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A361" s="12"/>
      <c r="D361" s="95"/>
      <c r="E361" s="14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A362" s="12"/>
      <c r="D362" s="95"/>
      <c r="E362" s="14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A363" s="12"/>
      <c r="D363" s="95"/>
      <c r="E363" s="14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A364" s="12"/>
      <c r="D364" s="95"/>
      <c r="E364" s="14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A365" s="12"/>
      <c r="D365" s="95"/>
      <c r="E365" s="14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A366" s="12"/>
      <c r="D366" s="95"/>
      <c r="E366" s="14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A367" s="12"/>
      <c r="D367" s="95"/>
      <c r="E367" s="14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A368" s="12"/>
      <c r="D368" s="95"/>
      <c r="E368" s="14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A369" s="12"/>
      <c r="D369" s="95"/>
      <c r="E369" s="14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A370" s="12"/>
      <c r="D370" s="95"/>
      <c r="E370" s="14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A371" s="12"/>
      <c r="D371" s="95"/>
      <c r="E371" s="14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A372" s="12"/>
      <c r="D372" s="95"/>
      <c r="E372" s="14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A373" s="12"/>
      <c r="D373" s="95"/>
      <c r="E373" s="14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A374" s="12"/>
      <c r="D374" s="95"/>
      <c r="E374" s="14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A375" s="12"/>
      <c r="D375" s="95"/>
      <c r="E375" s="14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A376" s="12"/>
      <c r="D376" s="95"/>
      <c r="E376" s="14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A377" s="12"/>
      <c r="D377" s="95"/>
      <c r="E377" s="14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A378" s="12"/>
      <c r="D378" s="95"/>
      <c r="E378" s="14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A379" s="12"/>
      <c r="D379" s="95"/>
      <c r="E379" s="14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A380" s="12"/>
      <c r="D380" s="95"/>
      <c r="E380" s="14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A381" s="12"/>
      <c r="D381" s="95"/>
      <c r="E381" s="14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A382" s="12"/>
      <c r="D382" s="95"/>
      <c r="E382" s="14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A383" s="12"/>
      <c r="D383" s="95"/>
      <c r="E383" s="14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A384" s="12"/>
      <c r="D384" s="95"/>
      <c r="E384" s="14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A385" s="12"/>
      <c r="D385" s="95"/>
      <c r="E385" s="14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A386" s="12"/>
      <c r="D386" s="95"/>
      <c r="E386" s="14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A387" s="12"/>
      <c r="D387" s="95"/>
      <c r="E387" s="14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A388" s="12"/>
      <c r="D388" s="95"/>
      <c r="E388" s="14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A389" s="12"/>
      <c r="D389" s="95"/>
      <c r="E389" s="14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A390" s="12"/>
      <c r="D390" s="95"/>
      <c r="E390" s="14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A391" s="12"/>
      <c r="D391" s="95"/>
      <c r="E391" s="14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A392" s="12"/>
      <c r="D392" s="95"/>
      <c r="E392" s="14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A393" s="12"/>
      <c r="D393" s="95"/>
      <c r="E393" s="14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A394" s="12"/>
      <c r="D394" s="95"/>
      <c r="E394" s="14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A395" s="12"/>
      <c r="D395" s="95"/>
      <c r="E395" s="14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A396" s="12"/>
      <c r="D396" s="95"/>
      <c r="E396" s="14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A397" s="12"/>
      <c r="D397" s="95"/>
      <c r="E397" s="14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A398" s="12"/>
      <c r="D398" s="95"/>
      <c r="E398" s="14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A399" s="12"/>
      <c r="D399" s="95"/>
      <c r="E399" s="14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A400" s="12"/>
      <c r="D400" s="95"/>
      <c r="E400" s="14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A401" s="12"/>
      <c r="D401" s="95"/>
      <c r="E401" s="14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A402" s="12"/>
      <c r="D402" s="95"/>
      <c r="E402" s="14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A403" s="12"/>
      <c r="D403" s="95"/>
      <c r="E403" s="14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A404" s="12"/>
      <c r="D404" s="95"/>
      <c r="E404" s="14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A405" s="12"/>
      <c r="D405" s="95"/>
      <c r="E405" s="14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A406" s="12"/>
      <c r="D406" s="95"/>
      <c r="E406" s="14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A407" s="12"/>
      <c r="D407" s="95"/>
      <c r="E407" s="14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A408" s="12"/>
      <c r="D408" s="95"/>
      <c r="E408" s="14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A409" s="12"/>
      <c r="D409" s="95"/>
      <c r="E409" s="14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A410" s="12"/>
      <c r="D410" s="95"/>
      <c r="E410" s="14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A411" s="12"/>
      <c r="D411" s="95"/>
      <c r="E411" s="14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A412" s="12"/>
      <c r="D412" s="95"/>
      <c r="E412" s="14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A413" s="12"/>
      <c r="D413" s="95"/>
      <c r="E413" s="14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A414" s="12"/>
      <c r="D414" s="95"/>
      <c r="E414" s="14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A415" s="12"/>
      <c r="D415" s="95"/>
      <c r="E415" s="14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A416" s="12"/>
      <c r="D416" s="95"/>
      <c r="E416" s="14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A417" s="12"/>
      <c r="D417" s="95"/>
      <c r="E417" s="14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A418" s="12"/>
      <c r="D418" s="95"/>
      <c r="E418" s="14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A419" s="12"/>
      <c r="D419" s="95"/>
      <c r="E419" s="14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A420" s="12"/>
      <c r="D420" s="95"/>
      <c r="E420" s="14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A421" s="12"/>
      <c r="D421" s="95"/>
      <c r="E421" s="14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A422" s="12"/>
      <c r="D422" s="95"/>
      <c r="E422" s="14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A423" s="12"/>
      <c r="D423" s="95"/>
      <c r="E423" s="14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A424" s="12"/>
      <c r="D424" s="95"/>
      <c r="E424" s="14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A425" s="12"/>
      <c r="D425" s="95"/>
      <c r="E425" s="14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A426" s="12"/>
      <c r="D426" s="95"/>
      <c r="E426" s="14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A427" s="12"/>
      <c r="D427" s="95"/>
      <c r="E427" s="14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A428" s="12"/>
      <c r="D428" s="95"/>
      <c r="E428" s="14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A429" s="12"/>
      <c r="D429" s="95"/>
      <c r="E429" s="14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A430" s="12"/>
      <c r="D430" s="95"/>
      <c r="E430" s="14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A431" s="12"/>
      <c r="D431" s="95"/>
      <c r="E431" s="14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A432" s="12"/>
      <c r="D432" s="95"/>
      <c r="E432" s="14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A433" s="12"/>
      <c r="D433" s="95"/>
      <c r="E433" s="14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A434" s="12"/>
      <c r="D434" s="95"/>
      <c r="E434" s="14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A435" s="12"/>
      <c r="D435" s="95"/>
      <c r="E435" s="14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A436" s="12"/>
      <c r="D436" s="95"/>
      <c r="E436" s="14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A437" s="12"/>
      <c r="D437" s="95"/>
      <c r="E437" s="14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A438" s="12"/>
      <c r="D438" s="95"/>
      <c r="E438" s="14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A439" s="12"/>
      <c r="D439" s="95"/>
      <c r="E439" s="14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A440" s="12"/>
      <c r="D440" s="95"/>
      <c r="E440" s="14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A441" s="12"/>
      <c r="D441" s="95"/>
      <c r="E441" s="14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A442" s="12"/>
      <c r="D442" s="95"/>
      <c r="E442" s="14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A443" s="12"/>
      <c r="D443" s="95"/>
      <c r="E443" s="14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A444" s="12"/>
      <c r="D444" s="95"/>
      <c r="E444" s="14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A445" s="12"/>
      <c r="D445" s="95"/>
      <c r="E445" s="14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A446" s="12"/>
      <c r="D446" s="95"/>
      <c r="E446" s="14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A447" s="12"/>
      <c r="D447" s="95"/>
      <c r="E447" s="14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A448" s="12"/>
      <c r="D448" s="95"/>
      <c r="E448" s="14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A449" s="12"/>
      <c r="D449" s="95"/>
      <c r="E449" s="14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A450" s="12"/>
      <c r="D450" s="95"/>
      <c r="E450" s="14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A451" s="12"/>
      <c r="D451" s="95"/>
      <c r="E451" s="14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A452" s="12"/>
      <c r="D452" s="95"/>
      <c r="E452" s="14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A453" s="12"/>
      <c r="D453" s="95"/>
      <c r="E453" s="14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A454" s="12"/>
      <c r="D454" s="95"/>
      <c r="E454" s="14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A455" s="12"/>
      <c r="D455" s="95"/>
      <c r="E455" s="14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A456" s="12"/>
      <c r="D456" s="95"/>
      <c r="E456" s="14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A457" s="12"/>
      <c r="D457" s="95"/>
      <c r="E457" s="14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A458" s="12"/>
      <c r="D458" s="95"/>
      <c r="E458" s="14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A459" s="12"/>
      <c r="D459" s="95"/>
      <c r="E459" s="14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A460" s="12"/>
      <c r="D460" s="95"/>
      <c r="E460" s="14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A461" s="12"/>
      <c r="D461" s="95"/>
      <c r="E461" s="14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A462" s="12"/>
      <c r="D462" s="95"/>
      <c r="E462" s="14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A463" s="12"/>
      <c r="D463" s="95"/>
      <c r="E463" s="14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A464" s="12"/>
      <c r="D464" s="95"/>
      <c r="E464" s="14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A465" s="12"/>
      <c r="D465" s="95"/>
      <c r="E465" s="14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A466" s="12"/>
      <c r="D466" s="95"/>
      <c r="E466" s="14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A467" s="12"/>
      <c r="D467" s="95"/>
      <c r="E467" s="14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A468" s="12"/>
      <c r="D468" s="95"/>
      <c r="E468" s="14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A469" s="12"/>
      <c r="D469" s="95"/>
      <c r="E469" s="14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A470" s="12"/>
      <c r="D470" s="95"/>
      <c r="E470" s="14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A471" s="12"/>
      <c r="D471" s="95"/>
      <c r="E471" s="14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A472" s="12"/>
      <c r="D472" s="95"/>
      <c r="E472" s="14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A473" s="12"/>
      <c r="D473" s="95"/>
      <c r="E473" s="14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A474" s="12"/>
      <c r="D474" s="95"/>
      <c r="E474" s="14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A475" s="12"/>
      <c r="D475" s="95"/>
      <c r="E475" s="14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A476" s="12"/>
      <c r="D476" s="95"/>
      <c r="E476" s="14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A477" s="12"/>
      <c r="D477" s="95"/>
      <c r="E477" s="14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A478" s="12"/>
      <c r="D478" s="95"/>
      <c r="E478" s="14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A479" s="12"/>
      <c r="D479" s="95"/>
      <c r="E479" s="14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A480" s="12"/>
      <c r="D480" s="95"/>
      <c r="E480" s="14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A481" s="12"/>
      <c r="D481" s="95"/>
      <c r="E481" s="14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A482" s="12"/>
      <c r="D482" s="95"/>
      <c r="E482" s="14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A483" s="12"/>
      <c r="D483" s="95"/>
      <c r="E483" s="14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A484" s="12"/>
      <c r="D484" s="95"/>
      <c r="E484" s="14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A485" s="12"/>
      <c r="D485" s="95"/>
      <c r="E485" s="14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A486" s="12"/>
      <c r="D486" s="95"/>
      <c r="E486" s="14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A487" s="12"/>
      <c r="D487" s="95"/>
      <c r="E487" s="14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A488" s="12"/>
      <c r="D488" s="95"/>
      <c r="E488" s="14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A489" s="12"/>
      <c r="D489" s="95"/>
      <c r="E489" s="14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A490" s="12"/>
      <c r="D490" s="95"/>
      <c r="E490" s="14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A491" s="12"/>
      <c r="D491" s="95"/>
      <c r="E491" s="14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A492" s="12"/>
      <c r="D492" s="95"/>
      <c r="E492" s="14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A493" s="12"/>
      <c r="D493" s="95"/>
      <c r="E493" s="14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A494" s="12"/>
      <c r="D494" s="95"/>
      <c r="E494" s="14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A495" s="12"/>
      <c r="D495" s="95"/>
      <c r="E495" s="14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A496" s="12"/>
      <c r="D496" s="95"/>
      <c r="E496" s="14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A497" s="12"/>
      <c r="D497" s="95"/>
      <c r="E497" s="14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A498" s="12"/>
      <c r="D498" s="95"/>
      <c r="E498" s="14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A499" s="12"/>
      <c r="D499" s="95"/>
      <c r="E499" s="14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A500" s="12"/>
      <c r="D500" s="95"/>
      <c r="E500" s="14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A501" s="12"/>
      <c r="D501" s="95"/>
      <c r="E501" s="14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A502" s="12"/>
      <c r="D502" s="95"/>
      <c r="E502" s="14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A503" s="12"/>
      <c r="D503" s="95"/>
      <c r="E503" s="14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A504" s="12"/>
      <c r="D504" s="95"/>
      <c r="E504" s="14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A505" s="12"/>
      <c r="D505" s="95"/>
      <c r="E505" s="14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A506" s="12"/>
      <c r="D506" s="95"/>
      <c r="E506" s="14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A507" s="12"/>
      <c r="D507" s="95"/>
      <c r="E507" s="14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A508" s="12"/>
      <c r="D508" s="95"/>
      <c r="E508" s="14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A509" s="12"/>
      <c r="D509" s="95"/>
      <c r="E509" s="14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A510" s="12"/>
      <c r="D510" s="95"/>
      <c r="E510" s="14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A511" s="12"/>
      <c r="D511" s="95"/>
      <c r="E511" s="14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A512" s="12"/>
      <c r="D512" s="95"/>
      <c r="E512" s="14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A513" s="12"/>
      <c r="D513" s="95"/>
      <c r="E513" s="14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A514" s="12"/>
      <c r="D514" s="95"/>
      <c r="E514" s="14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A515" s="12"/>
      <c r="D515" s="95"/>
      <c r="E515" s="14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A516" s="12"/>
      <c r="D516" s="95"/>
      <c r="E516" s="14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A517" s="12"/>
      <c r="D517" s="95"/>
      <c r="E517" s="14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A518" s="12"/>
      <c r="D518" s="95"/>
      <c r="E518" s="14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A519" s="12"/>
      <c r="D519" s="95"/>
      <c r="E519" s="14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A520" s="12"/>
      <c r="D520" s="95"/>
      <c r="E520" s="14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A521" s="12"/>
      <c r="D521" s="95"/>
      <c r="E521" s="14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A522" s="12"/>
      <c r="D522" s="95"/>
      <c r="E522" s="14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A523" s="12"/>
      <c r="D523" s="95"/>
      <c r="E523" s="14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A524" s="12"/>
      <c r="D524" s="95"/>
      <c r="E524" s="14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A525" s="12"/>
      <c r="D525" s="95"/>
      <c r="E525" s="14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A526" s="12"/>
      <c r="D526" s="95"/>
      <c r="E526" s="14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A527" s="12"/>
      <c r="D527" s="95"/>
      <c r="E527" s="14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A528" s="12"/>
      <c r="D528" s="95"/>
      <c r="E528" s="14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A529" s="12"/>
      <c r="D529" s="95"/>
      <c r="E529" s="14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A530" s="12"/>
      <c r="D530" s="95"/>
      <c r="E530" s="14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A531" s="12"/>
      <c r="D531" s="95"/>
      <c r="E531" s="14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A532" s="12"/>
      <c r="D532" s="95"/>
      <c r="E532" s="14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A533" s="12"/>
      <c r="D533" s="95"/>
      <c r="E533" s="14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A534" s="12"/>
      <c r="D534" s="95"/>
      <c r="E534" s="14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A535" s="12"/>
      <c r="D535" s="95"/>
      <c r="E535" s="14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A536" s="12"/>
      <c r="D536" s="95"/>
      <c r="E536" s="14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A537" s="12"/>
      <c r="D537" s="95"/>
      <c r="E537" s="14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A538" s="12"/>
      <c r="D538" s="95"/>
      <c r="E538" s="14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A539" s="12"/>
      <c r="D539" s="95"/>
      <c r="E539" s="14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A540" s="12"/>
      <c r="D540" s="95"/>
      <c r="E540" s="14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A541" s="12"/>
      <c r="D541" s="95"/>
      <c r="E541" s="14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A542" s="12"/>
      <c r="D542" s="95"/>
      <c r="E542" s="14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A543" s="12"/>
      <c r="D543" s="95"/>
      <c r="E543" s="14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A544" s="12"/>
      <c r="D544" s="95"/>
      <c r="E544" s="14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A545" s="12"/>
      <c r="D545" s="95"/>
      <c r="E545" s="14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A546" s="12"/>
      <c r="D546" s="95"/>
      <c r="E546" s="14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A547" s="12"/>
      <c r="D547" s="95"/>
      <c r="E547" s="14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A548" s="12"/>
      <c r="D548" s="95"/>
      <c r="E548" s="14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A549" s="12"/>
      <c r="D549" s="95"/>
      <c r="E549" s="14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A550" s="12"/>
      <c r="D550" s="95"/>
      <c r="E550" s="14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A551" s="12"/>
      <c r="D551" s="95"/>
      <c r="E551" s="14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A552" s="12"/>
      <c r="D552" s="95"/>
      <c r="E552" s="14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A553" s="12"/>
      <c r="D553" s="95"/>
      <c r="E553" s="14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A554" s="12"/>
      <c r="D554" s="95"/>
      <c r="E554" s="14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A555" s="12"/>
      <c r="D555" s="95"/>
      <c r="E555" s="14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A556" s="12"/>
      <c r="D556" s="95"/>
      <c r="E556" s="14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A557" s="12"/>
      <c r="D557" s="95"/>
      <c r="E557" s="14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A558" s="12"/>
      <c r="D558" s="95"/>
      <c r="E558" s="14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A559" s="12"/>
      <c r="D559" s="95"/>
      <c r="E559" s="14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A560" s="12"/>
      <c r="D560" s="95"/>
      <c r="E560" s="14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A561" s="12"/>
      <c r="D561" s="95"/>
      <c r="E561" s="14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A562" s="12"/>
      <c r="D562" s="95"/>
      <c r="E562" s="14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A563" s="12"/>
      <c r="D563" s="95"/>
      <c r="E563" s="14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A564" s="12"/>
      <c r="D564" s="95"/>
      <c r="E564" s="14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A565" s="12"/>
      <c r="D565" s="95"/>
      <c r="E565" s="14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A566" s="12"/>
      <c r="D566" s="95"/>
      <c r="E566" s="14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A567" s="12"/>
      <c r="D567" s="95"/>
      <c r="E567" s="14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A568" s="12"/>
      <c r="D568" s="95"/>
      <c r="E568" s="14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A569" s="12"/>
      <c r="D569" s="95"/>
      <c r="E569" s="14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A570" s="12"/>
      <c r="D570" s="95"/>
      <c r="E570" s="14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A571" s="12"/>
      <c r="D571" s="95"/>
      <c r="E571" s="14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A572" s="12"/>
      <c r="D572" s="95"/>
      <c r="E572" s="14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A573" s="12"/>
      <c r="D573" s="95"/>
      <c r="E573" s="14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A574" s="12"/>
      <c r="D574" s="95"/>
      <c r="E574" s="14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A575" s="12"/>
      <c r="D575" s="95"/>
      <c r="E575" s="14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A576" s="12"/>
      <c r="D576" s="95"/>
      <c r="E576" s="14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A577" s="12"/>
      <c r="D577" s="95"/>
      <c r="E577" s="14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A578" s="12"/>
      <c r="D578" s="95"/>
      <c r="E578" s="14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A579" s="12"/>
      <c r="D579" s="95"/>
      <c r="E579" s="14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A580" s="12"/>
      <c r="D580" s="95"/>
      <c r="E580" s="14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A581" s="12"/>
      <c r="D581" s="95"/>
      <c r="E581" s="14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A582" s="12"/>
      <c r="D582" s="95"/>
      <c r="E582" s="14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A583" s="12"/>
      <c r="D583" s="95"/>
      <c r="E583" s="14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A584" s="12"/>
      <c r="D584" s="95"/>
      <c r="E584" s="14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A585" s="12"/>
      <c r="D585" s="95"/>
      <c r="E585" s="14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A586" s="12"/>
      <c r="D586" s="95"/>
      <c r="E586" s="14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A587" s="12"/>
      <c r="D587" s="95"/>
      <c r="E587" s="14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A588" s="12"/>
      <c r="D588" s="95"/>
      <c r="E588" s="14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A589" s="12"/>
      <c r="D589" s="95"/>
      <c r="E589" s="14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A590" s="12"/>
      <c r="D590" s="95"/>
      <c r="E590" s="14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A591" s="12"/>
      <c r="D591" s="95"/>
      <c r="E591" s="14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A592" s="12"/>
      <c r="D592" s="95"/>
      <c r="E592" s="14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A593" s="12"/>
      <c r="D593" s="95"/>
      <c r="E593" s="14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A594" s="12"/>
      <c r="D594" s="95"/>
      <c r="E594" s="14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A595" s="12"/>
      <c r="D595" s="95"/>
      <c r="E595" s="14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A596" s="12"/>
      <c r="D596" s="95"/>
      <c r="E596" s="14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A597" s="12"/>
      <c r="D597" s="95"/>
      <c r="E597" s="14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A598" s="12"/>
      <c r="D598" s="95"/>
      <c r="E598" s="14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A599" s="12"/>
      <c r="D599" s="95"/>
      <c r="E599" s="14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A600" s="12"/>
      <c r="D600" s="95"/>
      <c r="E600" s="14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A601" s="12"/>
      <c r="D601" s="95"/>
      <c r="E601" s="14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A602" s="12"/>
      <c r="D602" s="95"/>
      <c r="E602" s="14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A603" s="12"/>
      <c r="D603" s="95"/>
      <c r="E603" s="14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A604" s="12"/>
      <c r="D604" s="95"/>
      <c r="E604" s="14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A605" s="12"/>
      <c r="D605" s="95"/>
      <c r="E605" s="14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A606" s="12"/>
      <c r="D606" s="95"/>
      <c r="E606" s="14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A607" s="12"/>
      <c r="D607" s="95"/>
      <c r="E607" s="14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A608" s="12"/>
      <c r="D608" s="95"/>
      <c r="E608" s="14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A609" s="12"/>
      <c r="D609" s="95"/>
      <c r="E609" s="14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A610" s="12"/>
      <c r="D610" s="95"/>
      <c r="E610" s="14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A611" s="12"/>
      <c r="D611" s="95"/>
      <c r="E611" s="14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A612" s="12"/>
      <c r="D612" s="95"/>
      <c r="E612" s="14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A613" s="12"/>
      <c r="D613" s="95"/>
      <c r="E613" s="14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A614" s="12"/>
      <c r="D614" s="95"/>
      <c r="E614" s="14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A615" s="12"/>
      <c r="D615" s="95"/>
      <c r="E615" s="14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A616" s="12"/>
      <c r="D616" s="95"/>
      <c r="E616" s="14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A617" s="12"/>
      <c r="D617" s="95"/>
      <c r="E617" s="14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A618" s="12"/>
      <c r="D618" s="95"/>
      <c r="E618" s="14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A619" s="12"/>
      <c r="D619" s="95"/>
      <c r="E619" s="14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A620" s="12"/>
      <c r="D620" s="95"/>
      <c r="E620" s="14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A621" s="12"/>
      <c r="D621" s="95"/>
      <c r="E621" s="14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A622" s="12"/>
      <c r="D622" s="95"/>
      <c r="E622" s="14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A623" s="12"/>
      <c r="D623" s="95"/>
      <c r="E623" s="14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A624" s="12"/>
      <c r="D624" s="95"/>
      <c r="E624" s="14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A625" s="12"/>
      <c r="D625" s="95"/>
      <c r="E625" s="14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A626" s="12"/>
      <c r="D626" s="95"/>
      <c r="E626" s="14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A627" s="12"/>
      <c r="D627" s="95"/>
      <c r="E627" s="14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A628" s="12"/>
      <c r="D628" s="95"/>
      <c r="E628" s="14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A629" s="12"/>
      <c r="D629" s="95"/>
      <c r="E629" s="14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A630" s="12"/>
      <c r="D630" s="95"/>
      <c r="E630" s="14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A631" s="12"/>
      <c r="D631" s="95"/>
      <c r="E631" s="14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A632" s="12"/>
      <c r="D632" s="95"/>
      <c r="E632" s="14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A633" s="12"/>
      <c r="D633" s="95"/>
      <c r="E633" s="14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A634" s="12"/>
      <c r="D634" s="95"/>
      <c r="E634" s="14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A635" s="12"/>
      <c r="D635" s="95"/>
      <c r="E635" s="14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A636" s="12"/>
      <c r="D636" s="95"/>
      <c r="E636" s="14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A637" s="12"/>
      <c r="D637" s="95"/>
      <c r="E637" s="14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A638" s="12"/>
      <c r="D638" s="95"/>
      <c r="E638" s="14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A639" s="12"/>
      <c r="D639" s="95"/>
      <c r="E639" s="14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A640" s="12"/>
      <c r="D640" s="95"/>
      <c r="E640" s="14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A641" s="12"/>
      <c r="D641" s="95"/>
      <c r="E641" s="14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A642" s="12"/>
      <c r="D642" s="95"/>
      <c r="E642" s="14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A643" s="12"/>
      <c r="D643" s="95"/>
      <c r="E643" s="14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A644" s="12"/>
      <c r="D644" s="95"/>
      <c r="E644" s="14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A645" s="12"/>
      <c r="D645" s="95"/>
      <c r="E645" s="14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A646" s="12"/>
      <c r="D646" s="95"/>
      <c r="E646" s="14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A647" s="12"/>
      <c r="D647" s="95"/>
      <c r="E647" s="14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A648" s="12"/>
      <c r="D648" s="95"/>
      <c r="E648" s="14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A649" s="12"/>
      <c r="D649" s="95"/>
      <c r="E649" s="14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A650" s="12"/>
      <c r="D650" s="95"/>
      <c r="E650" s="14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A651" s="12"/>
      <c r="D651" s="95"/>
      <c r="E651" s="14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A652" s="12"/>
      <c r="D652" s="95"/>
      <c r="E652" s="14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A653" s="12"/>
      <c r="D653" s="95"/>
      <c r="E653" s="14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A654" s="12"/>
      <c r="D654" s="95"/>
      <c r="E654" s="14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A655" s="12"/>
      <c r="D655" s="95"/>
      <c r="E655" s="14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A656" s="12"/>
      <c r="D656" s="95"/>
      <c r="E656" s="14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A657" s="12"/>
      <c r="D657" s="95"/>
      <c r="E657" s="14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A658" s="12"/>
      <c r="D658" s="95"/>
      <c r="E658" s="14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A659" s="12"/>
      <c r="D659" s="95"/>
      <c r="E659" s="14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A660" s="12"/>
      <c r="D660" s="95"/>
      <c r="E660" s="14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A661" s="12"/>
      <c r="D661" s="95"/>
      <c r="E661" s="14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A662" s="12"/>
      <c r="D662" s="95"/>
      <c r="E662" s="14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A663" s="12"/>
      <c r="D663" s="95"/>
      <c r="E663" s="14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A664" s="12"/>
      <c r="D664" s="95"/>
      <c r="E664" s="14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A665" s="12"/>
      <c r="D665" s="95"/>
      <c r="E665" s="14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A666" s="12"/>
      <c r="D666" s="95"/>
      <c r="E666" s="14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A667" s="12"/>
      <c r="D667" s="95"/>
      <c r="E667" s="14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A668" s="12"/>
      <c r="D668" s="95"/>
      <c r="E668" s="14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A669" s="12"/>
      <c r="D669" s="95"/>
      <c r="E669" s="14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A670" s="12"/>
      <c r="D670" s="95"/>
      <c r="E670" s="14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A671" s="12"/>
      <c r="D671" s="95"/>
      <c r="E671" s="14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A672" s="12"/>
      <c r="D672" s="95"/>
      <c r="E672" s="14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A673" s="12"/>
      <c r="D673" s="95"/>
      <c r="E673" s="14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A674" s="12"/>
      <c r="D674" s="95"/>
      <c r="E674" s="14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A675" s="12"/>
      <c r="D675" s="95"/>
      <c r="E675" s="14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A676" s="12"/>
      <c r="D676" s="95"/>
      <c r="E676" s="14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A677" s="12"/>
      <c r="D677" s="95"/>
      <c r="E677" s="14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A678" s="12"/>
      <c r="D678" s="95"/>
      <c r="E678" s="14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A679" s="12"/>
      <c r="D679" s="95"/>
      <c r="E679" s="14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A680" s="12"/>
      <c r="D680" s="95"/>
      <c r="E680" s="14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A681" s="12"/>
      <c r="D681" s="95"/>
      <c r="E681" s="14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A682" s="12"/>
      <c r="D682" s="95"/>
      <c r="E682" s="14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A683" s="12"/>
      <c r="D683" s="95"/>
      <c r="E683" s="14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A684" s="12"/>
      <c r="D684" s="95"/>
      <c r="E684" s="14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A685" s="12"/>
      <c r="D685" s="95"/>
      <c r="E685" s="14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A686" s="12"/>
      <c r="D686" s="95"/>
      <c r="E686" s="14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A687" s="12"/>
      <c r="D687" s="95"/>
      <c r="E687" s="14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A688" s="12"/>
      <c r="D688" s="95"/>
      <c r="E688" s="14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A689" s="12"/>
      <c r="D689" s="95"/>
      <c r="E689" s="14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A690" s="12"/>
      <c r="D690" s="95"/>
      <c r="E690" s="14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A691" s="12"/>
      <c r="D691" s="95"/>
      <c r="E691" s="14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A692" s="12"/>
      <c r="D692" s="95"/>
      <c r="E692" s="14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A693" s="12"/>
      <c r="D693" s="95"/>
      <c r="E693" s="14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A694" s="12"/>
      <c r="D694" s="95"/>
      <c r="E694" s="14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A695" s="12"/>
      <c r="D695" s="95"/>
      <c r="E695" s="14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A696" s="12"/>
      <c r="D696" s="95"/>
      <c r="E696" s="14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A697" s="12"/>
      <c r="D697" s="95"/>
      <c r="E697" s="14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A698" s="12"/>
      <c r="D698" s="95"/>
      <c r="E698" s="14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A699" s="12"/>
      <c r="D699" s="95"/>
      <c r="E699" s="14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A700" s="12"/>
      <c r="D700" s="95"/>
      <c r="E700" s="14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A701" s="12"/>
      <c r="D701" s="95"/>
      <c r="E701" s="14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A702" s="12"/>
      <c r="D702" s="95"/>
      <c r="E702" s="14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A703" s="12"/>
      <c r="D703" s="95"/>
      <c r="E703" s="14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A704" s="12"/>
      <c r="D704" s="95"/>
      <c r="E704" s="14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A705" s="12"/>
      <c r="D705" s="95"/>
      <c r="E705" s="14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A706" s="12"/>
      <c r="D706" s="95"/>
      <c r="E706" s="14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A707" s="12"/>
      <c r="D707" s="95"/>
      <c r="E707" s="14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A708" s="12"/>
      <c r="D708" s="95"/>
      <c r="E708" s="14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A709" s="12"/>
      <c r="D709" s="95"/>
      <c r="E709" s="14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A710" s="12"/>
      <c r="D710" s="95"/>
      <c r="E710" s="14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A711" s="12"/>
      <c r="D711" s="95"/>
      <c r="E711" s="14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A712" s="12"/>
      <c r="D712" s="95"/>
      <c r="E712" s="14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A713" s="12"/>
      <c r="D713" s="95"/>
      <c r="E713" s="14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A714" s="12"/>
      <c r="D714" s="95"/>
      <c r="E714" s="14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A715" s="12"/>
      <c r="D715" s="95"/>
      <c r="E715" s="14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A716" s="12"/>
      <c r="D716" s="95"/>
      <c r="E716" s="14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A717" s="12"/>
      <c r="D717" s="95"/>
      <c r="E717" s="14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A718" s="12"/>
      <c r="D718" s="95"/>
      <c r="E718" s="14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A719" s="12"/>
      <c r="D719" s="95"/>
      <c r="E719" s="14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A720" s="12"/>
      <c r="D720" s="95"/>
      <c r="E720" s="14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A721" s="12"/>
      <c r="D721" s="95"/>
      <c r="E721" s="14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A722" s="12"/>
      <c r="D722" s="95"/>
      <c r="E722" s="14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A723" s="12"/>
      <c r="D723" s="95"/>
      <c r="E723" s="14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A724" s="12"/>
      <c r="D724" s="95"/>
      <c r="E724" s="14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A725" s="12"/>
      <c r="D725" s="95"/>
      <c r="E725" s="14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A726" s="12"/>
      <c r="D726" s="95"/>
      <c r="E726" s="14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A727" s="12"/>
      <c r="D727" s="95"/>
      <c r="E727" s="14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A728" s="12"/>
      <c r="D728" s="95"/>
      <c r="E728" s="14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A729" s="12"/>
      <c r="D729" s="95"/>
      <c r="E729" s="14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A730" s="12"/>
      <c r="D730" s="95"/>
      <c r="E730" s="14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A731" s="12"/>
      <c r="D731" s="95"/>
      <c r="E731" s="14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A732" s="12"/>
      <c r="D732" s="95"/>
      <c r="E732" s="14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A733" s="12"/>
      <c r="D733" s="95"/>
      <c r="E733" s="14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A734" s="12"/>
      <c r="D734" s="95"/>
      <c r="E734" s="14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A735" s="12"/>
      <c r="D735" s="95"/>
      <c r="E735" s="14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A736" s="12"/>
      <c r="D736" s="95"/>
      <c r="E736" s="14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A737" s="12"/>
      <c r="D737" s="95"/>
      <c r="E737" s="14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A738" s="12"/>
      <c r="D738" s="95"/>
      <c r="E738" s="14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A739" s="12"/>
      <c r="D739" s="95"/>
      <c r="E739" s="14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A740" s="12"/>
      <c r="D740" s="95"/>
      <c r="E740" s="14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A741" s="12"/>
      <c r="D741" s="95"/>
      <c r="E741" s="14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A742" s="12"/>
      <c r="D742" s="95"/>
      <c r="E742" s="14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A743" s="12"/>
      <c r="D743" s="95"/>
      <c r="E743" s="14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A744" s="12"/>
      <c r="D744" s="95"/>
      <c r="E744" s="14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A745" s="12"/>
      <c r="D745" s="95"/>
      <c r="E745" s="14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A746" s="12"/>
      <c r="D746" s="95"/>
      <c r="E746" s="14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A747" s="12"/>
      <c r="D747" s="95"/>
      <c r="E747" s="14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A748" s="12"/>
      <c r="D748" s="95"/>
      <c r="E748" s="14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A749" s="12"/>
      <c r="D749" s="95"/>
      <c r="E749" s="14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A750" s="12"/>
      <c r="D750" s="95"/>
      <c r="E750" s="14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A751" s="12"/>
      <c r="D751" s="95"/>
      <c r="E751" s="14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A752" s="12"/>
      <c r="D752" s="95"/>
      <c r="E752" s="14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A753" s="12"/>
      <c r="D753" s="95"/>
      <c r="E753" s="14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A754" s="12"/>
      <c r="D754" s="95"/>
      <c r="E754" s="14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A755" s="12"/>
      <c r="D755" s="95"/>
      <c r="E755" s="14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A756" s="12"/>
      <c r="D756" s="95"/>
      <c r="E756" s="14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A757" s="12"/>
      <c r="D757" s="95"/>
      <c r="E757" s="14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A758" s="12"/>
      <c r="D758" s="95"/>
      <c r="E758" s="14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A759" s="12"/>
      <c r="D759" s="95"/>
      <c r="E759" s="14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A760" s="12"/>
      <c r="D760" s="95"/>
      <c r="E760" s="14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A761" s="12"/>
      <c r="D761" s="95"/>
      <c r="E761" s="14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A762" s="12"/>
      <c r="D762" s="95"/>
      <c r="E762" s="14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A763" s="12"/>
      <c r="D763" s="95"/>
      <c r="E763" s="14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A764" s="12"/>
      <c r="D764" s="95"/>
      <c r="E764" s="14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A765" s="12"/>
      <c r="D765" s="95"/>
      <c r="E765" s="14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A766" s="12"/>
      <c r="D766" s="95"/>
      <c r="E766" s="14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A767" s="12"/>
      <c r="D767" s="95"/>
      <c r="E767" s="14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A768" s="12"/>
      <c r="D768" s="95"/>
      <c r="E768" s="14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A769" s="12"/>
      <c r="D769" s="95"/>
      <c r="E769" s="14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A770" s="12"/>
      <c r="D770" s="95"/>
      <c r="E770" s="14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A771" s="12"/>
      <c r="D771" s="95"/>
      <c r="E771" s="14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A772" s="12"/>
      <c r="D772" s="95"/>
      <c r="E772" s="14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A773" s="12"/>
      <c r="D773" s="95"/>
      <c r="E773" s="14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A774" s="12"/>
      <c r="D774" s="95"/>
      <c r="E774" s="14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A775" s="12"/>
      <c r="D775" s="95"/>
      <c r="E775" s="14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A776" s="12"/>
      <c r="D776" s="95"/>
      <c r="E776" s="14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A777" s="12"/>
      <c r="D777" s="95"/>
      <c r="E777" s="14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A778" s="12"/>
      <c r="D778" s="95"/>
      <c r="E778" s="14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A779" s="12"/>
      <c r="D779" s="95"/>
      <c r="E779" s="14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A780" s="12"/>
      <c r="D780" s="95"/>
      <c r="E780" s="14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A781" s="12"/>
      <c r="D781" s="95"/>
      <c r="E781" s="14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A782" s="12"/>
      <c r="D782" s="95"/>
      <c r="E782" s="14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A783" s="12"/>
      <c r="D783" s="95"/>
      <c r="E783" s="14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A784" s="12"/>
      <c r="D784" s="95"/>
      <c r="E784" s="14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A785" s="12"/>
      <c r="D785" s="95"/>
      <c r="E785" s="14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A786" s="12"/>
      <c r="D786" s="95"/>
      <c r="E786" s="14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A787" s="12"/>
      <c r="D787" s="95"/>
      <c r="E787" s="14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A788" s="12"/>
      <c r="D788" s="95"/>
      <c r="E788" s="14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A789" s="12"/>
      <c r="D789" s="95"/>
      <c r="E789" s="14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A790" s="12"/>
      <c r="D790" s="95"/>
      <c r="E790" s="14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A791" s="12"/>
      <c r="D791" s="95"/>
      <c r="E791" s="14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A792" s="12"/>
      <c r="D792" s="95"/>
      <c r="E792" s="14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A793" s="12"/>
      <c r="D793" s="95"/>
      <c r="E793" s="14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A794" s="12"/>
      <c r="D794" s="95"/>
      <c r="E794" s="14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A795" s="12"/>
      <c r="D795" s="95"/>
      <c r="E795" s="14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A796" s="12"/>
      <c r="D796" s="95"/>
      <c r="E796" s="14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A797" s="12"/>
      <c r="D797" s="95"/>
      <c r="E797" s="14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A798" s="12"/>
      <c r="D798" s="95"/>
      <c r="E798" s="14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A799" s="12"/>
      <c r="D799" s="95"/>
      <c r="E799" s="14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A800" s="12"/>
      <c r="D800" s="95"/>
      <c r="E800" s="14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A801" s="12"/>
      <c r="D801" s="95"/>
      <c r="E801" s="14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A802" s="12"/>
      <c r="D802" s="95"/>
      <c r="E802" s="14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A803" s="12"/>
      <c r="D803" s="95"/>
      <c r="E803" s="14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A804" s="12"/>
      <c r="D804" s="95"/>
      <c r="E804" s="14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A805" s="12"/>
      <c r="D805" s="95"/>
      <c r="E805" s="14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A806" s="12"/>
      <c r="D806" s="95"/>
      <c r="E806" s="14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A807" s="12"/>
      <c r="D807" s="95"/>
      <c r="E807" s="14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A808" s="12"/>
      <c r="D808" s="95"/>
      <c r="E808" s="14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A809" s="12"/>
      <c r="D809" s="95"/>
      <c r="E809" s="14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A810" s="12"/>
      <c r="D810" s="95"/>
      <c r="E810" s="14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A811" s="12"/>
      <c r="D811" s="95"/>
      <c r="E811" s="14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A812" s="12"/>
      <c r="D812" s="95"/>
      <c r="E812" s="14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A813" s="12"/>
      <c r="D813" s="95"/>
      <c r="E813" s="14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A814" s="12"/>
      <c r="D814" s="95"/>
      <c r="E814" s="14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A815" s="12"/>
      <c r="D815" s="95"/>
      <c r="E815" s="14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A816" s="12"/>
      <c r="D816" s="95"/>
      <c r="E816" s="14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A817" s="12"/>
      <c r="D817" s="95"/>
      <c r="E817" s="14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A818" s="12"/>
      <c r="D818" s="95"/>
      <c r="E818" s="14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A819" s="12"/>
      <c r="D819" s="95"/>
      <c r="E819" s="14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A820" s="12"/>
      <c r="D820" s="95"/>
      <c r="E820" s="14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A821" s="12"/>
      <c r="D821" s="95"/>
      <c r="E821" s="14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A822" s="12"/>
      <c r="D822" s="95"/>
      <c r="E822" s="14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A823" s="12"/>
      <c r="D823" s="95"/>
      <c r="E823" s="14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A824" s="12"/>
      <c r="D824" s="95"/>
      <c r="E824" s="14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A825" s="12"/>
      <c r="D825" s="95"/>
      <c r="E825" s="14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A826" s="12"/>
      <c r="D826" s="95"/>
      <c r="E826" s="14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A827" s="12"/>
      <c r="D827" s="95"/>
      <c r="E827" s="14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A828" s="12"/>
      <c r="D828" s="95"/>
      <c r="E828" s="14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A829" s="12"/>
      <c r="D829" s="95"/>
      <c r="E829" s="14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A830" s="12"/>
      <c r="D830" s="95"/>
      <c r="E830" s="14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A831" s="12"/>
      <c r="D831" s="95"/>
      <c r="E831" s="14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A832" s="12"/>
      <c r="D832" s="95"/>
      <c r="E832" s="14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A833" s="12"/>
      <c r="D833" s="95"/>
      <c r="E833" s="14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A834" s="12"/>
      <c r="D834" s="95"/>
      <c r="E834" s="14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A835" s="12"/>
      <c r="D835" s="95"/>
      <c r="E835" s="14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A836" s="12"/>
      <c r="D836" s="95"/>
      <c r="E836" s="14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A837" s="12"/>
      <c r="D837" s="95"/>
      <c r="E837" s="14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A838" s="12"/>
      <c r="D838" s="95"/>
      <c r="E838" s="14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A839" s="12"/>
      <c r="D839" s="95"/>
      <c r="E839" s="14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A840" s="12"/>
      <c r="D840" s="95"/>
      <c r="E840" s="14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A841" s="12"/>
      <c r="D841" s="95"/>
      <c r="E841" s="14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A842" s="12"/>
      <c r="D842" s="95"/>
      <c r="E842" s="14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A843" s="12"/>
      <c r="D843" s="95"/>
      <c r="E843" s="14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A844" s="12"/>
      <c r="D844" s="95"/>
      <c r="E844" s="14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A845" s="12"/>
      <c r="D845" s="95"/>
      <c r="E845" s="14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A846" s="12"/>
      <c r="D846" s="95"/>
      <c r="E846" s="14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A847" s="12"/>
      <c r="D847" s="95"/>
      <c r="E847" s="14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A848" s="12"/>
      <c r="D848" s="95"/>
      <c r="E848" s="14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A849" s="12"/>
      <c r="D849" s="95"/>
      <c r="E849" s="14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A850" s="12"/>
      <c r="D850" s="95"/>
      <c r="E850" s="14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A851" s="12"/>
      <c r="D851" s="95"/>
      <c r="E851" s="14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A852" s="12"/>
      <c r="D852" s="95"/>
      <c r="E852" s="14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A853" s="12"/>
      <c r="D853" s="95"/>
      <c r="E853" s="14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A854" s="12"/>
      <c r="D854" s="95"/>
      <c r="E854" s="14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A855" s="12"/>
      <c r="D855" s="95"/>
      <c r="E855" s="14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A856" s="12"/>
      <c r="D856" s="95"/>
      <c r="E856" s="14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A857" s="12"/>
      <c r="D857" s="95"/>
      <c r="E857" s="14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A858" s="12"/>
      <c r="D858" s="95"/>
      <c r="E858" s="14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A859" s="12"/>
      <c r="D859" s="95"/>
      <c r="E859" s="14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A860" s="12"/>
      <c r="D860" s="95"/>
      <c r="E860" s="14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A861" s="12"/>
      <c r="D861" s="95"/>
      <c r="E861" s="14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A862" s="12"/>
      <c r="D862" s="95"/>
      <c r="E862" s="14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A863" s="12"/>
      <c r="D863" s="95"/>
      <c r="E863" s="14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A864" s="12"/>
      <c r="D864" s="95"/>
      <c r="E864" s="14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A865" s="12"/>
      <c r="D865" s="95"/>
      <c r="E865" s="14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A866" s="12"/>
      <c r="D866" s="95"/>
      <c r="E866" s="14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A867" s="12"/>
      <c r="D867" s="95"/>
      <c r="E867" s="14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A868" s="12"/>
      <c r="D868" s="95"/>
      <c r="E868" s="14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A869" s="12"/>
      <c r="D869" s="95"/>
      <c r="E869" s="14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A870" s="12"/>
      <c r="D870" s="95"/>
      <c r="E870" s="14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A871" s="12"/>
      <c r="D871" s="95"/>
      <c r="E871" s="14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A872" s="12"/>
      <c r="D872" s="95"/>
      <c r="E872" s="14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A873" s="12"/>
      <c r="D873" s="95"/>
      <c r="E873" s="14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A874" s="12"/>
      <c r="D874" s="95"/>
      <c r="E874" s="14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A875" s="12"/>
      <c r="D875" s="95"/>
      <c r="E875" s="14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A876" s="12"/>
      <c r="D876" s="95"/>
      <c r="E876" s="14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A877" s="12"/>
      <c r="D877" s="95"/>
      <c r="E877" s="14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A878" s="12"/>
      <c r="D878" s="95"/>
      <c r="E878" s="14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A879" s="12"/>
      <c r="D879" s="95"/>
      <c r="E879" s="14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A880" s="12"/>
      <c r="D880" s="95"/>
      <c r="E880" s="14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A881" s="12"/>
      <c r="D881" s="95"/>
      <c r="E881" s="14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A882" s="12"/>
      <c r="D882" s="95"/>
      <c r="E882" s="14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A883" s="12"/>
      <c r="D883" s="95"/>
      <c r="E883" s="14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A884" s="12"/>
      <c r="D884" s="95"/>
      <c r="E884" s="14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A885" s="12"/>
      <c r="D885" s="95"/>
      <c r="E885" s="14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A886" s="12"/>
      <c r="D886" s="95"/>
      <c r="E886" s="14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A887" s="12"/>
      <c r="D887" s="95"/>
      <c r="E887" s="14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A888" s="12"/>
      <c r="D888" s="95"/>
      <c r="E888" s="14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A889" s="12"/>
      <c r="D889" s="95"/>
      <c r="E889" s="14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A890" s="12"/>
      <c r="D890" s="95"/>
      <c r="E890" s="14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A891" s="12"/>
      <c r="D891" s="95"/>
      <c r="E891" s="14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A892" s="12"/>
      <c r="D892" s="95"/>
      <c r="E892" s="14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A893" s="12"/>
      <c r="D893" s="95"/>
      <c r="E893" s="14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A894" s="12"/>
      <c r="D894" s="95"/>
      <c r="E894" s="14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A895" s="12"/>
      <c r="D895" s="95"/>
      <c r="E895" s="14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A896" s="12"/>
      <c r="D896" s="95"/>
      <c r="E896" s="14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A897" s="12"/>
      <c r="D897" s="95"/>
      <c r="E897" s="14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A898" s="12"/>
      <c r="D898" s="95"/>
      <c r="E898" s="14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A899" s="12"/>
      <c r="D899" s="95"/>
      <c r="E899" s="14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A900" s="12"/>
      <c r="D900" s="95"/>
      <c r="E900" s="14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A901" s="12"/>
      <c r="D901" s="95"/>
      <c r="E901" s="14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A902" s="12"/>
      <c r="D902" s="95"/>
      <c r="E902" s="14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A903" s="12"/>
      <c r="D903" s="95"/>
      <c r="E903" s="14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A904" s="12"/>
      <c r="D904" s="95"/>
      <c r="E904" s="14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A905" s="12"/>
      <c r="D905" s="95"/>
      <c r="E905" s="14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A906" s="12"/>
      <c r="D906" s="95"/>
      <c r="E906" s="14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A907" s="12"/>
      <c r="D907" s="95"/>
      <c r="E907" s="14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A908" s="12"/>
      <c r="D908" s="95"/>
      <c r="E908" s="14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A909" s="12"/>
      <c r="D909" s="95"/>
      <c r="E909" s="14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A910" s="12"/>
      <c r="D910" s="95"/>
      <c r="E910" s="14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A911" s="12"/>
      <c r="D911" s="95"/>
      <c r="E911" s="14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A912" s="12"/>
      <c r="D912" s="95"/>
      <c r="E912" s="14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A913" s="12"/>
      <c r="D913" s="95"/>
      <c r="E913" s="14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A914" s="12"/>
      <c r="D914" s="95"/>
      <c r="E914" s="14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A915" s="12"/>
      <c r="D915" s="95"/>
      <c r="E915" s="14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A916" s="12"/>
      <c r="D916" s="95"/>
      <c r="E916" s="14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A917" s="12"/>
      <c r="D917" s="95"/>
      <c r="E917" s="14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A918" s="12"/>
      <c r="D918" s="95"/>
      <c r="E918" s="14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A919" s="12"/>
      <c r="D919" s="95"/>
      <c r="E919" s="14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A920" s="12"/>
      <c r="D920" s="95"/>
      <c r="E920" s="14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A921" s="12"/>
      <c r="D921" s="95"/>
      <c r="E921" s="14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A922" s="12"/>
      <c r="D922" s="95"/>
      <c r="E922" s="14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A923" s="12"/>
      <c r="D923" s="95"/>
      <c r="E923" s="14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A924" s="12"/>
      <c r="D924" s="95"/>
      <c r="E924" s="14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A925" s="12"/>
      <c r="D925" s="95"/>
      <c r="E925" s="14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A926" s="12"/>
      <c r="D926" s="95"/>
      <c r="E926" s="14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A927" s="12"/>
      <c r="D927" s="95"/>
      <c r="E927" s="14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A928" s="12"/>
      <c r="D928" s="95"/>
      <c r="E928" s="14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A929" s="12"/>
      <c r="D929" s="95"/>
      <c r="E929" s="14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A930" s="12"/>
      <c r="D930" s="95"/>
      <c r="E930" s="14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A931" s="12"/>
      <c r="D931" s="95"/>
      <c r="E931" s="14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A932" s="12"/>
      <c r="D932" s="95"/>
      <c r="E932" s="14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A933" s="12"/>
      <c r="D933" s="95"/>
      <c r="E933" s="14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A934" s="12"/>
      <c r="D934" s="95"/>
      <c r="E934" s="14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A935" s="12"/>
      <c r="D935" s="95"/>
      <c r="E935" s="14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A936" s="12"/>
      <c r="D936" s="95"/>
      <c r="E936" s="14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A937" s="12"/>
      <c r="D937" s="95"/>
      <c r="E937" s="14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A938" s="12"/>
      <c r="D938" s="95"/>
      <c r="E938" s="14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A939" s="12"/>
      <c r="D939" s="95"/>
      <c r="E939" s="14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A940" s="12"/>
      <c r="D940" s="95"/>
      <c r="E940" s="14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A941" s="12"/>
      <c r="D941" s="95"/>
      <c r="E941" s="14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A942" s="12"/>
      <c r="D942" s="95"/>
      <c r="E942" s="14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A943" s="12"/>
      <c r="D943" s="95"/>
      <c r="E943" s="14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A944" s="12"/>
      <c r="D944" s="95"/>
      <c r="E944" s="14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A945" s="12"/>
      <c r="D945" s="95"/>
      <c r="E945" s="14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A946" s="12"/>
      <c r="D946" s="95"/>
      <c r="E946" s="14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A947" s="12"/>
      <c r="D947" s="95"/>
      <c r="E947" s="14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A948" s="12"/>
      <c r="D948" s="95"/>
      <c r="E948" s="14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A949" s="12"/>
      <c r="D949" s="95"/>
      <c r="E949" s="14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A950" s="12"/>
      <c r="D950" s="95"/>
      <c r="E950" s="14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A951" s="12"/>
      <c r="D951" s="95"/>
      <c r="E951" s="14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A952" s="12"/>
      <c r="D952" s="95"/>
      <c r="E952" s="14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A953" s="12"/>
      <c r="D953" s="95"/>
      <c r="E953" s="14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A954" s="12"/>
      <c r="D954" s="95"/>
      <c r="E954" s="14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A955" s="12"/>
      <c r="D955" s="95"/>
      <c r="E955" s="14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A956" s="12"/>
      <c r="D956" s="95"/>
      <c r="E956" s="14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A957" s="12"/>
      <c r="D957" s="95"/>
      <c r="E957" s="14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A958" s="12"/>
      <c r="D958" s="95"/>
      <c r="E958" s="14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A959" s="12"/>
      <c r="D959" s="95"/>
      <c r="E959" s="14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A960" s="12"/>
      <c r="D960" s="95"/>
      <c r="E960" s="14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A961" s="12"/>
      <c r="D961" s="95"/>
      <c r="E961" s="14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A962" s="12"/>
      <c r="D962" s="95"/>
      <c r="E962" s="14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A963" s="12"/>
      <c r="D963" s="95"/>
      <c r="E963" s="14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A964" s="12"/>
      <c r="D964" s="95"/>
      <c r="E964" s="14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A965" s="12"/>
      <c r="D965" s="95"/>
      <c r="E965" s="14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A966" s="12"/>
      <c r="D966" s="95"/>
      <c r="E966" s="14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A967" s="12"/>
      <c r="D967" s="95"/>
      <c r="E967" s="14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A968" s="12"/>
      <c r="D968" s="95"/>
      <c r="E968" s="14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A969" s="12"/>
      <c r="D969" s="95"/>
      <c r="E969" s="14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A970" s="12"/>
      <c r="D970" s="95"/>
      <c r="E970" s="14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A971" s="12"/>
      <c r="D971" s="95"/>
      <c r="E971" s="14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A972" s="12"/>
      <c r="D972" s="95"/>
      <c r="E972" s="14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A973" s="12"/>
      <c r="D973" s="95"/>
      <c r="E973" s="14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A974" s="12"/>
      <c r="D974" s="95"/>
      <c r="E974" s="14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A975" s="12"/>
      <c r="D975" s="95"/>
      <c r="E975" s="14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A976" s="12"/>
      <c r="D976" s="95"/>
      <c r="E976" s="14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A977" s="12"/>
      <c r="D977" s="95"/>
      <c r="E977" s="14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A978" s="12"/>
      <c r="D978" s="95"/>
      <c r="E978" s="14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A979" s="12"/>
      <c r="D979" s="95"/>
      <c r="E979" s="14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A980" s="12"/>
      <c r="D980" s="95"/>
      <c r="E980" s="14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A981" s="12"/>
      <c r="D981" s="95"/>
      <c r="E981" s="14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A982" s="12"/>
      <c r="D982" s="95"/>
      <c r="E982" s="14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A983" s="12"/>
      <c r="D983" s="95"/>
      <c r="E983" s="14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A984" s="12"/>
      <c r="D984" s="95"/>
      <c r="E984" s="14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A985" s="12"/>
      <c r="D985" s="95"/>
      <c r="E985" s="14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A986" s="12"/>
      <c r="D986" s="95"/>
      <c r="E986" s="14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A987" s="12"/>
      <c r="D987" s="95"/>
      <c r="E987" s="14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A988" s="12"/>
      <c r="D988" s="95"/>
      <c r="E988" s="14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A989" s="12"/>
      <c r="D989" s="95"/>
      <c r="E989" s="14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A990" s="12"/>
      <c r="D990" s="95"/>
      <c r="E990" s="14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A991" s="12"/>
      <c r="D991" s="95"/>
      <c r="E991" s="14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A992" s="12"/>
      <c r="D992" s="95"/>
      <c r="E992" s="14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A993" s="12"/>
      <c r="D993" s="95"/>
      <c r="E993" s="14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A994" s="12"/>
      <c r="D994" s="95"/>
      <c r="E994" s="14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A995" s="12"/>
      <c r="D995" s="95"/>
      <c r="E995" s="14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A996" s="12"/>
      <c r="D996" s="95"/>
      <c r="E996" s="14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A997" s="12"/>
      <c r="D997" s="95"/>
      <c r="E997" s="14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A998" s="12"/>
      <c r="D998" s="95"/>
      <c r="E998" s="14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A999" s="12"/>
      <c r="D999" s="95"/>
      <c r="E999" s="14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A1000" s="12"/>
      <c r="D1000" s="95"/>
      <c r="E1000" s="14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>
      <c r="A1001" s="12"/>
      <c r="D1001" s="95"/>
      <c r="E1001" s="14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>
      <c r="A1002" s="12"/>
      <c r="D1002" s="95"/>
      <c r="E1002" s="14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  <row r="1003">
      <c r="A1003" s="12"/>
      <c r="D1003" s="95"/>
      <c r="E1003" s="14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</row>
    <row r="1004">
      <c r="A1004" s="12"/>
      <c r="D1004" s="95"/>
      <c r="E1004" s="14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</row>
  </sheetData>
  <conditionalFormatting sqref="H2:Q29">
    <cfRule type="cellIs" dxfId="32" priority="1" operator="equal">
      <formula>0</formula>
    </cfRule>
  </conditionalFormatting>
  <conditionalFormatting sqref="H2:H29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29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29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29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29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Q29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29">
    <cfRule type="colorScale" priority="8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29">
    <cfRule type="colorScale" priority="9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O2:O29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35:C42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5:F42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2:F29 F32">
      <formula1>OR(NOT(ISERROR(DATEVALUE(F2))), AND(ISNUMBER(F2), LEFT(CELL("format", F2))="D"))</formula1>
    </dataValidation>
    <dataValidation type="list" allowBlank="1" showDropDown="1" sqref="C2:C29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5"/>
    <col customWidth="1" min="3" max="3" width="14.5"/>
    <col customWidth="1" min="4" max="4" width="42.38"/>
    <col customWidth="1" min="5" max="5" width="9.25"/>
    <col customWidth="1" min="6" max="6" width="33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957" t="s">
        <v>48</v>
      </c>
      <c r="B1" s="958" t="s">
        <v>49</v>
      </c>
      <c r="C1" s="958" t="s">
        <v>50</v>
      </c>
      <c r="D1" s="959" t="s">
        <v>56</v>
      </c>
      <c r="E1" s="957" t="s">
        <v>57</v>
      </c>
      <c r="F1" s="960" t="s">
        <v>52</v>
      </c>
      <c r="G1" s="961" t="s">
        <v>53</v>
      </c>
      <c r="H1" s="957" t="s">
        <v>4</v>
      </c>
      <c r="I1" s="957" t="s">
        <v>58</v>
      </c>
      <c r="J1" s="957" t="s">
        <v>59</v>
      </c>
      <c r="K1" s="957" t="s">
        <v>60</v>
      </c>
      <c r="L1" s="957" t="s">
        <v>61</v>
      </c>
      <c r="M1" s="957" t="s">
        <v>62</v>
      </c>
      <c r="N1" s="957" t="s">
        <v>63</v>
      </c>
      <c r="O1" s="962" t="s">
        <v>387</v>
      </c>
      <c r="P1" s="962" t="s">
        <v>64</v>
      </c>
      <c r="Q1" s="957" t="s">
        <v>65</v>
      </c>
    </row>
    <row r="2" ht="22.5" customHeight="1">
      <c r="A2" s="963">
        <v>1.0</v>
      </c>
      <c r="B2" s="964" t="s">
        <v>1506</v>
      </c>
      <c r="C2" s="965" t="s">
        <v>67</v>
      </c>
      <c r="D2" s="966" t="s">
        <v>94</v>
      </c>
      <c r="E2" s="967" t="str">
        <f t="shared" ref="E2:E4" si="1">IMAGE("https://flagcdn.com/w320/gb-eng.png")</f>
        <v/>
      </c>
      <c r="F2" s="968">
        <v>33713.0</v>
      </c>
      <c r="G2" s="969">
        <f t="shared" ref="G2:G30" si="2">DATEDIF(F2,TODAY(),"Y")</f>
        <v>33</v>
      </c>
      <c r="H2" s="970">
        <f>1+1+1+1+1+1</f>
        <v>6</v>
      </c>
      <c r="I2" s="970">
        <f>90+90+90+90+90+90</f>
        <v>540</v>
      </c>
      <c r="J2" s="970"/>
      <c r="K2" s="970">
        <f t="shared" ref="K2:K3" si="3">1</f>
        <v>1</v>
      </c>
      <c r="L2" s="970"/>
      <c r="M2" s="970"/>
      <c r="N2" s="970">
        <f>1+1+1+1</f>
        <v>4</v>
      </c>
      <c r="O2" s="970"/>
      <c r="P2" s="970">
        <f t="shared" ref="P2:P30" si="4">J2+K2</f>
        <v>1</v>
      </c>
      <c r="Q2" s="970"/>
    </row>
    <row r="3" ht="22.5" customHeight="1">
      <c r="A3" s="963">
        <v>2.0</v>
      </c>
      <c r="B3" s="964" t="s">
        <v>1507</v>
      </c>
      <c r="C3" s="965" t="s">
        <v>70</v>
      </c>
      <c r="D3" s="966" t="s">
        <v>94</v>
      </c>
      <c r="E3" s="967" t="str">
        <f t="shared" si="1"/>
        <v/>
      </c>
      <c r="F3" s="968">
        <v>33135.0</v>
      </c>
      <c r="G3" s="969">
        <f t="shared" si="2"/>
        <v>35</v>
      </c>
      <c r="H3" s="970">
        <f t="shared" ref="H3:H5" si="5">1+1+1+1+1</f>
        <v>5</v>
      </c>
      <c r="I3" s="970">
        <f>75+82+90+90+86</f>
        <v>423</v>
      </c>
      <c r="J3" s="970"/>
      <c r="K3" s="970">
        <f t="shared" si="3"/>
        <v>1</v>
      </c>
      <c r="L3" s="970"/>
      <c r="M3" s="970"/>
      <c r="N3" s="970"/>
      <c r="O3" s="970"/>
      <c r="P3" s="970">
        <f t="shared" si="4"/>
        <v>1</v>
      </c>
      <c r="Q3" s="970"/>
    </row>
    <row r="4" ht="22.5" customHeight="1">
      <c r="A4" s="971">
        <v>3.0</v>
      </c>
      <c r="B4" s="972" t="s">
        <v>1508</v>
      </c>
      <c r="C4" s="973" t="s">
        <v>70</v>
      </c>
      <c r="D4" s="974" t="s">
        <v>94</v>
      </c>
      <c r="E4" s="975" t="str">
        <f t="shared" si="1"/>
        <v/>
      </c>
      <c r="F4" s="976">
        <v>38238.0</v>
      </c>
      <c r="G4" s="977">
        <f t="shared" si="2"/>
        <v>21</v>
      </c>
      <c r="H4" s="978">
        <f t="shared" si="5"/>
        <v>5</v>
      </c>
      <c r="I4" s="978">
        <f>18+26+30+90+90</f>
        <v>254</v>
      </c>
      <c r="J4" s="979"/>
      <c r="K4" s="979"/>
      <c r="L4" s="979"/>
      <c r="M4" s="979"/>
      <c r="N4" s="979"/>
      <c r="O4" s="979"/>
      <c r="P4" s="979">
        <f t="shared" si="4"/>
        <v>0</v>
      </c>
      <c r="Q4" s="979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>
      <c r="A5" s="963">
        <v>4.0</v>
      </c>
      <c r="B5" s="964" t="s">
        <v>1509</v>
      </c>
      <c r="C5" s="965" t="s">
        <v>70</v>
      </c>
      <c r="D5" s="966" t="s">
        <v>80</v>
      </c>
      <c r="E5" s="967" t="str">
        <f>IMAGE("https://flagcdn.com/w320/nl.png")</f>
        <v/>
      </c>
      <c r="F5" s="968">
        <v>36537.0</v>
      </c>
      <c r="G5" s="969">
        <f t="shared" si="2"/>
        <v>26</v>
      </c>
      <c r="H5" s="970">
        <f t="shared" si="5"/>
        <v>5</v>
      </c>
      <c r="I5" s="970">
        <f>15+90+90+90+90</f>
        <v>375</v>
      </c>
      <c r="J5" s="970"/>
      <c r="K5" s="970"/>
      <c r="L5" s="970"/>
      <c r="M5" s="970"/>
      <c r="N5" s="970"/>
      <c r="O5" s="970"/>
      <c r="P5" s="970">
        <f t="shared" si="4"/>
        <v>0</v>
      </c>
      <c r="Q5" s="970"/>
    </row>
    <row r="6" ht="22.5" customHeight="1">
      <c r="A6" s="963">
        <v>5.0</v>
      </c>
      <c r="B6" s="964" t="s">
        <v>1510</v>
      </c>
      <c r="C6" s="965" t="s">
        <v>70</v>
      </c>
      <c r="D6" s="966" t="s">
        <v>455</v>
      </c>
      <c r="E6" s="967" t="str">
        <f>IMAGE("https://flagcdn.com/w320/ch.png")</f>
        <v/>
      </c>
      <c r="F6" s="968">
        <v>33592.0</v>
      </c>
      <c r="G6" s="969">
        <f t="shared" si="2"/>
        <v>34</v>
      </c>
      <c r="H6" s="970">
        <f>1+1+1</f>
        <v>3</v>
      </c>
      <c r="I6" s="970">
        <f>62+8+60</f>
        <v>130</v>
      </c>
      <c r="J6" s="970"/>
      <c r="K6" s="970"/>
      <c r="L6" s="970"/>
      <c r="M6" s="970"/>
      <c r="N6" s="970"/>
      <c r="O6" s="970"/>
      <c r="P6" s="970">
        <f t="shared" si="4"/>
        <v>0</v>
      </c>
      <c r="Q6" s="970"/>
    </row>
    <row r="7" ht="22.5" customHeight="1">
      <c r="A7" s="980">
        <v>7.0</v>
      </c>
      <c r="B7" s="981" t="s">
        <v>1511</v>
      </c>
      <c r="C7" s="965" t="s">
        <v>79</v>
      </c>
      <c r="D7" s="966" t="s">
        <v>182</v>
      </c>
      <c r="E7" s="982" t="str">
        <f>IMAGE("https://flagcdn.com/w320/br.png")</f>
        <v/>
      </c>
      <c r="F7" s="968">
        <v>35291.0</v>
      </c>
      <c r="G7" s="969">
        <f t="shared" si="2"/>
        <v>29</v>
      </c>
      <c r="H7" s="970">
        <f t="shared" ref="H7:H8" si="7">1+1+1+1+1+1</f>
        <v>6</v>
      </c>
      <c r="I7" s="970">
        <f>62+58+28+90+59+71</f>
        <v>368</v>
      </c>
      <c r="J7" s="970">
        <f t="shared" ref="J7:K7" si="6">1</f>
        <v>1</v>
      </c>
      <c r="K7" s="970">
        <f t="shared" si="6"/>
        <v>1</v>
      </c>
      <c r="L7" s="970">
        <f>1+1</f>
        <v>2</v>
      </c>
      <c r="M7" s="970"/>
      <c r="N7" s="970"/>
      <c r="O7" s="970"/>
      <c r="P7" s="970">
        <f t="shared" si="4"/>
        <v>2</v>
      </c>
      <c r="Q7" s="970"/>
    </row>
    <row r="8" ht="22.5" customHeight="1">
      <c r="A8" s="963">
        <v>8.0</v>
      </c>
      <c r="B8" s="964" t="s">
        <v>1512</v>
      </c>
      <c r="C8" s="965" t="s">
        <v>79</v>
      </c>
      <c r="D8" s="966" t="s">
        <v>206</v>
      </c>
      <c r="E8" s="967" t="str">
        <f>IMAGE("https://flagcdn.com/w320/it.png")</f>
        <v/>
      </c>
      <c r="F8" s="968">
        <v>36654.0</v>
      </c>
      <c r="G8" s="969">
        <f t="shared" si="2"/>
        <v>25</v>
      </c>
      <c r="H8" s="970">
        <f t="shared" si="7"/>
        <v>6</v>
      </c>
      <c r="I8" s="970">
        <f>90+90+90+90+90+90</f>
        <v>540</v>
      </c>
      <c r="J8" s="970"/>
      <c r="K8" s="970">
        <f t="shared" ref="K8:L8" si="8">1</f>
        <v>1</v>
      </c>
      <c r="L8" s="970">
        <f t="shared" si="8"/>
        <v>1</v>
      </c>
      <c r="M8" s="970"/>
      <c r="N8" s="970"/>
      <c r="O8" s="970"/>
      <c r="P8" s="970">
        <f t="shared" si="4"/>
        <v>1</v>
      </c>
      <c r="Q8" s="970"/>
    </row>
    <row r="9" ht="22.5" customHeight="1">
      <c r="A9" s="963">
        <v>9.0</v>
      </c>
      <c r="B9" s="964" t="s">
        <v>1513</v>
      </c>
      <c r="C9" s="965" t="s">
        <v>79</v>
      </c>
      <c r="D9" s="966" t="s">
        <v>1514</v>
      </c>
      <c r="E9" s="967" t="str">
        <f>IMAGE("https://flagcdn.com/w320/cd.png")</f>
        <v/>
      </c>
      <c r="F9" s="968">
        <v>35311.0</v>
      </c>
      <c r="G9" s="969">
        <f t="shared" si="2"/>
        <v>29</v>
      </c>
      <c r="H9" s="970">
        <f>1+1</f>
        <v>2</v>
      </c>
      <c r="I9" s="970">
        <f>1+71</f>
        <v>72</v>
      </c>
      <c r="J9" s="970">
        <f t="shared" ref="J9:K9" si="9">1</f>
        <v>1</v>
      </c>
      <c r="K9" s="970">
        <f t="shared" si="9"/>
        <v>1</v>
      </c>
      <c r="L9" s="970"/>
      <c r="M9" s="970"/>
      <c r="N9" s="970"/>
      <c r="O9" s="970"/>
      <c r="P9" s="970">
        <f t="shared" si="4"/>
        <v>2</v>
      </c>
      <c r="Q9" s="970"/>
    </row>
    <row r="10" ht="22.5" customHeight="1">
      <c r="A10" s="963">
        <v>10.0</v>
      </c>
      <c r="B10" s="964" t="s">
        <v>1515</v>
      </c>
      <c r="C10" s="965" t="s">
        <v>82</v>
      </c>
      <c r="D10" s="966" t="s">
        <v>94</v>
      </c>
      <c r="E10" s="967" t="str">
        <f t="shared" ref="E10:E11" si="10">IMAGE("https://flagcdn.com/w320/gb-eng.png")</f>
        <v/>
      </c>
      <c r="F10" s="968">
        <v>36946.0</v>
      </c>
      <c r="G10" s="969">
        <f t="shared" si="2"/>
        <v>24</v>
      </c>
      <c r="H10" s="970">
        <f t="shared" ref="H10:H12" si="11">1+1+1+1+1+1+1</f>
        <v>7</v>
      </c>
      <c r="I10" s="970">
        <f>90+90+84+40+71+89+71</f>
        <v>535</v>
      </c>
      <c r="J10" s="970">
        <f>1+2+1+1+1</f>
        <v>6</v>
      </c>
      <c r="K10" s="970">
        <f>1+1</f>
        <v>2</v>
      </c>
      <c r="L10" s="970">
        <f>1</f>
        <v>1</v>
      </c>
      <c r="M10" s="970"/>
      <c r="N10" s="970"/>
      <c r="O10" s="970"/>
      <c r="P10" s="970">
        <f t="shared" si="4"/>
        <v>8</v>
      </c>
      <c r="Q10" s="970"/>
    </row>
    <row r="11" ht="22.5" customHeight="1">
      <c r="A11" s="963">
        <v>11.0</v>
      </c>
      <c r="B11" s="964" t="s">
        <v>1516</v>
      </c>
      <c r="C11" s="965" t="s">
        <v>79</v>
      </c>
      <c r="D11" s="966" t="s">
        <v>94</v>
      </c>
      <c r="E11" s="967" t="str">
        <f t="shared" si="10"/>
        <v/>
      </c>
      <c r="F11" s="968">
        <v>35773.0</v>
      </c>
      <c r="G11" s="969">
        <f t="shared" si="2"/>
        <v>28</v>
      </c>
      <c r="H11" s="970">
        <f t="shared" si="11"/>
        <v>7</v>
      </c>
      <c r="I11" s="970">
        <f>62+18+28+64+90+77+90</f>
        <v>429</v>
      </c>
      <c r="J11" s="970">
        <f>1+2+1+1</f>
        <v>5</v>
      </c>
      <c r="K11" s="970">
        <f>1</f>
        <v>1</v>
      </c>
      <c r="L11" s="970"/>
      <c r="M11" s="970"/>
      <c r="N11" s="970"/>
      <c r="O11" s="970"/>
      <c r="P11" s="970">
        <f t="shared" si="4"/>
        <v>6</v>
      </c>
      <c r="Q11" s="970"/>
    </row>
    <row r="12" ht="22.5" customHeight="1">
      <c r="A12" s="963">
        <v>12.0</v>
      </c>
      <c r="B12" s="964" t="s">
        <v>1517</v>
      </c>
      <c r="C12" s="965" t="s">
        <v>70</v>
      </c>
      <c r="D12" s="966" t="s">
        <v>1518</v>
      </c>
      <c r="E12" s="967" t="str">
        <f>IMAGE("https://flagcdn.com/w320/de.png")</f>
        <v/>
      </c>
      <c r="F12" s="968">
        <v>37111.0</v>
      </c>
      <c r="G12" s="969">
        <f t="shared" si="2"/>
        <v>24</v>
      </c>
      <c r="H12" s="970">
        <f t="shared" si="11"/>
        <v>7</v>
      </c>
      <c r="I12" s="970">
        <f>28+90+90+90+90+90+90</f>
        <v>568</v>
      </c>
      <c r="J12" s="970"/>
      <c r="K12" s="970"/>
      <c r="L12" s="970">
        <f>1+1</f>
        <v>2</v>
      </c>
      <c r="M12" s="970"/>
      <c r="N12" s="970"/>
      <c r="O12" s="970"/>
      <c r="P12" s="970">
        <f t="shared" si="4"/>
        <v>0</v>
      </c>
      <c r="Q12" s="970"/>
    </row>
    <row r="13" ht="22.5" customHeight="1">
      <c r="A13" s="963">
        <v>17.0</v>
      </c>
      <c r="B13" s="964" t="s">
        <v>1519</v>
      </c>
      <c r="C13" s="965" t="s">
        <v>70</v>
      </c>
      <c r="D13" s="966" t="s">
        <v>481</v>
      </c>
      <c r="E13" s="967" t="str">
        <f>IMAGE("https://flagcdn.com/w320/se.png")</f>
        <v/>
      </c>
      <c r="F13" s="968">
        <v>34548.0</v>
      </c>
      <c r="G13" s="969">
        <f t="shared" si="2"/>
        <v>31</v>
      </c>
      <c r="H13" s="983">
        <v>0.0</v>
      </c>
      <c r="I13" s="983">
        <v>0.0</v>
      </c>
      <c r="J13" s="970"/>
      <c r="K13" s="970"/>
      <c r="L13" s="970"/>
      <c r="M13" s="970"/>
      <c r="N13" s="970"/>
      <c r="O13" s="970"/>
      <c r="P13" s="970">
        <f t="shared" si="4"/>
        <v>0</v>
      </c>
      <c r="Q13" s="970"/>
    </row>
    <row r="14" ht="22.5" customHeight="1">
      <c r="A14" s="963">
        <v>18.0</v>
      </c>
      <c r="B14" s="964" t="s">
        <v>1520</v>
      </c>
      <c r="C14" s="965" t="s">
        <v>82</v>
      </c>
      <c r="D14" s="966" t="s">
        <v>1521</v>
      </c>
      <c r="E14" s="967" t="str">
        <f>IMAGE("https://flagcdn.com/w320/dk.png")</f>
        <v/>
      </c>
      <c r="F14" s="968">
        <v>37837.0</v>
      </c>
      <c r="G14" s="969">
        <f t="shared" si="2"/>
        <v>22</v>
      </c>
      <c r="H14" s="983">
        <f>1+1</f>
        <v>2</v>
      </c>
      <c r="I14" s="983">
        <f>18+6</f>
        <v>24</v>
      </c>
      <c r="J14" s="970"/>
      <c r="K14" s="970">
        <f>1</f>
        <v>1</v>
      </c>
      <c r="L14" s="970"/>
      <c r="M14" s="970"/>
      <c r="N14" s="970"/>
      <c r="O14" s="970"/>
      <c r="P14" s="970">
        <f t="shared" si="4"/>
        <v>1</v>
      </c>
      <c r="Q14" s="970"/>
    </row>
    <row r="15" ht="22.5" customHeight="1">
      <c r="A15" s="963">
        <v>20.0</v>
      </c>
      <c r="B15" s="964" t="s">
        <v>1522</v>
      </c>
      <c r="C15" s="965" t="s">
        <v>82</v>
      </c>
      <c r="D15" s="966" t="s">
        <v>1523</v>
      </c>
      <c r="E15" s="967" t="str">
        <f>IMAGE("https://flagcdn.com/w320/se.png")</f>
        <v/>
      </c>
      <c r="F15" s="968">
        <v>37373.0</v>
      </c>
      <c r="G15" s="969">
        <f t="shared" si="2"/>
        <v>23</v>
      </c>
      <c r="H15" s="970">
        <f>1+1+1+1+1+1</f>
        <v>6</v>
      </c>
      <c r="I15" s="983">
        <f>62+72+6+26+30+19</f>
        <v>215</v>
      </c>
      <c r="J15" s="970"/>
      <c r="K15" s="970"/>
      <c r="L15" s="970"/>
      <c r="M15" s="970"/>
      <c r="N15" s="970"/>
      <c r="O15" s="970"/>
      <c r="P15" s="970">
        <f t="shared" si="4"/>
        <v>0</v>
      </c>
      <c r="Q15" s="970"/>
    </row>
    <row r="16" ht="22.5" customHeight="1">
      <c r="A16" s="963">
        <v>21.0</v>
      </c>
      <c r="B16" s="964" t="s">
        <v>1524</v>
      </c>
      <c r="C16" s="965" t="s">
        <v>70</v>
      </c>
      <c r="D16" s="966" t="s">
        <v>1525</v>
      </c>
      <c r="E16" s="967" t="str">
        <f t="shared" ref="E16:E17" si="12">IMAGE("https://flagcdn.com/w320/gb-eng.png")</f>
        <v/>
      </c>
      <c r="F16" s="968">
        <v>37572.0</v>
      </c>
      <c r="G16" s="969">
        <f t="shared" si="2"/>
        <v>23</v>
      </c>
      <c r="H16" s="970">
        <f>1+1+1</f>
        <v>3</v>
      </c>
      <c r="I16" s="970">
        <f>90+60+90</f>
        <v>240</v>
      </c>
      <c r="J16" s="970"/>
      <c r="K16" s="970"/>
      <c r="L16" s="970"/>
      <c r="M16" s="970"/>
      <c r="N16" s="970"/>
      <c r="O16" s="970"/>
      <c r="P16" s="970">
        <f t="shared" si="4"/>
        <v>0</v>
      </c>
      <c r="Q16" s="970"/>
    </row>
    <row r="17" ht="22.5" customHeight="1">
      <c r="A17" s="963">
        <v>23.0</v>
      </c>
      <c r="B17" s="964" t="s">
        <v>1526</v>
      </c>
      <c r="C17" s="965" t="s">
        <v>79</v>
      </c>
      <c r="D17" s="966" t="s">
        <v>94</v>
      </c>
      <c r="E17" s="967" t="str">
        <f t="shared" si="12"/>
        <v/>
      </c>
      <c r="F17" s="968">
        <v>34754.0</v>
      </c>
      <c r="G17" s="969">
        <f t="shared" si="2"/>
        <v>30</v>
      </c>
      <c r="H17" s="970">
        <f>1+1+1+1+1</f>
        <v>5</v>
      </c>
      <c r="I17" s="970">
        <f>28+62+50+60+13</f>
        <v>213</v>
      </c>
      <c r="J17" s="970"/>
      <c r="K17" s="970">
        <f>1+1</f>
        <v>2</v>
      </c>
      <c r="L17" s="970"/>
      <c r="M17" s="970"/>
      <c r="N17" s="970"/>
      <c r="O17" s="970"/>
      <c r="P17" s="970">
        <f t="shared" si="4"/>
        <v>2</v>
      </c>
      <c r="Q17" s="970"/>
    </row>
    <row r="18" ht="22.5" customHeight="1">
      <c r="A18" s="963">
        <v>27.0</v>
      </c>
      <c r="B18" s="964" t="s">
        <v>1527</v>
      </c>
      <c r="C18" s="965" t="s">
        <v>82</v>
      </c>
      <c r="D18" s="966" t="s">
        <v>204</v>
      </c>
      <c r="E18" s="967" t="str">
        <f>IMAGE("https://flagcdn.com/w320/de.png")</f>
        <v/>
      </c>
      <c r="F18" s="968">
        <v>37301.0</v>
      </c>
      <c r="G18" s="969">
        <f t="shared" si="2"/>
        <v>23</v>
      </c>
      <c r="H18" s="970">
        <f>1+1+1+1+1+1+1</f>
        <v>7</v>
      </c>
      <c r="I18" s="970">
        <f>28+72+84+82+19+89+19</f>
        <v>393</v>
      </c>
      <c r="J18" s="970">
        <f>1</f>
        <v>1</v>
      </c>
      <c r="K18" s="970"/>
      <c r="L18" s="970"/>
      <c r="M18" s="970"/>
      <c r="N18" s="970"/>
      <c r="O18" s="970"/>
      <c r="P18" s="970">
        <f t="shared" si="4"/>
        <v>1</v>
      </c>
      <c r="Q18" s="970"/>
    </row>
    <row r="19" ht="22.5" customHeight="1">
      <c r="A19" s="963">
        <v>28.0</v>
      </c>
      <c r="B19" s="964" t="s">
        <v>1528</v>
      </c>
      <c r="C19" s="965" t="s">
        <v>79</v>
      </c>
      <c r="D19" s="966" t="s">
        <v>1529</v>
      </c>
      <c r="E19" s="967" t="str">
        <f t="shared" ref="E19:E22" si="13">IMAGE("https://flagcdn.com/w320/gb-eng.png")</f>
        <v/>
      </c>
      <c r="F19" s="968">
        <v>36392.0</v>
      </c>
      <c r="G19" s="969">
        <f t="shared" si="2"/>
        <v>26</v>
      </c>
      <c r="H19" s="970">
        <f>1+1+1+1</f>
        <v>4</v>
      </c>
      <c r="I19" s="970">
        <f>28+1+71+4</f>
        <v>104</v>
      </c>
      <c r="J19" s="970"/>
      <c r="K19" s="970"/>
      <c r="L19" s="970">
        <f>1</f>
        <v>1</v>
      </c>
      <c r="M19" s="970"/>
      <c r="N19" s="970"/>
      <c r="O19" s="970"/>
      <c r="P19" s="970">
        <f t="shared" si="4"/>
        <v>0</v>
      </c>
      <c r="Q19" s="970"/>
    </row>
    <row r="20" ht="22.5" customHeight="1">
      <c r="A20" s="971">
        <v>31.0</v>
      </c>
      <c r="B20" s="972" t="s">
        <v>1530</v>
      </c>
      <c r="C20" s="973" t="s">
        <v>67</v>
      </c>
      <c r="D20" s="974" t="s">
        <v>94</v>
      </c>
      <c r="E20" s="975" t="str">
        <f t="shared" si="13"/>
        <v/>
      </c>
      <c r="F20" s="976">
        <v>38200.0</v>
      </c>
      <c r="G20" s="977">
        <f t="shared" si="2"/>
        <v>21</v>
      </c>
      <c r="H20" s="978">
        <v>0.0</v>
      </c>
      <c r="I20" s="978">
        <v>0.0</v>
      </c>
      <c r="J20" s="979"/>
      <c r="K20" s="979"/>
      <c r="L20" s="979"/>
      <c r="M20" s="979"/>
      <c r="N20" s="979"/>
      <c r="O20" s="979"/>
      <c r="P20" s="979">
        <f t="shared" si="4"/>
        <v>0</v>
      </c>
      <c r="Q20" s="979"/>
    </row>
    <row r="21" ht="22.5" customHeight="1">
      <c r="A21" s="963">
        <v>32.0</v>
      </c>
      <c r="B21" s="964" t="s">
        <v>1531</v>
      </c>
      <c r="C21" s="965" t="s">
        <v>67</v>
      </c>
      <c r="D21" s="966" t="s">
        <v>94</v>
      </c>
      <c r="E21" s="967" t="str">
        <f t="shared" si="13"/>
        <v/>
      </c>
      <c r="F21" s="968">
        <v>35929.0</v>
      </c>
      <c r="G21" s="969">
        <f t="shared" si="2"/>
        <v>27</v>
      </c>
      <c r="H21" s="983">
        <f>1</f>
        <v>1</v>
      </c>
      <c r="I21" s="983">
        <f>90</f>
        <v>90</v>
      </c>
      <c r="J21" s="970"/>
      <c r="K21" s="970"/>
      <c r="L21" s="970">
        <f>1</f>
        <v>1</v>
      </c>
      <c r="M21" s="970"/>
      <c r="N21" s="970"/>
      <c r="O21" s="970"/>
      <c r="P21" s="970">
        <f t="shared" si="4"/>
        <v>0</v>
      </c>
      <c r="Q21" s="970"/>
    </row>
    <row r="22" ht="22.5" customHeight="1">
      <c r="A22" s="963">
        <v>33.0</v>
      </c>
      <c r="B22" s="964" t="s">
        <v>1532</v>
      </c>
      <c r="C22" s="965" t="s">
        <v>70</v>
      </c>
      <c r="D22" s="966" t="s">
        <v>94</v>
      </c>
      <c r="E22" s="967" t="str">
        <f t="shared" si="13"/>
        <v/>
      </c>
      <c r="F22" s="968">
        <v>33733.0</v>
      </c>
      <c r="G22" s="969">
        <f t="shared" si="2"/>
        <v>33</v>
      </c>
      <c r="H22" s="970">
        <f>1+1+1+1+1+1</f>
        <v>6</v>
      </c>
      <c r="I22" s="970">
        <f>90+90+90+64+90+90</f>
        <v>514</v>
      </c>
      <c r="J22" s="970">
        <f>1</f>
        <v>1</v>
      </c>
      <c r="K22" s="970"/>
      <c r="L22" s="970">
        <f>1+1</f>
        <v>2</v>
      </c>
      <c r="M22" s="970"/>
      <c r="N22" s="970"/>
      <c r="O22" s="970"/>
      <c r="P22" s="970">
        <f t="shared" si="4"/>
        <v>1</v>
      </c>
      <c r="Q22" s="970"/>
    </row>
    <row r="23" ht="22.5" customHeight="1">
      <c r="A23" s="971">
        <v>37.0</v>
      </c>
      <c r="B23" s="972" t="s">
        <v>1533</v>
      </c>
      <c r="C23" s="973" t="s">
        <v>70</v>
      </c>
      <c r="D23" s="974" t="s">
        <v>1534</v>
      </c>
      <c r="E23" s="975" t="str">
        <f>IMAGE("https://flagcdn.com/w320/ie.png")</f>
        <v/>
      </c>
      <c r="F23" s="976">
        <v>38163.0</v>
      </c>
      <c r="G23" s="977">
        <f t="shared" si="2"/>
        <v>21</v>
      </c>
      <c r="H23" s="978">
        <v>0.0</v>
      </c>
      <c r="I23" s="978">
        <v>0.0</v>
      </c>
      <c r="J23" s="979"/>
      <c r="K23" s="979"/>
      <c r="L23" s="979"/>
      <c r="M23" s="979"/>
      <c r="N23" s="979"/>
      <c r="O23" s="979"/>
      <c r="P23" s="979">
        <f t="shared" si="4"/>
        <v>0</v>
      </c>
      <c r="Q23" s="979"/>
    </row>
    <row r="24" ht="22.5" customHeight="1">
      <c r="A24" s="963">
        <v>39.0</v>
      </c>
      <c r="B24" s="981" t="s">
        <v>1535</v>
      </c>
      <c r="C24" s="965" t="s">
        <v>79</v>
      </c>
      <c r="D24" s="966" t="s">
        <v>1536</v>
      </c>
      <c r="E24" s="967" t="str">
        <f>IMAGE("https://flagcdn.com/w320/br.png")</f>
        <v/>
      </c>
      <c r="F24" s="968">
        <v>35750.0</v>
      </c>
      <c r="G24" s="969">
        <f t="shared" si="2"/>
        <v>28</v>
      </c>
      <c r="H24" s="970">
        <f>1+1+1+1+1+1+1</f>
        <v>7</v>
      </c>
      <c r="I24" s="970">
        <f>90+72+89+64+90+90+44</f>
        <v>539</v>
      </c>
      <c r="J24" s="970"/>
      <c r="K24" s="970"/>
      <c r="L24" s="970">
        <f>1</f>
        <v>1</v>
      </c>
      <c r="M24" s="970"/>
      <c r="N24" s="970"/>
      <c r="O24" s="970">
        <f>1</f>
        <v>1</v>
      </c>
      <c r="P24" s="970">
        <f t="shared" si="4"/>
        <v>0</v>
      </c>
      <c r="Q24" s="970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 ht="22.5" customHeight="1">
      <c r="A25" s="963">
        <v>41.0</v>
      </c>
      <c r="B25" s="964" t="s">
        <v>1537</v>
      </c>
      <c r="C25" s="965" t="s">
        <v>79</v>
      </c>
      <c r="D25" s="966" t="s">
        <v>94</v>
      </c>
      <c r="E25" s="967" t="str">
        <f t="shared" ref="E25:E30" si="14">IMAGE("https://flagcdn.com/w320/gb-eng.png")</f>
        <v/>
      </c>
      <c r="F25" s="968">
        <v>37039.0</v>
      </c>
      <c r="G25" s="969">
        <f t="shared" si="2"/>
        <v>24</v>
      </c>
      <c r="H25" s="970">
        <f>1+1+1+1+1</f>
        <v>5</v>
      </c>
      <c r="I25" s="970">
        <f>62+8+19+1+19</f>
        <v>109</v>
      </c>
      <c r="J25" s="970"/>
      <c r="K25" s="970"/>
      <c r="L25" s="970"/>
      <c r="M25" s="970"/>
      <c r="N25" s="970"/>
      <c r="O25" s="970"/>
      <c r="P25" s="970">
        <f t="shared" si="4"/>
        <v>0</v>
      </c>
      <c r="Q25" s="970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22.5" customHeight="1">
      <c r="A26" s="971">
        <v>59.0</v>
      </c>
      <c r="B26" s="984" t="s">
        <v>1538</v>
      </c>
      <c r="C26" s="985" t="s">
        <v>67</v>
      </c>
      <c r="D26" s="986" t="s">
        <v>94</v>
      </c>
      <c r="E26" s="975" t="str">
        <f t="shared" si="14"/>
        <v/>
      </c>
      <c r="F26" s="987">
        <v>39010.0</v>
      </c>
      <c r="G26" s="977">
        <f t="shared" si="2"/>
        <v>19</v>
      </c>
      <c r="H26" s="978">
        <v>0.0</v>
      </c>
      <c r="I26" s="978">
        <v>0.0</v>
      </c>
      <c r="J26" s="979"/>
      <c r="K26" s="979"/>
      <c r="L26" s="979"/>
      <c r="M26" s="979"/>
      <c r="N26" s="979"/>
      <c r="O26" s="979"/>
      <c r="P26" s="979">
        <f t="shared" si="4"/>
        <v>0</v>
      </c>
      <c r="Q26" s="979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ht="22.5" customHeight="1">
      <c r="A27" s="988">
        <v>61.0</v>
      </c>
      <c r="B27" s="989" t="s">
        <v>1539</v>
      </c>
      <c r="C27" s="973" t="s">
        <v>70</v>
      </c>
      <c r="D27" s="990" t="s">
        <v>94</v>
      </c>
      <c r="E27" s="975" t="str">
        <f t="shared" si="14"/>
        <v/>
      </c>
      <c r="F27" s="976">
        <v>39159.0</v>
      </c>
      <c r="G27" s="977">
        <f t="shared" si="2"/>
        <v>18</v>
      </c>
      <c r="H27" s="978">
        <v>0.0</v>
      </c>
      <c r="I27" s="978">
        <v>0.0</v>
      </c>
      <c r="J27" s="979"/>
      <c r="K27" s="979"/>
      <c r="L27" s="979"/>
      <c r="M27" s="979"/>
      <c r="N27" s="979"/>
      <c r="O27" s="979"/>
      <c r="P27" s="979">
        <f t="shared" si="4"/>
        <v>0</v>
      </c>
      <c r="Q27" s="979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ht="22.5" customHeight="1">
      <c r="A28" s="988">
        <v>62.0</v>
      </c>
      <c r="B28" s="989" t="s">
        <v>1540</v>
      </c>
      <c r="C28" s="973" t="s">
        <v>82</v>
      </c>
      <c r="D28" s="990" t="s">
        <v>94</v>
      </c>
      <c r="E28" s="975" t="str">
        <f t="shared" si="14"/>
        <v/>
      </c>
      <c r="F28" s="976">
        <v>39229.0</v>
      </c>
      <c r="G28" s="977">
        <f t="shared" si="2"/>
        <v>18</v>
      </c>
      <c r="H28" s="978">
        <v>0.0</v>
      </c>
      <c r="I28" s="978">
        <v>0.0</v>
      </c>
      <c r="J28" s="979"/>
      <c r="K28" s="979"/>
      <c r="L28" s="979"/>
      <c r="M28" s="979"/>
      <c r="N28" s="979"/>
      <c r="O28" s="979"/>
      <c r="P28" s="979">
        <f t="shared" si="4"/>
        <v>0</v>
      </c>
      <c r="Q28" s="979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ht="22.5" customHeight="1">
      <c r="A29" s="971">
        <v>67.0</v>
      </c>
      <c r="B29" s="972" t="s">
        <v>1541</v>
      </c>
      <c r="C29" s="973" t="s">
        <v>79</v>
      </c>
      <c r="D29" s="974" t="s">
        <v>94</v>
      </c>
      <c r="E29" s="975" t="str">
        <f t="shared" si="14"/>
        <v/>
      </c>
      <c r="F29" s="976">
        <v>38838.0</v>
      </c>
      <c r="G29" s="977">
        <f t="shared" si="2"/>
        <v>19</v>
      </c>
      <c r="H29" s="978">
        <f>1+1+1+1+1+1</f>
        <v>6</v>
      </c>
      <c r="I29" s="978">
        <f>32+90+26+30+31+46</f>
        <v>255</v>
      </c>
      <c r="J29" s="979">
        <f>1</f>
        <v>1</v>
      </c>
      <c r="K29" s="979"/>
      <c r="L29" s="979"/>
      <c r="M29" s="979"/>
      <c r="N29" s="979"/>
      <c r="O29" s="979"/>
      <c r="P29" s="979">
        <f t="shared" si="4"/>
        <v>1</v>
      </c>
      <c r="Q29" s="979"/>
    </row>
    <row r="30" ht="22.5" customHeight="1">
      <c r="A30" s="971">
        <v>85.0</v>
      </c>
      <c r="B30" s="984" t="s">
        <v>1542</v>
      </c>
      <c r="C30" s="985" t="s">
        <v>79</v>
      </c>
      <c r="D30" s="986" t="s">
        <v>94</v>
      </c>
      <c r="E30" s="975" t="str">
        <f t="shared" si="14"/>
        <v/>
      </c>
      <c r="F30" s="987">
        <v>40003.0</v>
      </c>
      <c r="G30" s="977">
        <f t="shared" si="2"/>
        <v>16</v>
      </c>
      <c r="H30" s="978">
        <v>0.0</v>
      </c>
      <c r="I30" s="978">
        <v>0.0</v>
      </c>
      <c r="J30" s="979"/>
      <c r="K30" s="979"/>
      <c r="L30" s="979"/>
      <c r="M30" s="979"/>
      <c r="N30" s="979"/>
      <c r="O30" s="979"/>
      <c r="P30" s="979">
        <f t="shared" si="4"/>
        <v>0</v>
      </c>
      <c r="Q30" s="979"/>
    </row>
    <row r="31">
      <c r="A31" s="18"/>
      <c r="B31" s="18"/>
      <c r="C31" s="18"/>
      <c r="D31" s="64"/>
      <c r="E31" s="65"/>
      <c r="F31" s="18"/>
      <c r="G31" s="18"/>
      <c r="H31" s="11">
        <f t="shared" ref="H31:Q31" si="15">SUM(H2:H30)</f>
        <v>111</v>
      </c>
      <c r="I31" s="11">
        <f t="shared" si="15"/>
        <v>6930</v>
      </c>
      <c r="J31" s="11">
        <f t="shared" si="15"/>
        <v>16</v>
      </c>
      <c r="K31" s="11">
        <f t="shared" si="15"/>
        <v>11</v>
      </c>
      <c r="L31" s="11">
        <f t="shared" si="15"/>
        <v>11</v>
      </c>
      <c r="M31" s="11">
        <f t="shared" si="15"/>
        <v>0</v>
      </c>
      <c r="N31" s="11">
        <f t="shared" si="15"/>
        <v>4</v>
      </c>
      <c r="O31" s="11">
        <f t="shared" si="15"/>
        <v>1</v>
      </c>
      <c r="P31" s="11">
        <f t="shared" si="15"/>
        <v>27</v>
      </c>
      <c r="Q31" s="11">
        <f t="shared" si="15"/>
        <v>0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ht="22.5" customHeight="1">
      <c r="A32" s="957" t="s">
        <v>150</v>
      </c>
      <c r="B32" s="958" t="s">
        <v>49</v>
      </c>
      <c r="C32" s="958" t="s">
        <v>265</v>
      </c>
      <c r="D32" s="991" t="s">
        <v>56</v>
      </c>
      <c r="E32" s="992" t="s">
        <v>57</v>
      </c>
      <c r="F32" s="958" t="s">
        <v>52</v>
      </c>
      <c r="G32" s="958" t="s">
        <v>53</v>
      </c>
      <c r="H32" s="992" t="s">
        <v>4</v>
      </c>
      <c r="I32" s="992" t="s">
        <v>5</v>
      </c>
      <c r="J32" s="992" t="s">
        <v>6</v>
      </c>
      <c r="K32" s="992" t="s">
        <v>7</v>
      </c>
      <c r="L32" s="992" t="s">
        <v>8</v>
      </c>
      <c r="M32" s="992" t="s">
        <v>9</v>
      </c>
      <c r="N32" s="992" t="s">
        <v>10</v>
      </c>
      <c r="O32" s="12"/>
      <c r="P32" s="12"/>
      <c r="Q32" s="12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22.5" customHeight="1">
      <c r="A33" s="993"/>
      <c r="B33" s="993" t="s">
        <v>1543</v>
      </c>
      <c r="C33" s="994" t="s">
        <v>153</v>
      </c>
      <c r="D33" s="995" t="s">
        <v>94</v>
      </c>
      <c r="E33" s="996" t="str">
        <f>IMAGE("https://flagcdn.com/w320/gb-eng.png")</f>
        <v/>
      </c>
      <c r="F33" s="997">
        <v>28458.0</v>
      </c>
      <c r="G33" s="998">
        <f>DATEDIF(F33,TODAY(),"Y")</f>
        <v>48</v>
      </c>
      <c r="H33" s="999">
        <f>L33+M33+N33</f>
        <v>7</v>
      </c>
      <c r="I33" s="999">
        <f>(3*L33)+M33</f>
        <v>13</v>
      </c>
      <c r="J33" s="999">
        <f>1+4+3+2+1+2+3</f>
        <v>16</v>
      </c>
      <c r="K33" s="999">
        <f>2+2+2</f>
        <v>6</v>
      </c>
      <c r="L33" s="1000">
        <f>1+1+1+1</f>
        <v>4</v>
      </c>
      <c r="M33" s="1001">
        <f>1</f>
        <v>1</v>
      </c>
      <c r="N33" s="1002">
        <f>1+1</f>
        <v>2</v>
      </c>
      <c r="O33" s="12"/>
      <c r="P33" s="12"/>
      <c r="Q33" s="12"/>
    </row>
    <row r="34">
      <c r="A34" s="18"/>
      <c r="B34" s="18"/>
      <c r="C34" s="18"/>
      <c r="D34" s="64"/>
      <c r="E34" s="65"/>
      <c r="F34" s="18"/>
      <c r="G34" s="18"/>
      <c r="H34" s="11">
        <f t="shared" ref="H34:N34" si="16">SUM(H33)</f>
        <v>7</v>
      </c>
      <c r="I34" s="11">
        <f t="shared" si="16"/>
        <v>13</v>
      </c>
      <c r="J34" s="11">
        <f t="shared" si="16"/>
        <v>16</v>
      </c>
      <c r="K34" s="11">
        <f t="shared" si="16"/>
        <v>6</v>
      </c>
      <c r="L34" s="11">
        <f t="shared" si="16"/>
        <v>4</v>
      </c>
      <c r="M34" s="11">
        <f t="shared" si="16"/>
        <v>1</v>
      </c>
      <c r="N34" s="11">
        <f t="shared" si="16"/>
        <v>2</v>
      </c>
      <c r="O34" s="11"/>
      <c r="P34" s="11"/>
      <c r="Q34" s="11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ht="22.5" customHeight="1">
      <c r="A35" s="957" t="s">
        <v>156</v>
      </c>
      <c r="B35" s="957" t="s">
        <v>157</v>
      </c>
      <c r="C35" s="957" t="s">
        <v>158</v>
      </c>
      <c r="D35" s="961" t="s">
        <v>1544</v>
      </c>
      <c r="E35" s="957" t="s">
        <v>160</v>
      </c>
      <c r="F35" s="957" t="s">
        <v>161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22.5" customHeight="1">
      <c r="A36" s="77">
        <v>1.0</v>
      </c>
      <c r="B36" s="78" t="s">
        <v>26</v>
      </c>
      <c r="C36" s="78" t="s">
        <v>25</v>
      </c>
      <c r="D36" s="83" t="s">
        <v>1545</v>
      </c>
      <c r="E36" s="84">
        <v>45659.0</v>
      </c>
      <c r="F36" s="78" t="s">
        <v>385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ht="22.5" customHeight="1">
      <c r="A37" s="86">
        <v>2.0</v>
      </c>
      <c r="B37" s="847" t="s">
        <v>37</v>
      </c>
      <c r="C37" s="87" t="s">
        <v>26</v>
      </c>
      <c r="D37" s="88" t="s">
        <v>1546</v>
      </c>
      <c r="E37" s="161" t="s">
        <v>1045</v>
      </c>
      <c r="F37" s="87" t="s">
        <v>338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22.5" customHeight="1">
      <c r="A38" s="86">
        <v>3.0</v>
      </c>
      <c r="B38" s="847" t="s">
        <v>26</v>
      </c>
      <c r="C38" s="847" t="s">
        <v>42</v>
      </c>
      <c r="D38" s="88" t="s">
        <v>1547</v>
      </c>
      <c r="E38" s="161" t="s">
        <v>560</v>
      </c>
      <c r="F38" s="87" t="s">
        <v>385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22.5" customHeight="1">
      <c r="A39" s="86">
        <v>4.0</v>
      </c>
      <c r="B39" s="847" t="s">
        <v>26</v>
      </c>
      <c r="C39" s="847" t="s">
        <v>40</v>
      </c>
      <c r="D39" s="88" t="s">
        <v>1548</v>
      </c>
      <c r="E39" s="161" t="s">
        <v>271</v>
      </c>
      <c r="F39" s="87" t="s">
        <v>385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22.5" customHeight="1">
      <c r="A40" s="77">
        <v>5.0</v>
      </c>
      <c r="B40" s="78" t="s">
        <v>28</v>
      </c>
      <c r="C40" s="697" t="s">
        <v>26</v>
      </c>
      <c r="D40" s="83" t="s">
        <v>1549</v>
      </c>
      <c r="E40" s="84">
        <v>45689.0</v>
      </c>
      <c r="F40" s="78" t="s">
        <v>165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22.5" customHeight="1">
      <c r="A41" s="197">
        <v>6.0</v>
      </c>
      <c r="B41" s="727" t="s">
        <v>31</v>
      </c>
      <c r="C41" s="198" t="s">
        <v>26</v>
      </c>
      <c r="D41" s="264" t="s">
        <v>1550</v>
      </c>
      <c r="E41" s="265">
        <v>45690.0</v>
      </c>
      <c r="F41" s="198" t="s">
        <v>1204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22.5" customHeight="1">
      <c r="A42" s="86">
        <v>7.0</v>
      </c>
      <c r="B42" s="87" t="s">
        <v>26</v>
      </c>
      <c r="C42" s="847" t="s">
        <v>30</v>
      </c>
      <c r="D42" s="88" t="s">
        <v>1551</v>
      </c>
      <c r="E42" s="161" t="s">
        <v>560</v>
      </c>
      <c r="F42" s="87" t="s">
        <v>385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22.5" customHeight="1">
      <c r="A43" s="90">
        <v>8.0</v>
      </c>
      <c r="B43" s="925" t="s">
        <v>15</v>
      </c>
      <c r="C43" s="91" t="s">
        <v>26</v>
      </c>
      <c r="D43" s="92"/>
      <c r="E43" s="93"/>
      <c r="F43" s="94" t="s">
        <v>328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>
      <c r="D44" s="95"/>
      <c r="E44" s="14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>
      <c r="D45" s="95"/>
      <c r="E45" s="14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>
      <c r="D46" s="95"/>
      <c r="E46" s="14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>
      <c r="D47" s="95"/>
      <c r="E47" s="14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>
      <c r="D48" s="95"/>
      <c r="E48" s="14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>
      <c r="D49" s="95"/>
      <c r="E49" s="14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>
      <c r="D50" s="95"/>
      <c r="E50" s="14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>
      <c r="D51" s="95"/>
      <c r="E51" s="14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>
      <c r="D52" s="95"/>
      <c r="E52" s="14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>
      <c r="D53" s="95"/>
      <c r="E53" s="14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>
      <c r="D54" s="95"/>
      <c r="E54" s="14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>
      <c r="D55" s="95"/>
      <c r="E55" s="14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>
      <c r="D56" s="95"/>
      <c r="E56" s="14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>
      <c r="D57" s="95"/>
      <c r="E57" s="14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>
      <c r="D58" s="95"/>
      <c r="E58" s="14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>
      <c r="D59" s="95"/>
      <c r="E59" s="14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>
      <c r="D60" s="95"/>
      <c r="E60" s="14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>
      <c r="D61" s="95"/>
      <c r="E61" s="14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>
      <c r="D62" s="95"/>
      <c r="E62" s="14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>
      <c r="D63" s="95"/>
      <c r="E63" s="14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>
      <c r="D64" s="95"/>
      <c r="E64" s="14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>
      <c r="D65" s="95"/>
      <c r="E65" s="14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>
      <c r="D66" s="95"/>
      <c r="E66" s="14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>
      <c r="D67" s="95"/>
      <c r="E67" s="14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>
      <c r="D68" s="95"/>
      <c r="E68" s="14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>
      <c r="D69" s="95"/>
      <c r="E69" s="14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>
      <c r="D70" s="95"/>
      <c r="E70" s="14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>
      <c r="D71" s="95"/>
      <c r="E71" s="14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>
      <c r="D72" s="95"/>
      <c r="E72" s="14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>
      <c r="D73" s="95"/>
      <c r="E73" s="14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>
      <c r="D74" s="95"/>
      <c r="E74" s="14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>
      <c r="D75" s="95"/>
      <c r="E75" s="14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>
      <c r="D76" s="95"/>
      <c r="E76" s="14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>
      <c r="D77" s="95"/>
      <c r="E77" s="14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>
      <c r="D78" s="95"/>
      <c r="E78" s="14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>
      <c r="D79" s="95"/>
      <c r="E79" s="14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>
      <c r="D80" s="95"/>
      <c r="E80" s="14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>
      <c r="D81" s="95"/>
      <c r="E81" s="14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>
      <c r="D82" s="95"/>
      <c r="E82" s="14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>
      <c r="D83" s="95"/>
      <c r="E83" s="14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>
      <c r="D84" s="95"/>
      <c r="E84" s="14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>
      <c r="D85" s="95"/>
      <c r="E85" s="14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>
      <c r="D86" s="95"/>
      <c r="E86" s="14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>
      <c r="D87" s="95"/>
      <c r="E87" s="14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>
      <c r="D88" s="95"/>
      <c r="E88" s="14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>
      <c r="D89" s="95"/>
      <c r="E89" s="14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>
      <c r="D90" s="95"/>
      <c r="E90" s="14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>
      <c r="D91" s="95"/>
      <c r="E91" s="14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>
      <c r="D92" s="95"/>
      <c r="E92" s="14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>
      <c r="D93" s="95"/>
      <c r="E93" s="14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>
      <c r="D94" s="95"/>
      <c r="E94" s="14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>
      <c r="D95" s="95"/>
      <c r="E95" s="14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>
      <c r="D96" s="95"/>
      <c r="E96" s="14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>
      <c r="D97" s="95"/>
      <c r="E97" s="14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>
      <c r="D98" s="95"/>
      <c r="E98" s="14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>
      <c r="D99" s="95"/>
      <c r="E99" s="14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>
      <c r="D100" s="95"/>
      <c r="E100" s="14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>
      <c r="D101" s="95"/>
      <c r="E101" s="14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>
      <c r="D102" s="95"/>
      <c r="E102" s="14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>
      <c r="D103" s="95"/>
      <c r="E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D104" s="95"/>
      <c r="E104" s="14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D105" s="95"/>
      <c r="E105" s="14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D106" s="95"/>
      <c r="E106" s="14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D107" s="95"/>
      <c r="E107" s="14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>
      <c r="D108" s="95"/>
      <c r="E108" s="14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>
      <c r="D109" s="95"/>
      <c r="E109" s="14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>
      <c r="D110" s="95"/>
      <c r="E110" s="14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>
      <c r="D111" s="95"/>
      <c r="E111" s="14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>
      <c r="D112" s="95"/>
      <c r="E112" s="14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>
      <c r="D113" s="95"/>
      <c r="E113" s="14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>
      <c r="D114" s="95"/>
      <c r="E114" s="14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>
      <c r="D115" s="95"/>
      <c r="E115" s="14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>
      <c r="D116" s="95"/>
      <c r="E116" s="14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>
      <c r="D117" s="95"/>
      <c r="E117" s="14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>
      <c r="D118" s="95"/>
      <c r="E118" s="14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>
      <c r="D119" s="95"/>
      <c r="E119" s="14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>
      <c r="D120" s="95"/>
      <c r="E120" s="14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>
      <c r="D121" s="95"/>
      <c r="E121" s="14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>
      <c r="D122" s="95"/>
      <c r="E122" s="14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>
      <c r="D123" s="95"/>
      <c r="E123" s="14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>
      <c r="D124" s="95"/>
      <c r="E124" s="14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>
      <c r="D125" s="95"/>
      <c r="E125" s="14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>
      <c r="D126" s="95"/>
      <c r="E126" s="14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>
      <c r="D127" s="95"/>
      <c r="E127" s="14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>
      <c r="D128" s="95"/>
      <c r="E128" s="14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>
      <c r="D129" s="95"/>
      <c r="E129" s="14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>
      <c r="D130" s="95"/>
      <c r="E130" s="14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>
      <c r="D131" s="95"/>
      <c r="E131" s="14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>
      <c r="D132" s="95"/>
      <c r="E132" s="14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>
      <c r="D133" s="95"/>
      <c r="E133" s="14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>
      <c r="D134" s="95"/>
      <c r="E134" s="14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D135" s="95"/>
      <c r="E135" s="14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>
      <c r="D136" s="95"/>
      <c r="E136" s="14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>
      <c r="D137" s="95"/>
      <c r="E137" s="14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>
      <c r="D138" s="95"/>
      <c r="E138" s="14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>
      <c r="D139" s="95"/>
      <c r="E139" s="14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>
      <c r="D140" s="95"/>
      <c r="E140" s="14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>
      <c r="D141" s="95"/>
      <c r="E141" s="14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>
      <c r="D142" s="95"/>
      <c r="E142" s="14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>
      <c r="D143" s="95"/>
      <c r="E143" s="14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>
      <c r="D144" s="95"/>
      <c r="E144" s="14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>
      <c r="D145" s="95"/>
      <c r="E145" s="14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>
      <c r="D146" s="95"/>
      <c r="E146" s="14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>
      <c r="D147" s="95"/>
      <c r="E147" s="14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>
      <c r="D148" s="95"/>
      <c r="E148" s="14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>
      <c r="D149" s="95"/>
      <c r="E149" s="14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>
      <c r="D150" s="95"/>
      <c r="E150" s="14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>
      <c r="D151" s="95"/>
      <c r="E151" s="14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>
      <c r="D152" s="95"/>
      <c r="E152" s="14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>
      <c r="D153" s="95"/>
      <c r="E153" s="14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>
      <c r="D154" s="95"/>
      <c r="E154" s="14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>
      <c r="D155" s="95"/>
      <c r="E155" s="14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>
      <c r="D156" s="95"/>
      <c r="E156" s="14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>
      <c r="D157" s="95"/>
      <c r="E157" s="14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>
      <c r="D158" s="95"/>
      <c r="E158" s="14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>
      <c r="D159" s="95"/>
      <c r="E159" s="14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>
      <c r="D160" s="95"/>
      <c r="E160" s="14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>
      <c r="D161" s="95"/>
      <c r="E161" s="14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>
      <c r="D162" s="95"/>
      <c r="E162" s="14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>
      <c r="D163" s="95"/>
      <c r="E163" s="14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>
      <c r="D164" s="95"/>
      <c r="E164" s="14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>
      <c r="D165" s="95"/>
      <c r="E165" s="14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>
      <c r="D166" s="95"/>
      <c r="E166" s="14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>
      <c r="D167" s="95"/>
      <c r="E167" s="14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>
      <c r="D168" s="95"/>
      <c r="E168" s="14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D169" s="95"/>
      <c r="E169" s="14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D170" s="95"/>
      <c r="E170" s="14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>
      <c r="D171" s="95"/>
      <c r="E171" s="14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>
      <c r="D172" s="95"/>
      <c r="E172" s="14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D173" s="95"/>
      <c r="E173" s="14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>
      <c r="D174" s="95"/>
      <c r="E174" s="14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>
      <c r="D175" s="95"/>
      <c r="E175" s="14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>
      <c r="D176" s="95"/>
      <c r="E176" s="14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>
      <c r="D177" s="95"/>
      <c r="E177" s="14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>
      <c r="D178" s="95"/>
      <c r="E178" s="14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D179" s="95"/>
      <c r="E179" s="14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D180" s="95"/>
      <c r="E180" s="14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D181" s="95"/>
      <c r="E181" s="14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D182" s="95"/>
      <c r="E182" s="14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D183" s="95"/>
      <c r="E183" s="14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>
      <c r="D184" s="95"/>
      <c r="E184" s="14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>
      <c r="D185" s="95"/>
      <c r="E185" s="14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>
      <c r="D186" s="95"/>
      <c r="E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>
      <c r="D187" s="95"/>
      <c r="E187" s="14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>
      <c r="D188" s="95"/>
      <c r="E188" s="14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>
      <c r="D189" s="95"/>
      <c r="E189" s="14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>
      <c r="D190" s="95"/>
      <c r="E190" s="14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>
      <c r="D191" s="95"/>
      <c r="E191" s="14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>
      <c r="D192" s="95"/>
      <c r="E192" s="14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>
      <c r="D193" s="95"/>
      <c r="E193" s="14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>
      <c r="D194" s="95"/>
      <c r="E194" s="14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>
      <c r="D195" s="95"/>
      <c r="E195" s="14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>
      <c r="D196" s="95"/>
      <c r="E196" s="14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>
      <c r="D197" s="95"/>
      <c r="E197" s="14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>
      <c r="D198" s="95"/>
      <c r="E198" s="14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>
      <c r="D199" s="95"/>
      <c r="E199" s="14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>
      <c r="D200" s="95"/>
      <c r="E200" s="14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>
      <c r="D201" s="95"/>
      <c r="E201" s="14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>
      <c r="D202" s="95"/>
      <c r="E202" s="14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>
      <c r="D203" s="95"/>
      <c r="E203" s="14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>
      <c r="D204" s="95"/>
      <c r="E204" s="14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>
      <c r="D205" s="95"/>
      <c r="E205" s="14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>
      <c r="D206" s="95"/>
      <c r="E206" s="14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>
      <c r="D207" s="95"/>
      <c r="E207" s="14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>
      <c r="D208" s="95"/>
      <c r="E208" s="14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>
      <c r="D209" s="95"/>
      <c r="E209" s="14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>
      <c r="D210" s="95"/>
      <c r="E210" s="14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>
      <c r="D211" s="95"/>
      <c r="E211" s="14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>
      <c r="D212" s="95"/>
      <c r="E212" s="14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>
      <c r="D213" s="95"/>
      <c r="E213" s="14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>
      <c r="D214" s="95"/>
      <c r="E214" s="14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>
      <c r="D215" s="95"/>
      <c r="E215" s="14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>
      <c r="D216" s="95"/>
      <c r="E216" s="14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>
      <c r="D217" s="95"/>
      <c r="E217" s="14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>
      <c r="D218" s="95"/>
      <c r="E218" s="14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>
      <c r="D219" s="95"/>
      <c r="E219" s="14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>
      <c r="D220" s="95"/>
      <c r="E220" s="14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>
      <c r="D221" s="95"/>
      <c r="E221" s="14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>
      <c r="D222" s="95"/>
      <c r="E222" s="14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>
      <c r="D223" s="95"/>
      <c r="E223" s="14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>
      <c r="D224" s="95"/>
      <c r="E224" s="14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>
      <c r="D225" s="95"/>
      <c r="E225" s="14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>
      <c r="D226" s="95"/>
      <c r="E226" s="14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>
      <c r="D227" s="95"/>
      <c r="E227" s="14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>
      <c r="D228" s="95"/>
      <c r="E228" s="14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>
      <c r="D229" s="95"/>
      <c r="E229" s="14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>
      <c r="D230" s="95"/>
      <c r="E230" s="14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>
      <c r="D231" s="95"/>
      <c r="E231" s="14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>
      <c r="D232" s="95"/>
      <c r="E232" s="14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>
      <c r="D233" s="95"/>
      <c r="E233" s="14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>
      <c r="D234" s="95"/>
      <c r="E234" s="14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>
      <c r="D235" s="95"/>
      <c r="E235" s="14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>
      <c r="D236" s="95"/>
      <c r="E236" s="14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>
      <c r="D237" s="95"/>
      <c r="E237" s="14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>
      <c r="D238" s="95"/>
      <c r="E238" s="14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>
      <c r="D239" s="95"/>
      <c r="E239" s="14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>
      <c r="D240" s="95"/>
      <c r="E240" s="14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>
      <c r="D241" s="95"/>
      <c r="E241" s="14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>
      <c r="D242" s="95"/>
      <c r="E242" s="14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>
      <c r="D243" s="95"/>
      <c r="E243" s="14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>
      <c r="D244" s="95"/>
      <c r="E244" s="14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>
      <c r="D245" s="95"/>
      <c r="E245" s="14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>
      <c r="D246" s="95"/>
      <c r="E246" s="14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>
      <c r="D247" s="95"/>
      <c r="E247" s="14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>
      <c r="D248" s="95"/>
      <c r="E248" s="14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>
      <c r="D249" s="95"/>
      <c r="E249" s="14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>
      <c r="D250" s="95"/>
      <c r="E250" s="14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>
      <c r="D251" s="95"/>
      <c r="E251" s="14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>
      <c r="D252" s="95"/>
      <c r="E252" s="14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>
      <c r="D253" s="95"/>
      <c r="E253" s="14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>
      <c r="D254" s="95"/>
      <c r="E254" s="14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>
      <c r="D255" s="95"/>
      <c r="E255" s="14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>
      <c r="D256" s="95"/>
      <c r="E256" s="14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>
      <c r="D257" s="95"/>
      <c r="E257" s="14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>
      <c r="D258" s="95"/>
      <c r="E258" s="14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>
      <c r="D259" s="95"/>
      <c r="E259" s="14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>
      <c r="D260" s="95"/>
      <c r="E260" s="14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>
      <c r="D261" s="95"/>
      <c r="E261" s="14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>
      <c r="D262" s="95"/>
      <c r="E262" s="14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>
      <c r="D263" s="95"/>
      <c r="E263" s="14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>
      <c r="D264" s="95"/>
      <c r="E264" s="14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>
      <c r="D265" s="95"/>
      <c r="E265" s="14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>
      <c r="D266" s="95"/>
      <c r="E266" s="14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>
      <c r="D267" s="95"/>
      <c r="E267" s="14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>
      <c r="D268" s="95"/>
      <c r="E268" s="14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>
      <c r="D269" s="95"/>
      <c r="E269" s="14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>
      <c r="D270" s="95"/>
      <c r="E270" s="14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>
      <c r="D271" s="95"/>
      <c r="E271" s="14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>
      <c r="D272" s="95"/>
      <c r="E272" s="14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>
      <c r="D273" s="95"/>
      <c r="E273" s="14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>
      <c r="D274" s="95"/>
      <c r="E274" s="14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>
      <c r="D275" s="95"/>
      <c r="E275" s="14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>
      <c r="D276" s="95"/>
      <c r="E276" s="14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>
      <c r="D277" s="95"/>
      <c r="E277" s="14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>
      <c r="D278" s="95"/>
      <c r="E278" s="14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>
      <c r="D279" s="95"/>
      <c r="E279" s="14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>
      <c r="D280" s="95"/>
      <c r="E280" s="14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>
      <c r="D281" s="95"/>
      <c r="E281" s="14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>
      <c r="D282" s="95"/>
      <c r="E282" s="14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>
      <c r="D283" s="95"/>
      <c r="E283" s="14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>
      <c r="D284" s="95"/>
      <c r="E284" s="14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>
      <c r="D285" s="95"/>
      <c r="E285" s="14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>
      <c r="D286" s="95"/>
      <c r="E286" s="14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>
      <c r="D287" s="95"/>
      <c r="E287" s="14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>
      <c r="D288" s="95"/>
      <c r="E288" s="14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>
      <c r="D289" s="95"/>
      <c r="E289" s="14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>
      <c r="D290" s="95"/>
      <c r="E290" s="14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>
      <c r="D291" s="95"/>
      <c r="E291" s="14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>
      <c r="D292" s="95"/>
      <c r="E292" s="14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>
      <c r="D293" s="95"/>
      <c r="E293" s="14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>
      <c r="D294" s="95"/>
      <c r="E294" s="14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>
      <c r="D295" s="95"/>
      <c r="E295" s="14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>
      <c r="D296" s="95"/>
      <c r="E296" s="14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>
      <c r="D297" s="95"/>
      <c r="E297" s="14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>
      <c r="D298" s="95"/>
      <c r="E298" s="14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>
      <c r="D299" s="95"/>
      <c r="E299" s="14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>
      <c r="D300" s="95"/>
      <c r="E300" s="14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>
      <c r="D301" s="95"/>
      <c r="E301" s="14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>
      <c r="D302" s="95"/>
      <c r="E302" s="14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>
      <c r="D303" s="95"/>
      <c r="E303" s="14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>
      <c r="D304" s="95"/>
      <c r="E304" s="14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>
      <c r="D305" s="95"/>
      <c r="E305" s="14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>
      <c r="D306" s="95"/>
      <c r="E306" s="14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>
      <c r="D307" s="95"/>
      <c r="E307" s="14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>
      <c r="D308" s="95"/>
      <c r="E308" s="14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>
      <c r="D309" s="95"/>
      <c r="E309" s="14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>
      <c r="D310" s="95"/>
      <c r="E310" s="14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>
      <c r="D311" s="95"/>
      <c r="E311" s="14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>
      <c r="D312" s="95"/>
      <c r="E312" s="14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>
      <c r="D313" s="95"/>
      <c r="E313" s="14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>
      <c r="D314" s="95"/>
      <c r="E314" s="14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>
      <c r="D315" s="95"/>
      <c r="E315" s="14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>
      <c r="D316" s="95"/>
      <c r="E316" s="14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>
      <c r="D317" s="95"/>
      <c r="E317" s="14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>
      <c r="D318" s="95"/>
      <c r="E318" s="14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>
      <c r="D319" s="95"/>
      <c r="E319" s="14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>
      <c r="D320" s="95"/>
      <c r="E320" s="14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>
      <c r="D321" s="95"/>
      <c r="E321" s="14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>
      <c r="D322" s="95"/>
      <c r="E322" s="14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>
      <c r="D323" s="95"/>
      <c r="E323" s="14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>
      <c r="D324" s="95"/>
      <c r="E324" s="14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>
      <c r="D325" s="95"/>
      <c r="E325" s="14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>
      <c r="D326" s="95"/>
      <c r="E326" s="14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>
      <c r="D327" s="95"/>
      <c r="E327" s="14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>
      <c r="D328" s="95"/>
      <c r="E328" s="14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>
      <c r="D329" s="95"/>
      <c r="E329" s="14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>
      <c r="D330" s="95"/>
      <c r="E330" s="14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>
      <c r="D331" s="95"/>
      <c r="E331" s="14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>
      <c r="D332" s="95"/>
      <c r="E332" s="14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>
      <c r="D333" s="95"/>
      <c r="E333" s="14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>
      <c r="D334" s="95"/>
      <c r="E334" s="14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>
      <c r="D335" s="95"/>
      <c r="E335" s="14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>
      <c r="D336" s="95"/>
      <c r="E336" s="14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>
      <c r="D337" s="95"/>
      <c r="E337" s="14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>
      <c r="D338" s="95"/>
      <c r="E338" s="14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>
      <c r="D339" s="95"/>
      <c r="E339" s="14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>
      <c r="D340" s="95"/>
      <c r="E340" s="14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>
      <c r="D341" s="95"/>
      <c r="E341" s="14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>
      <c r="D342" s="95"/>
      <c r="E342" s="14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>
      <c r="D343" s="95"/>
      <c r="E343" s="14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>
      <c r="D344" s="95"/>
      <c r="E344" s="14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>
      <c r="D345" s="95"/>
      <c r="E345" s="14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>
      <c r="D346" s="95"/>
      <c r="E346" s="14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>
      <c r="D347" s="95"/>
      <c r="E347" s="14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>
      <c r="D348" s="95"/>
      <c r="E348" s="14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>
      <c r="D349" s="95"/>
      <c r="E349" s="14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>
      <c r="D350" s="95"/>
      <c r="E350" s="14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>
      <c r="D351" s="95"/>
      <c r="E351" s="14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>
      <c r="D352" s="95"/>
      <c r="E352" s="14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>
      <c r="D353" s="95"/>
      <c r="E353" s="14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>
      <c r="D354" s="95"/>
      <c r="E354" s="14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>
      <c r="D355" s="95"/>
      <c r="E355" s="14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>
      <c r="D356" s="95"/>
      <c r="E356" s="14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>
      <c r="D357" s="95"/>
      <c r="E357" s="14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>
      <c r="D358" s="95"/>
      <c r="E358" s="14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>
      <c r="D359" s="95"/>
      <c r="E359" s="14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>
      <c r="D360" s="95"/>
      <c r="E360" s="14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>
      <c r="D361" s="95"/>
      <c r="E361" s="14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>
      <c r="D362" s="95"/>
      <c r="E362" s="14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>
      <c r="D363" s="95"/>
      <c r="E363" s="14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>
      <c r="D364" s="95"/>
      <c r="E364" s="14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>
      <c r="D365" s="95"/>
      <c r="E365" s="14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>
      <c r="D366" s="95"/>
      <c r="E366" s="14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>
      <c r="D367" s="95"/>
      <c r="E367" s="14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>
      <c r="D368" s="95"/>
      <c r="E368" s="14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>
      <c r="D369" s="95"/>
      <c r="E369" s="14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>
      <c r="D370" s="95"/>
      <c r="E370" s="14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>
      <c r="D371" s="95"/>
      <c r="E371" s="14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>
      <c r="D372" s="95"/>
      <c r="E372" s="14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>
      <c r="D373" s="95"/>
      <c r="E373" s="14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>
      <c r="D374" s="95"/>
      <c r="E374" s="14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>
      <c r="D375" s="95"/>
      <c r="E375" s="14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>
      <c r="D376" s="95"/>
      <c r="E376" s="14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>
      <c r="D377" s="95"/>
      <c r="E377" s="14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>
      <c r="D378" s="95"/>
      <c r="E378" s="14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>
      <c r="D379" s="95"/>
      <c r="E379" s="14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>
      <c r="D380" s="95"/>
      <c r="E380" s="14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>
      <c r="D381" s="95"/>
      <c r="E381" s="14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>
      <c r="D382" s="95"/>
      <c r="E382" s="14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>
      <c r="D383" s="95"/>
      <c r="E383" s="14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>
      <c r="D384" s="95"/>
      <c r="E384" s="14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>
      <c r="D385" s="95"/>
      <c r="E385" s="14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>
      <c r="D386" s="95"/>
      <c r="E386" s="14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>
      <c r="D387" s="95"/>
      <c r="E387" s="14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>
      <c r="D388" s="95"/>
      <c r="E388" s="14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>
      <c r="D389" s="95"/>
      <c r="E389" s="14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>
      <c r="D390" s="95"/>
      <c r="E390" s="14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>
      <c r="D391" s="95"/>
      <c r="E391" s="14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>
      <c r="D392" s="95"/>
      <c r="E392" s="14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>
      <c r="D393" s="95"/>
      <c r="E393" s="14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>
      <c r="D394" s="95"/>
      <c r="E394" s="14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>
      <c r="D395" s="95"/>
      <c r="E395" s="14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>
      <c r="D396" s="95"/>
      <c r="E396" s="14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>
      <c r="D397" s="95"/>
      <c r="E397" s="14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>
      <c r="D398" s="95"/>
      <c r="E398" s="14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>
      <c r="D399" s="95"/>
      <c r="E399" s="14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>
      <c r="D400" s="95"/>
      <c r="E400" s="14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>
      <c r="D401" s="95"/>
      <c r="E401" s="14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>
      <c r="D402" s="95"/>
      <c r="E402" s="14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>
      <c r="D403" s="95"/>
      <c r="E403" s="14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>
      <c r="D404" s="95"/>
      <c r="E404" s="14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>
      <c r="D405" s="95"/>
      <c r="E405" s="14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>
      <c r="D406" s="95"/>
      <c r="E406" s="14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>
      <c r="D407" s="95"/>
      <c r="E407" s="14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>
      <c r="D408" s="95"/>
      <c r="E408" s="14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>
      <c r="D409" s="95"/>
      <c r="E409" s="14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>
      <c r="D410" s="95"/>
      <c r="E410" s="14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>
      <c r="D411" s="95"/>
      <c r="E411" s="14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>
      <c r="D412" s="95"/>
      <c r="E412" s="14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>
      <c r="D413" s="95"/>
      <c r="E413" s="14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>
      <c r="D414" s="95"/>
      <c r="E414" s="14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>
      <c r="D415" s="95"/>
      <c r="E415" s="14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>
      <c r="D416" s="95"/>
      <c r="E416" s="14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>
      <c r="D417" s="95"/>
      <c r="E417" s="14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>
      <c r="D418" s="95"/>
      <c r="E418" s="14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>
      <c r="D419" s="95"/>
      <c r="E419" s="14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>
      <c r="D420" s="95"/>
      <c r="E420" s="14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>
      <c r="D421" s="95"/>
      <c r="E421" s="14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>
      <c r="D422" s="95"/>
      <c r="E422" s="14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>
      <c r="D423" s="95"/>
      <c r="E423" s="14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>
      <c r="D424" s="95"/>
      <c r="E424" s="14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>
      <c r="D425" s="95"/>
      <c r="E425" s="14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>
      <c r="D426" s="95"/>
      <c r="E426" s="14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>
      <c r="D427" s="95"/>
      <c r="E427" s="14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>
      <c r="D428" s="95"/>
      <c r="E428" s="14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>
      <c r="D429" s="95"/>
      <c r="E429" s="14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>
      <c r="D430" s="95"/>
      <c r="E430" s="14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>
      <c r="D431" s="95"/>
      <c r="E431" s="14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>
      <c r="D432" s="95"/>
      <c r="E432" s="14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>
      <c r="D433" s="95"/>
      <c r="E433" s="14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>
      <c r="D434" s="95"/>
      <c r="E434" s="14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>
      <c r="D435" s="95"/>
      <c r="E435" s="14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>
      <c r="D436" s="95"/>
      <c r="E436" s="14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>
      <c r="D437" s="95"/>
      <c r="E437" s="14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>
      <c r="D438" s="95"/>
      <c r="E438" s="14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>
      <c r="D439" s="95"/>
      <c r="E439" s="14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>
      <c r="D440" s="95"/>
      <c r="E440" s="14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>
      <c r="D441" s="95"/>
      <c r="E441" s="14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>
      <c r="D442" s="95"/>
      <c r="E442" s="14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>
      <c r="D443" s="95"/>
      <c r="E443" s="14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>
      <c r="D444" s="95"/>
      <c r="E444" s="14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>
      <c r="D445" s="95"/>
      <c r="E445" s="14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>
      <c r="D446" s="95"/>
      <c r="E446" s="14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>
      <c r="D447" s="95"/>
      <c r="E447" s="14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>
      <c r="D448" s="95"/>
      <c r="E448" s="14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>
      <c r="D449" s="95"/>
      <c r="E449" s="14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>
      <c r="D450" s="95"/>
      <c r="E450" s="14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>
      <c r="D451" s="95"/>
      <c r="E451" s="14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>
      <c r="D452" s="95"/>
      <c r="E452" s="14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>
      <c r="D453" s="95"/>
      <c r="E453" s="14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>
      <c r="D454" s="95"/>
      <c r="E454" s="14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>
      <c r="D455" s="95"/>
      <c r="E455" s="14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>
      <c r="D456" s="95"/>
      <c r="E456" s="14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>
      <c r="D457" s="95"/>
      <c r="E457" s="14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>
      <c r="D458" s="95"/>
      <c r="E458" s="14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>
      <c r="D459" s="95"/>
      <c r="E459" s="14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>
      <c r="D460" s="95"/>
      <c r="E460" s="14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>
      <c r="D461" s="95"/>
      <c r="E461" s="14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>
      <c r="D462" s="95"/>
      <c r="E462" s="14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>
      <c r="D463" s="95"/>
      <c r="E463" s="14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>
      <c r="D464" s="95"/>
      <c r="E464" s="14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>
      <c r="D465" s="95"/>
      <c r="E465" s="14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>
      <c r="D466" s="95"/>
      <c r="E466" s="14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>
      <c r="D467" s="95"/>
      <c r="E467" s="14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>
      <c r="D468" s="95"/>
      <c r="E468" s="14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>
      <c r="D469" s="95"/>
      <c r="E469" s="14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>
      <c r="D470" s="95"/>
      <c r="E470" s="14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>
      <c r="D471" s="95"/>
      <c r="E471" s="14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>
      <c r="D472" s="95"/>
      <c r="E472" s="14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>
      <c r="D473" s="95"/>
      <c r="E473" s="14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>
      <c r="D474" s="95"/>
      <c r="E474" s="14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>
      <c r="D475" s="95"/>
      <c r="E475" s="14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>
      <c r="D476" s="95"/>
      <c r="E476" s="14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>
      <c r="D477" s="95"/>
      <c r="E477" s="14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>
      <c r="D478" s="95"/>
      <c r="E478" s="14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>
      <c r="D479" s="95"/>
      <c r="E479" s="14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>
      <c r="D480" s="95"/>
      <c r="E480" s="14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>
      <c r="D481" s="95"/>
      <c r="E481" s="14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>
      <c r="D482" s="95"/>
      <c r="E482" s="14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>
      <c r="D483" s="95"/>
      <c r="E483" s="14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>
      <c r="D484" s="95"/>
      <c r="E484" s="14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>
      <c r="D485" s="95"/>
      <c r="E485" s="14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>
      <c r="D486" s="95"/>
      <c r="E486" s="14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>
      <c r="D487" s="95"/>
      <c r="E487" s="14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>
      <c r="D488" s="95"/>
      <c r="E488" s="14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>
      <c r="D489" s="95"/>
      <c r="E489" s="14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>
      <c r="D490" s="95"/>
      <c r="E490" s="14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>
      <c r="D491" s="95"/>
      <c r="E491" s="14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>
      <c r="D492" s="95"/>
      <c r="E492" s="14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>
      <c r="D493" s="95"/>
      <c r="E493" s="14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>
      <c r="D494" s="95"/>
      <c r="E494" s="14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>
      <c r="D495" s="95"/>
      <c r="E495" s="14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>
      <c r="D496" s="95"/>
      <c r="E496" s="14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>
      <c r="D497" s="95"/>
      <c r="E497" s="14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>
      <c r="D498" s="95"/>
      <c r="E498" s="14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>
      <c r="D499" s="95"/>
      <c r="E499" s="14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>
      <c r="D500" s="95"/>
      <c r="E500" s="14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>
      <c r="D501" s="95"/>
      <c r="E501" s="14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>
      <c r="D502" s="95"/>
      <c r="E502" s="14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>
      <c r="D503" s="95"/>
      <c r="E503" s="14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>
      <c r="D504" s="95"/>
      <c r="E504" s="14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>
      <c r="D505" s="95"/>
      <c r="E505" s="14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>
      <c r="D506" s="95"/>
      <c r="E506" s="14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>
      <c r="D507" s="95"/>
      <c r="E507" s="14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>
      <c r="D508" s="95"/>
      <c r="E508" s="14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>
      <c r="D509" s="95"/>
      <c r="E509" s="14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>
      <c r="D510" s="95"/>
      <c r="E510" s="14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>
      <c r="D511" s="95"/>
      <c r="E511" s="14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>
      <c r="D512" s="95"/>
      <c r="E512" s="14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>
      <c r="D513" s="95"/>
      <c r="E513" s="14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>
      <c r="D514" s="95"/>
      <c r="E514" s="14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>
      <c r="D515" s="95"/>
      <c r="E515" s="14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>
      <c r="D516" s="95"/>
      <c r="E516" s="14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>
      <c r="D517" s="95"/>
      <c r="E517" s="14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>
      <c r="D518" s="95"/>
      <c r="E518" s="14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>
      <c r="D519" s="95"/>
      <c r="E519" s="14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>
      <c r="D520" s="95"/>
      <c r="E520" s="14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>
      <c r="D521" s="95"/>
      <c r="E521" s="14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>
      <c r="D522" s="95"/>
      <c r="E522" s="14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>
      <c r="D523" s="95"/>
      <c r="E523" s="14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>
      <c r="D524" s="95"/>
      <c r="E524" s="14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>
      <c r="D525" s="95"/>
      <c r="E525" s="14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>
      <c r="D526" s="95"/>
      <c r="E526" s="14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>
      <c r="D527" s="95"/>
      <c r="E527" s="14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>
      <c r="D528" s="95"/>
      <c r="E528" s="14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>
      <c r="D529" s="95"/>
      <c r="E529" s="14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>
      <c r="D530" s="95"/>
      <c r="E530" s="14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>
      <c r="D531" s="95"/>
      <c r="E531" s="14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>
      <c r="D532" s="95"/>
      <c r="E532" s="14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>
      <c r="D533" s="95"/>
      <c r="E533" s="14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>
      <c r="D534" s="95"/>
      <c r="E534" s="14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>
      <c r="D535" s="95"/>
      <c r="E535" s="14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>
      <c r="D536" s="95"/>
      <c r="E536" s="14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>
      <c r="D537" s="95"/>
      <c r="E537" s="14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>
      <c r="D538" s="95"/>
      <c r="E538" s="14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>
      <c r="D539" s="95"/>
      <c r="E539" s="14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>
      <c r="D540" s="95"/>
      <c r="E540" s="14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>
      <c r="D541" s="95"/>
      <c r="E541" s="14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>
      <c r="D542" s="95"/>
      <c r="E542" s="14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>
      <c r="D543" s="95"/>
      <c r="E543" s="14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>
      <c r="D544" s="95"/>
      <c r="E544" s="14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>
      <c r="D545" s="95"/>
      <c r="E545" s="14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>
      <c r="D546" s="95"/>
      <c r="E546" s="14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>
      <c r="D547" s="95"/>
      <c r="E547" s="14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>
      <c r="D548" s="95"/>
      <c r="E548" s="14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>
      <c r="D549" s="95"/>
      <c r="E549" s="14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>
      <c r="D550" s="95"/>
      <c r="E550" s="14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>
      <c r="D551" s="95"/>
      <c r="E551" s="14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>
      <c r="D552" s="95"/>
      <c r="E552" s="14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>
      <c r="D553" s="95"/>
      <c r="E553" s="14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>
      <c r="D554" s="95"/>
      <c r="E554" s="14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>
      <c r="D555" s="95"/>
      <c r="E555" s="14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>
      <c r="D556" s="95"/>
      <c r="E556" s="14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>
      <c r="D557" s="95"/>
      <c r="E557" s="14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>
      <c r="D558" s="95"/>
      <c r="E558" s="14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>
      <c r="D559" s="95"/>
      <c r="E559" s="14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>
      <c r="D560" s="95"/>
      <c r="E560" s="14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>
      <c r="D561" s="95"/>
      <c r="E561" s="14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>
      <c r="D562" s="95"/>
      <c r="E562" s="14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>
      <c r="D563" s="95"/>
      <c r="E563" s="14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>
      <c r="D564" s="95"/>
      <c r="E564" s="14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>
      <c r="D565" s="95"/>
      <c r="E565" s="14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>
      <c r="D566" s="95"/>
      <c r="E566" s="14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>
      <c r="D567" s="95"/>
      <c r="E567" s="14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>
      <c r="D568" s="95"/>
      <c r="E568" s="14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>
      <c r="D569" s="95"/>
      <c r="E569" s="14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>
      <c r="D570" s="95"/>
      <c r="E570" s="14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>
      <c r="D571" s="95"/>
      <c r="E571" s="14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>
      <c r="D572" s="95"/>
      <c r="E572" s="14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>
      <c r="D573" s="95"/>
      <c r="E573" s="14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>
      <c r="D574" s="95"/>
      <c r="E574" s="14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>
      <c r="D575" s="95"/>
      <c r="E575" s="14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>
      <c r="D576" s="95"/>
      <c r="E576" s="14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>
      <c r="D577" s="95"/>
      <c r="E577" s="14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>
      <c r="D578" s="95"/>
      <c r="E578" s="14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>
      <c r="D579" s="95"/>
      <c r="E579" s="14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>
      <c r="D580" s="95"/>
      <c r="E580" s="14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>
      <c r="D581" s="95"/>
      <c r="E581" s="14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>
      <c r="D582" s="95"/>
      <c r="E582" s="14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>
      <c r="D583" s="95"/>
      <c r="E583" s="14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>
      <c r="D584" s="95"/>
      <c r="E584" s="14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>
      <c r="D585" s="95"/>
      <c r="E585" s="14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>
      <c r="D586" s="95"/>
      <c r="E586" s="14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>
      <c r="D587" s="95"/>
      <c r="E587" s="14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>
      <c r="D588" s="95"/>
      <c r="E588" s="14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>
      <c r="D589" s="95"/>
      <c r="E589" s="14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>
      <c r="D590" s="95"/>
      <c r="E590" s="14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>
      <c r="D591" s="95"/>
      <c r="E591" s="14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>
      <c r="D592" s="95"/>
      <c r="E592" s="14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>
      <c r="D593" s="95"/>
      <c r="E593" s="14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>
      <c r="D594" s="95"/>
      <c r="E594" s="14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>
      <c r="D595" s="95"/>
      <c r="E595" s="14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>
      <c r="D596" s="95"/>
      <c r="E596" s="14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>
      <c r="D597" s="95"/>
      <c r="E597" s="14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>
      <c r="D598" s="95"/>
      <c r="E598" s="14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>
      <c r="D599" s="95"/>
      <c r="E599" s="14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>
      <c r="D600" s="95"/>
      <c r="E600" s="14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>
      <c r="D601" s="95"/>
      <c r="E601" s="14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>
      <c r="D602" s="95"/>
      <c r="E602" s="14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>
      <c r="D603" s="95"/>
      <c r="E603" s="14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>
      <c r="D604" s="95"/>
      <c r="E604" s="14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>
      <c r="D605" s="95"/>
      <c r="E605" s="14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>
      <c r="D606" s="95"/>
      <c r="E606" s="14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>
      <c r="D607" s="95"/>
      <c r="E607" s="14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>
      <c r="D608" s="95"/>
      <c r="E608" s="14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>
      <c r="D609" s="95"/>
      <c r="E609" s="14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>
      <c r="D610" s="95"/>
      <c r="E610" s="14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>
      <c r="D611" s="95"/>
      <c r="E611" s="14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>
      <c r="D612" s="95"/>
      <c r="E612" s="14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>
      <c r="D613" s="95"/>
      <c r="E613" s="14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>
      <c r="D614" s="95"/>
      <c r="E614" s="14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>
      <c r="D615" s="95"/>
      <c r="E615" s="14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>
      <c r="D616" s="95"/>
      <c r="E616" s="14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>
      <c r="D617" s="95"/>
      <c r="E617" s="14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>
      <c r="D618" s="95"/>
      <c r="E618" s="14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>
      <c r="D619" s="95"/>
      <c r="E619" s="14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>
      <c r="D620" s="95"/>
      <c r="E620" s="14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>
      <c r="D621" s="95"/>
      <c r="E621" s="14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>
      <c r="D622" s="95"/>
      <c r="E622" s="14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>
      <c r="D623" s="95"/>
      <c r="E623" s="14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>
      <c r="D624" s="95"/>
      <c r="E624" s="14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>
      <c r="D625" s="95"/>
      <c r="E625" s="14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>
      <c r="D626" s="95"/>
      <c r="E626" s="14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>
      <c r="D627" s="95"/>
      <c r="E627" s="14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>
      <c r="D628" s="95"/>
      <c r="E628" s="14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>
      <c r="D629" s="95"/>
      <c r="E629" s="14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>
      <c r="D630" s="95"/>
      <c r="E630" s="14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>
      <c r="D631" s="95"/>
      <c r="E631" s="14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>
      <c r="D632" s="95"/>
      <c r="E632" s="14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>
      <c r="D633" s="95"/>
      <c r="E633" s="14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>
      <c r="D634" s="95"/>
      <c r="E634" s="14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>
      <c r="D635" s="95"/>
      <c r="E635" s="14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>
      <c r="D636" s="95"/>
      <c r="E636" s="14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>
      <c r="D637" s="95"/>
      <c r="E637" s="14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>
      <c r="D638" s="95"/>
      <c r="E638" s="14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>
      <c r="D639" s="95"/>
      <c r="E639" s="14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>
      <c r="D640" s="95"/>
      <c r="E640" s="14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>
      <c r="D641" s="95"/>
      <c r="E641" s="14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>
      <c r="D642" s="95"/>
      <c r="E642" s="14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>
      <c r="D643" s="95"/>
      <c r="E643" s="14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>
      <c r="D644" s="95"/>
      <c r="E644" s="14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>
      <c r="D645" s="95"/>
      <c r="E645" s="14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>
      <c r="D646" s="95"/>
      <c r="E646" s="14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>
      <c r="D647" s="95"/>
      <c r="E647" s="14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>
      <c r="D648" s="95"/>
      <c r="E648" s="14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>
      <c r="D649" s="95"/>
      <c r="E649" s="14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>
      <c r="D650" s="95"/>
      <c r="E650" s="14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>
      <c r="D651" s="95"/>
      <c r="E651" s="14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>
      <c r="D652" s="95"/>
      <c r="E652" s="14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>
      <c r="D653" s="95"/>
      <c r="E653" s="14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>
      <c r="D654" s="95"/>
      <c r="E654" s="14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>
      <c r="D655" s="95"/>
      <c r="E655" s="14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>
      <c r="D656" s="95"/>
      <c r="E656" s="14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>
      <c r="D657" s="95"/>
      <c r="E657" s="14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>
      <c r="D658" s="95"/>
      <c r="E658" s="14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>
      <c r="D659" s="95"/>
      <c r="E659" s="14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>
      <c r="D660" s="95"/>
      <c r="E660" s="14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>
      <c r="D661" s="95"/>
      <c r="E661" s="14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>
      <c r="D662" s="95"/>
      <c r="E662" s="14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>
      <c r="D663" s="95"/>
      <c r="E663" s="14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>
      <c r="D664" s="95"/>
      <c r="E664" s="14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>
      <c r="D665" s="95"/>
      <c r="E665" s="14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>
      <c r="D666" s="95"/>
      <c r="E666" s="14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>
      <c r="D667" s="95"/>
      <c r="E667" s="14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>
      <c r="D668" s="95"/>
      <c r="E668" s="14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>
      <c r="D669" s="95"/>
      <c r="E669" s="14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>
      <c r="D670" s="95"/>
      <c r="E670" s="14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>
      <c r="D671" s="95"/>
      <c r="E671" s="14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>
      <c r="D672" s="95"/>
      <c r="E672" s="14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>
      <c r="D673" s="95"/>
      <c r="E673" s="14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>
      <c r="D674" s="95"/>
      <c r="E674" s="14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>
      <c r="D675" s="95"/>
      <c r="E675" s="14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>
      <c r="D676" s="95"/>
      <c r="E676" s="14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>
      <c r="D677" s="95"/>
      <c r="E677" s="14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>
      <c r="D678" s="95"/>
      <c r="E678" s="14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>
      <c r="D679" s="95"/>
      <c r="E679" s="14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>
      <c r="D680" s="95"/>
      <c r="E680" s="14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>
      <c r="D681" s="95"/>
      <c r="E681" s="14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>
      <c r="D682" s="95"/>
      <c r="E682" s="14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>
      <c r="D683" s="95"/>
      <c r="E683" s="14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>
      <c r="D684" s="95"/>
      <c r="E684" s="14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>
      <c r="D685" s="95"/>
      <c r="E685" s="14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>
      <c r="D686" s="95"/>
      <c r="E686" s="14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>
      <c r="D687" s="95"/>
      <c r="E687" s="14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>
      <c r="D688" s="95"/>
      <c r="E688" s="14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>
      <c r="D689" s="95"/>
      <c r="E689" s="14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>
      <c r="D690" s="95"/>
      <c r="E690" s="14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>
      <c r="D691" s="95"/>
      <c r="E691" s="14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>
      <c r="D692" s="95"/>
      <c r="E692" s="14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>
      <c r="D693" s="95"/>
      <c r="E693" s="14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>
      <c r="D694" s="95"/>
      <c r="E694" s="14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>
      <c r="D695" s="95"/>
      <c r="E695" s="14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>
      <c r="D696" s="95"/>
      <c r="E696" s="14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>
      <c r="D697" s="95"/>
      <c r="E697" s="14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>
      <c r="D698" s="95"/>
      <c r="E698" s="14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>
      <c r="D699" s="95"/>
      <c r="E699" s="14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>
      <c r="D700" s="95"/>
      <c r="E700" s="14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>
      <c r="D701" s="95"/>
      <c r="E701" s="14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>
      <c r="D702" s="95"/>
      <c r="E702" s="14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>
      <c r="D703" s="95"/>
      <c r="E703" s="14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>
      <c r="D704" s="95"/>
      <c r="E704" s="14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>
      <c r="D705" s="95"/>
      <c r="E705" s="14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>
      <c r="D706" s="95"/>
      <c r="E706" s="14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>
      <c r="D707" s="95"/>
      <c r="E707" s="14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>
      <c r="D708" s="95"/>
      <c r="E708" s="14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>
      <c r="D709" s="95"/>
      <c r="E709" s="14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>
      <c r="D710" s="95"/>
      <c r="E710" s="14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>
      <c r="D711" s="95"/>
      <c r="E711" s="14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>
      <c r="D712" s="95"/>
      <c r="E712" s="14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>
      <c r="D713" s="95"/>
      <c r="E713" s="14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>
      <c r="D714" s="95"/>
      <c r="E714" s="14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>
      <c r="D715" s="95"/>
      <c r="E715" s="14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>
      <c r="D716" s="95"/>
      <c r="E716" s="14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>
      <c r="D717" s="95"/>
      <c r="E717" s="14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>
      <c r="D718" s="95"/>
      <c r="E718" s="14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>
      <c r="D719" s="95"/>
      <c r="E719" s="14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>
      <c r="D720" s="95"/>
      <c r="E720" s="14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>
      <c r="D721" s="95"/>
      <c r="E721" s="14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>
      <c r="D722" s="95"/>
      <c r="E722" s="14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>
      <c r="D723" s="95"/>
      <c r="E723" s="14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>
      <c r="D724" s="95"/>
      <c r="E724" s="14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>
      <c r="D725" s="95"/>
      <c r="E725" s="14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>
      <c r="D726" s="95"/>
      <c r="E726" s="14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>
      <c r="D727" s="95"/>
      <c r="E727" s="14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>
      <c r="D728" s="95"/>
      <c r="E728" s="14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>
      <c r="D729" s="95"/>
      <c r="E729" s="14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>
      <c r="D730" s="95"/>
      <c r="E730" s="14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>
      <c r="D731" s="95"/>
      <c r="E731" s="14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>
      <c r="D732" s="95"/>
      <c r="E732" s="14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>
      <c r="D733" s="95"/>
      <c r="E733" s="14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>
      <c r="D734" s="95"/>
      <c r="E734" s="14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>
      <c r="D735" s="95"/>
      <c r="E735" s="14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>
      <c r="D736" s="95"/>
      <c r="E736" s="14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>
      <c r="D737" s="95"/>
      <c r="E737" s="14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>
      <c r="D738" s="95"/>
      <c r="E738" s="14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>
      <c r="D739" s="95"/>
      <c r="E739" s="14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>
      <c r="D740" s="95"/>
      <c r="E740" s="14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>
      <c r="D741" s="95"/>
      <c r="E741" s="14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>
      <c r="D742" s="95"/>
      <c r="E742" s="14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>
      <c r="D743" s="95"/>
      <c r="E743" s="14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>
      <c r="D744" s="95"/>
      <c r="E744" s="14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>
      <c r="D745" s="95"/>
      <c r="E745" s="14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>
      <c r="D746" s="95"/>
      <c r="E746" s="14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>
      <c r="D747" s="95"/>
      <c r="E747" s="14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>
      <c r="D748" s="95"/>
      <c r="E748" s="14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>
      <c r="D749" s="95"/>
      <c r="E749" s="14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>
      <c r="D750" s="95"/>
      <c r="E750" s="14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>
      <c r="D751" s="95"/>
      <c r="E751" s="14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>
      <c r="D752" s="95"/>
      <c r="E752" s="14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>
      <c r="D753" s="95"/>
      <c r="E753" s="14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>
      <c r="D754" s="95"/>
      <c r="E754" s="14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>
      <c r="D755" s="95"/>
      <c r="E755" s="14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>
      <c r="D756" s="95"/>
      <c r="E756" s="14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>
      <c r="D757" s="95"/>
      <c r="E757" s="14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>
      <c r="D758" s="95"/>
      <c r="E758" s="14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>
      <c r="D759" s="95"/>
      <c r="E759" s="14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>
      <c r="D760" s="95"/>
      <c r="E760" s="14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>
      <c r="D761" s="95"/>
      <c r="E761" s="14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>
      <c r="D762" s="95"/>
      <c r="E762" s="14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>
      <c r="D763" s="95"/>
      <c r="E763" s="14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>
      <c r="D764" s="95"/>
      <c r="E764" s="14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>
      <c r="D765" s="95"/>
      <c r="E765" s="14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>
      <c r="D766" s="95"/>
      <c r="E766" s="14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>
      <c r="D767" s="95"/>
      <c r="E767" s="14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>
      <c r="D768" s="95"/>
      <c r="E768" s="14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>
      <c r="D769" s="95"/>
      <c r="E769" s="14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>
      <c r="D770" s="95"/>
      <c r="E770" s="14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>
      <c r="D771" s="95"/>
      <c r="E771" s="14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>
      <c r="D772" s="95"/>
      <c r="E772" s="14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>
      <c r="D773" s="95"/>
      <c r="E773" s="14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>
      <c r="D774" s="95"/>
      <c r="E774" s="14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>
      <c r="D775" s="95"/>
      <c r="E775" s="14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>
      <c r="D776" s="95"/>
      <c r="E776" s="14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>
      <c r="D777" s="95"/>
      <c r="E777" s="14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>
      <c r="D778" s="95"/>
      <c r="E778" s="14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>
      <c r="D779" s="95"/>
      <c r="E779" s="14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>
      <c r="D780" s="95"/>
      <c r="E780" s="14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>
      <c r="D781" s="95"/>
      <c r="E781" s="14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>
      <c r="D782" s="95"/>
      <c r="E782" s="14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>
      <c r="D783" s="95"/>
      <c r="E783" s="14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>
      <c r="D784" s="95"/>
      <c r="E784" s="14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>
      <c r="D785" s="95"/>
      <c r="E785" s="14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>
      <c r="D786" s="95"/>
      <c r="E786" s="14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>
      <c r="D787" s="95"/>
      <c r="E787" s="14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>
      <c r="D788" s="95"/>
      <c r="E788" s="14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>
      <c r="D789" s="95"/>
      <c r="E789" s="14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>
      <c r="D790" s="95"/>
      <c r="E790" s="14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>
      <c r="D791" s="95"/>
      <c r="E791" s="14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>
      <c r="D792" s="95"/>
      <c r="E792" s="14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>
      <c r="D793" s="95"/>
      <c r="E793" s="14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>
      <c r="D794" s="95"/>
      <c r="E794" s="14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>
      <c r="D795" s="95"/>
      <c r="E795" s="14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>
      <c r="D796" s="95"/>
      <c r="E796" s="14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>
      <c r="D797" s="95"/>
      <c r="E797" s="14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>
      <c r="D798" s="95"/>
      <c r="E798" s="14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>
      <c r="D799" s="95"/>
      <c r="E799" s="14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>
      <c r="D800" s="95"/>
      <c r="E800" s="14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>
      <c r="D801" s="95"/>
      <c r="E801" s="14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>
      <c r="D802" s="95"/>
      <c r="E802" s="14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>
      <c r="D803" s="95"/>
      <c r="E803" s="14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>
      <c r="D804" s="95"/>
      <c r="E804" s="14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>
      <c r="D805" s="95"/>
      <c r="E805" s="14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>
      <c r="D806" s="95"/>
      <c r="E806" s="14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>
      <c r="D807" s="95"/>
      <c r="E807" s="14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>
      <c r="D808" s="95"/>
      <c r="E808" s="14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>
      <c r="D809" s="95"/>
      <c r="E809" s="14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>
      <c r="D810" s="95"/>
      <c r="E810" s="14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>
      <c r="D811" s="95"/>
      <c r="E811" s="14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>
      <c r="D812" s="95"/>
      <c r="E812" s="14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>
      <c r="D813" s="95"/>
      <c r="E813" s="14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>
      <c r="D814" s="95"/>
      <c r="E814" s="14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>
      <c r="D815" s="95"/>
      <c r="E815" s="14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>
      <c r="D816" s="95"/>
      <c r="E816" s="14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>
      <c r="D817" s="95"/>
      <c r="E817" s="14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>
      <c r="D818" s="95"/>
      <c r="E818" s="14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>
      <c r="D819" s="95"/>
      <c r="E819" s="14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>
      <c r="D820" s="95"/>
      <c r="E820" s="14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>
      <c r="D821" s="95"/>
      <c r="E821" s="14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>
      <c r="D822" s="95"/>
      <c r="E822" s="14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>
      <c r="D823" s="95"/>
      <c r="E823" s="14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>
      <c r="D824" s="95"/>
      <c r="E824" s="14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>
      <c r="D825" s="95"/>
      <c r="E825" s="14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>
      <c r="D826" s="95"/>
      <c r="E826" s="14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>
      <c r="D827" s="95"/>
      <c r="E827" s="14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>
      <c r="D828" s="95"/>
      <c r="E828" s="14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>
      <c r="D829" s="95"/>
      <c r="E829" s="14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>
      <c r="D830" s="95"/>
      <c r="E830" s="14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>
      <c r="D831" s="95"/>
      <c r="E831" s="14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>
      <c r="D832" s="95"/>
      <c r="E832" s="14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>
      <c r="D833" s="95"/>
      <c r="E833" s="14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>
      <c r="D834" s="95"/>
      <c r="E834" s="14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>
      <c r="D835" s="95"/>
      <c r="E835" s="14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>
      <c r="D836" s="95"/>
      <c r="E836" s="14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>
      <c r="D837" s="95"/>
      <c r="E837" s="14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>
      <c r="D838" s="95"/>
      <c r="E838" s="14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>
      <c r="D839" s="95"/>
      <c r="E839" s="14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>
      <c r="D840" s="95"/>
      <c r="E840" s="14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>
      <c r="D841" s="95"/>
      <c r="E841" s="14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>
      <c r="D842" s="95"/>
      <c r="E842" s="14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>
      <c r="D843" s="95"/>
      <c r="E843" s="14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>
      <c r="D844" s="95"/>
      <c r="E844" s="14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>
      <c r="D845" s="95"/>
      <c r="E845" s="14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>
      <c r="D846" s="95"/>
      <c r="E846" s="14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>
      <c r="D847" s="95"/>
      <c r="E847" s="14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>
      <c r="D848" s="95"/>
      <c r="E848" s="14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>
      <c r="D849" s="95"/>
      <c r="E849" s="14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>
      <c r="D850" s="95"/>
      <c r="E850" s="14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>
      <c r="D851" s="95"/>
      <c r="E851" s="14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>
      <c r="D852" s="95"/>
      <c r="E852" s="14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>
      <c r="D853" s="95"/>
      <c r="E853" s="14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>
      <c r="D854" s="95"/>
      <c r="E854" s="14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>
      <c r="D855" s="95"/>
      <c r="E855" s="14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>
      <c r="D856" s="95"/>
      <c r="E856" s="14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>
      <c r="D857" s="95"/>
      <c r="E857" s="14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>
      <c r="D858" s="95"/>
      <c r="E858" s="14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>
      <c r="D859" s="95"/>
      <c r="E859" s="14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>
      <c r="D860" s="95"/>
      <c r="E860" s="14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>
      <c r="D861" s="95"/>
      <c r="E861" s="14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>
      <c r="D862" s="95"/>
      <c r="E862" s="14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>
      <c r="D863" s="95"/>
      <c r="E863" s="14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>
      <c r="D864" s="95"/>
      <c r="E864" s="14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>
      <c r="D865" s="95"/>
      <c r="E865" s="14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>
      <c r="D866" s="95"/>
      <c r="E866" s="14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>
      <c r="D867" s="95"/>
      <c r="E867" s="14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>
      <c r="D868" s="95"/>
      <c r="E868" s="14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>
      <c r="D869" s="95"/>
      <c r="E869" s="14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>
      <c r="D870" s="95"/>
      <c r="E870" s="14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>
      <c r="D871" s="95"/>
      <c r="E871" s="14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>
      <c r="D872" s="95"/>
      <c r="E872" s="14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>
      <c r="D873" s="95"/>
      <c r="E873" s="14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>
      <c r="D874" s="95"/>
      <c r="E874" s="14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>
      <c r="D875" s="95"/>
      <c r="E875" s="14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>
      <c r="D876" s="95"/>
      <c r="E876" s="14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>
      <c r="D877" s="95"/>
      <c r="E877" s="14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>
      <c r="D878" s="95"/>
      <c r="E878" s="14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>
      <c r="D879" s="95"/>
      <c r="E879" s="14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>
      <c r="D880" s="95"/>
      <c r="E880" s="14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>
      <c r="D881" s="95"/>
      <c r="E881" s="14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>
      <c r="D882" s="95"/>
      <c r="E882" s="14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>
      <c r="D883" s="95"/>
      <c r="E883" s="14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>
      <c r="D884" s="95"/>
      <c r="E884" s="14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>
      <c r="D885" s="95"/>
      <c r="E885" s="14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>
      <c r="D886" s="95"/>
      <c r="E886" s="14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>
      <c r="D887" s="95"/>
      <c r="E887" s="14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>
      <c r="D888" s="95"/>
      <c r="E888" s="14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>
      <c r="D889" s="95"/>
      <c r="E889" s="14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>
      <c r="D890" s="95"/>
      <c r="E890" s="14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>
      <c r="D891" s="95"/>
      <c r="E891" s="14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>
      <c r="D892" s="95"/>
      <c r="E892" s="14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>
      <c r="D893" s="95"/>
      <c r="E893" s="14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>
      <c r="D894" s="95"/>
      <c r="E894" s="14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>
      <c r="D895" s="95"/>
      <c r="E895" s="14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>
      <c r="D896" s="95"/>
      <c r="E896" s="14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>
      <c r="D897" s="95"/>
      <c r="E897" s="14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>
      <c r="D898" s="95"/>
      <c r="E898" s="14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>
      <c r="D899" s="95"/>
      <c r="E899" s="14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>
      <c r="D900" s="95"/>
      <c r="E900" s="14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>
      <c r="D901" s="95"/>
      <c r="E901" s="14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>
      <c r="D902" s="95"/>
      <c r="E902" s="14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>
      <c r="D903" s="95"/>
      <c r="E903" s="14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>
      <c r="D904" s="95"/>
      <c r="E904" s="14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>
      <c r="D905" s="95"/>
      <c r="E905" s="14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>
      <c r="D906" s="95"/>
      <c r="E906" s="14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>
      <c r="D907" s="95"/>
      <c r="E907" s="14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>
      <c r="D908" s="95"/>
      <c r="E908" s="14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>
      <c r="D909" s="95"/>
      <c r="E909" s="14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>
      <c r="D910" s="95"/>
      <c r="E910" s="14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>
      <c r="D911" s="95"/>
      <c r="E911" s="14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>
      <c r="D912" s="95"/>
      <c r="E912" s="14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>
      <c r="D913" s="95"/>
      <c r="E913" s="14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>
      <c r="D914" s="95"/>
      <c r="E914" s="14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>
      <c r="D915" s="95"/>
      <c r="E915" s="14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>
      <c r="D916" s="95"/>
      <c r="E916" s="14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>
      <c r="D917" s="95"/>
      <c r="E917" s="14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>
      <c r="D918" s="95"/>
      <c r="E918" s="14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>
      <c r="D919" s="95"/>
      <c r="E919" s="14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>
      <c r="D920" s="95"/>
      <c r="E920" s="14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>
      <c r="D921" s="95"/>
      <c r="E921" s="14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>
      <c r="D922" s="95"/>
      <c r="E922" s="14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>
      <c r="D923" s="95"/>
      <c r="E923" s="14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>
      <c r="D924" s="95"/>
      <c r="E924" s="14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>
      <c r="D925" s="95"/>
      <c r="E925" s="14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>
      <c r="D926" s="95"/>
      <c r="E926" s="14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>
      <c r="D927" s="95"/>
      <c r="E927" s="14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>
      <c r="D928" s="95"/>
      <c r="E928" s="14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>
      <c r="D929" s="95"/>
      <c r="E929" s="14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>
      <c r="D930" s="95"/>
      <c r="E930" s="14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>
      <c r="D931" s="95"/>
      <c r="E931" s="14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>
      <c r="D932" s="95"/>
      <c r="E932" s="14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>
      <c r="D933" s="95"/>
      <c r="E933" s="14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>
      <c r="D934" s="95"/>
      <c r="E934" s="14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>
      <c r="D935" s="95"/>
      <c r="E935" s="14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>
      <c r="D936" s="95"/>
      <c r="E936" s="14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>
      <c r="D937" s="95"/>
      <c r="E937" s="14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>
      <c r="D938" s="95"/>
      <c r="E938" s="14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>
      <c r="D939" s="95"/>
      <c r="E939" s="14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>
      <c r="D940" s="95"/>
      <c r="E940" s="14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>
      <c r="D941" s="95"/>
      <c r="E941" s="14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>
      <c r="D942" s="95"/>
      <c r="E942" s="14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>
      <c r="D943" s="95"/>
      <c r="E943" s="14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>
      <c r="D944" s="95"/>
      <c r="E944" s="14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>
      <c r="D945" s="95"/>
      <c r="E945" s="14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>
      <c r="D946" s="95"/>
      <c r="E946" s="14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>
      <c r="D947" s="95"/>
      <c r="E947" s="14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>
      <c r="D948" s="95"/>
      <c r="E948" s="14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>
      <c r="D949" s="95"/>
      <c r="E949" s="14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>
      <c r="D950" s="95"/>
      <c r="E950" s="14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>
      <c r="D951" s="95"/>
      <c r="E951" s="14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>
      <c r="D952" s="95"/>
      <c r="E952" s="14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>
      <c r="D953" s="95"/>
      <c r="E953" s="14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>
      <c r="D954" s="95"/>
      <c r="E954" s="14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>
      <c r="D955" s="95"/>
      <c r="E955" s="14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>
      <c r="D956" s="95"/>
      <c r="E956" s="14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>
      <c r="D957" s="95"/>
      <c r="E957" s="14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>
      <c r="D958" s="95"/>
      <c r="E958" s="14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>
      <c r="D959" s="95"/>
      <c r="E959" s="14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>
      <c r="D960" s="95"/>
      <c r="E960" s="14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>
      <c r="D961" s="95"/>
      <c r="E961" s="14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>
      <c r="D962" s="95"/>
      <c r="E962" s="14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>
      <c r="D963" s="95"/>
      <c r="E963" s="14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>
      <c r="D964" s="95"/>
      <c r="E964" s="14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>
      <c r="D965" s="95"/>
      <c r="E965" s="14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>
      <c r="D966" s="95"/>
      <c r="E966" s="14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>
      <c r="D967" s="95"/>
      <c r="E967" s="14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>
      <c r="D968" s="95"/>
      <c r="E968" s="14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>
      <c r="D969" s="95"/>
      <c r="E969" s="14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>
      <c r="D970" s="95"/>
      <c r="E970" s="14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>
      <c r="D971" s="95"/>
      <c r="E971" s="14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>
      <c r="D972" s="95"/>
      <c r="E972" s="14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>
      <c r="D973" s="95"/>
      <c r="E973" s="14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>
      <c r="D974" s="95"/>
      <c r="E974" s="14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>
      <c r="D975" s="95"/>
      <c r="E975" s="14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>
      <c r="D976" s="95"/>
      <c r="E976" s="14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>
      <c r="D977" s="95"/>
      <c r="E977" s="14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>
      <c r="D978" s="95"/>
      <c r="E978" s="14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>
      <c r="D979" s="95"/>
      <c r="E979" s="14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>
      <c r="D980" s="95"/>
      <c r="E980" s="14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>
      <c r="D981" s="95"/>
      <c r="E981" s="14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>
      <c r="D982" s="95"/>
      <c r="E982" s="14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>
      <c r="D983" s="95"/>
      <c r="E983" s="14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>
      <c r="D984" s="95"/>
      <c r="E984" s="14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>
      <c r="D985" s="95"/>
      <c r="E985" s="14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>
      <c r="D986" s="95"/>
      <c r="E986" s="14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>
      <c r="D987" s="95"/>
      <c r="E987" s="14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>
      <c r="D988" s="95"/>
      <c r="E988" s="14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>
      <c r="D989" s="95"/>
      <c r="E989" s="14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>
      <c r="D990" s="95"/>
      <c r="E990" s="14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>
      <c r="D991" s="95"/>
      <c r="E991" s="14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>
      <c r="D992" s="95"/>
      <c r="E992" s="14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>
      <c r="D993" s="95"/>
      <c r="E993" s="14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>
      <c r="D994" s="95"/>
      <c r="E994" s="14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>
      <c r="D995" s="95"/>
      <c r="E995" s="14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>
      <c r="D996" s="95"/>
      <c r="E996" s="14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>
      <c r="D997" s="95"/>
      <c r="E997" s="14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>
      <c r="D998" s="95"/>
      <c r="E998" s="14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>
      <c r="D999" s="95"/>
      <c r="E999" s="14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>
      <c r="D1000" s="95"/>
      <c r="E1000" s="14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>
      <c r="D1001" s="95"/>
      <c r="E1001" s="14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>
      <c r="D1002" s="95"/>
      <c r="E1002" s="14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  <row r="1003">
      <c r="D1003" s="95"/>
      <c r="E1003" s="14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</row>
    <row r="1004">
      <c r="D1004" s="95"/>
      <c r="E1004" s="14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</row>
    <row r="1005">
      <c r="D1005" s="95"/>
      <c r="E1005" s="14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</row>
    <row r="1006">
      <c r="D1006" s="95"/>
      <c r="E1006" s="14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</row>
    <row r="1007">
      <c r="D1007" s="95"/>
      <c r="E1007" s="14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</row>
    <row r="1008">
      <c r="D1008" s="95"/>
      <c r="E1008" s="14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</row>
    <row r="1009">
      <c r="D1009" s="95"/>
      <c r="E1009" s="14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</row>
  </sheetData>
  <conditionalFormatting sqref="H2:Q30">
    <cfRule type="cellIs" dxfId="33" priority="1" operator="equal">
      <formula>0</formula>
    </cfRule>
  </conditionalFormatting>
  <conditionalFormatting sqref="H2:H30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0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0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30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P30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0">
    <cfRule type="colorScale" priority="8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0">
    <cfRule type="colorScale" priority="9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O2:O30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36:C4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6:F4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2:F30 F33">
      <formula1>OR(NOT(ISERROR(DATEVALUE(F2))), AND(ISNUMBER(F2), LEFT(CELL("format", F2))="D"))</formula1>
    </dataValidation>
    <dataValidation type="list" allowBlank="1" showDropDown="1" sqref="C2:C30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20.0"/>
    <col customWidth="1" min="3" max="3" width="14.5"/>
    <col customWidth="1" min="4" max="4" width="33.0"/>
    <col customWidth="1" min="5" max="5" width="9.25"/>
    <col customWidth="1" min="6" max="6" width="25.8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003" t="s">
        <v>48</v>
      </c>
      <c r="B1" s="1004" t="s">
        <v>49</v>
      </c>
      <c r="C1" s="1004" t="s">
        <v>50</v>
      </c>
      <c r="D1" s="1005" t="s">
        <v>56</v>
      </c>
      <c r="E1" s="1003" t="s">
        <v>57</v>
      </c>
      <c r="F1" s="1006" t="s">
        <v>52</v>
      </c>
      <c r="G1" s="1007" t="s">
        <v>53</v>
      </c>
      <c r="H1" s="1003" t="s">
        <v>4</v>
      </c>
      <c r="I1" s="1003" t="s">
        <v>58</v>
      </c>
      <c r="J1" s="1003" t="s">
        <v>59</v>
      </c>
      <c r="K1" s="1003" t="s">
        <v>60</v>
      </c>
      <c r="L1" s="1003" t="s">
        <v>61</v>
      </c>
      <c r="M1" s="1003" t="s">
        <v>62</v>
      </c>
      <c r="N1" s="1003" t="s">
        <v>63</v>
      </c>
      <c r="O1" s="1008" t="s">
        <v>64</v>
      </c>
      <c r="P1" s="1003" t="s">
        <v>65</v>
      </c>
    </row>
    <row r="2" ht="22.5" customHeight="1">
      <c r="A2" s="1009">
        <v>1.0</v>
      </c>
      <c r="B2" s="1010" t="s">
        <v>1552</v>
      </c>
      <c r="C2" s="1011" t="s">
        <v>67</v>
      </c>
      <c r="D2" s="1012" t="s">
        <v>640</v>
      </c>
      <c r="E2" s="1013" t="str">
        <f>IMAGE("https://flagcdn.com/w320/gr.png")</f>
        <v/>
      </c>
      <c r="F2" s="1014">
        <v>32717.0</v>
      </c>
      <c r="G2" s="1015">
        <f t="shared" ref="G2:G28" si="1">DATEDIF(F2,TODAY(),"Y")</f>
        <v>36</v>
      </c>
      <c r="H2" s="1016">
        <f>1</f>
        <v>1</v>
      </c>
      <c r="I2" s="1016">
        <f>90</f>
        <v>90</v>
      </c>
      <c r="J2" s="1016"/>
      <c r="K2" s="1016"/>
      <c r="L2" s="1016"/>
      <c r="M2" s="1016"/>
      <c r="N2" s="1016">
        <f>1</f>
        <v>1</v>
      </c>
      <c r="O2" s="1016">
        <f t="shared" ref="O2:O28" si="2">J2+K2</f>
        <v>0</v>
      </c>
      <c r="P2" s="1016"/>
    </row>
    <row r="3" ht="22.5" customHeight="1">
      <c r="A3" s="1009">
        <v>3.0</v>
      </c>
      <c r="B3" s="1010" t="s">
        <v>1553</v>
      </c>
      <c r="C3" s="1011" t="s">
        <v>70</v>
      </c>
      <c r="D3" s="1012" t="s">
        <v>403</v>
      </c>
      <c r="E3" s="1013" t="str">
        <f>IMAGE("https://flagcdn.com/w320/ar.png")</f>
        <v/>
      </c>
      <c r="F3" s="1014">
        <v>36238.0</v>
      </c>
      <c r="G3" s="1015">
        <f t="shared" si="1"/>
        <v>26</v>
      </c>
      <c r="H3" s="1016">
        <f>1+1+1+1+1+1+1</f>
        <v>7</v>
      </c>
      <c r="I3" s="1016">
        <f>90+90+52+90+90+90+90</f>
        <v>592</v>
      </c>
      <c r="J3" s="1016"/>
      <c r="K3" s="1016"/>
      <c r="L3" s="1016">
        <f t="shared" ref="L3:L5" si="3">1</f>
        <v>1</v>
      </c>
      <c r="M3" s="1016"/>
      <c r="N3" s="1016"/>
      <c r="O3" s="1016">
        <f t="shared" si="2"/>
        <v>0</v>
      </c>
      <c r="P3" s="1016"/>
    </row>
    <row r="4" ht="22.5" customHeight="1">
      <c r="A4" s="1009">
        <v>4.0</v>
      </c>
      <c r="B4" s="1010" t="s">
        <v>1554</v>
      </c>
      <c r="C4" s="1011" t="s">
        <v>70</v>
      </c>
      <c r="D4" s="1012" t="s">
        <v>398</v>
      </c>
      <c r="E4" s="1013" t="str">
        <f>IMAGE("https://flagcdn.com/w320/fr.png")</f>
        <v/>
      </c>
      <c r="F4" s="1014">
        <v>36616.0</v>
      </c>
      <c r="G4" s="1015">
        <f t="shared" si="1"/>
        <v>25</v>
      </c>
      <c r="H4" s="1016">
        <f>1+1+1+1+1</f>
        <v>5</v>
      </c>
      <c r="I4" s="1016">
        <f>16+6+29+90+17</f>
        <v>158</v>
      </c>
      <c r="J4" s="1016"/>
      <c r="K4" s="1016"/>
      <c r="L4" s="1016">
        <f t="shared" si="3"/>
        <v>1</v>
      </c>
      <c r="M4" s="1016"/>
      <c r="N4" s="1016"/>
      <c r="O4" s="1016">
        <f t="shared" si="2"/>
        <v>0</v>
      </c>
      <c r="P4" s="1016"/>
    </row>
    <row r="5" ht="22.5" customHeight="1">
      <c r="A5" s="1009">
        <v>5.0</v>
      </c>
      <c r="B5" s="1010" t="s">
        <v>1555</v>
      </c>
      <c r="C5" s="1011" t="s">
        <v>70</v>
      </c>
      <c r="D5" s="1012" t="s">
        <v>206</v>
      </c>
      <c r="E5" s="1013" t="str">
        <f>IMAGE("https://flagcdn.com/w320/it.png")</f>
        <v/>
      </c>
      <c r="F5" s="1014">
        <v>37307.0</v>
      </c>
      <c r="G5" s="1015">
        <f t="shared" si="1"/>
        <v>23</v>
      </c>
      <c r="H5" s="1016">
        <f>1+1+1+1+1+1+1</f>
        <v>7</v>
      </c>
      <c r="I5" s="1016">
        <f>74+90+90+90+61+90+73</f>
        <v>568</v>
      </c>
      <c r="J5" s="1016"/>
      <c r="K5" s="1016"/>
      <c r="L5" s="1016">
        <f t="shared" si="3"/>
        <v>1</v>
      </c>
      <c r="M5" s="1016"/>
      <c r="N5" s="1016"/>
      <c r="O5" s="1016">
        <f t="shared" si="2"/>
        <v>0</v>
      </c>
      <c r="P5" s="1016"/>
    </row>
    <row r="6" ht="22.5" customHeight="1">
      <c r="A6" s="1009">
        <v>6.0</v>
      </c>
      <c r="B6" s="1010" t="s">
        <v>1556</v>
      </c>
      <c r="C6" s="1011" t="s">
        <v>70</v>
      </c>
      <c r="D6" s="1012" t="s">
        <v>640</v>
      </c>
      <c r="E6" s="1013" t="str">
        <f>IMAGE("https://flagcdn.com/w320/gr.png")</f>
        <v/>
      </c>
      <c r="F6" s="1014">
        <v>38194.0</v>
      </c>
      <c r="G6" s="1015">
        <f t="shared" si="1"/>
        <v>21</v>
      </c>
      <c r="H6" s="1017">
        <v>0.0</v>
      </c>
      <c r="I6" s="1017">
        <v>0.0</v>
      </c>
      <c r="J6" s="1016"/>
      <c r="K6" s="1016"/>
      <c r="L6" s="1016"/>
      <c r="M6" s="1016"/>
      <c r="N6" s="1016"/>
      <c r="O6" s="1016">
        <f t="shared" si="2"/>
        <v>0</v>
      </c>
      <c r="P6" s="1016"/>
    </row>
    <row r="7" ht="22.5" customHeight="1">
      <c r="A7" s="1009">
        <v>8.0</v>
      </c>
      <c r="B7" s="1018" t="s">
        <v>1557</v>
      </c>
      <c r="C7" s="1011" t="s">
        <v>79</v>
      </c>
      <c r="D7" s="1012" t="s">
        <v>477</v>
      </c>
      <c r="E7" s="1013" t="str">
        <f>IMAGE("https://flagcdn.com/w320/pt.png")</f>
        <v/>
      </c>
      <c r="F7" s="1014">
        <v>37562.0</v>
      </c>
      <c r="G7" s="1015">
        <f t="shared" si="1"/>
        <v>23</v>
      </c>
      <c r="H7" s="1017">
        <f>1+1</f>
        <v>2</v>
      </c>
      <c r="I7" s="1017">
        <f>60+28</f>
        <v>88</v>
      </c>
      <c r="J7" s="1016"/>
      <c r="K7" s="1016"/>
      <c r="L7" s="1016"/>
      <c r="M7" s="1016"/>
      <c r="N7" s="1016"/>
      <c r="O7" s="1016">
        <f t="shared" si="2"/>
        <v>0</v>
      </c>
      <c r="P7" s="1016"/>
    </row>
    <row r="8" ht="22.5" customHeight="1">
      <c r="A8" s="1009">
        <v>9.0</v>
      </c>
      <c r="B8" s="1010" t="s">
        <v>1558</v>
      </c>
      <c r="C8" s="1011" t="s">
        <v>82</v>
      </c>
      <c r="D8" s="1012" t="s">
        <v>1336</v>
      </c>
      <c r="E8" s="1013" t="str">
        <f>IMAGE("https://flagcdn.com/w320/ma.png")</f>
        <v/>
      </c>
      <c r="F8" s="1014">
        <v>34145.0</v>
      </c>
      <c r="G8" s="1015">
        <f t="shared" si="1"/>
        <v>32</v>
      </c>
      <c r="H8" s="1016">
        <f>1+1+1+1+1+1+1</f>
        <v>7</v>
      </c>
      <c r="I8" s="1016">
        <f>90+90+76+82+90+90+17</f>
        <v>535</v>
      </c>
      <c r="J8" s="1016">
        <f t="shared" ref="J8:J9" si="4">1+1</f>
        <v>2</v>
      </c>
      <c r="K8" s="1016">
        <f>1</f>
        <v>1</v>
      </c>
      <c r="L8" s="1016"/>
      <c r="M8" s="1016"/>
      <c r="N8" s="1016"/>
      <c r="O8" s="1016">
        <f t="shared" si="2"/>
        <v>3</v>
      </c>
      <c r="P8" s="1016"/>
    </row>
    <row r="9" ht="22.5" customHeight="1">
      <c r="A9" s="1009">
        <v>10.0</v>
      </c>
      <c r="B9" s="1018" t="s">
        <v>1559</v>
      </c>
      <c r="C9" s="1011" t="s">
        <v>82</v>
      </c>
      <c r="D9" s="1012" t="s">
        <v>1560</v>
      </c>
      <c r="E9" s="1013" t="str">
        <f>IMAGE("https://flagcdn.com/w320/pt.png")</f>
        <v/>
      </c>
      <c r="F9" s="1014">
        <v>34830.0</v>
      </c>
      <c r="G9" s="1015">
        <f t="shared" si="1"/>
        <v>30</v>
      </c>
      <c r="H9" s="1016">
        <f>1+1+1+1+1+1</f>
        <v>6</v>
      </c>
      <c r="I9" s="1016">
        <f>61+45+90+90+90+78</f>
        <v>454</v>
      </c>
      <c r="J9" s="1016">
        <f t="shared" si="4"/>
        <v>2</v>
      </c>
      <c r="K9" s="1016"/>
      <c r="L9" s="1016"/>
      <c r="M9" s="1016"/>
      <c r="N9" s="1016"/>
      <c r="O9" s="1016">
        <f t="shared" si="2"/>
        <v>2</v>
      </c>
      <c r="P9" s="1016"/>
    </row>
    <row r="10" ht="22.5" customHeight="1">
      <c r="A10" s="1009">
        <v>11.0</v>
      </c>
      <c r="B10" s="1010" t="s">
        <v>1561</v>
      </c>
      <c r="C10" s="1011" t="s">
        <v>82</v>
      </c>
      <c r="D10" s="1012" t="s">
        <v>626</v>
      </c>
      <c r="E10" s="1013" t="str">
        <f>IMAGE("https://flagcdn.com/w320/ua.png")</f>
        <v/>
      </c>
      <c r="F10" s="1014">
        <v>35030.0</v>
      </c>
      <c r="G10" s="1015">
        <f t="shared" si="1"/>
        <v>30</v>
      </c>
      <c r="H10" s="1016">
        <f>1</f>
        <v>1</v>
      </c>
      <c r="I10" s="1016">
        <f>14</f>
        <v>14</v>
      </c>
      <c r="J10" s="1016"/>
      <c r="K10" s="1016"/>
      <c r="L10" s="1016"/>
      <c r="M10" s="1016"/>
      <c r="N10" s="1016"/>
      <c r="O10" s="1016">
        <f t="shared" si="2"/>
        <v>0</v>
      </c>
      <c r="P10" s="1016"/>
    </row>
    <row r="11" ht="22.5" customHeight="1">
      <c r="A11" s="1009">
        <v>14.0</v>
      </c>
      <c r="B11" s="1010" t="s">
        <v>1562</v>
      </c>
      <c r="C11" s="1011" t="s">
        <v>79</v>
      </c>
      <c r="D11" s="1012" t="s">
        <v>83</v>
      </c>
      <c r="E11" s="1013" t="str">
        <f>IMAGE("https://flagcdn.com/w320/es.png")</f>
        <v/>
      </c>
      <c r="F11" s="1014">
        <v>33017.0</v>
      </c>
      <c r="G11" s="1015">
        <f t="shared" si="1"/>
        <v>35</v>
      </c>
      <c r="H11" s="1016">
        <f>1+1+1+1+1+1+1</f>
        <v>7</v>
      </c>
      <c r="I11" s="1016">
        <f>45+74+90+62+45+7+17</f>
        <v>340</v>
      </c>
      <c r="J11" s="1016"/>
      <c r="K11" s="1016"/>
      <c r="L11" s="1016">
        <f>1+1</f>
        <v>2</v>
      </c>
      <c r="M11" s="1016"/>
      <c r="N11" s="1016"/>
      <c r="O11" s="1016">
        <f t="shared" si="2"/>
        <v>0</v>
      </c>
      <c r="P11" s="1016"/>
    </row>
    <row r="12" ht="22.5" customHeight="1">
      <c r="A12" s="1009">
        <v>16.0</v>
      </c>
      <c r="B12" s="1010" t="s">
        <v>1563</v>
      </c>
      <c r="C12" s="1011" t="s">
        <v>79</v>
      </c>
      <c r="D12" s="1012" t="s">
        <v>1564</v>
      </c>
      <c r="E12" s="1013" t="str">
        <f>IMAGE("https://flagcdn.com/w320/ar.png")</f>
        <v/>
      </c>
      <c r="F12" s="1014">
        <v>38315.0</v>
      </c>
      <c r="G12" s="1015">
        <f t="shared" si="1"/>
        <v>21</v>
      </c>
      <c r="H12" s="1017">
        <f>1+1+1</f>
        <v>3</v>
      </c>
      <c r="I12" s="1017">
        <f>16+8+9</f>
        <v>33</v>
      </c>
      <c r="J12" s="1016"/>
      <c r="K12" s="1016"/>
      <c r="L12" s="1016">
        <f>1</f>
        <v>1</v>
      </c>
      <c r="M12" s="1016"/>
      <c r="N12" s="1016"/>
      <c r="O12" s="1016">
        <f t="shared" si="2"/>
        <v>0</v>
      </c>
      <c r="P12" s="1016"/>
    </row>
    <row r="13" ht="22.5" customHeight="1">
      <c r="A13" s="1009">
        <v>20.0</v>
      </c>
      <c r="B13" s="1018" t="s">
        <v>1565</v>
      </c>
      <c r="C13" s="1011" t="s">
        <v>70</v>
      </c>
      <c r="D13" s="1012" t="s">
        <v>477</v>
      </c>
      <c r="E13" s="1013" t="str">
        <f t="shared" ref="E13:E14" si="5">IMAGE("https://flagcdn.com/w320/pt.png")</f>
        <v/>
      </c>
      <c r="F13" s="1014">
        <v>36611.0</v>
      </c>
      <c r="G13" s="1015">
        <f t="shared" si="1"/>
        <v>25</v>
      </c>
      <c r="H13" s="1016">
        <f>1+1+1+1+1+1</f>
        <v>6</v>
      </c>
      <c r="I13" s="1016">
        <f>30+90+90+8+20+90</f>
        <v>328</v>
      </c>
      <c r="J13" s="1016">
        <f t="shared" ref="J13:J14" si="6">1</f>
        <v>1</v>
      </c>
      <c r="K13" s="1016"/>
      <c r="L13" s="1016"/>
      <c r="M13" s="1016"/>
      <c r="N13" s="1016"/>
      <c r="O13" s="1016">
        <f t="shared" si="2"/>
        <v>1</v>
      </c>
      <c r="P13" s="1016"/>
    </row>
    <row r="14" ht="22.5" customHeight="1">
      <c r="A14" s="1009">
        <v>22.0</v>
      </c>
      <c r="B14" s="1018" t="s">
        <v>1566</v>
      </c>
      <c r="C14" s="1011" t="s">
        <v>79</v>
      </c>
      <c r="D14" s="1012" t="s">
        <v>477</v>
      </c>
      <c r="E14" s="1013" t="str">
        <f t="shared" si="5"/>
        <v/>
      </c>
      <c r="F14" s="1014">
        <v>34899.0</v>
      </c>
      <c r="G14" s="1015">
        <f t="shared" si="1"/>
        <v>30</v>
      </c>
      <c r="H14" s="1016">
        <f>1+1+1+1+1+1+1</f>
        <v>7</v>
      </c>
      <c r="I14" s="1016">
        <f>90+85+30+72+27+61+81</f>
        <v>446</v>
      </c>
      <c r="J14" s="1016">
        <f t="shared" si="6"/>
        <v>1</v>
      </c>
      <c r="K14" s="1016">
        <f>1</f>
        <v>1</v>
      </c>
      <c r="L14" s="1016"/>
      <c r="M14" s="1016"/>
      <c r="N14" s="1016"/>
      <c r="O14" s="1016">
        <f t="shared" si="2"/>
        <v>2</v>
      </c>
      <c r="P14" s="1016"/>
    </row>
    <row r="15" ht="22.5" customHeight="1">
      <c r="A15" s="1009">
        <v>23.0</v>
      </c>
      <c r="B15" s="1018" t="s">
        <v>1567</v>
      </c>
      <c r="C15" s="1011" t="s">
        <v>70</v>
      </c>
      <c r="D15" s="1012" t="s">
        <v>182</v>
      </c>
      <c r="E15" s="1013" t="str">
        <f t="shared" ref="E15:E16" si="7">IMAGE("https://flagcdn.com/w320/br.png")</f>
        <v/>
      </c>
      <c r="F15" s="1014">
        <v>33632.0</v>
      </c>
      <c r="G15" s="1015">
        <f t="shared" si="1"/>
        <v>33</v>
      </c>
      <c r="H15" s="1016">
        <f>1+1+1+1+1</f>
        <v>5</v>
      </c>
      <c r="I15" s="1016">
        <f>60+90+70+90+90</f>
        <v>400</v>
      </c>
      <c r="J15" s="1016"/>
      <c r="K15" s="1016">
        <f>2</f>
        <v>2</v>
      </c>
      <c r="L15" s="1016"/>
      <c r="M15" s="1016"/>
      <c r="N15" s="1016"/>
      <c r="O15" s="1016">
        <f t="shared" si="2"/>
        <v>2</v>
      </c>
      <c r="P15" s="1016"/>
    </row>
    <row r="16" ht="22.5" customHeight="1">
      <c r="A16" s="1009">
        <v>27.0</v>
      </c>
      <c r="B16" s="1018" t="s">
        <v>1568</v>
      </c>
      <c r="C16" s="1011" t="s">
        <v>82</v>
      </c>
      <c r="D16" s="1012" t="s">
        <v>1569</v>
      </c>
      <c r="E16" s="1013" t="str">
        <f t="shared" si="7"/>
        <v/>
      </c>
      <c r="F16" s="1014">
        <v>35538.0</v>
      </c>
      <c r="G16" s="1015">
        <f t="shared" si="1"/>
        <v>28</v>
      </c>
      <c r="H16" s="1016">
        <f>1+1+1+1</f>
        <v>4</v>
      </c>
      <c r="I16" s="1016">
        <f>45+5+20+29</f>
        <v>99</v>
      </c>
      <c r="J16" s="1016"/>
      <c r="K16" s="1016">
        <f t="shared" ref="K16:L16" si="8">1</f>
        <v>1</v>
      </c>
      <c r="L16" s="1016">
        <f t="shared" si="8"/>
        <v>1</v>
      </c>
      <c r="M16" s="1016"/>
      <c r="N16" s="1016"/>
      <c r="O16" s="1016">
        <f t="shared" si="2"/>
        <v>1</v>
      </c>
      <c r="P16" s="1016"/>
    </row>
    <row r="17" ht="22.5" customHeight="1">
      <c r="A17" s="1019">
        <v>31.0</v>
      </c>
      <c r="B17" s="1020" t="s">
        <v>1570</v>
      </c>
      <c r="C17" s="1021" t="s">
        <v>67</v>
      </c>
      <c r="D17" s="1022" t="s">
        <v>640</v>
      </c>
      <c r="E17" s="1023" t="str">
        <f>IMAGE("https://flagcdn.com/w320/gr.png")</f>
        <v/>
      </c>
      <c r="F17" s="1024">
        <v>38077.0</v>
      </c>
      <c r="G17" s="1025">
        <f t="shared" si="1"/>
        <v>21</v>
      </c>
      <c r="H17" s="1026">
        <v>0.0</v>
      </c>
      <c r="I17" s="1026">
        <v>0.0</v>
      </c>
      <c r="J17" s="1027"/>
      <c r="K17" s="1027"/>
      <c r="L17" s="1027"/>
      <c r="M17" s="1027"/>
      <c r="N17" s="1027"/>
      <c r="O17" s="1027">
        <f t="shared" si="2"/>
        <v>0</v>
      </c>
      <c r="P17" s="1027"/>
    </row>
    <row r="18" ht="22.5" customHeight="1">
      <c r="A18" s="1009">
        <v>32.0</v>
      </c>
      <c r="B18" s="1010" t="s">
        <v>1571</v>
      </c>
      <c r="C18" s="1011" t="s">
        <v>79</v>
      </c>
      <c r="D18" s="1012" t="s">
        <v>1572</v>
      </c>
      <c r="E18" s="1013" t="str">
        <f>IMAGE("https://flagcdn.com/w320/ar.png")</f>
        <v/>
      </c>
      <c r="F18" s="1014">
        <v>37186.0</v>
      </c>
      <c r="G18" s="1015">
        <f t="shared" si="1"/>
        <v>24</v>
      </c>
      <c r="H18" s="1016">
        <f t="shared" ref="H18:H20" si="9">1+1+1+1+1+1</f>
        <v>6</v>
      </c>
      <c r="I18" s="1016">
        <f>74+84+56+45+83+90</f>
        <v>432</v>
      </c>
      <c r="J18" s="1016"/>
      <c r="K18" s="1016">
        <f>1</f>
        <v>1</v>
      </c>
      <c r="L18" s="1016">
        <f>2+1</f>
        <v>3</v>
      </c>
      <c r="M18" s="1016">
        <f>1</f>
        <v>1</v>
      </c>
      <c r="N18" s="1016"/>
      <c r="O18" s="1016">
        <f t="shared" si="2"/>
        <v>1</v>
      </c>
      <c r="P18" s="1016"/>
    </row>
    <row r="19" ht="22.5" customHeight="1">
      <c r="A19" s="1009">
        <v>45.0</v>
      </c>
      <c r="B19" s="1010" t="s">
        <v>1573</v>
      </c>
      <c r="C19" s="1011" t="s">
        <v>70</v>
      </c>
      <c r="D19" s="1012" t="s">
        <v>640</v>
      </c>
      <c r="E19" s="1013" t="str">
        <f>IMAGE("https://flagcdn.com/w320/gr.png")</f>
        <v/>
      </c>
      <c r="F19" s="1014">
        <v>36016.0</v>
      </c>
      <c r="G19" s="1015">
        <f t="shared" si="1"/>
        <v>27</v>
      </c>
      <c r="H19" s="1016">
        <f t="shared" si="9"/>
        <v>6</v>
      </c>
      <c r="I19" s="1016">
        <f>90+84+90+90+90+90</f>
        <v>534</v>
      </c>
      <c r="J19" s="1016"/>
      <c r="K19" s="1016"/>
      <c r="L19" s="1016">
        <f t="shared" ref="L19:L20" si="10">1</f>
        <v>1</v>
      </c>
      <c r="M19" s="1016"/>
      <c r="N19" s="1016"/>
      <c r="O19" s="1016">
        <f t="shared" si="2"/>
        <v>0</v>
      </c>
      <c r="P19" s="1016"/>
    </row>
    <row r="20" ht="22.5" customHeight="1">
      <c r="A20" s="1009">
        <v>56.0</v>
      </c>
      <c r="B20" s="1018" t="s">
        <v>1574</v>
      </c>
      <c r="C20" s="1011" t="s">
        <v>82</v>
      </c>
      <c r="D20" s="1012" t="s">
        <v>477</v>
      </c>
      <c r="E20" s="1013" t="str">
        <f>IMAGE("https://flagcdn.com/w320/pt.png")</f>
        <v/>
      </c>
      <c r="F20" s="1014">
        <v>34993.0</v>
      </c>
      <c r="G20" s="1015">
        <f t="shared" si="1"/>
        <v>30</v>
      </c>
      <c r="H20" s="1016">
        <f t="shared" si="9"/>
        <v>6</v>
      </c>
      <c r="I20" s="1016">
        <f>90+90+76+82+70+61</f>
        <v>469</v>
      </c>
      <c r="J20" s="1016"/>
      <c r="K20" s="1016"/>
      <c r="L20" s="1016">
        <f t="shared" si="10"/>
        <v>1</v>
      </c>
      <c r="M20" s="1016"/>
      <c r="N20" s="1016"/>
      <c r="O20" s="1016">
        <f t="shared" si="2"/>
        <v>0</v>
      </c>
      <c r="P20" s="1016"/>
    </row>
    <row r="21" ht="22.5" customHeight="1">
      <c r="A21" s="1019">
        <v>61.0</v>
      </c>
      <c r="B21" s="1020" t="s">
        <v>1575</v>
      </c>
      <c r="C21" s="1021" t="s">
        <v>67</v>
      </c>
      <c r="D21" s="1022" t="s">
        <v>640</v>
      </c>
      <c r="E21" s="1023" t="str">
        <f t="shared" ref="E21:E22" si="11">IMAGE("https://flagcdn.com/w320/gr.png")</f>
        <v/>
      </c>
      <c r="F21" s="1024">
        <v>38794.0</v>
      </c>
      <c r="G21" s="1025">
        <f t="shared" si="1"/>
        <v>19</v>
      </c>
      <c r="H21" s="1026">
        <v>0.0</v>
      </c>
      <c r="I21" s="1026">
        <v>0.0</v>
      </c>
      <c r="J21" s="1027"/>
      <c r="K21" s="1027"/>
      <c r="L21" s="1027"/>
      <c r="M21" s="1027"/>
      <c r="N21" s="1027"/>
      <c r="O21" s="1027">
        <f t="shared" si="2"/>
        <v>0</v>
      </c>
      <c r="P21" s="1027"/>
    </row>
    <row r="22" ht="22.5" customHeight="1">
      <c r="A22" s="1019">
        <v>67.0</v>
      </c>
      <c r="B22" s="1020" t="s">
        <v>1576</v>
      </c>
      <c r="C22" s="1021" t="s">
        <v>79</v>
      </c>
      <c r="D22" s="1022" t="s">
        <v>640</v>
      </c>
      <c r="E22" s="1023" t="str">
        <f t="shared" si="11"/>
        <v/>
      </c>
      <c r="F22" s="1024">
        <v>39071.0</v>
      </c>
      <c r="G22" s="1025">
        <f t="shared" si="1"/>
        <v>19</v>
      </c>
      <c r="H22" s="1027"/>
      <c r="I22" s="1027"/>
      <c r="J22" s="1027"/>
      <c r="K22" s="1027"/>
      <c r="L22" s="1027"/>
      <c r="M22" s="1027"/>
      <c r="N22" s="1027"/>
      <c r="O22" s="1027">
        <f t="shared" si="2"/>
        <v>0</v>
      </c>
      <c r="P22" s="1027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22.5" customHeight="1">
      <c r="A23" s="1009">
        <v>70.0</v>
      </c>
      <c r="B23" s="1010" t="s">
        <v>1577</v>
      </c>
      <c r="C23" s="1011" t="s">
        <v>70</v>
      </c>
      <c r="D23" s="1012" t="s">
        <v>800</v>
      </c>
      <c r="E23" s="1013" t="str">
        <f>IMAGE("https://flagcdn.com/w320/ng.png")</f>
        <v/>
      </c>
      <c r="F23" s="1014">
        <v>36253.0</v>
      </c>
      <c r="G23" s="1015">
        <f t="shared" si="1"/>
        <v>26</v>
      </c>
      <c r="H23" s="1017">
        <f>1+1</f>
        <v>2</v>
      </c>
      <c r="I23" s="1017">
        <f>38+12</f>
        <v>50</v>
      </c>
      <c r="J23" s="1016"/>
      <c r="K23" s="1016"/>
      <c r="L23" s="1016"/>
      <c r="M23" s="1016"/>
      <c r="N23" s="1016"/>
      <c r="O23" s="1016">
        <f t="shared" si="2"/>
        <v>0</v>
      </c>
      <c r="P23" s="1016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22.5" customHeight="1">
      <c r="A24" s="1019">
        <v>80.0</v>
      </c>
      <c r="B24" s="1020" t="s">
        <v>1578</v>
      </c>
      <c r="C24" s="1021" t="s">
        <v>82</v>
      </c>
      <c r="D24" s="1022" t="s">
        <v>640</v>
      </c>
      <c r="E24" s="1023" t="str">
        <f t="shared" ref="E24:E27" si="12">IMAGE("https://flagcdn.com/w320/gr.png")</f>
        <v/>
      </c>
      <c r="F24" s="1024">
        <v>38936.0</v>
      </c>
      <c r="G24" s="1025">
        <f t="shared" si="1"/>
        <v>19</v>
      </c>
      <c r="H24" s="1027">
        <f>1</f>
        <v>1</v>
      </c>
      <c r="I24" s="1027">
        <f>16</f>
        <v>16</v>
      </c>
      <c r="J24" s="1027"/>
      <c r="K24" s="1027"/>
      <c r="L24" s="1027"/>
      <c r="M24" s="1027"/>
      <c r="N24" s="1027"/>
      <c r="O24" s="1027">
        <f t="shared" si="2"/>
        <v>0</v>
      </c>
      <c r="P24" s="1027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22.5" customHeight="1">
      <c r="A25" s="1028">
        <v>88.0</v>
      </c>
      <c r="B25" s="1029" t="s">
        <v>1579</v>
      </c>
      <c r="C25" s="1030" t="s">
        <v>67</v>
      </c>
      <c r="D25" s="1031" t="s">
        <v>640</v>
      </c>
      <c r="E25" s="1032" t="str">
        <f t="shared" si="12"/>
        <v/>
      </c>
      <c r="F25" s="1033">
        <v>37568.0</v>
      </c>
      <c r="G25" s="1034">
        <f t="shared" si="1"/>
        <v>23</v>
      </c>
      <c r="H25" s="1035">
        <f>1+1+1+1+1+1</f>
        <v>6</v>
      </c>
      <c r="I25" s="1035">
        <f>90+90+90+90+90+90</f>
        <v>540</v>
      </c>
      <c r="J25" s="1035"/>
      <c r="K25" s="1035"/>
      <c r="L25" s="1035"/>
      <c r="M25" s="1035"/>
      <c r="N25" s="1035">
        <f>1+1</f>
        <v>2</v>
      </c>
      <c r="O25" s="1035">
        <f t="shared" si="2"/>
        <v>0</v>
      </c>
      <c r="P25" s="1035"/>
      <c r="Q25" s="590"/>
      <c r="R25" s="590"/>
      <c r="S25" s="590"/>
      <c r="T25" s="590"/>
      <c r="U25" s="590"/>
      <c r="V25" s="590"/>
      <c r="W25" s="590"/>
      <c r="X25" s="590"/>
      <c r="Y25" s="590"/>
      <c r="Z25" s="590"/>
      <c r="AA25" s="590"/>
    </row>
    <row r="26" ht="22.5" customHeight="1">
      <c r="A26" s="1019">
        <v>91.0</v>
      </c>
      <c r="B26" s="1020" t="s">
        <v>1580</v>
      </c>
      <c r="C26" s="1021" t="s">
        <v>67</v>
      </c>
      <c r="D26" s="1022" t="s">
        <v>640</v>
      </c>
      <c r="E26" s="1023" t="str">
        <f t="shared" si="12"/>
        <v/>
      </c>
      <c r="F26" s="1024">
        <v>38505.0</v>
      </c>
      <c r="G26" s="1025">
        <f t="shared" si="1"/>
        <v>20</v>
      </c>
      <c r="H26" s="1026">
        <v>0.0</v>
      </c>
      <c r="I26" s="1026">
        <v>0.0</v>
      </c>
      <c r="J26" s="1027"/>
      <c r="K26" s="1027"/>
      <c r="L26" s="1027"/>
      <c r="M26" s="1027"/>
      <c r="N26" s="1027"/>
      <c r="O26" s="1027">
        <f t="shared" si="2"/>
        <v>0</v>
      </c>
      <c r="P26" s="1027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22.5" customHeight="1">
      <c r="A27" s="1019">
        <v>96.0</v>
      </c>
      <c r="B27" s="1020" t="s">
        <v>1581</v>
      </c>
      <c r="C27" s="1021" t="s">
        <v>79</v>
      </c>
      <c r="D27" s="1022" t="s">
        <v>640</v>
      </c>
      <c r="E27" s="1023" t="str">
        <f t="shared" si="12"/>
        <v/>
      </c>
      <c r="F27" s="1024">
        <v>39076.0</v>
      </c>
      <c r="G27" s="1025">
        <f t="shared" si="1"/>
        <v>19</v>
      </c>
      <c r="H27" s="1027">
        <f t="shared" ref="H27:H28" si="13">1+1+1+1+1+1+1</f>
        <v>7</v>
      </c>
      <c r="I27" s="1027">
        <f>45+6+45+90+90+90+73</f>
        <v>439</v>
      </c>
      <c r="J27" s="1027"/>
      <c r="K27" s="1027"/>
      <c r="L27" s="1027"/>
      <c r="M27" s="1027"/>
      <c r="N27" s="1027"/>
      <c r="O27" s="1027">
        <f t="shared" si="2"/>
        <v>0</v>
      </c>
      <c r="P27" s="102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1009">
        <v>99.0</v>
      </c>
      <c r="B28" s="1010" t="s">
        <v>1582</v>
      </c>
      <c r="C28" s="1011" t="s">
        <v>82</v>
      </c>
      <c r="D28" s="1012" t="s">
        <v>1583</v>
      </c>
      <c r="E28" s="1013" t="str">
        <f>IMAGE("https://flagcdn.com/w320/ir.png")</f>
        <v/>
      </c>
      <c r="F28" s="1014">
        <v>33803.0</v>
      </c>
      <c r="G28" s="1015">
        <f t="shared" si="1"/>
        <v>33</v>
      </c>
      <c r="H28" s="1016">
        <f t="shared" si="13"/>
        <v>7</v>
      </c>
      <c r="I28" s="1016">
        <f>45+29+14+18+63+29+73</f>
        <v>271</v>
      </c>
      <c r="J28" s="1016">
        <f>1+1</f>
        <v>2</v>
      </c>
      <c r="K28" s="1016">
        <f>1</f>
        <v>1</v>
      </c>
      <c r="L28" s="1016">
        <f>1+1</f>
        <v>2</v>
      </c>
      <c r="M28" s="1016"/>
      <c r="N28" s="1016"/>
      <c r="O28" s="1016">
        <f t="shared" si="2"/>
        <v>3</v>
      </c>
      <c r="P28" s="1016"/>
    </row>
    <row r="29">
      <c r="A29" s="11"/>
      <c r="B29" s="18"/>
      <c r="C29" s="18"/>
      <c r="D29" s="64"/>
      <c r="E29" s="65"/>
      <c r="F29" s="66"/>
      <c r="G29" s="18"/>
      <c r="H29" s="11">
        <f>SUM(H2:H28)</f>
        <v>109</v>
      </c>
      <c r="I29" s="11">
        <f>SUM(I2:I28)+34</f>
        <v>6930</v>
      </c>
      <c r="J29" s="11">
        <f t="shared" ref="J29:P29" si="14">SUM(J2:J28)</f>
        <v>8</v>
      </c>
      <c r="K29" s="11">
        <f t="shared" si="14"/>
        <v>7</v>
      </c>
      <c r="L29" s="11">
        <f t="shared" si="14"/>
        <v>14</v>
      </c>
      <c r="M29" s="11">
        <f t="shared" si="14"/>
        <v>1</v>
      </c>
      <c r="N29" s="11">
        <f t="shared" si="14"/>
        <v>3</v>
      </c>
      <c r="O29" s="11">
        <f t="shared" si="14"/>
        <v>15</v>
      </c>
      <c r="P29" s="1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22.5" customHeight="1">
      <c r="A30" s="1003" t="s">
        <v>150</v>
      </c>
      <c r="B30" s="1004" t="s">
        <v>49</v>
      </c>
      <c r="C30" s="1004" t="s">
        <v>265</v>
      </c>
      <c r="D30" s="1036" t="s">
        <v>56</v>
      </c>
      <c r="E30" s="1037" t="s">
        <v>57</v>
      </c>
      <c r="F30" s="1004" t="s">
        <v>52</v>
      </c>
      <c r="G30" s="1004" t="s">
        <v>53</v>
      </c>
      <c r="H30" s="1037" t="s">
        <v>4</v>
      </c>
      <c r="I30" s="1037" t="s">
        <v>5</v>
      </c>
      <c r="J30" s="1037" t="s">
        <v>6</v>
      </c>
      <c r="K30" s="1037" t="s">
        <v>7</v>
      </c>
      <c r="L30" s="1037" t="s">
        <v>8</v>
      </c>
      <c r="M30" s="1037" t="s">
        <v>9</v>
      </c>
      <c r="N30" s="1037" t="s">
        <v>10</v>
      </c>
    </row>
    <row r="31" ht="22.5" customHeight="1">
      <c r="A31" s="1038"/>
      <c r="B31" s="1010" t="s">
        <v>1584</v>
      </c>
      <c r="C31" s="1010" t="s">
        <v>153</v>
      </c>
      <c r="D31" s="1012" t="s">
        <v>83</v>
      </c>
      <c r="E31" s="1039" t="str">
        <f>IMAGE("https://flagcdn.com/w320/es.png")</f>
        <v/>
      </c>
      <c r="F31" s="1014">
        <v>22354.0</v>
      </c>
      <c r="G31" s="1015">
        <f>DATEDIF(F31,TODAY(),"Y")</f>
        <v>64</v>
      </c>
      <c r="H31" s="157">
        <f>L31+M31+N31</f>
        <v>7</v>
      </c>
      <c r="I31" s="157">
        <f>(3*L31)+M31</f>
        <v>8</v>
      </c>
      <c r="J31" s="157">
        <f>1+1+3+1+2</f>
        <v>8</v>
      </c>
      <c r="K31" s="489">
        <f>2+6+1+4</f>
        <v>13</v>
      </c>
      <c r="L31" s="1040">
        <f t="shared" ref="L31:M31" si="15">1+1</f>
        <v>2</v>
      </c>
      <c r="M31" s="490">
        <f t="shared" si="15"/>
        <v>2</v>
      </c>
      <c r="N31" s="491">
        <f>1+1+1</f>
        <v>3</v>
      </c>
    </row>
    <row r="32">
      <c r="A32" s="11"/>
      <c r="B32" s="18"/>
      <c r="C32" s="18"/>
      <c r="D32" s="64"/>
      <c r="E32" s="65"/>
      <c r="F32" s="66"/>
      <c r="G32" s="18"/>
      <c r="H32" s="73">
        <f>SUM(trenerOlympiacos[mecze])</f>
        <v>7</v>
      </c>
      <c r="I32" s="73">
        <f>SUM(trenerOlympiacos[punkty])</f>
        <v>8</v>
      </c>
      <c r="J32" s="73">
        <f>SUM(trenerOlympiacos[strzelone])</f>
        <v>8</v>
      </c>
      <c r="K32" s="73">
        <f>SUM(trenerOlympiacos[stracone])</f>
        <v>13</v>
      </c>
      <c r="L32" s="73">
        <f>SUM(trenerOlympiacos[wygrane])</f>
        <v>2</v>
      </c>
      <c r="M32" s="73">
        <f>SUM(trenerOlympiacos[remisy])</f>
        <v>2</v>
      </c>
      <c r="N32" s="73">
        <f>SUM(trenerOlympiacos[porażki])</f>
        <v>3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22.5" customHeight="1">
      <c r="A33" s="1003" t="s">
        <v>156</v>
      </c>
      <c r="B33" s="1003" t="s">
        <v>157</v>
      </c>
      <c r="C33" s="1003" t="s">
        <v>158</v>
      </c>
      <c r="D33" s="1005" t="s">
        <v>1585</v>
      </c>
      <c r="E33" s="1003" t="s">
        <v>160</v>
      </c>
      <c r="F33" s="1003" t="s">
        <v>161</v>
      </c>
    </row>
    <row r="34" ht="22.5" customHeight="1">
      <c r="A34" s="197">
        <v>1.0</v>
      </c>
      <c r="B34" s="198" t="s">
        <v>38</v>
      </c>
      <c r="C34" s="198" t="s">
        <v>36</v>
      </c>
      <c r="D34" s="199"/>
      <c r="E34" s="200" t="s">
        <v>331</v>
      </c>
      <c r="F34" s="198" t="s">
        <v>1209</v>
      </c>
    </row>
    <row r="35" ht="22.5" customHeight="1">
      <c r="A35" s="77">
        <v>2.0</v>
      </c>
      <c r="B35" s="697" t="s">
        <v>12</v>
      </c>
      <c r="C35" s="78" t="s">
        <v>38</v>
      </c>
      <c r="D35" s="79"/>
      <c r="E35" s="80" t="s">
        <v>271</v>
      </c>
      <c r="F35" s="78" t="s">
        <v>272</v>
      </c>
    </row>
    <row r="36" ht="22.5" customHeight="1">
      <c r="A36" s="77">
        <v>3.0</v>
      </c>
      <c r="B36" s="697" t="s">
        <v>25</v>
      </c>
      <c r="C36" s="697" t="s">
        <v>38</v>
      </c>
      <c r="D36" s="83" t="s">
        <v>1586</v>
      </c>
      <c r="E36" s="84">
        <v>45809.0</v>
      </c>
      <c r="F36" s="78" t="s">
        <v>557</v>
      </c>
    </row>
    <row r="37" ht="22.5" customHeight="1">
      <c r="A37" s="197">
        <v>4.0</v>
      </c>
      <c r="B37" s="727" t="s">
        <v>38</v>
      </c>
      <c r="C37" s="727" t="s">
        <v>30</v>
      </c>
      <c r="D37" s="264" t="s">
        <v>1587</v>
      </c>
      <c r="E37" s="265">
        <v>45658.0</v>
      </c>
      <c r="F37" s="198" t="s">
        <v>1209</v>
      </c>
    </row>
    <row r="38" ht="22.5" customHeight="1">
      <c r="A38" s="77">
        <v>5.0</v>
      </c>
      <c r="B38" s="78" t="s">
        <v>38</v>
      </c>
      <c r="C38" s="697" t="s">
        <v>17</v>
      </c>
      <c r="D38" s="83" t="s">
        <v>1588</v>
      </c>
      <c r="E38" s="84">
        <v>45720.0</v>
      </c>
      <c r="F38" s="78" t="s">
        <v>1209</v>
      </c>
    </row>
    <row r="39" ht="22.5" customHeight="1">
      <c r="A39" s="86">
        <v>6.0</v>
      </c>
      <c r="B39" s="847" t="s">
        <v>47</v>
      </c>
      <c r="C39" s="87" t="s">
        <v>38</v>
      </c>
      <c r="D39" s="88" t="s">
        <v>1589</v>
      </c>
      <c r="E39" s="161" t="s">
        <v>333</v>
      </c>
      <c r="F39" s="87" t="s">
        <v>839</v>
      </c>
    </row>
    <row r="40" ht="22.5" customHeight="1">
      <c r="A40" s="86">
        <v>7.0</v>
      </c>
      <c r="B40" s="87" t="s">
        <v>38</v>
      </c>
      <c r="C40" s="847" t="s">
        <v>31</v>
      </c>
      <c r="D40" s="88" t="s">
        <v>1590</v>
      </c>
      <c r="E40" s="161" t="s">
        <v>271</v>
      </c>
      <c r="F40" s="87" t="s">
        <v>1209</v>
      </c>
    </row>
    <row r="41" ht="22.5" customHeight="1">
      <c r="A41" s="90">
        <v>8.0</v>
      </c>
      <c r="B41" s="925" t="s">
        <v>43</v>
      </c>
      <c r="C41" s="91" t="s">
        <v>38</v>
      </c>
      <c r="D41" s="92"/>
      <c r="E41" s="93"/>
      <c r="F41" s="94" t="s">
        <v>163</v>
      </c>
    </row>
    <row r="42">
      <c r="A42" s="12"/>
      <c r="D42" s="95"/>
      <c r="E42" s="14"/>
      <c r="F42" s="96"/>
    </row>
    <row r="43">
      <c r="A43" s="12"/>
      <c r="D43" s="95"/>
      <c r="E43" s="14"/>
      <c r="F43" s="96"/>
    </row>
    <row r="44">
      <c r="A44" s="12"/>
      <c r="D44" s="95"/>
      <c r="E44" s="14"/>
      <c r="F44" s="96"/>
    </row>
    <row r="45">
      <c r="A45" s="12"/>
      <c r="D45" s="95"/>
      <c r="E45" s="14"/>
      <c r="F45" s="96"/>
    </row>
    <row r="46">
      <c r="A46" s="12"/>
      <c r="D46" s="95"/>
      <c r="E46" s="14"/>
      <c r="F46" s="96"/>
    </row>
    <row r="47">
      <c r="A47" s="12"/>
      <c r="D47" s="95"/>
      <c r="E47" s="14"/>
      <c r="F47" s="96"/>
    </row>
    <row r="48">
      <c r="A48" s="12"/>
      <c r="D48" s="95"/>
      <c r="E48" s="14"/>
      <c r="F48" s="96"/>
    </row>
    <row r="49">
      <c r="A49" s="12"/>
      <c r="D49" s="95"/>
      <c r="E49" s="14"/>
      <c r="F49" s="96"/>
    </row>
    <row r="50">
      <c r="A50" s="12"/>
      <c r="D50" s="95"/>
      <c r="E50" s="14"/>
      <c r="F50" s="96"/>
    </row>
    <row r="51">
      <c r="A51" s="12"/>
      <c r="D51" s="95"/>
      <c r="E51" s="14"/>
      <c r="F51" s="96"/>
    </row>
    <row r="52">
      <c r="A52" s="12"/>
      <c r="D52" s="95"/>
      <c r="E52" s="14"/>
      <c r="F52" s="96"/>
    </row>
    <row r="53">
      <c r="A53" s="12"/>
      <c r="D53" s="95"/>
      <c r="E53" s="14"/>
      <c r="F53" s="96"/>
    </row>
    <row r="54">
      <c r="A54" s="12"/>
      <c r="D54" s="95"/>
      <c r="E54" s="14"/>
      <c r="F54" s="96"/>
    </row>
    <row r="55">
      <c r="A55" s="12"/>
      <c r="D55" s="95"/>
      <c r="E55" s="14"/>
      <c r="F55" s="96"/>
    </row>
    <row r="56">
      <c r="A56" s="12"/>
      <c r="D56" s="95"/>
      <c r="E56" s="14"/>
      <c r="F56" s="96"/>
    </row>
    <row r="57">
      <c r="A57" s="12"/>
      <c r="D57" s="95"/>
      <c r="E57" s="14"/>
      <c r="F57" s="96"/>
    </row>
    <row r="58">
      <c r="A58" s="12"/>
      <c r="D58" s="95"/>
      <c r="E58" s="14"/>
      <c r="F58" s="96"/>
    </row>
    <row r="59">
      <c r="A59" s="12"/>
      <c r="D59" s="95"/>
      <c r="E59" s="14"/>
      <c r="F59" s="96"/>
    </row>
    <row r="60">
      <c r="A60" s="12"/>
      <c r="D60" s="95"/>
      <c r="E60" s="14"/>
      <c r="F60" s="96"/>
    </row>
    <row r="61">
      <c r="A61" s="12"/>
      <c r="D61" s="95"/>
      <c r="E61" s="14"/>
      <c r="F61" s="96"/>
    </row>
    <row r="62">
      <c r="A62" s="12"/>
      <c r="D62" s="95"/>
      <c r="E62" s="14"/>
      <c r="F62" s="96"/>
    </row>
    <row r="63">
      <c r="A63" s="12"/>
      <c r="D63" s="95"/>
      <c r="E63" s="14"/>
      <c r="F63" s="96"/>
    </row>
    <row r="64">
      <c r="A64" s="12"/>
      <c r="D64" s="95"/>
      <c r="E64" s="14"/>
      <c r="F64" s="96"/>
    </row>
    <row r="65">
      <c r="A65" s="12"/>
      <c r="D65" s="95"/>
      <c r="E65" s="14"/>
      <c r="F65" s="96"/>
    </row>
    <row r="66">
      <c r="A66" s="12"/>
      <c r="D66" s="95"/>
      <c r="E66" s="14"/>
      <c r="F66" s="96"/>
    </row>
    <row r="67">
      <c r="A67" s="12"/>
      <c r="D67" s="95"/>
      <c r="E67" s="14"/>
      <c r="F67" s="96"/>
    </row>
    <row r="68">
      <c r="A68" s="12"/>
      <c r="D68" s="95"/>
      <c r="E68" s="14"/>
      <c r="F68" s="96"/>
    </row>
    <row r="69">
      <c r="A69" s="12"/>
      <c r="D69" s="95"/>
      <c r="E69" s="14"/>
      <c r="F69" s="96"/>
    </row>
    <row r="70">
      <c r="A70" s="12"/>
      <c r="D70" s="95"/>
      <c r="E70" s="14"/>
      <c r="F70" s="96"/>
    </row>
    <row r="71">
      <c r="A71" s="12"/>
      <c r="D71" s="95"/>
      <c r="E71" s="14"/>
      <c r="F71" s="96"/>
    </row>
    <row r="72">
      <c r="A72" s="12"/>
      <c r="D72" s="95"/>
      <c r="E72" s="14"/>
      <c r="F72" s="96"/>
    </row>
    <row r="73">
      <c r="A73" s="12"/>
      <c r="D73" s="95"/>
      <c r="E73" s="14"/>
      <c r="F73" s="96"/>
    </row>
    <row r="74">
      <c r="A74" s="12"/>
      <c r="D74" s="95"/>
      <c r="E74" s="14"/>
      <c r="F74" s="96"/>
    </row>
    <row r="75">
      <c r="A75" s="12"/>
      <c r="D75" s="95"/>
      <c r="E75" s="14"/>
      <c r="F75" s="96"/>
    </row>
    <row r="76">
      <c r="A76" s="12"/>
      <c r="D76" s="95"/>
      <c r="E76" s="14"/>
      <c r="F76" s="96"/>
    </row>
    <row r="77">
      <c r="A77" s="12"/>
      <c r="D77" s="95"/>
      <c r="E77" s="14"/>
      <c r="F77" s="96"/>
    </row>
    <row r="78">
      <c r="A78" s="12"/>
      <c r="D78" s="95"/>
      <c r="E78" s="14"/>
      <c r="F78" s="96"/>
    </row>
    <row r="79">
      <c r="A79" s="12"/>
      <c r="D79" s="95"/>
      <c r="E79" s="14"/>
      <c r="F79" s="96"/>
    </row>
    <row r="80">
      <c r="A80" s="12"/>
      <c r="D80" s="95"/>
      <c r="E80" s="14"/>
      <c r="F80" s="96"/>
    </row>
    <row r="81">
      <c r="A81" s="12"/>
      <c r="D81" s="95"/>
      <c r="E81" s="14"/>
      <c r="F81" s="96"/>
    </row>
    <row r="82">
      <c r="A82" s="12"/>
      <c r="D82" s="95"/>
      <c r="E82" s="14"/>
      <c r="F82" s="96"/>
    </row>
    <row r="83">
      <c r="A83" s="12"/>
      <c r="D83" s="95"/>
      <c r="E83" s="14"/>
      <c r="F83" s="96"/>
    </row>
    <row r="84">
      <c r="A84" s="12"/>
      <c r="D84" s="95"/>
      <c r="E84" s="14"/>
      <c r="F84" s="96"/>
    </row>
    <row r="85">
      <c r="A85" s="12"/>
      <c r="D85" s="95"/>
      <c r="E85" s="14"/>
      <c r="F85" s="96"/>
    </row>
    <row r="86">
      <c r="A86" s="12"/>
      <c r="D86" s="95"/>
      <c r="E86" s="14"/>
      <c r="F86" s="96"/>
    </row>
    <row r="87">
      <c r="A87" s="12"/>
      <c r="D87" s="95"/>
      <c r="E87" s="14"/>
      <c r="F87" s="96"/>
    </row>
    <row r="88">
      <c r="A88" s="12"/>
      <c r="D88" s="95"/>
      <c r="E88" s="14"/>
      <c r="F88" s="96"/>
    </row>
    <row r="89">
      <c r="A89" s="12"/>
      <c r="D89" s="95"/>
      <c r="E89" s="14"/>
      <c r="F89" s="96"/>
    </row>
    <row r="90">
      <c r="A90" s="12"/>
      <c r="D90" s="95"/>
      <c r="E90" s="14"/>
      <c r="F90" s="96"/>
    </row>
    <row r="91">
      <c r="A91" s="12"/>
      <c r="D91" s="95"/>
      <c r="E91" s="14"/>
      <c r="F91" s="96"/>
    </row>
    <row r="92">
      <c r="A92" s="12"/>
      <c r="D92" s="95"/>
      <c r="E92" s="14"/>
      <c r="F92" s="96"/>
    </row>
    <row r="93">
      <c r="A93" s="12"/>
      <c r="D93" s="95"/>
      <c r="E93" s="14"/>
      <c r="F93" s="96"/>
    </row>
    <row r="94">
      <c r="A94" s="12"/>
      <c r="D94" s="95"/>
      <c r="E94" s="14"/>
      <c r="F94" s="96"/>
    </row>
    <row r="95">
      <c r="A95" s="12"/>
      <c r="D95" s="95"/>
      <c r="E95" s="14"/>
      <c r="F95" s="96"/>
    </row>
    <row r="96">
      <c r="A96" s="12"/>
      <c r="D96" s="95"/>
      <c r="E96" s="14"/>
      <c r="F96" s="96"/>
    </row>
    <row r="97">
      <c r="A97" s="12"/>
      <c r="D97" s="95"/>
      <c r="E97" s="14"/>
      <c r="F97" s="96"/>
    </row>
    <row r="98">
      <c r="A98" s="12"/>
      <c r="D98" s="95"/>
      <c r="E98" s="14"/>
      <c r="F98" s="96"/>
    </row>
    <row r="99">
      <c r="A99" s="12"/>
      <c r="D99" s="95"/>
      <c r="E99" s="14"/>
      <c r="F99" s="96"/>
    </row>
    <row r="100">
      <c r="A100" s="12"/>
      <c r="D100" s="95"/>
      <c r="E100" s="14"/>
      <c r="F100" s="96"/>
    </row>
    <row r="101">
      <c r="A101" s="12"/>
      <c r="D101" s="95"/>
      <c r="E101" s="14"/>
      <c r="F101" s="96"/>
    </row>
    <row r="102">
      <c r="A102" s="12"/>
      <c r="D102" s="95"/>
      <c r="E102" s="14"/>
      <c r="F102" s="96"/>
    </row>
    <row r="103">
      <c r="A103" s="12"/>
      <c r="D103" s="95"/>
      <c r="E103" s="14"/>
      <c r="F103" s="96"/>
    </row>
    <row r="104">
      <c r="A104" s="12"/>
      <c r="D104" s="95"/>
      <c r="E104" s="14"/>
      <c r="F104" s="96"/>
    </row>
    <row r="105">
      <c r="A105" s="12"/>
      <c r="D105" s="95"/>
      <c r="E105" s="14"/>
      <c r="F105" s="96"/>
    </row>
    <row r="106">
      <c r="A106" s="12"/>
      <c r="D106" s="95"/>
      <c r="E106" s="14"/>
      <c r="F106" s="96"/>
    </row>
    <row r="107">
      <c r="A107" s="12"/>
      <c r="D107" s="95"/>
      <c r="E107" s="14"/>
      <c r="F107" s="96"/>
    </row>
    <row r="108">
      <c r="A108" s="12"/>
      <c r="D108" s="95"/>
      <c r="E108" s="14"/>
      <c r="F108" s="96"/>
    </row>
    <row r="109">
      <c r="A109" s="12"/>
      <c r="D109" s="95"/>
      <c r="E109" s="14"/>
      <c r="F109" s="96"/>
    </row>
    <row r="110">
      <c r="A110" s="12"/>
      <c r="D110" s="95"/>
      <c r="E110" s="14"/>
      <c r="F110" s="96"/>
    </row>
    <row r="111">
      <c r="A111" s="12"/>
      <c r="D111" s="95"/>
      <c r="E111" s="14"/>
      <c r="F111" s="96"/>
    </row>
    <row r="112">
      <c r="A112" s="12"/>
      <c r="D112" s="95"/>
      <c r="E112" s="14"/>
      <c r="F112" s="96"/>
    </row>
    <row r="113">
      <c r="A113" s="12"/>
      <c r="D113" s="95"/>
      <c r="E113" s="14"/>
      <c r="F113" s="96"/>
    </row>
    <row r="114">
      <c r="A114" s="12"/>
      <c r="D114" s="95"/>
      <c r="E114" s="14"/>
      <c r="F114" s="96"/>
    </row>
    <row r="115">
      <c r="A115" s="12"/>
      <c r="D115" s="95"/>
      <c r="E115" s="14"/>
      <c r="F115" s="96"/>
    </row>
    <row r="116">
      <c r="A116" s="12"/>
      <c r="D116" s="95"/>
      <c r="E116" s="14"/>
      <c r="F116" s="96"/>
    </row>
    <row r="117">
      <c r="A117" s="12"/>
      <c r="D117" s="95"/>
      <c r="E117" s="14"/>
      <c r="F117" s="96"/>
    </row>
    <row r="118">
      <c r="A118" s="12"/>
      <c r="D118" s="95"/>
      <c r="E118" s="14"/>
      <c r="F118" s="96"/>
    </row>
    <row r="119">
      <c r="A119" s="12"/>
      <c r="D119" s="95"/>
      <c r="E119" s="14"/>
      <c r="F119" s="96"/>
    </row>
    <row r="120">
      <c r="A120" s="12"/>
      <c r="D120" s="95"/>
      <c r="E120" s="14"/>
      <c r="F120" s="96"/>
    </row>
    <row r="121">
      <c r="A121" s="12"/>
      <c r="D121" s="95"/>
      <c r="E121" s="14"/>
      <c r="F121" s="96"/>
    </row>
    <row r="122">
      <c r="A122" s="12"/>
      <c r="D122" s="95"/>
      <c r="E122" s="14"/>
      <c r="F122" s="96"/>
    </row>
    <row r="123">
      <c r="A123" s="12"/>
      <c r="D123" s="95"/>
      <c r="E123" s="14"/>
      <c r="F123" s="96"/>
    </row>
    <row r="124">
      <c r="A124" s="12"/>
      <c r="D124" s="95"/>
      <c r="E124" s="14"/>
      <c r="F124" s="96"/>
    </row>
    <row r="125">
      <c r="A125" s="12"/>
      <c r="D125" s="95"/>
      <c r="E125" s="14"/>
      <c r="F125" s="96"/>
    </row>
    <row r="126">
      <c r="A126" s="12"/>
      <c r="D126" s="95"/>
      <c r="E126" s="14"/>
      <c r="F126" s="96"/>
    </row>
    <row r="127">
      <c r="A127" s="12"/>
      <c r="D127" s="95"/>
      <c r="E127" s="14"/>
      <c r="F127" s="96"/>
    </row>
    <row r="128">
      <c r="A128" s="12"/>
      <c r="D128" s="95"/>
      <c r="E128" s="14"/>
      <c r="F128" s="96"/>
    </row>
    <row r="129">
      <c r="A129" s="12"/>
      <c r="D129" s="95"/>
      <c r="E129" s="14"/>
      <c r="F129" s="96"/>
    </row>
    <row r="130">
      <c r="A130" s="12"/>
      <c r="D130" s="95"/>
      <c r="E130" s="14"/>
      <c r="F130" s="96"/>
    </row>
    <row r="131">
      <c r="A131" s="12"/>
      <c r="D131" s="95"/>
      <c r="E131" s="14"/>
      <c r="F131" s="96"/>
    </row>
    <row r="132">
      <c r="A132" s="12"/>
      <c r="D132" s="95"/>
      <c r="E132" s="14"/>
      <c r="F132" s="96"/>
    </row>
    <row r="133">
      <c r="A133" s="12"/>
      <c r="D133" s="95"/>
      <c r="E133" s="14"/>
      <c r="F133" s="96"/>
    </row>
    <row r="134">
      <c r="A134" s="12"/>
      <c r="D134" s="95"/>
      <c r="E134" s="14"/>
      <c r="F134" s="96"/>
    </row>
    <row r="135">
      <c r="A135" s="12"/>
      <c r="D135" s="95"/>
      <c r="E135" s="14"/>
      <c r="F135" s="96"/>
    </row>
    <row r="136">
      <c r="A136" s="12"/>
      <c r="D136" s="95"/>
      <c r="E136" s="14"/>
      <c r="F136" s="96"/>
    </row>
    <row r="137">
      <c r="A137" s="12"/>
      <c r="D137" s="95"/>
      <c r="E137" s="14"/>
      <c r="F137" s="96"/>
    </row>
    <row r="138">
      <c r="A138" s="12"/>
      <c r="D138" s="95"/>
      <c r="E138" s="14"/>
      <c r="F138" s="96"/>
    </row>
    <row r="139">
      <c r="A139" s="12"/>
      <c r="D139" s="95"/>
      <c r="E139" s="14"/>
      <c r="F139" s="96"/>
    </row>
    <row r="140">
      <c r="A140" s="12"/>
      <c r="D140" s="95"/>
      <c r="E140" s="14"/>
      <c r="F140" s="96"/>
    </row>
    <row r="141">
      <c r="A141" s="12"/>
      <c r="D141" s="95"/>
      <c r="E141" s="14"/>
      <c r="F141" s="96"/>
    </row>
    <row r="142">
      <c r="A142" s="12"/>
      <c r="D142" s="95"/>
      <c r="E142" s="14"/>
      <c r="F142" s="96"/>
    </row>
    <row r="143">
      <c r="A143" s="12"/>
      <c r="D143" s="95"/>
      <c r="E143" s="14"/>
      <c r="F143" s="96"/>
    </row>
    <row r="144">
      <c r="A144" s="12"/>
      <c r="D144" s="95"/>
      <c r="E144" s="14"/>
      <c r="F144" s="96"/>
    </row>
    <row r="145">
      <c r="A145" s="12"/>
      <c r="D145" s="95"/>
      <c r="E145" s="14"/>
      <c r="F145" s="96"/>
    </row>
    <row r="146">
      <c r="A146" s="12"/>
      <c r="D146" s="95"/>
      <c r="E146" s="14"/>
      <c r="F146" s="96"/>
    </row>
    <row r="147">
      <c r="A147" s="12"/>
      <c r="D147" s="95"/>
      <c r="E147" s="14"/>
      <c r="F147" s="96"/>
    </row>
    <row r="148">
      <c r="A148" s="12"/>
      <c r="D148" s="95"/>
      <c r="E148" s="14"/>
      <c r="F148" s="96"/>
    </row>
    <row r="149">
      <c r="A149" s="12"/>
      <c r="D149" s="95"/>
      <c r="E149" s="14"/>
      <c r="F149" s="96"/>
    </row>
    <row r="150">
      <c r="A150" s="12"/>
      <c r="D150" s="95"/>
      <c r="E150" s="14"/>
      <c r="F150" s="96"/>
    </row>
    <row r="151">
      <c r="A151" s="12"/>
      <c r="D151" s="95"/>
      <c r="E151" s="14"/>
      <c r="F151" s="96"/>
    </row>
    <row r="152">
      <c r="A152" s="12"/>
      <c r="D152" s="95"/>
      <c r="E152" s="14"/>
      <c r="F152" s="96"/>
    </row>
    <row r="153">
      <c r="A153" s="12"/>
      <c r="D153" s="95"/>
      <c r="E153" s="14"/>
      <c r="F153" s="96"/>
    </row>
    <row r="154">
      <c r="A154" s="12"/>
      <c r="D154" s="95"/>
      <c r="E154" s="14"/>
      <c r="F154" s="96"/>
    </row>
    <row r="155">
      <c r="A155" s="12"/>
      <c r="D155" s="95"/>
      <c r="E155" s="14"/>
      <c r="F155" s="96"/>
    </row>
    <row r="156">
      <c r="A156" s="12"/>
      <c r="D156" s="95"/>
      <c r="E156" s="14"/>
      <c r="F156" s="96"/>
    </row>
    <row r="157">
      <c r="A157" s="12"/>
      <c r="D157" s="95"/>
      <c r="E157" s="14"/>
      <c r="F157" s="96"/>
    </row>
    <row r="158">
      <c r="A158" s="12"/>
      <c r="D158" s="95"/>
      <c r="E158" s="14"/>
      <c r="F158" s="96"/>
    </row>
    <row r="159">
      <c r="A159" s="12"/>
      <c r="D159" s="95"/>
      <c r="E159" s="14"/>
      <c r="F159" s="96"/>
    </row>
    <row r="160">
      <c r="A160" s="12"/>
      <c r="D160" s="95"/>
      <c r="E160" s="14"/>
      <c r="F160" s="96"/>
    </row>
    <row r="161">
      <c r="A161" s="12"/>
      <c r="D161" s="95"/>
      <c r="E161" s="14"/>
      <c r="F161" s="96"/>
    </row>
    <row r="162">
      <c r="A162" s="12"/>
      <c r="D162" s="95"/>
      <c r="E162" s="14"/>
      <c r="F162" s="96"/>
    </row>
    <row r="163">
      <c r="A163" s="12"/>
      <c r="D163" s="95"/>
      <c r="E163" s="14"/>
      <c r="F163" s="96"/>
    </row>
    <row r="164">
      <c r="A164" s="12"/>
      <c r="D164" s="95"/>
      <c r="E164" s="14"/>
      <c r="F164" s="96"/>
    </row>
    <row r="165">
      <c r="A165" s="12"/>
      <c r="D165" s="95"/>
      <c r="E165" s="14"/>
      <c r="F165" s="96"/>
    </row>
    <row r="166">
      <c r="A166" s="12"/>
      <c r="D166" s="95"/>
      <c r="E166" s="14"/>
      <c r="F166" s="96"/>
    </row>
    <row r="167">
      <c r="A167" s="12"/>
      <c r="D167" s="95"/>
      <c r="E167" s="14"/>
      <c r="F167" s="96"/>
    </row>
    <row r="168">
      <c r="A168" s="12"/>
      <c r="D168" s="95"/>
      <c r="E168" s="14"/>
      <c r="F168" s="96"/>
    </row>
    <row r="169">
      <c r="A169" s="12"/>
      <c r="D169" s="95"/>
      <c r="E169" s="14"/>
      <c r="F169" s="96"/>
    </row>
    <row r="170">
      <c r="A170" s="12"/>
      <c r="D170" s="95"/>
      <c r="E170" s="14"/>
      <c r="F170" s="96"/>
    </row>
    <row r="171">
      <c r="A171" s="12"/>
      <c r="D171" s="95"/>
      <c r="E171" s="14"/>
      <c r="F171" s="96"/>
    </row>
    <row r="172">
      <c r="A172" s="12"/>
      <c r="D172" s="95"/>
      <c r="E172" s="14"/>
      <c r="F172" s="96"/>
    </row>
    <row r="173">
      <c r="A173" s="12"/>
      <c r="D173" s="95"/>
      <c r="E173" s="14"/>
      <c r="F173" s="96"/>
    </row>
    <row r="174">
      <c r="A174" s="12"/>
      <c r="D174" s="95"/>
      <c r="E174" s="14"/>
      <c r="F174" s="96"/>
    </row>
    <row r="175">
      <c r="A175" s="12"/>
      <c r="D175" s="95"/>
      <c r="E175" s="14"/>
      <c r="F175" s="96"/>
    </row>
    <row r="176">
      <c r="A176" s="12"/>
      <c r="D176" s="95"/>
      <c r="E176" s="14"/>
      <c r="F176" s="96"/>
    </row>
    <row r="177">
      <c r="A177" s="12"/>
      <c r="D177" s="95"/>
      <c r="E177" s="14"/>
      <c r="F177" s="96"/>
    </row>
    <row r="178">
      <c r="A178" s="12"/>
      <c r="D178" s="95"/>
      <c r="E178" s="14"/>
      <c r="F178" s="96"/>
    </row>
    <row r="179">
      <c r="A179" s="12"/>
      <c r="D179" s="95"/>
      <c r="E179" s="14"/>
      <c r="F179" s="96"/>
    </row>
    <row r="180">
      <c r="A180" s="12"/>
      <c r="D180" s="95"/>
      <c r="E180" s="14"/>
      <c r="F180" s="96"/>
    </row>
    <row r="181">
      <c r="A181" s="12"/>
      <c r="D181" s="95"/>
      <c r="E181" s="14"/>
      <c r="F181" s="96"/>
    </row>
    <row r="182">
      <c r="A182" s="12"/>
      <c r="D182" s="95"/>
      <c r="E182" s="14"/>
      <c r="F182" s="96"/>
    </row>
    <row r="183">
      <c r="A183" s="12"/>
      <c r="D183" s="95"/>
      <c r="E183" s="14"/>
      <c r="F183" s="96"/>
    </row>
    <row r="184">
      <c r="A184" s="12"/>
      <c r="D184" s="95"/>
      <c r="E184" s="14"/>
      <c r="F184" s="96"/>
    </row>
    <row r="185">
      <c r="A185" s="12"/>
      <c r="D185" s="95"/>
      <c r="E185" s="14"/>
      <c r="F185" s="96"/>
    </row>
    <row r="186">
      <c r="A186" s="12"/>
      <c r="D186" s="95"/>
      <c r="E186" s="14"/>
      <c r="F186" s="96"/>
    </row>
    <row r="187">
      <c r="A187" s="12"/>
      <c r="D187" s="95"/>
      <c r="E187" s="14"/>
      <c r="F187" s="96"/>
    </row>
    <row r="188">
      <c r="A188" s="12"/>
      <c r="D188" s="95"/>
      <c r="E188" s="14"/>
      <c r="F188" s="96"/>
    </row>
    <row r="189">
      <c r="A189" s="12"/>
      <c r="D189" s="95"/>
      <c r="E189" s="14"/>
      <c r="F189" s="96"/>
    </row>
    <row r="190">
      <c r="A190" s="12"/>
      <c r="D190" s="95"/>
      <c r="E190" s="14"/>
      <c r="F190" s="96"/>
    </row>
    <row r="191">
      <c r="A191" s="12"/>
      <c r="D191" s="95"/>
      <c r="E191" s="14"/>
      <c r="F191" s="96"/>
    </row>
    <row r="192">
      <c r="A192" s="12"/>
      <c r="D192" s="95"/>
      <c r="E192" s="14"/>
      <c r="F192" s="96"/>
    </row>
    <row r="193">
      <c r="A193" s="12"/>
      <c r="D193" s="95"/>
      <c r="E193" s="14"/>
      <c r="F193" s="96"/>
    </row>
    <row r="194">
      <c r="A194" s="12"/>
      <c r="D194" s="95"/>
      <c r="E194" s="14"/>
      <c r="F194" s="96"/>
    </row>
    <row r="195">
      <c r="A195" s="12"/>
      <c r="D195" s="95"/>
      <c r="E195" s="14"/>
      <c r="F195" s="96"/>
    </row>
    <row r="196">
      <c r="A196" s="12"/>
      <c r="D196" s="95"/>
      <c r="E196" s="14"/>
      <c r="F196" s="96"/>
    </row>
    <row r="197">
      <c r="A197" s="12"/>
      <c r="D197" s="95"/>
      <c r="E197" s="14"/>
      <c r="F197" s="96"/>
    </row>
    <row r="198">
      <c r="A198" s="12"/>
      <c r="D198" s="95"/>
      <c r="E198" s="14"/>
      <c r="F198" s="96"/>
    </row>
    <row r="199">
      <c r="A199" s="12"/>
      <c r="D199" s="95"/>
      <c r="E199" s="14"/>
      <c r="F199" s="96"/>
    </row>
    <row r="200">
      <c r="A200" s="12"/>
      <c r="D200" s="95"/>
      <c r="E200" s="14"/>
      <c r="F200" s="96"/>
    </row>
    <row r="201">
      <c r="A201" s="12"/>
      <c r="D201" s="95"/>
      <c r="E201" s="14"/>
      <c r="F201" s="96"/>
    </row>
    <row r="202">
      <c r="A202" s="12"/>
      <c r="D202" s="95"/>
      <c r="E202" s="14"/>
      <c r="F202" s="96"/>
    </row>
    <row r="203">
      <c r="A203" s="12"/>
      <c r="D203" s="95"/>
      <c r="E203" s="14"/>
      <c r="F203" s="96"/>
    </row>
    <row r="204">
      <c r="A204" s="12"/>
      <c r="D204" s="95"/>
      <c r="E204" s="14"/>
      <c r="F204" s="96"/>
    </row>
    <row r="205">
      <c r="A205" s="12"/>
      <c r="D205" s="95"/>
      <c r="E205" s="14"/>
      <c r="F205" s="96"/>
    </row>
    <row r="206">
      <c r="A206" s="12"/>
      <c r="D206" s="95"/>
      <c r="E206" s="14"/>
      <c r="F206" s="96"/>
    </row>
    <row r="207">
      <c r="A207" s="12"/>
      <c r="D207" s="95"/>
      <c r="E207" s="14"/>
      <c r="F207" s="96"/>
    </row>
    <row r="208">
      <c r="A208" s="12"/>
      <c r="D208" s="95"/>
      <c r="E208" s="14"/>
      <c r="F208" s="96"/>
    </row>
    <row r="209">
      <c r="A209" s="12"/>
      <c r="D209" s="95"/>
      <c r="E209" s="14"/>
      <c r="F209" s="96"/>
    </row>
    <row r="210">
      <c r="A210" s="12"/>
      <c r="D210" s="95"/>
      <c r="E210" s="14"/>
      <c r="F210" s="96"/>
    </row>
    <row r="211">
      <c r="A211" s="12"/>
      <c r="D211" s="95"/>
      <c r="E211" s="14"/>
      <c r="F211" s="96"/>
    </row>
    <row r="212">
      <c r="A212" s="12"/>
      <c r="D212" s="95"/>
      <c r="E212" s="14"/>
      <c r="F212" s="96"/>
    </row>
    <row r="213">
      <c r="A213" s="12"/>
      <c r="D213" s="95"/>
      <c r="E213" s="14"/>
      <c r="F213" s="96"/>
    </row>
    <row r="214">
      <c r="A214" s="12"/>
      <c r="D214" s="95"/>
      <c r="E214" s="14"/>
      <c r="F214" s="96"/>
    </row>
    <row r="215">
      <c r="A215" s="12"/>
      <c r="D215" s="95"/>
      <c r="E215" s="14"/>
      <c r="F215" s="96"/>
    </row>
    <row r="216">
      <c r="A216" s="12"/>
      <c r="D216" s="95"/>
      <c r="E216" s="14"/>
      <c r="F216" s="96"/>
    </row>
    <row r="217">
      <c r="A217" s="12"/>
      <c r="D217" s="95"/>
      <c r="E217" s="14"/>
      <c r="F217" s="96"/>
    </row>
    <row r="218">
      <c r="A218" s="12"/>
      <c r="D218" s="95"/>
      <c r="E218" s="14"/>
      <c r="F218" s="96"/>
    </row>
    <row r="219">
      <c r="A219" s="12"/>
      <c r="D219" s="95"/>
      <c r="E219" s="14"/>
      <c r="F219" s="96"/>
    </row>
    <row r="220">
      <c r="A220" s="12"/>
      <c r="D220" s="95"/>
      <c r="E220" s="14"/>
      <c r="F220" s="96"/>
    </row>
    <row r="221">
      <c r="A221" s="12"/>
      <c r="D221" s="95"/>
      <c r="E221" s="14"/>
      <c r="F221" s="96"/>
    </row>
    <row r="222">
      <c r="A222" s="12"/>
      <c r="D222" s="95"/>
      <c r="E222" s="14"/>
      <c r="F222" s="96"/>
    </row>
    <row r="223">
      <c r="A223" s="12"/>
      <c r="D223" s="95"/>
      <c r="E223" s="14"/>
      <c r="F223" s="96"/>
    </row>
    <row r="224">
      <c r="A224" s="12"/>
      <c r="D224" s="95"/>
      <c r="E224" s="14"/>
      <c r="F224" s="96"/>
    </row>
    <row r="225">
      <c r="A225" s="12"/>
      <c r="D225" s="95"/>
      <c r="E225" s="14"/>
      <c r="F225" s="96"/>
    </row>
    <row r="226">
      <c r="A226" s="12"/>
      <c r="D226" s="95"/>
      <c r="E226" s="14"/>
      <c r="F226" s="96"/>
    </row>
    <row r="227">
      <c r="A227" s="12"/>
      <c r="D227" s="95"/>
      <c r="E227" s="14"/>
      <c r="F227" s="96"/>
    </row>
    <row r="228">
      <c r="A228" s="12"/>
      <c r="D228" s="95"/>
      <c r="E228" s="14"/>
      <c r="F228" s="96"/>
    </row>
    <row r="229">
      <c r="A229" s="12"/>
      <c r="D229" s="95"/>
      <c r="E229" s="14"/>
      <c r="F229" s="96"/>
    </row>
    <row r="230">
      <c r="A230" s="12"/>
      <c r="D230" s="95"/>
      <c r="E230" s="14"/>
      <c r="F230" s="96"/>
    </row>
    <row r="231">
      <c r="A231" s="12"/>
      <c r="D231" s="95"/>
      <c r="E231" s="14"/>
      <c r="F231" s="96"/>
    </row>
    <row r="232">
      <c r="A232" s="12"/>
      <c r="D232" s="95"/>
      <c r="E232" s="14"/>
      <c r="F232" s="96"/>
    </row>
    <row r="233">
      <c r="A233" s="12"/>
      <c r="D233" s="95"/>
      <c r="E233" s="14"/>
      <c r="F233" s="96"/>
    </row>
    <row r="234">
      <c r="A234" s="12"/>
      <c r="D234" s="95"/>
      <c r="E234" s="14"/>
      <c r="F234" s="96"/>
    </row>
    <row r="235">
      <c r="A235" s="12"/>
      <c r="D235" s="95"/>
      <c r="E235" s="14"/>
      <c r="F235" s="96"/>
    </row>
    <row r="236">
      <c r="A236" s="12"/>
      <c r="D236" s="95"/>
      <c r="E236" s="14"/>
      <c r="F236" s="96"/>
    </row>
    <row r="237">
      <c r="A237" s="12"/>
      <c r="D237" s="95"/>
      <c r="E237" s="14"/>
      <c r="F237" s="96"/>
    </row>
    <row r="238">
      <c r="A238" s="12"/>
      <c r="D238" s="95"/>
      <c r="E238" s="14"/>
      <c r="F238" s="96"/>
    </row>
    <row r="239">
      <c r="A239" s="12"/>
      <c r="D239" s="95"/>
      <c r="E239" s="14"/>
      <c r="F239" s="96"/>
    </row>
    <row r="240">
      <c r="A240" s="12"/>
      <c r="D240" s="95"/>
      <c r="E240" s="14"/>
      <c r="F240" s="96"/>
    </row>
    <row r="241">
      <c r="A241" s="12"/>
      <c r="D241" s="95"/>
      <c r="E241" s="14"/>
      <c r="F241" s="96"/>
    </row>
    <row r="242">
      <c r="A242" s="12"/>
      <c r="D242" s="95"/>
      <c r="E242" s="14"/>
      <c r="F242" s="96"/>
    </row>
    <row r="243">
      <c r="A243" s="12"/>
      <c r="D243" s="95"/>
      <c r="E243" s="14"/>
      <c r="F243" s="96"/>
    </row>
    <row r="244">
      <c r="A244" s="12"/>
      <c r="D244" s="95"/>
      <c r="E244" s="14"/>
      <c r="F244" s="96"/>
    </row>
    <row r="245">
      <c r="A245" s="12"/>
      <c r="D245" s="95"/>
      <c r="E245" s="14"/>
      <c r="F245" s="96"/>
    </row>
    <row r="246">
      <c r="A246" s="12"/>
      <c r="D246" s="95"/>
      <c r="E246" s="14"/>
      <c r="F246" s="96"/>
    </row>
    <row r="247">
      <c r="A247" s="12"/>
      <c r="D247" s="95"/>
      <c r="E247" s="14"/>
      <c r="F247" s="96"/>
    </row>
    <row r="248">
      <c r="A248" s="12"/>
      <c r="D248" s="95"/>
      <c r="E248" s="14"/>
      <c r="F248" s="96"/>
    </row>
    <row r="249">
      <c r="A249" s="12"/>
      <c r="D249" s="95"/>
      <c r="E249" s="14"/>
      <c r="F249" s="96"/>
    </row>
    <row r="250">
      <c r="A250" s="12"/>
      <c r="D250" s="95"/>
      <c r="E250" s="14"/>
      <c r="F250" s="96"/>
    </row>
    <row r="251">
      <c r="A251" s="12"/>
      <c r="D251" s="95"/>
      <c r="E251" s="14"/>
      <c r="F251" s="96"/>
    </row>
    <row r="252">
      <c r="A252" s="12"/>
      <c r="D252" s="95"/>
      <c r="E252" s="14"/>
      <c r="F252" s="96"/>
    </row>
    <row r="253">
      <c r="A253" s="12"/>
      <c r="D253" s="95"/>
      <c r="E253" s="14"/>
      <c r="F253" s="96"/>
    </row>
    <row r="254">
      <c r="A254" s="12"/>
      <c r="D254" s="95"/>
      <c r="E254" s="14"/>
      <c r="F254" s="96"/>
    </row>
    <row r="255">
      <c r="A255" s="12"/>
      <c r="D255" s="95"/>
      <c r="E255" s="14"/>
      <c r="F255" s="96"/>
    </row>
    <row r="256">
      <c r="A256" s="12"/>
      <c r="D256" s="95"/>
      <c r="E256" s="14"/>
      <c r="F256" s="96"/>
    </row>
    <row r="257">
      <c r="A257" s="12"/>
      <c r="D257" s="95"/>
      <c r="E257" s="14"/>
      <c r="F257" s="96"/>
    </row>
    <row r="258">
      <c r="A258" s="12"/>
      <c r="D258" s="95"/>
      <c r="E258" s="14"/>
      <c r="F258" s="96"/>
    </row>
    <row r="259">
      <c r="A259" s="12"/>
      <c r="D259" s="95"/>
      <c r="E259" s="14"/>
      <c r="F259" s="96"/>
    </row>
    <row r="260">
      <c r="A260" s="12"/>
      <c r="D260" s="95"/>
      <c r="E260" s="14"/>
      <c r="F260" s="96"/>
    </row>
    <row r="261">
      <c r="A261" s="12"/>
      <c r="D261" s="95"/>
      <c r="E261" s="14"/>
      <c r="F261" s="96"/>
    </row>
    <row r="262">
      <c r="A262" s="12"/>
      <c r="D262" s="95"/>
      <c r="E262" s="14"/>
      <c r="F262" s="96"/>
    </row>
    <row r="263">
      <c r="A263" s="12"/>
      <c r="D263" s="95"/>
      <c r="E263" s="14"/>
      <c r="F263" s="96"/>
    </row>
    <row r="264">
      <c r="A264" s="12"/>
      <c r="D264" s="95"/>
      <c r="E264" s="14"/>
      <c r="F264" s="96"/>
    </row>
    <row r="265">
      <c r="A265" s="12"/>
      <c r="D265" s="95"/>
      <c r="E265" s="14"/>
      <c r="F265" s="96"/>
    </row>
    <row r="266">
      <c r="A266" s="12"/>
      <c r="D266" s="95"/>
      <c r="E266" s="14"/>
      <c r="F266" s="96"/>
    </row>
    <row r="267">
      <c r="A267" s="12"/>
      <c r="D267" s="95"/>
      <c r="E267" s="14"/>
      <c r="F267" s="96"/>
    </row>
    <row r="268">
      <c r="A268" s="12"/>
      <c r="D268" s="95"/>
      <c r="E268" s="14"/>
      <c r="F268" s="96"/>
    </row>
    <row r="269">
      <c r="A269" s="12"/>
      <c r="D269" s="95"/>
      <c r="E269" s="14"/>
      <c r="F269" s="96"/>
    </row>
    <row r="270">
      <c r="A270" s="12"/>
      <c r="D270" s="95"/>
      <c r="E270" s="14"/>
      <c r="F270" s="96"/>
    </row>
    <row r="271">
      <c r="A271" s="12"/>
      <c r="D271" s="95"/>
      <c r="E271" s="14"/>
      <c r="F271" s="96"/>
    </row>
    <row r="272">
      <c r="A272" s="12"/>
      <c r="D272" s="95"/>
      <c r="E272" s="14"/>
      <c r="F272" s="96"/>
    </row>
    <row r="273">
      <c r="A273" s="12"/>
      <c r="D273" s="95"/>
      <c r="E273" s="14"/>
      <c r="F273" s="96"/>
    </row>
    <row r="274">
      <c r="A274" s="12"/>
      <c r="D274" s="95"/>
      <c r="E274" s="14"/>
      <c r="F274" s="96"/>
    </row>
    <row r="275">
      <c r="A275" s="12"/>
      <c r="D275" s="95"/>
      <c r="E275" s="14"/>
      <c r="F275" s="96"/>
    </row>
    <row r="276">
      <c r="A276" s="12"/>
      <c r="D276" s="95"/>
      <c r="E276" s="14"/>
      <c r="F276" s="96"/>
    </row>
    <row r="277">
      <c r="A277" s="12"/>
      <c r="D277" s="95"/>
      <c r="E277" s="14"/>
      <c r="F277" s="96"/>
    </row>
    <row r="278">
      <c r="A278" s="12"/>
      <c r="D278" s="95"/>
      <c r="E278" s="14"/>
      <c r="F278" s="96"/>
    </row>
    <row r="279">
      <c r="A279" s="12"/>
      <c r="D279" s="95"/>
      <c r="E279" s="14"/>
      <c r="F279" s="96"/>
    </row>
    <row r="280">
      <c r="A280" s="12"/>
      <c r="D280" s="95"/>
      <c r="E280" s="14"/>
      <c r="F280" s="96"/>
    </row>
    <row r="281">
      <c r="A281" s="12"/>
      <c r="D281" s="95"/>
      <c r="E281" s="14"/>
      <c r="F281" s="96"/>
    </row>
    <row r="282">
      <c r="A282" s="12"/>
      <c r="D282" s="95"/>
      <c r="E282" s="14"/>
      <c r="F282" s="96"/>
    </row>
    <row r="283">
      <c r="A283" s="12"/>
      <c r="D283" s="95"/>
      <c r="E283" s="14"/>
      <c r="F283" s="96"/>
    </row>
    <row r="284">
      <c r="A284" s="12"/>
      <c r="D284" s="95"/>
      <c r="E284" s="14"/>
      <c r="F284" s="96"/>
    </row>
    <row r="285">
      <c r="A285" s="12"/>
      <c r="D285" s="95"/>
      <c r="E285" s="14"/>
      <c r="F285" s="96"/>
    </row>
    <row r="286">
      <c r="A286" s="12"/>
      <c r="D286" s="95"/>
      <c r="E286" s="14"/>
      <c r="F286" s="96"/>
    </row>
    <row r="287">
      <c r="A287" s="12"/>
      <c r="D287" s="95"/>
      <c r="E287" s="14"/>
      <c r="F287" s="96"/>
    </row>
    <row r="288">
      <c r="A288" s="12"/>
      <c r="D288" s="95"/>
      <c r="E288" s="14"/>
      <c r="F288" s="96"/>
    </row>
    <row r="289">
      <c r="A289" s="12"/>
      <c r="D289" s="95"/>
      <c r="E289" s="14"/>
      <c r="F289" s="96"/>
    </row>
    <row r="290">
      <c r="A290" s="12"/>
      <c r="D290" s="95"/>
      <c r="E290" s="14"/>
      <c r="F290" s="96"/>
    </row>
    <row r="291">
      <c r="A291" s="12"/>
      <c r="D291" s="95"/>
      <c r="E291" s="14"/>
      <c r="F291" s="96"/>
    </row>
    <row r="292">
      <c r="A292" s="12"/>
      <c r="D292" s="95"/>
      <c r="E292" s="14"/>
      <c r="F292" s="96"/>
    </row>
    <row r="293">
      <c r="A293" s="12"/>
      <c r="D293" s="95"/>
      <c r="E293" s="14"/>
      <c r="F293" s="96"/>
    </row>
    <row r="294">
      <c r="A294" s="12"/>
      <c r="D294" s="95"/>
      <c r="E294" s="14"/>
      <c r="F294" s="96"/>
    </row>
    <row r="295">
      <c r="A295" s="12"/>
      <c r="D295" s="95"/>
      <c r="E295" s="14"/>
      <c r="F295" s="96"/>
    </row>
    <row r="296">
      <c r="A296" s="12"/>
      <c r="D296" s="95"/>
      <c r="E296" s="14"/>
      <c r="F296" s="96"/>
    </row>
    <row r="297">
      <c r="A297" s="12"/>
      <c r="D297" s="95"/>
      <c r="E297" s="14"/>
      <c r="F297" s="96"/>
    </row>
    <row r="298">
      <c r="A298" s="12"/>
      <c r="D298" s="95"/>
      <c r="E298" s="14"/>
      <c r="F298" s="96"/>
    </row>
    <row r="299">
      <c r="A299" s="12"/>
      <c r="D299" s="95"/>
      <c r="E299" s="14"/>
      <c r="F299" s="96"/>
    </row>
    <row r="300">
      <c r="A300" s="12"/>
      <c r="D300" s="95"/>
      <c r="E300" s="14"/>
      <c r="F300" s="96"/>
    </row>
    <row r="301">
      <c r="A301" s="12"/>
      <c r="D301" s="95"/>
      <c r="E301" s="14"/>
      <c r="F301" s="96"/>
    </row>
    <row r="302">
      <c r="A302" s="12"/>
      <c r="D302" s="95"/>
      <c r="E302" s="14"/>
      <c r="F302" s="96"/>
    </row>
    <row r="303">
      <c r="A303" s="12"/>
      <c r="D303" s="95"/>
      <c r="E303" s="14"/>
      <c r="F303" s="96"/>
    </row>
    <row r="304">
      <c r="A304" s="12"/>
      <c r="D304" s="95"/>
      <c r="E304" s="14"/>
      <c r="F304" s="96"/>
    </row>
    <row r="305">
      <c r="A305" s="12"/>
      <c r="D305" s="95"/>
      <c r="E305" s="14"/>
      <c r="F305" s="96"/>
    </row>
    <row r="306">
      <c r="A306" s="12"/>
      <c r="D306" s="95"/>
      <c r="E306" s="14"/>
      <c r="F306" s="96"/>
    </row>
    <row r="307">
      <c r="A307" s="12"/>
      <c r="D307" s="95"/>
      <c r="E307" s="14"/>
      <c r="F307" s="96"/>
    </row>
    <row r="308">
      <c r="A308" s="12"/>
      <c r="D308" s="95"/>
      <c r="E308" s="14"/>
      <c r="F308" s="96"/>
    </row>
    <row r="309">
      <c r="A309" s="12"/>
      <c r="D309" s="95"/>
      <c r="E309" s="14"/>
      <c r="F309" s="96"/>
    </row>
    <row r="310">
      <c r="A310" s="12"/>
      <c r="D310" s="95"/>
      <c r="E310" s="14"/>
      <c r="F310" s="96"/>
    </row>
    <row r="311">
      <c r="A311" s="12"/>
      <c r="D311" s="95"/>
      <c r="E311" s="14"/>
      <c r="F311" s="96"/>
    </row>
    <row r="312">
      <c r="A312" s="12"/>
      <c r="D312" s="95"/>
      <c r="E312" s="14"/>
      <c r="F312" s="96"/>
    </row>
    <row r="313">
      <c r="A313" s="12"/>
      <c r="D313" s="95"/>
      <c r="E313" s="14"/>
      <c r="F313" s="96"/>
    </row>
    <row r="314">
      <c r="A314" s="12"/>
      <c r="D314" s="95"/>
      <c r="E314" s="14"/>
      <c r="F314" s="96"/>
    </row>
    <row r="315">
      <c r="A315" s="12"/>
      <c r="D315" s="95"/>
      <c r="E315" s="14"/>
      <c r="F315" s="96"/>
    </row>
    <row r="316">
      <c r="A316" s="12"/>
      <c r="D316" s="95"/>
      <c r="E316" s="14"/>
      <c r="F316" s="96"/>
    </row>
    <row r="317">
      <c r="A317" s="12"/>
      <c r="D317" s="95"/>
      <c r="E317" s="14"/>
      <c r="F317" s="96"/>
    </row>
    <row r="318">
      <c r="A318" s="12"/>
      <c r="D318" s="95"/>
      <c r="E318" s="14"/>
      <c r="F318" s="96"/>
    </row>
    <row r="319">
      <c r="A319" s="12"/>
      <c r="D319" s="95"/>
      <c r="E319" s="14"/>
      <c r="F319" s="96"/>
    </row>
    <row r="320">
      <c r="A320" s="12"/>
      <c r="D320" s="95"/>
      <c r="E320" s="14"/>
      <c r="F320" s="96"/>
    </row>
    <row r="321">
      <c r="A321" s="12"/>
      <c r="D321" s="95"/>
      <c r="E321" s="14"/>
      <c r="F321" s="96"/>
    </row>
    <row r="322">
      <c r="A322" s="12"/>
      <c r="D322" s="95"/>
      <c r="E322" s="14"/>
      <c r="F322" s="96"/>
    </row>
    <row r="323">
      <c r="A323" s="12"/>
      <c r="D323" s="95"/>
      <c r="E323" s="14"/>
      <c r="F323" s="96"/>
    </row>
    <row r="324">
      <c r="A324" s="12"/>
      <c r="D324" s="95"/>
      <c r="E324" s="14"/>
      <c r="F324" s="96"/>
    </row>
    <row r="325">
      <c r="A325" s="12"/>
      <c r="D325" s="95"/>
      <c r="E325" s="14"/>
      <c r="F325" s="96"/>
    </row>
    <row r="326">
      <c r="A326" s="12"/>
      <c r="D326" s="95"/>
      <c r="E326" s="14"/>
      <c r="F326" s="96"/>
    </row>
    <row r="327">
      <c r="A327" s="12"/>
      <c r="D327" s="95"/>
      <c r="E327" s="14"/>
      <c r="F327" s="96"/>
    </row>
    <row r="328">
      <c r="A328" s="12"/>
      <c r="D328" s="95"/>
      <c r="E328" s="14"/>
      <c r="F328" s="96"/>
    </row>
    <row r="329">
      <c r="A329" s="12"/>
      <c r="D329" s="95"/>
      <c r="E329" s="14"/>
      <c r="F329" s="96"/>
    </row>
    <row r="330">
      <c r="A330" s="12"/>
      <c r="D330" s="95"/>
      <c r="E330" s="14"/>
      <c r="F330" s="96"/>
    </row>
    <row r="331">
      <c r="A331" s="12"/>
      <c r="D331" s="95"/>
      <c r="E331" s="14"/>
      <c r="F331" s="96"/>
    </row>
    <row r="332">
      <c r="A332" s="12"/>
      <c r="D332" s="95"/>
      <c r="E332" s="14"/>
      <c r="F332" s="96"/>
    </row>
    <row r="333">
      <c r="A333" s="12"/>
      <c r="D333" s="95"/>
      <c r="E333" s="14"/>
      <c r="F333" s="96"/>
    </row>
    <row r="334">
      <c r="A334" s="12"/>
      <c r="D334" s="95"/>
      <c r="E334" s="14"/>
      <c r="F334" s="96"/>
    </row>
    <row r="335">
      <c r="A335" s="12"/>
      <c r="D335" s="95"/>
      <c r="E335" s="14"/>
      <c r="F335" s="96"/>
    </row>
    <row r="336">
      <c r="A336" s="12"/>
      <c r="D336" s="95"/>
      <c r="E336" s="14"/>
      <c r="F336" s="96"/>
    </row>
    <row r="337">
      <c r="A337" s="12"/>
      <c r="D337" s="95"/>
      <c r="E337" s="14"/>
      <c r="F337" s="96"/>
    </row>
    <row r="338">
      <c r="A338" s="12"/>
      <c r="D338" s="95"/>
      <c r="E338" s="14"/>
      <c r="F338" s="96"/>
    </row>
    <row r="339">
      <c r="A339" s="12"/>
      <c r="D339" s="95"/>
      <c r="E339" s="14"/>
      <c r="F339" s="96"/>
    </row>
    <row r="340">
      <c r="A340" s="12"/>
      <c r="D340" s="95"/>
      <c r="E340" s="14"/>
      <c r="F340" s="96"/>
    </row>
    <row r="341">
      <c r="A341" s="12"/>
      <c r="D341" s="95"/>
      <c r="E341" s="14"/>
      <c r="F341" s="96"/>
    </row>
    <row r="342">
      <c r="A342" s="12"/>
      <c r="D342" s="95"/>
      <c r="E342" s="14"/>
      <c r="F342" s="96"/>
    </row>
    <row r="343">
      <c r="A343" s="12"/>
      <c r="D343" s="95"/>
      <c r="E343" s="14"/>
      <c r="F343" s="96"/>
    </row>
    <row r="344">
      <c r="A344" s="12"/>
      <c r="D344" s="95"/>
      <c r="E344" s="14"/>
      <c r="F344" s="96"/>
    </row>
    <row r="345">
      <c r="A345" s="12"/>
      <c r="D345" s="95"/>
      <c r="E345" s="14"/>
      <c r="F345" s="96"/>
    </row>
    <row r="346">
      <c r="A346" s="12"/>
      <c r="D346" s="95"/>
      <c r="E346" s="14"/>
      <c r="F346" s="96"/>
    </row>
    <row r="347">
      <c r="A347" s="12"/>
      <c r="D347" s="95"/>
      <c r="E347" s="14"/>
      <c r="F347" s="96"/>
    </row>
    <row r="348">
      <c r="A348" s="12"/>
      <c r="D348" s="95"/>
      <c r="E348" s="14"/>
      <c r="F348" s="96"/>
    </row>
    <row r="349">
      <c r="A349" s="12"/>
      <c r="D349" s="95"/>
      <c r="E349" s="14"/>
      <c r="F349" s="96"/>
    </row>
    <row r="350">
      <c r="A350" s="12"/>
      <c r="D350" s="95"/>
      <c r="E350" s="14"/>
      <c r="F350" s="96"/>
    </row>
    <row r="351">
      <c r="A351" s="12"/>
      <c r="D351" s="95"/>
      <c r="E351" s="14"/>
      <c r="F351" s="96"/>
    </row>
    <row r="352">
      <c r="A352" s="12"/>
      <c r="D352" s="95"/>
      <c r="E352" s="14"/>
      <c r="F352" s="96"/>
    </row>
    <row r="353">
      <c r="A353" s="12"/>
      <c r="D353" s="95"/>
      <c r="E353" s="14"/>
      <c r="F353" s="96"/>
    </row>
    <row r="354">
      <c r="A354" s="12"/>
      <c r="D354" s="95"/>
      <c r="E354" s="14"/>
      <c r="F354" s="96"/>
    </row>
    <row r="355">
      <c r="A355" s="12"/>
      <c r="D355" s="95"/>
      <c r="E355" s="14"/>
      <c r="F355" s="96"/>
    </row>
    <row r="356">
      <c r="A356" s="12"/>
      <c r="D356" s="95"/>
      <c r="E356" s="14"/>
      <c r="F356" s="96"/>
    </row>
    <row r="357">
      <c r="A357" s="12"/>
      <c r="D357" s="95"/>
      <c r="E357" s="14"/>
      <c r="F357" s="96"/>
    </row>
    <row r="358">
      <c r="A358" s="12"/>
      <c r="D358" s="95"/>
      <c r="E358" s="14"/>
      <c r="F358" s="96"/>
    </row>
    <row r="359">
      <c r="A359" s="12"/>
      <c r="D359" s="95"/>
      <c r="E359" s="14"/>
      <c r="F359" s="96"/>
    </row>
    <row r="360">
      <c r="A360" s="12"/>
      <c r="D360" s="95"/>
      <c r="E360" s="14"/>
      <c r="F360" s="96"/>
    </row>
    <row r="361">
      <c r="A361" s="12"/>
      <c r="D361" s="95"/>
      <c r="E361" s="14"/>
      <c r="F361" s="96"/>
    </row>
    <row r="362">
      <c r="A362" s="12"/>
      <c r="D362" s="95"/>
      <c r="E362" s="14"/>
      <c r="F362" s="96"/>
    </row>
    <row r="363">
      <c r="A363" s="12"/>
      <c r="D363" s="95"/>
      <c r="E363" s="14"/>
      <c r="F363" s="96"/>
    </row>
    <row r="364">
      <c r="A364" s="12"/>
      <c r="D364" s="95"/>
      <c r="E364" s="14"/>
      <c r="F364" s="96"/>
    </row>
    <row r="365">
      <c r="A365" s="12"/>
      <c r="D365" s="95"/>
      <c r="E365" s="14"/>
      <c r="F365" s="96"/>
    </row>
    <row r="366">
      <c r="A366" s="12"/>
      <c r="D366" s="95"/>
      <c r="E366" s="14"/>
      <c r="F366" s="96"/>
    </row>
    <row r="367">
      <c r="A367" s="12"/>
      <c r="D367" s="95"/>
      <c r="E367" s="14"/>
      <c r="F367" s="96"/>
    </row>
    <row r="368">
      <c r="A368" s="12"/>
      <c r="D368" s="95"/>
      <c r="E368" s="14"/>
      <c r="F368" s="96"/>
    </row>
    <row r="369">
      <c r="A369" s="12"/>
      <c r="D369" s="95"/>
      <c r="E369" s="14"/>
      <c r="F369" s="96"/>
    </row>
    <row r="370">
      <c r="A370" s="12"/>
      <c r="D370" s="95"/>
      <c r="E370" s="14"/>
      <c r="F370" s="96"/>
    </row>
    <row r="371">
      <c r="A371" s="12"/>
      <c r="D371" s="95"/>
      <c r="E371" s="14"/>
      <c r="F371" s="96"/>
    </row>
    <row r="372">
      <c r="A372" s="12"/>
      <c r="D372" s="95"/>
      <c r="E372" s="14"/>
      <c r="F372" s="96"/>
    </row>
    <row r="373">
      <c r="A373" s="12"/>
      <c r="D373" s="95"/>
      <c r="E373" s="14"/>
      <c r="F373" s="96"/>
    </row>
    <row r="374">
      <c r="A374" s="12"/>
      <c r="D374" s="95"/>
      <c r="E374" s="14"/>
      <c r="F374" s="96"/>
    </row>
    <row r="375">
      <c r="A375" s="12"/>
      <c r="D375" s="95"/>
      <c r="E375" s="14"/>
      <c r="F375" s="96"/>
    </row>
    <row r="376">
      <c r="A376" s="12"/>
      <c r="D376" s="95"/>
      <c r="E376" s="14"/>
      <c r="F376" s="96"/>
    </row>
    <row r="377">
      <c r="A377" s="12"/>
      <c r="D377" s="95"/>
      <c r="E377" s="14"/>
      <c r="F377" s="96"/>
    </row>
    <row r="378">
      <c r="A378" s="12"/>
      <c r="D378" s="95"/>
      <c r="E378" s="14"/>
      <c r="F378" s="96"/>
    </row>
    <row r="379">
      <c r="A379" s="12"/>
      <c r="D379" s="95"/>
      <c r="E379" s="14"/>
      <c r="F379" s="96"/>
    </row>
    <row r="380">
      <c r="A380" s="12"/>
      <c r="D380" s="95"/>
      <c r="E380" s="14"/>
      <c r="F380" s="96"/>
    </row>
    <row r="381">
      <c r="A381" s="12"/>
      <c r="D381" s="95"/>
      <c r="E381" s="14"/>
      <c r="F381" s="96"/>
    </row>
    <row r="382">
      <c r="A382" s="12"/>
      <c r="D382" s="95"/>
      <c r="E382" s="14"/>
      <c r="F382" s="96"/>
    </row>
    <row r="383">
      <c r="A383" s="12"/>
      <c r="D383" s="95"/>
      <c r="E383" s="14"/>
      <c r="F383" s="96"/>
    </row>
    <row r="384">
      <c r="A384" s="12"/>
      <c r="D384" s="95"/>
      <c r="E384" s="14"/>
      <c r="F384" s="96"/>
    </row>
    <row r="385">
      <c r="A385" s="12"/>
      <c r="D385" s="95"/>
      <c r="E385" s="14"/>
      <c r="F385" s="96"/>
    </row>
    <row r="386">
      <c r="A386" s="12"/>
      <c r="D386" s="95"/>
      <c r="E386" s="14"/>
      <c r="F386" s="96"/>
    </row>
    <row r="387">
      <c r="A387" s="12"/>
      <c r="D387" s="95"/>
      <c r="E387" s="14"/>
      <c r="F387" s="96"/>
    </row>
    <row r="388">
      <c r="A388" s="12"/>
      <c r="D388" s="95"/>
      <c r="E388" s="14"/>
      <c r="F388" s="96"/>
    </row>
    <row r="389">
      <c r="A389" s="12"/>
      <c r="D389" s="95"/>
      <c r="E389" s="14"/>
      <c r="F389" s="96"/>
    </row>
    <row r="390">
      <c r="A390" s="12"/>
      <c r="D390" s="95"/>
      <c r="E390" s="14"/>
      <c r="F390" s="96"/>
    </row>
    <row r="391">
      <c r="A391" s="12"/>
      <c r="D391" s="95"/>
      <c r="E391" s="14"/>
      <c r="F391" s="96"/>
    </row>
    <row r="392">
      <c r="A392" s="12"/>
      <c r="D392" s="95"/>
      <c r="E392" s="14"/>
      <c r="F392" s="96"/>
    </row>
    <row r="393">
      <c r="A393" s="12"/>
      <c r="D393" s="95"/>
      <c r="E393" s="14"/>
      <c r="F393" s="96"/>
    </row>
    <row r="394">
      <c r="A394" s="12"/>
      <c r="D394" s="95"/>
      <c r="E394" s="14"/>
      <c r="F394" s="96"/>
    </row>
    <row r="395">
      <c r="A395" s="12"/>
      <c r="D395" s="95"/>
      <c r="E395" s="14"/>
      <c r="F395" s="96"/>
    </row>
    <row r="396">
      <c r="A396" s="12"/>
      <c r="D396" s="95"/>
      <c r="E396" s="14"/>
      <c r="F396" s="96"/>
    </row>
    <row r="397">
      <c r="A397" s="12"/>
      <c r="D397" s="95"/>
      <c r="E397" s="14"/>
      <c r="F397" s="96"/>
    </row>
    <row r="398">
      <c r="A398" s="12"/>
      <c r="D398" s="95"/>
      <c r="E398" s="14"/>
      <c r="F398" s="96"/>
    </row>
    <row r="399">
      <c r="A399" s="12"/>
      <c r="D399" s="95"/>
      <c r="E399" s="14"/>
      <c r="F399" s="96"/>
    </row>
    <row r="400">
      <c r="A400" s="12"/>
      <c r="D400" s="95"/>
      <c r="E400" s="14"/>
      <c r="F400" s="96"/>
    </row>
    <row r="401">
      <c r="A401" s="12"/>
      <c r="D401" s="95"/>
      <c r="E401" s="14"/>
      <c r="F401" s="96"/>
    </row>
    <row r="402">
      <c r="A402" s="12"/>
      <c r="D402" s="95"/>
      <c r="E402" s="14"/>
      <c r="F402" s="96"/>
    </row>
    <row r="403">
      <c r="A403" s="12"/>
      <c r="D403" s="95"/>
      <c r="E403" s="14"/>
      <c r="F403" s="96"/>
    </row>
    <row r="404">
      <c r="A404" s="12"/>
      <c r="D404" s="95"/>
      <c r="E404" s="14"/>
      <c r="F404" s="96"/>
    </row>
    <row r="405">
      <c r="A405" s="12"/>
      <c r="D405" s="95"/>
      <c r="E405" s="14"/>
      <c r="F405" s="96"/>
    </row>
    <row r="406">
      <c r="A406" s="12"/>
      <c r="D406" s="95"/>
      <c r="E406" s="14"/>
      <c r="F406" s="96"/>
    </row>
    <row r="407">
      <c r="A407" s="12"/>
      <c r="D407" s="95"/>
      <c r="E407" s="14"/>
      <c r="F407" s="96"/>
    </row>
    <row r="408">
      <c r="A408" s="12"/>
      <c r="D408" s="95"/>
      <c r="E408" s="14"/>
      <c r="F408" s="96"/>
    </row>
    <row r="409">
      <c r="A409" s="12"/>
      <c r="D409" s="95"/>
      <c r="E409" s="14"/>
      <c r="F409" s="96"/>
    </row>
    <row r="410">
      <c r="A410" s="12"/>
      <c r="D410" s="95"/>
      <c r="E410" s="14"/>
      <c r="F410" s="96"/>
    </row>
    <row r="411">
      <c r="A411" s="12"/>
      <c r="D411" s="95"/>
      <c r="E411" s="14"/>
      <c r="F411" s="96"/>
    </row>
    <row r="412">
      <c r="A412" s="12"/>
      <c r="D412" s="95"/>
      <c r="E412" s="14"/>
      <c r="F412" s="96"/>
    </row>
    <row r="413">
      <c r="A413" s="12"/>
      <c r="D413" s="95"/>
      <c r="E413" s="14"/>
      <c r="F413" s="96"/>
    </row>
    <row r="414">
      <c r="A414" s="12"/>
      <c r="D414" s="95"/>
      <c r="E414" s="14"/>
      <c r="F414" s="96"/>
    </row>
    <row r="415">
      <c r="A415" s="12"/>
      <c r="D415" s="95"/>
      <c r="E415" s="14"/>
      <c r="F415" s="96"/>
    </row>
    <row r="416">
      <c r="A416" s="12"/>
      <c r="D416" s="95"/>
      <c r="E416" s="14"/>
      <c r="F416" s="96"/>
    </row>
    <row r="417">
      <c r="A417" s="12"/>
      <c r="D417" s="95"/>
      <c r="E417" s="14"/>
      <c r="F417" s="96"/>
    </row>
    <row r="418">
      <c r="A418" s="12"/>
      <c r="D418" s="95"/>
      <c r="E418" s="14"/>
      <c r="F418" s="96"/>
    </row>
    <row r="419">
      <c r="A419" s="12"/>
      <c r="D419" s="95"/>
      <c r="E419" s="14"/>
      <c r="F419" s="96"/>
    </row>
    <row r="420">
      <c r="A420" s="12"/>
      <c r="D420" s="95"/>
      <c r="E420" s="14"/>
      <c r="F420" s="96"/>
    </row>
    <row r="421">
      <c r="A421" s="12"/>
      <c r="D421" s="95"/>
      <c r="E421" s="14"/>
      <c r="F421" s="96"/>
    </row>
    <row r="422">
      <c r="A422" s="12"/>
      <c r="D422" s="95"/>
      <c r="E422" s="14"/>
      <c r="F422" s="96"/>
    </row>
    <row r="423">
      <c r="A423" s="12"/>
      <c r="D423" s="95"/>
      <c r="E423" s="14"/>
      <c r="F423" s="96"/>
    </row>
    <row r="424">
      <c r="A424" s="12"/>
      <c r="D424" s="95"/>
      <c r="E424" s="14"/>
      <c r="F424" s="96"/>
    </row>
    <row r="425">
      <c r="A425" s="12"/>
      <c r="D425" s="95"/>
      <c r="E425" s="14"/>
      <c r="F425" s="96"/>
    </row>
    <row r="426">
      <c r="A426" s="12"/>
      <c r="D426" s="95"/>
      <c r="E426" s="14"/>
      <c r="F426" s="96"/>
    </row>
    <row r="427">
      <c r="A427" s="12"/>
      <c r="D427" s="95"/>
      <c r="E427" s="14"/>
      <c r="F427" s="96"/>
    </row>
    <row r="428">
      <c r="A428" s="12"/>
      <c r="D428" s="95"/>
      <c r="E428" s="14"/>
      <c r="F428" s="96"/>
    </row>
    <row r="429">
      <c r="A429" s="12"/>
      <c r="D429" s="95"/>
      <c r="E429" s="14"/>
      <c r="F429" s="96"/>
    </row>
    <row r="430">
      <c r="A430" s="12"/>
      <c r="D430" s="95"/>
      <c r="E430" s="14"/>
      <c r="F430" s="96"/>
    </row>
    <row r="431">
      <c r="A431" s="12"/>
      <c r="D431" s="95"/>
      <c r="E431" s="14"/>
      <c r="F431" s="96"/>
    </row>
    <row r="432">
      <c r="A432" s="12"/>
      <c r="D432" s="95"/>
      <c r="E432" s="14"/>
      <c r="F432" s="96"/>
    </row>
    <row r="433">
      <c r="A433" s="12"/>
      <c r="D433" s="95"/>
      <c r="E433" s="14"/>
      <c r="F433" s="96"/>
    </row>
    <row r="434">
      <c r="A434" s="12"/>
      <c r="D434" s="95"/>
      <c r="E434" s="14"/>
      <c r="F434" s="96"/>
    </row>
    <row r="435">
      <c r="A435" s="12"/>
      <c r="D435" s="95"/>
      <c r="E435" s="14"/>
      <c r="F435" s="96"/>
    </row>
    <row r="436">
      <c r="A436" s="12"/>
      <c r="D436" s="95"/>
      <c r="E436" s="14"/>
      <c r="F436" s="96"/>
    </row>
    <row r="437">
      <c r="A437" s="12"/>
      <c r="D437" s="95"/>
      <c r="E437" s="14"/>
      <c r="F437" s="96"/>
    </row>
    <row r="438">
      <c r="A438" s="12"/>
      <c r="D438" s="95"/>
      <c r="E438" s="14"/>
      <c r="F438" s="96"/>
    </row>
    <row r="439">
      <c r="A439" s="12"/>
      <c r="D439" s="95"/>
      <c r="E439" s="14"/>
      <c r="F439" s="96"/>
    </row>
    <row r="440">
      <c r="A440" s="12"/>
      <c r="D440" s="95"/>
      <c r="E440" s="14"/>
      <c r="F440" s="96"/>
    </row>
    <row r="441">
      <c r="A441" s="12"/>
      <c r="D441" s="95"/>
      <c r="E441" s="14"/>
      <c r="F441" s="96"/>
    </row>
    <row r="442">
      <c r="A442" s="12"/>
      <c r="D442" s="95"/>
      <c r="E442" s="14"/>
      <c r="F442" s="96"/>
    </row>
    <row r="443">
      <c r="A443" s="12"/>
      <c r="D443" s="95"/>
      <c r="E443" s="14"/>
      <c r="F443" s="96"/>
    </row>
    <row r="444">
      <c r="A444" s="12"/>
      <c r="D444" s="95"/>
      <c r="E444" s="14"/>
      <c r="F444" s="96"/>
    </row>
    <row r="445">
      <c r="A445" s="12"/>
      <c r="D445" s="95"/>
      <c r="E445" s="14"/>
      <c r="F445" s="96"/>
    </row>
    <row r="446">
      <c r="A446" s="12"/>
      <c r="D446" s="95"/>
      <c r="E446" s="14"/>
      <c r="F446" s="96"/>
    </row>
    <row r="447">
      <c r="A447" s="12"/>
      <c r="D447" s="95"/>
      <c r="E447" s="14"/>
      <c r="F447" s="96"/>
    </row>
    <row r="448">
      <c r="A448" s="12"/>
      <c r="D448" s="95"/>
      <c r="E448" s="14"/>
      <c r="F448" s="96"/>
    </row>
    <row r="449">
      <c r="A449" s="12"/>
      <c r="D449" s="95"/>
      <c r="E449" s="14"/>
      <c r="F449" s="96"/>
    </row>
    <row r="450">
      <c r="A450" s="12"/>
      <c r="D450" s="95"/>
      <c r="E450" s="14"/>
      <c r="F450" s="96"/>
    </row>
    <row r="451">
      <c r="A451" s="12"/>
      <c r="D451" s="95"/>
      <c r="E451" s="14"/>
      <c r="F451" s="96"/>
    </row>
    <row r="452">
      <c r="A452" s="12"/>
      <c r="D452" s="95"/>
      <c r="E452" s="14"/>
      <c r="F452" s="96"/>
    </row>
    <row r="453">
      <c r="A453" s="12"/>
      <c r="D453" s="95"/>
      <c r="E453" s="14"/>
      <c r="F453" s="96"/>
    </row>
    <row r="454">
      <c r="A454" s="12"/>
      <c r="D454" s="95"/>
      <c r="E454" s="14"/>
      <c r="F454" s="96"/>
    </row>
    <row r="455">
      <c r="A455" s="12"/>
      <c r="D455" s="95"/>
      <c r="E455" s="14"/>
      <c r="F455" s="96"/>
    </row>
    <row r="456">
      <c r="A456" s="12"/>
      <c r="D456" s="95"/>
      <c r="E456" s="14"/>
      <c r="F456" s="96"/>
    </row>
    <row r="457">
      <c r="A457" s="12"/>
      <c r="D457" s="95"/>
      <c r="E457" s="14"/>
      <c r="F457" s="96"/>
    </row>
    <row r="458">
      <c r="A458" s="12"/>
      <c r="D458" s="95"/>
      <c r="E458" s="14"/>
      <c r="F458" s="96"/>
    </row>
    <row r="459">
      <c r="A459" s="12"/>
      <c r="D459" s="95"/>
      <c r="E459" s="14"/>
      <c r="F459" s="96"/>
    </row>
    <row r="460">
      <c r="A460" s="12"/>
      <c r="D460" s="95"/>
      <c r="E460" s="14"/>
      <c r="F460" s="96"/>
    </row>
    <row r="461">
      <c r="A461" s="12"/>
      <c r="D461" s="95"/>
      <c r="E461" s="14"/>
      <c r="F461" s="96"/>
    </row>
    <row r="462">
      <c r="A462" s="12"/>
      <c r="D462" s="95"/>
      <c r="E462" s="14"/>
      <c r="F462" s="96"/>
    </row>
    <row r="463">
      <c r="A463" s="12"/>
      <c r="D463" s="95"/>
      <c r="E463" s="14"/>
      <c r="F463" s="96"/>
    </row>
    <row r="464">
      <c r="A464" s="12"/>
      <c r="D464" s="95"/>
      <c r="E464" s="14"/>
      <c r="F464" s="96"/>
    </row>
    <row r="465">
      <c r="A465" s="12"/>
      <c r="D465" s="95"/>
      <c r="E465" s="14"/>
      <c r="F465" s="96"/>
    </row>
    <row r="466">
      <c r="A466" s="12"/>
      <c r="D466" s="95"/>
      <c r="E466" s="14"/>
      <c r="F466" s="96"/>
    </row>
    <row r="467">
      <c r="A467" s="12"/>
      <c r="D467" s="95"/>
      <c r="E467" s="14"/>
      <c r="F467" s="96"/>
    </row>
    <row r="468">
      <c r="A468" s="12"/>
      <c r="D468" s="95"/>
      <c r="E468" s="14"/>
      <c r="F468" s="96"/>
    </row>
    <row r="469">
      <c r="A469" s="12"/>
      <c r="D469" s="95"/>
      <c r="E469" s="14"/>
      <c r="F469" s="96"/>
    </row>
    <row r="470">
      <c r="A470" s="12"/>
      <c r="D470" s="95"/>
      <c r="E470" s="14"/>
      <c r="F470" s="96"/>
    </row>
    <row r="471">
      <c r="A471" s="12"/>
      <c r="D471" s="95"/>
      <c r="E471" s="14"/>
      <c r="F471" s="96"/>
    </row>
    <row r="472">
      <c r="A472" s="12"/>
      <c r="D472" s="95"/>
      <c r="E472" s="14"/>
      <c r="F472" s="96"/>
    </row>
    <row r="473">
      <c r="A473" s="12"/>
      <c r="D473" s="95"/>
      <c r="E473" s="14"/>
      <c r="F473" s="96"/>
    </row>
    <row r="474">
      <c r="A474" s="12"/>
      <c r="D474" s="95"/>
      <c r="E474" s="14"/>
      <c r="F474" s="96"/>
    </row>
    <row r="475">
      <c r="A475" s="12"/>
      <c r="D475" s="95"/>
      <c r="E475" s="14"/>
      <c r="F475" s="96"/>
    </row>
    <row r="476">
      <c r="A476" s="12"/>
      <c r="D476" s="95"/>
      <c r="E476" s="14"/>
      <c r="F476" s="96"/>
    </row>
    <row r="477">
      <c r="A477" s="12"/>
      <c r="D477" s="95"/>
      <c r="E477" s="14"/>
      <c r="F477" s="96"/>
    </row>
    <row r="478">
      <c r="A478" s="12"/>
      <c r="D478" s="95"/>
      <c r="E478" s="14"/>
      <c r="F478" s="96"/>
    </row>
    <row r="479">
      <c r="A479" s="12"/>
      <c r="D479" s="95"/>
      <c r="E479" s="14"/>
      <c r="F479" s="96"/>
    </row>
    <row r="480">
      <c r="A480" s="12"/>
      <c r="D480" s="95"/>
      <c r="E480" s="14"/>
      <c r="F480" s="96"/>
    </row>
    <row r="481">
      <c r="A481" s="12"/>
      <c r="D481" s="95"/>
      <c r="E481" s="14"/>
      <c r="F481" s="96"/>
    </row>
    <row r="482">
      <c r="A482" s="12"/>
      <c r="D482" s="95"/>
      <c r="E482" s="14"/>
      <c r="F482" s="96"/>
    </row>
    <row r="483">
      <c r="A483" s="12"/>
      <c r="D483" s="95"/>
      <c r="E483" s="14"/>
      <c r="F483" s="96"/>
    </row>
    <row r="484">
      <c r="A484" s="12"/>
      <c r="D484" s="95"/>
      <c r="E484" s="14"/>
      <c r="F484" s="96"/>
    </row>
    <row r="485">
      <c r="A485" s="12"/>
      <c r="D485" s="95"/>
      <c r="E485" s="14"/>
      <c r="F485" s="96"/>
    </row>
    <row r="486">
      <c r="A486" s="12"/>
      <c r="D486" s="95"/>
      <c r="E486" s="14"/>
      <c r="F486" s="96"/>
    </row>
    <row r="487">
      <c r="A487" s="12"/>
      <c r="D487" s="95"/>
      <c r="E487" s="14"/>
      <c r="F487" s="96"/>
    </row>
    <row r="488">
      <c r="A488" s="12"/>
      <c r="D488" s="95"/>
      <c r="E488" s="14"/>
      <c r="F488" s="96"/>
    </row>
    <row r="489">
      <c r="A489" s="12"/>
      <c r="D489" s="95"/>
      <c r="E489" s="14"/>
      <c r="F489" s="96"/>
    </row>
    <row r="490">
      <c r="A490" s="12"/>
      <c r="D490" s="95"/>
      <c r="E490" s="14"/>
      <c r="F490" s="96"/>
    </row>
    <row r="491">
      <c r="A491" s="12"/>
      <c r="D491" s="95"/>
      <c r="E491" s="14"/>
      <c r="F491" s="96"/>
    </row>
    <row r="492">
      <c r="A492" s="12"/>
      <c r="D492" s="95"/>
      <c r="E492" s="14"/>
      <c r="F492" s="96"/>
    </row>
    <row r="493">
      <c r="A493" s="12"/>
      <c r="D493" s="95"/>
      <c r="E493" s="14"/>
      <c r="F493" s="96"/>
    </row>
    <row r="494">
      <c r="A494" s="12"/>
      <c r="D494" s="95"/>
      <c r="E494" s="14"/>
      <c r="F494" s="96"/>
    </row>
    <row r="495">
      <c r="A495" s="12"/>
      <c r="D495" s="95"/>
      <c r="E495" s="14"/>
      <c r="F495" s="96"/>
    </row>
    <row r="496">
      <c r="A496" s="12"/>
      <c r="D496" s="95"/>
      <c r="E496" s="14"/>
      <c r="F496" s="96"/>
    </row>
    <row r="497">
      <c r="A497" s="12"/>
      <c r="D497" s="95"/>
      <c r="E497" s="14"/>
      <c r="F497" s="96"/>
    </row>
    <row r="498">
      <c r="A498" s="12"/>
      <c r="D498" s="95"/>
      <c r="E498" s="14"/>
      <c r="F498" s="96"/>
    </row>
    <row r="499">
      <c r="A499" s="12"/>
      <c r="D499" s="95"/>
      <c r="E499" s="14"/>
      <c r="F499" s="96"/>
    </row>
    <row r="500">
      <c r="A500" s="12"/>
      <c r="D500" s="95"/>
      <c r="E500" s="14"/>
      <c r="F500" s="96"/>
    </row>
    <row r="501">
      <c r="A501" s="12"/>
      <c r="D501" s="95"/>
      <c r="E501" s="14"/>
      <c r="F501" s="96"/>
    </row>
    <row r="502">
      <c r="A502" s="12"/>
      <c r="D502" s="95"/>
      <c r="E502" s="14"/>
      <c r="F502" s="96"/>
    </row>
    <row r="503">
      <c r="A503" s="12"/>
      <c r="D503" s="95"/>
      <c r="E503" s="14"/>
      <c r="F503" s="96"/>
    </row>
    <row r="504">
      <c r="A504" s="12"/>
      <c r="D504" s="95"/>
      <c r="E504" s="14"/>
      <c r="F504" s="96"/>
    </row>
    <row r="505">
      <c r="A505" s="12"/>
      <c r="D505" s="95"/>
      <c r="E505" s="14"/>
      <c r="F505" s="96"/>
    </row>
    <row r="506">
      <c r="A506" s="12"/>
      <c r="D506" s="95"/>
      <c r="E506" s="14"/>
      <c r="F506" s="96"/>
    </row>
    <row r="507">
      <c r="A507" s="12"/>
      <c r="D507" s="95"/>
      <c r="E507" s="14"/>
      <c r="F507" s="96"/>
    </row>
    <row r="508">
      <c r="A508" s="12"/>
      <c r="D508" s="95"/>
      <c r="E508" s="14"/>
      <c r="F508" s="96"/>
    </row>
    <row r="509">
      <c r="A509" s="12"/>
      <c r="D509" s="95"/>
      <c r="E509" s="14"/>
      <c r="F509" s="96"/>
    </row>
    <row r="510">
      <c r="A510" s="12"/>
      <c r="D510" s="95"/>
      <c r="E510" s="14"/>
      <c r="F510" s="96"/>
    </row>
    <row r="511">
      <c r="A511" s="12"/>
      <c r="D511" s="95"/>
      <c r="E511" s="14"/>
      <c r="F511" s="96"/>
    </row>
    <row r="512">
      <c r="A512" s="12"/>
      <c r="D512" s="95"/>
      <c r="E512" s="14"/>
      <c r="F512" s="96"/>
    </row>
    <row r="513">
      <c r="A513" s="12"/>
      <c r="D513" s="95"/>
      <c r="E513" s="14"/>
      <c r="F513" s="96"/>
    </row>
    <row r="514">
      <c r="A514" s="12"/>
      <c r="D514" s="95"/>
      <c r="E514" s="14"/>
      <c r="F514" s="96"/>
    </row>
    <row r="515">
      <c r="A515" s="12"/>
      <c r="D515" s="95"/>
      <c r="E515" s="14"/>
      <c r="F515" s="96"/>
    </row>
    <row r="516">
      <c r="A516" s="12"/>
      <c r="D516" s="95"/>
      <c r="E516" s="14"/>
      <c r="F516" s="96"/>
    </row>
    <row r="517">
      <c r="A517" s="12"/>
      <c r="D517" s="95"/>
      <c r="E517" s="14"/>
      <c r="F517" s="96"/>
    </row>
    <row r="518">
      <c r="A518" s="12"/>
      <c r="D518" s="95"/>
      <c r="E518" s="14"/>
      <c r="F518" s="96"/>
    </row>
    <row r="519">
      <c r="A519" s="12"/>
      <c r="D519" s="95"/>
      <c r="E519" s="14"/>
      <c r="F519" s="96"/>
    </row>
    <row r="520">
      <c r="A520" s="12"/>
      <c r="D520" s="95"/>
      <c r="E520" s="14"/>
      <c r="F520" s="96"/>
    </row>
    <row r="521">
      <c r="A521" s="12"/>
      <c r="D521" s="95"/>
      <c r="E521" s="14"/>
      <c r="F521" s="96"/>
    </row>
    <row r="522">
      <c r="A522" s="12"/>
      <c r="D522" s="95"/>
      <c r="E522" s="14"/>
      <c r="F522" s="96"/>
    </row>
    <row r="523">
      <c r="A523" s="12"/>
      <c r="D523" s="95"/>
      <c r="E523" s="14"/>
      <c r="F523" s="96"/>
    </row>
    <row r="524">
      <c r="A524" s="12"/>
      <c r="D524" s="95"/>
      <c r="E524" s="14"/>
      <c r="F524" s="96"/>
    </row>
    <row r="525">
      <c r="A525" s="12"/>
      <c r="D525" s="95"/>
      <c r="E525" s="14"/>
      <c r="F525" s="96"/>
    </row>
    <row r="526">
      <c r="A526" s="12"/>
      <c r="D526" s="95"/>
      <c r="E526" s="14"/>
      <c r="F526" s="96"/>
    </row>
    <row r="527">
      <c r="A527" s="12"/>
      <c r="D527" s="95"/>
      <c r="E527" s="14"/>
      <c r="F527" s="96"/>
    </row>
    <row r="528">
      <c r="A528" s="12"/>
      <c r="D528" s="95"/>
      <c r="E528" s="14"/>
      <c r="F528" s="96"/>
    </row>
    <row r="529">
      <c r="A529" s="12"/>
      <c r="D529" s="95"/>
      <c r="E529" s="14"/>
      <c r="F529" s="96"/>
    </row>
    <row r="530">
      <c r="A530" s="12"/>
      <c r="D530" s="95"/>
      <c r="E530" s="14"/>
      <c r="F530" s="96"/>
    </row>
    <row r="531">
      <c r="A531" s="12"/>
      <c r="D531" s="95"/>
      <c r="E531" s="14"/>
      <c r="F531" s="96"/>
    </row>
    <row r="532">
      <c r="A532" s="12"/>
      <c r="D532" s="95"/>
      <c r="E532" s="14"/>
      <c r="F532" s="96"/>
    </row>
    <row r="533">
      <c r="A533" s="12"/>
      <c r="D533" s="95"/>
      <c r="E533" s="14"/>
      <c r="F533" s="96"/>
    </row>
    <row r="534">
      <c r="A534" s="12"/>
      <c r="D534" s="95"/>
      <c r="E534" s="14"/>
      <c r="F534" s="96"/>
    </row>
    <row r="535">
      <c r="A535" s="12"/>
      <c r="D535" s="95"/>
      <c r="E535" s="14"/>
      <c r="F535" s="96"/>
    </row>
    <row r="536">
      <c r="A536" s="12"/>
      <c r="D536" s="95"/>
      <c r="E536" s="14"/>
      <c r="F536" s="96"/>
    </row>
    <row r="537">
      <c r="A537" s="12"/>
      <c r="D537" s="95"/>
      <c r="E537" s="14"/>
      <c r="F537" s="96"/>
    </row>
    <row r="538">
      <c r="A538" s="12"/>
      <c r="D538" s="95"/>
      <c r="E538" s="14"/>
      <c r="F538" s="96"/>
    </row>
    <row r="539">
      <c r="A539" s="12"/>
      <c r="D539" s="95"/>
      <c r="E539" s="14"/>
      <c r="F539" s="96"/>
    </row>
    <row r="540">
      <c r="A540" s="12"/>
      <c r="D540" s="95"/>
      <c r="E540" s="14"/>
      <c r="F540" s="96"/>
    </row>
    <row r="541">
      <c r="A541" s="12"/>
      <c r="D541" s="95"/>
      <c r="E541" s="14"/>
      <c r="F541" s="96"/>
    </row>
    <row r="542">
      <c r="A542" s="12"/>
      <c r="D542" s="95"/>
      <c r="E542" s="14"/>
      <c r="F542" s="96"/>
    </row>
    <row r="543">
      <c r="A543" s="12"/>
      <c r="D543" s="95"/>
      <c r="E543" s="14"/>
      <c r="F543" s="96"/>
    </row>
    <row r="544">
      <c r="A544" s="12"/>
      <c r="D544" s="95"/>
      <c r="E544" s="14"/>
      <c r="F544" s="96"/>
    </row>
    <row r="545">
      <c r="A545" s="12"/>
      <c r="D545" s="95"/>
      <c r="E545" s="14"/>
      <c r="F545" s="96"/>
    </row>
    <row r="546">
      <c r="A546" s="12"/>
      <c r="D546" s="95"/>
      <c r="E546" s="14"/>
      <c r="F546" s="96"/>
    </row>
    <row r="547">
      <c r="A547" s="12"/>
      <c r="D547" s="95"/>
      <c r="E547" s="14"/>
      <c r="F547" s="96"/>
    </row>
    <row r="548">
      <c r="A548" s="12"/>
      <c r="D548" s="95"/>
      <c r="E548" s="14"/>
      <c r="F548" s="96"/>
    </row>
    <row r="549">
      <c r="A549" s="12"/>
      <c r="D549" s="95"/>
      <c r="E549" s="14"/>
      <c r="F549" s="96"/>
    </row>
    <row r="550">
      <c r="A550" s="12"/>
      <c r="D550" s="95"/>
      <c r="E550" s="14"/>
      <c r="F550" s="96"/>
    </row>
    <row r="551">
      <c r="A551" s="12"/>
      <c r="D551" s="95"/>
      <c r="E551" s="14"/>
      <c r="F551" s="96"/>
    </row>
    <row r="552">
      <c r="A552" s="12"/>
      <c r="D552" s="95"/>
      <c r="E552" s="14"/>
      <c r="F552" s="96"/>
    </row>
    <row r="553">
      <c r="A553" s="12"/>
      <c r="D553" s="95"/>
      <c r="E553" s="14"/>
      <c r="F553" s="96"/>
    </row>
    <row r="554">
      <c r="A554" s="12"/>
      <c r="D554" s="95"/>
      <c r="E554" s="14"/>
      <c r="F554" s="96"/>
    </row>
    <row r="555">
      <c r="A555" s="12"/>
      <c r="D555" s="95"/>
      <c r="E555" s="14"/>
      <c r="F555" s="96"/>
    </row>
    <row r="556">
      <c r="A556" s="12"/>
      <c r="D556" s="95"/>
      <c r="E556" s="14"/>
      <c r="F556" s="96"/>
    </row>
    <row r="557">
      <c r="A557" s="12"/>
      <c r="D557" s="95"/>
      <c r="E557" s="14"/>
      <c r="F557" s="96"/>
    </row>
    <row r="558">
      <c r="A558" s="12"/>
      <c r="D558" s="95"/>
      <c r="E558" s="14"/>
      <c r="F558" s="96"/>
    </row>
    <row r="559">
      <c r="A559" s="12"/>
      <c r="D559" s="95"/>
      <c r="E559" s="14"/>
      <c r="F559" s="96"/>
    </row>
    <row r="560">
      <c r="A560" s="12"/>
      <c r="D560" s="95"/>
      <c r="E560" s="14"/>
      <c r="F560" s="96"/>
    </row>
    <row r="561">
      <c r="A561" s="12"/>
      <c r="D561" s="95"/>
      <c r="E561" s="14"/>
      <c r="F561" s="96"/>
    </row>
    <row r="562">
      <c r="A562" s="12"/>
      <c r="D562" s="95"/>
      <c r="E562" s="14"/>
      <c r="F562" s="96"/>
    </row>
    <row r="563">
      <c r="A563" s="12"/>
      <c r="D563" s="95"/>
      <c r="E563" s="14"/>
      <c r="F563" s="96"/>
    </row>
    <row r="564">
      <c r="A564" s="12"/>
      <c r="D564" s="95"/>
      <c r="E564" s="14"/>
      <c r="F564" s="96"/>
    </row>
    <row r="565">
      <c r="A565" s="12"/>
      <c r="D565" s="95"/>
      <c r="E565" s="14"/>
      <c r="F565" s="96"/>
    </row>
    <row r="566">
      <c r="A566" s="12"/>
      <c r="D566" s="95"/>
      <c r="E566" s="14"/>
      <c r="F566" s="96"/>
    </row>
    <row r="567">
      <c r="A567" s="12"/>
      <c r="D567" s="95"/>
      <c r="E567" s="14"/>
      <c r="F567" s="96"/>
    </row>
    <row r="568">
      <c r="A568" s="12"/>
      <c r="D568" s="95"/>
      <c r="E568" s="14"/>
      <c r="F568" s="96"/>
    </row>
    <row r="569">
      <c r="A569" s="12"/>
      <c r="D569" s="95"/>
      <c r="E569" s="14"/>
      <c r="F569" s="96"/>
    </row>
    <row r="570">
      <c r="A570" s="12"/>
      <c r="D570" s="95"/>
      <c r="E570" s="14"/>
      <c r="F570" s="96"/>
    </row>
    <row r="571">
      <c r="A571" s="12"/>
      <c r="D571" s="95"/>
      <c r="E571" s="14"/>
      <c r="F571" s="96"/>
    </row>
    <row r="572">
      <c r="A572" s="12"/>
      <c r="D572" s="95"/>
      <c r="E572" s="14"/>
      <c r="F572" s="96"/>
    </row>
    <row r="573">
      <c r="A573" s="12"/>
      <c r="D573" s="95"/>
      <c r="E573" s="14"/>
      <c r="F573" s="96"/>
    </row>
    <row r="574">
      <c r="A574" s="12"/>
      <c r="D574" s="95"/>
      <c r="E574" s="14"/>
      <c r="F574" s="96"/>
    </row>
    <row r="575">
      <c r="A575" s="12"/>
      <c r="D575" s="95"/>
      <c r="E575" s="14"/>
      <c r="F575" s="96"/>
    </row>
    <row r="576">
      <c r="A576" s="12"/>
      <c r="D576" s="95"/>
      <c r="E576" s="14"/>
      <c r="F576" s="96"/>
    </row>
    <row r="577">
      <c r="A577" s="12"/>
      <c r="D577" s="95"/>
      <c r="E577" s="14"/>
      <c r="F577" s="96"/>
    </row>
    <row r="578">
      <c r="A578" s="12"/>
      <c r="D578" s="95"/>
      <c r="E578" s="14"/>
      <c r="F578" s="96"/>
    </row>
    <row r="579">
      <c r="A579" s="12"/>
      <c r="D579" s="95"/>
      <c r="E579" s="14"/>
      <c r="F579" s="96"/>
    </row>
    <row r="580">
      <c r="A580" s="12"/>
      <c r="D580" s="95"/>
      <c r="E580" s="14"/>
      <c r="F580" s="96"/>
    </row>
    <row r="581">
      <c r="A581" s="12"/>
      <c r="D581" s="95"/>
      <c r="E581" s="14"/>
      <c r="F581" s="96"/>
    </row>
    <row r="582">
      <c r="A582" s="12"/>
      <c r="D582" s="95"/>
      <c r="E582" s="14"/>
      <c r="F582" s="96"/>
    </row>
    <row r="583">
      <c r="A583" s="12"/>
      <c r="D583" s="95"/>
      <c r="E583" s="14"/>
      <c r="F583" s="96"/>
    </row>
    <row r="584">
      <c r="A584" s="12"/>
      <c r="D584" s="95"/>
      <c r="E584" s="14"/>
      <c r="F584" s="96"/>
    </row>
    <row r="585">
      <c r="A585" s="12"/>
      <c r="D585" s="95"/>
      <c r="E585" s="14"/>
      <c r="F585" s="96"/>
    </row>
    <row r="586">
      <c r="A586" s="12"/>
      <c r="D586" s="95"/>
      <c r="E586" s="14"/>
      <c r="F586" s="96"/>
    </row>
    <row r="587">
      <c r="A587" s="12"/>
      <c r="D587" s="95"/>
      <c r="E587" s="14"/>
      <c r="F587" s="96"/>
    </row>
    <row r="588">
      <c r="A588" s="12"/>
      <c r="D588" s="95"/>
      <c r="E588" s="14"/>
      <c r="F588" s="96"/>
    </row>
    <row r="589">
      <c r="A589" s="12"/>
      <c r="D589" s="95"/>
      <c r="E589" s="14"/>
      <c r="F589" s="96"/>
    </row>
    <row r="590">
      <c r="A590" s="12"/>
      <c r="D590" s="95"/>
      <c r="E590" s="14"/>
      <c r="F590" s="96"/>
    </row>
    <row r="591">
      <c r="A591" s="12"/>
      <c r="D591" s="95"/>
      <c r="E591" s="14"/>
      <c r="F591" s="96"/>
    </row>
    <row r="592">
      <c r="A592" s="12"/>
      <c r="D592" s="95"/>
      <c r="E592" s="14"/>
      <c r="F592" s="96"/>
    </row>
    <row r="593">
      <c r="A593" s="12"/>
      <c r="D593" s="95"/>
      <c r="E593" s="14"/>
      <c r="F593" s="96"/>
    </row>
    <row r="594">
      <c r="A594" s="12"/>
      <c r="D594" s="95"/>
      <c r="E594" s="14"/>
      <c r="F594" s="96"/>
    </row>
    <row r="595">
      <c r="A595" s="12"/>
      <c r="D595" s="95"/>
      <c r="E595" s="14"/>
      <c r="F595" s="96"/>
    </row>
    <row r="596">
      <c r="A596" s="12"/>
      <c r="D596" s="95"/>
      <c r="E596" s="14"/>
      <c r="F596" s="96"/>
    </row>
    <row r="597">
      <c r="A597" s="12"/>
      <c r="D597" s="95"/>
      <c r="E597" s="14"/>
      <c r="F597" s="96"/>
    </row>
    <row r="598">
      <c r="A598" s="12"/>
      <c r="D598" s="95"/>
      <c r="E598" s="14"/>
      <c r="F598" s="96"/>
    </row>
    <row r="599">
      <c r="A599" s="12"/>
      <c r="D599" s="95"/>
      <c r="E599" s="14"/>
      <c r="F599" s="96"/>
    </row>
    <row r="600">
      <c r="A600" s="12"/>
      <c r="D600" s="95"/>
      <c r="E600" s="14"/>
      <c r="F600" s="96"/>
    </row>
    <row r="601">
      <c r="A601" s="12"/>
      <c r="D601" s="95"/>
      <c r="E601" s="14"/>
      <c r="F601" s="96"/>
    </row>
    <row r="602">
      <c r="A602" s="12"/>
      <c r="D602" s="95"/>
      <c r="E602" s="14"/>
      <c r="F602" s="96"/>
    </row>
    <row r="603">
      <c r="A603" s="12"/>
      <c r="D603" s="95"/>
      <c r="E603" s="14"/>
      <c r="F603" s="96"/>
    </row>
    <row r="604">
      <c r="A604" s="12"/>
      <c r="D604" s="95"/>
      <c r="E604" s="14"/>
      <c r="F604" s="96"/>
    </row>
    <row r="605">
      <c r="A605" s="12"/>
      <c r="D605" s="95"/>
      <c r="E605" s="14"/>
      <c r="F605" s="96"/>
    </row>
    <row r="606">
      <c r="A606" s="12"/>
      <c r="D606" s="95"/>
      <c r="E606" s="14"/>
      <c r="F606" s="96"/>
    </row>
    <row r="607">
      <c r="A607" s="12"/>
      <c r="D607" s="95"/>
      <c r="E607" s="14"/>
      <c r="F607" s="96"/>
    </row>
    <row r="608">
      <c r="A608" s="12"/>
      <c r="D608" s="95"/>
      <c r="E608" s="14"/>
      <c r="F608" s="96"/>
    </row>
    <row r="609">
      <c r="A609" s="12"/>
      <c r="D609" s="95"/>
      <c r="E609" s="14"/>
      <c r="F609" s="96"/>
    </row>
    <row r="610">
      <c r="A610" s="12"/>
      <c r="D610" s="95"/>
      <c r="E610" s="14"/>
      <c r="F610" s="96"/>
    </row>
    <row r="611">
      <c r="A611" s="12"/>
      <c r="D611" s="95"/>
      <c r="E611" s="14"/>
      <c r="F611" s="96"/>
    </row>
    <row r="612">
      <c r="A612" s="12"/>
      <c r="D612" s="95"/>
      <c r="E612" s="14"/>
      <c r="F612" s="96"/>
    </row>
    <row r="613">
      <c r="A613" s="12"/>
      <c r="D613" s="95"/>
      <c r="E613" s="14"/>
      <c r="F613" s="96"/>
    </row>
    <row r="614">
      <c r="A614" s="12"/>
      <c r="D614" s="95"/>
      <c r="E614" s="14"/>
      <c r="F614" s="96"/>
    </row>
    <row r="615">
      <c r="A615" s="12"/>
      <c r="D615" s="95"/>
      <c r="E615" s="14"/>
      <c r="F615" s="96"/>
    </row>
    <row r="616">
      <c r="A616" s="12"/>
      <c r="D616" s="95"/>
      <c r="E616" s="14"/>
      <c r="F616" s="96"/>
    </row>
    <row r="617">
      <c r="A617" s="12"/>
      <c r="D617" s="95"/>
      <c r="E617" s="14"/>
      <c r="F617" s="96"/>
    </row>
    <row r="618">
      <c r="A618" s="12"/>
      <c r="D618" s="95"/>
      <c r="E618" s="14"/>
      <c r="F618" s="96"/>
    </row>
    <row r="619">
      <c r="A619" s="12"/>
      <c r="D619" s="95"/>
      <c r="E619" s="14"/>
      <c r="F619" s="96"/>
    </row>
    <row r="620">
      <c r="A620" s="12"/>
      <c r="D620" s="95"/>
      <c r="E620" s="14"/>
      <c r="F620" s="96"/>
    </row>
    <row r="621">
      <c r="A621" s="12"/>
      <c r="D621" s="95"/>
      <c r="E621" s="14"/>
      <c r="F621" s="96"/>
    </row>
    <row r="622">
      <c r="A622" s="12"/>
      <c r="D622" s="95"/>
      <c r="E622" s="14"/>
      <c r="F622" s="96"/>
    </row>
    <row r="623">
      <c r="A623" s="12"/>
      <c r="D623" s="95"/>
      <c r="E623" s="14"/>
      <c r="F623" s="96"/>
    </row>
    <row r="624">
      <c r="A624" s="12"/>
      <c r="D624" s="95"/>
      <c r="E624" s="14"/>
      <c r="F624" s="96"/>
    </row>
    <row r="625">
      <c r="A625" s="12"/>
      <c r="D625" s="95"/>
      <c r="E625" s="14"/>
      <c r="F625" s="96"/>
    </row>
    <row r="626">
      <c r="A626" s="12"/>
      <c r="D626" s="95"/>
      <c r="E626" s="14"/>
      <c r="F626" s="96"/>
    </row>
    <row r="627">
      <c r="A627" s="12"/>
      <c r="D627" s="95"/>
      <c r="E627" s="14"/>
      <c r="F627" s="96"/>
    </row>
    <row r="628">
      <c r="A628" s="12"/>
      <c r="D628" s="95"/>
      <c r="E628" s="14"/>
      <c r="F628" s="96"/>
    </row>
    <row r="629">
      <c r="A629" s="12"/>
      <c r="D629" s="95"/>
      <c r="E629" s="14"/>
      <c r="F629" s="96"/>
    </row>
    <row r="630">
      <c r="A630" s="12"/>
      <c r="D630" s="95"/>
      <c r="E630" s="14"/>
      <c r="F630" s="96"/>
    </row>
    <row r="631">
      <c r="A631" s="12"/>
      <c r="D631" s="95"/>
      <c r="E631" s="14"/>
      <c r="F631" s="96"/>
    </row>
    <row r="632">
      <c r="A632" s="12"/>
      <c r="D632" s="95"/>
      <c r="E632" s="14"/>
      <c r="F632" s="96"/>
    </row>
    <row r="633">
      <c r="A633" s="12"/>
      <c r="D633" s="95"/>
      <c r="E633" s="14"/>
      <c r="F633" s="96"/>
    </row>
    <row r="634">
      <c r="A634" s="12"/>
      <c r="D634" s="95"/>
      <c r="E634" s="14"/>
      <c r="F634" s="96"/>
    </row>
    <row r="635">
      <c r="A635" s="12"/>
      <c r="D635" s="95"/>
      <c r="E635" s="14"/>
      <c r="F635" s="96"/>
    </row>
    <row r="636">
      <c r="A636" s="12"/>
      <c r="D636" s="95"/>
      <c r="E636" s="14"/>
      <c r="F636" s="96"/>
    </row>
    <row r="637">
      <c r="A637" s="12"/>
      <c r="D637" s="95"/>
      <c r="E637" s="14"/>
      <c r="F637" s="96"/>
    </row>
    <row r="638">
      <c r="A638" s="12"/>
      <c r="D638" s="95"/>
      <c r="E638" s="14"/>
      <c r="F638" s="96"/>
    </row>
    <row r="639">
      <c r="A639" s="12"/>
      <c r="D639" s="95"/>
      <c r="E639" s="14"/>
      <c r="F639" s="96"/>
    </row>
    <row r="640">
      <c r="A640" s="12"/>
      <c r="D640" s="95"/>
      <c r="E640" s="14"/>
      <c r="F640" s="96"/>
    </row>
    <row r="641">
      <c r="A641" s="12"/>
      <c r="D641" s="95"/>
      <c r="E641" s="14"/>
      <c r="F641" s="96"/>
    </row>
    <row r="642">
      <c r="A642" s="12"/>
      <c r="D642" s="95"/>
      <c r="E642" s="14"/>
      <c r="F642" s="96"/>
    </row>
    <row r="643">
      <c r="A643" s="12"/>
      <c r="D643" s="95"/>
      <c r="E643" s="14"/>
      <c r="F643" s="96"/>
    </row>
    <row r="644">
      <c r="A644" s="12"/>
      <c r="D644" s="95"/>
      <c r="E644" s="14"/>
      <c r="F644" s="96"/>
    </row>
    <row r="645">
      <c r="A645" s="12"/>
      <c r="D645" s="95"/>
      <c r="E645" s="14"/>
      <c r="F645" s="96"/>
    </row>
    <row r="646">
      <c r="A646" s="12"/>
      <c r="D646" s="95"/>
      <c r="E646" s="14"/>
      <c r="F646" s="96"/>
    </row>
    <row r="647">
      <c r="A647" s="12"/>
      <c r="D647" s="95"/>
      <c r="E647" s="14"/>
      <c r="F647" s="96"/>
    </row>
    <row r="648">
      <c r="A648" s="12"/>
      <c r="D648" s="95"/>
      <c r="E648" s="14"/>
      <c r="F648" s="96"/>
    </row>
    <row r="649">
      <c r="A649" s="12"/>
      <c r="D649" s="95"/>
      <c r="E649" s="14"/>
      <c r="F649" s="96"/>
    </row>
    <row r="650">
      <c r="A650" s="12"/>
      <c r="D650" s="95"/>
      <c r="E650" s="14"/>
      <c r="F650" s="96"/>
    </row>
    <row r="651">
      <c r="A651" s="12"/>
      <c r="D651" s="95"/>
      <c r="E651" s="14"/>
      <c r="F651" s="96"/>
    </row>
    <row r="652">
      <c r="A652" s="12"/>
      <c r="D652" s="95"/>
      <c r="E652" s="14"/>
      <c r="F652" s="96"/>
    </row>
    <row r="653">
      <c r="A653" s="12"/>
      <c r="D653" s="95"/>
      <c r="E653" s="14"/>
      <c r="F653" s="96"/>
    </row>
    <row r="654">
      <c r="A654" s="12"/>
      <c r="D654" s="95"/>
      <c r="E654" s="14"/>
      <c r="F654" s="96"/>
    </row>
    <row r="655">
      <c r="A655" s="12"/>
      <c r="D655" s="95"/>
      <c r="E655" s="14"/>
      <c r="F655" s="96"/>
    </row>
    <row r="656">
      <c r="A656" s="12"/>
      <c r="D656" s="95"/>
      <c r="E656" s="14"/>
      <c r="F656" s="96"/>
    </row>
    <row r="657">
      <c r="A657" s="12"/>
      <c r="D657" s="95"/>
      <c r="E657" s="14"/>
      <c r="F657" s="96"/>
    </row>
    <row r="658">
      <c r="A658" s="12"/>
      <c r="D658" s="95"/>
      <c r="E658" s="14"/>
      <c r="F658" s="96"/>
    </row>
    <row r="659">
      <c r="A659" s="12"/>
      <c r="D659" s="95"/>
      <c r="E659" s="14"/>
      <c r="F659" s="96"/>
    </row>
    <row r="660">
      <c r="A660" s="12"/>
      <c r="D660" s="95"/>
      <c r="E660" s="14"/>
      <c r="F660" s="96"/>
    </row>
    <row r="661">
      <c r="A661" s="12"/>
      <c r="D661" s="95"/>
      <c r="E661" s="14"/>
      <c r="F661" s="96"/>
    </row>
    <row r="662">
      <c r="A662" s="12"/>
      <c r="D662" s="95"/>
      <c r="E662" s="14"/>
      <c r="F662" s="96"/>
    </row>
    <row r="663">
      <c r="A663" s="12"/>
      <c r="D663" s="95"/>
      <c r="E663" s="14"/>
      <c r="F663" s="96"/>
    </row>
    <row r="664">
      <c r="A664" s="12"/>
      <c r="D664" s="95"/>
      <c r="E664" s="14"/>
      <c r="F664" s="96"/>
    </row>
    <row r="665">
      <c r="A665" s="12"/>
      <c r="D665" s="95"/>
      <c r="E665" s="14"/>
      <c r="F665" s="96"/>
    </row>
    <row r="666">
      <c r="A666" s="12"/>
      <c r="D666" s="95"/>
      <c r="E666" s="14"/>
      <c r="F666" s="96"/>
    </row>
    <row r="667">
      <c r="A667" s="12"/>
      <c r="D667" s="95"/>
      <c r="E667" s="14"/>
      <c r="F667" s="96"/>
    </row>
    <row r="668">
      <c r="A668" s="12"/>
      <c r="D668" s="95"/>
      <c r="E668" s="14"/>
      <c r="F668" s="96"/>
    </row>
    <row r="669">
      <c r="A669" s="12"/>
      <c r="D669" s="95"/>
      <c r="E669" s="14"/>
      <c r="F669" s="96"/>
    </row>
    <row r="670">
      <c r="A670" s="12"/>
      <c r="D670" s="95"/>
      <c r="E670" s="14"/>
      <c r="F670" s="96"/>
    </row>
    <row r="671">
      <c r="A671" s="12"/>
      <c r="D671" s="95"/>
      <c r="E671" s="14"/>
      <c r="F671" s="96"/>
    </row>
    <row r="672">
      <c r="A672" s="12"/>
      <c r="D672" s="95"/>
      <c r="E672" s="14"/>
      <c r="F672" s="96"/>
    </row>
    <row r="673">
      <c r="A673" s="12"/>
      <c r="D673" s="95"/>
      <c r="E673" s="14"/>
      <c r="F673" s="96"/>
    </row>
    <row r="674">
      <c r="A674" s="12"/>
      <c r="D674" s="95"/>
      <c r="E674" s="14"/>
      <c r="F674" s="96"/>
    </row>
    <row r="675">
      <c r="A675" s="12"/>
      <c r="D675" s="95"/>
      <c r="E675" s="14"/>
      <c r="F675" s="96"/>
    </row>
    <row r="676">
      <c r="A676" s="12"/>
      <c r="D676" s="95"/>
      <c r="E676" s="14"/>
      <c r="F676" s="96"/>
    </row>
    <row r="677">
      <c r="A677" s="12"/>
      <c r="D677" s="95"/>
      <c r="E677" s="14"/>
      <c r="F677" s="96"/>
    </row>
    <row r="678">
      <c r="A678" s="12"/>
      <c r="D678" s="95"/>
      <c r="E678" s="14"/>
      <c r="F678" s="96"/>
    </row>
    <row r="679">
      <c r="A679" s="12"/>
      <c r="D679" s="95"/>
      <c r="E679" s="14"/>
      <c r="F679" s="96"/>
    </row>
    <row r="680">
      <c r="A680" s="12"/>
      <c r="D680" s="95"/>
      <c r="E680" s="14"/>
      <c r="F680" s="96"/>
    </row>
    <row r="681">
      <c r="A681" s="12"/>
      <c r="D681" s="95"/>
      <c r="E681" s="14"/>
      <c r="F681" s="96"/>
    </row>
    <row r="682">
      <c r="A682" s="12"/>
      <c r="D682" s="95"/>
      <c r="E682" s="14"/>
      <c r="F682" s="96"/>
    </row>
    <row r="683">
      <c r="A683" s="12"/>
      <c r="D683" s="95"/>
      <c r="E683" s="14"/>
      <c r="F683" s="96"/>
    </row>
    <row r="684">
      <c r="A684" s="12"/>
      <c r="D684" s="95"/>
      <c r="E684" s="14"/>
      <c r="F684" s="96"/>
    </row>
    <row r="685">
      <c r="A685" s="12"/>
      <c r="D685" s="95"/>
      <c r="E685" s="14"/>
      <c r="F685" s="96"/>
    </row>
    <row r="686">
      <c r="A686" s="12"/>
      <c r="D686" s="95"/>
      <c r="E686" s="14"/>
      <c r="F686" s="96"/>
    </row>
    <row r="687">
      <c r="A687" s="12"/>
      <c r="D687" s="95"/>
      <c r="E687" s="14"/>
      <c r="F687" s="96"/>
    </row>
    <row r="688">
      <c r="A688" s="12"/>
      <c r="D688" s="95"/>
      <c r="E688" s="14"/>
      <c r="F688" s="96"/>
    </row>
    <row r="689">
      <c r="A689" s="12"/>
      <c r="D689" s="95"/>
      <c r="E689" s="14"/>
      <c r="F689" s="96"/>
    </row>
    <row r="690">
      <c r="A690" s="12"/>
      <c r="D690" s="95"/>
      <c r="E690" s="14"/>
      <c r="F690" s="96"/>
    </row>
    <row r="691">
      <c r="A691" s="12"/>
      <c r="D691" s="95"/>
      <c r="E691" s="14"/>
      <c r="F691" s="96"/>
    </row>
    <row r="692">
      <c r="A692" s="12"/>
      <c r="D692" s="95"/>
      <c r="E692" s="14"/>
      <c r="F692" s="96"/>
    </row>
    <row r="693">
      <c r="A693" s="12"/>
      <c r="D693" s="95"/>
      <c r="E693" s="14"/>
      <c r="F693" s="96"/>
    </row>
    <row r="694">
      <c r="A694" s="12"/>
      <c r="D694" s="95"/>
      <c r="E694" s="14"/>
      <c r="F694" s="96"/>
    </row>
    <row r="695">
      <c r="A695" s="12"/>
      <c r="D695" s="95"/>
      <c r="E695" s="14"/>
      <c r="F695" s="96"/>
    </row>
    <row r="696">
      <c r="A696" s="12"/>
      <c r="D696" s="95"/>
      <c r="E696" s="14"/>
      <c r="F696" s="96"/>
    </row>
    <row r="697">
      <c r="A697" s="12"/>
      <c r="D697" s="95"/>
      <c r="E697" s="14"/>
      <c r="F697" s="96"/>
    </row>
    <row r="698">
      <c r="A698" s="12"/>
      <c r="D698" s="95"/>
      <c r="E698" s="14"/>
      <c r="F698" s="96"/>
    </row>
    <row r="699">
      <c r="A699" s="12"/>
      <c r="D699" s="95"/>
      <c r="E699" s="14"/>
      <c r="F699" s="96"/>
    </row>
    <row r="700">
      <c r="A700" s="12"/>
      <c r="D700" s="95"/>
      <c r="E700" s="14"/>
      <c r="F700" s="96"/>
    </row>
    <row r="701">
      <c r="A701" s="12"/>
      <c r="D701" s="95"/>
      <c r="E701" s="14"/>
      <c r="F701" s="96"/>
    </row>
    <row r="702">
      <c r="A702" s="12"/>
      <c r="D702" s="95"/>
      <c r="E702" s="14"/>
      <c r="F702" s="96"/>
    </row>
    <row r="703">
      <c r="A703" s="12"/>
      <c r="D703" s="95"/>
      <c r="E703" s="14"/>
      <c r="F703" s="96"/>
    </row>
    <row r="704">
      <c r="A704" s="12"/>
      <c r="D704" s="95"/>
      <c r="E704" s="14"/>
      <c r="F704" s="96"/>
    </row>
    <row r="705">
      <c r="A705" s="12"/>
      <c r="D705" s="95"/>
      <c r="E705" s="14"/>
      <c r="F705" s="96"/>
    </row>
    <row r="706">
      <c r="A706" s="12"/>
      <c r="D706" s="95"/>
      <c r="E706" s="14"/>
      <c r="F706" s="96"/>
    </row>
    <row r="707">
      <c r="A707" s="12"/>
      <c r="D707" s="95"/>
      <c r="E707" s="14"/>
      <c r="F707" s="96"/>
    </row>
    <row r="708">
      <c r="A708" s="12"/>
      <c r="D708" s="95"/>
      <c r="E708" s="14"/>
      <c r="F708" s="96"/>
    </row>
    <row r="709">
      <c r="A709" s="12"/>
      <c r="D709" s="95"/>
      <c r="E709" s="14"/>
      <c r="F709" s="96"/>
    </row>
    <row r="710">
      <c r="A710" s="12"/>
      <c r="D710" s="95"/>
      <c r="E710" s="14"/>
      <c r="F710" s="96"/>
    </row>
    <row r="711">
      <c r="A711" s="12"/>
      <c r="D711" s="95"/>
      <c r="E711" s="14"/>
      <c r="F711" s="96"/>
    </row>
    <row r="712">
      <c r="A712" s="12"/>
      <c r="D712" s="95"/>
      <c r="E712" s="14"/>
      <c r="F712" s="96"/>
    </row>
    <row r="713">
      <c r="A713" s="12"/>
      <c r="D713" s="95"/>
      <c r="E713" s="14"/>
      <c r="F713" s="96"/>
    </row>
    <row r="714">
      <c r="A714" s="12"/>
      <c r="D714" s="95"/>
      <c r="E714" s="14"/>
      <c r="F714" s="96"/>
    </row>
    <row r="715">
      <c r="A715" s="12"/>
      <c r="D715" s="95"/>
      <c r="E715" s="14"/>
      <c r="F715" s="96"/>
    </row>
    <row r="716">
      <c r="A716" s="12"/>
      <c r="D716" s="95"/>
      <c r="E716" s="14"/>
      <c r="F716" s="96"/>
    </row>
    <row r="717">
      <c r="A717" s="12"/>
      <c r="D717" s="95"/>
      <c r="E717" s="14"/>
      <c r="F717" s="96"/>
    </row>
    <row r="718">
      <c r="A718" s="12"/>
      <c r="D718" s="95"/>
      <c r="E718" s="14"/>
      <c r="F718" s="96"/>
    </row>
    <row r="719">
      <c r="A719" s="12"/>
      <c r="D719" s="95"/>
      <c r="E719" s="14"/>
      <c r="F719" s="96"/>
    </row>
    <row r="720">
      <c r="A720" s="12"/>
      <c r="D720" s="95"/>
      <c r="E720" s="14"/>
      <c r="F720" s="96"/>
    </row>
    <row r="721">
      <c r="A721" s="12"/>
      <c r="D721" s="95"/>
      <c r="E721" s="14"/>
      <c r="F721" s="96"/>
    </row>
    <row r="722">
      <c r="A722" s="12"/>
      <c r="D722" s="95"/>
      <c r="E722" s="14"/>
      <c r="F722" s="96"/>
    </row>
    <row r="723">
      <c r="A723" s="12"/>
      <c r="D723" s="95"/>
      <c r="E723" s="14"/>
      <c r="F723" s="96"/>
    </row>
    <row r="724">
      <c r="A724" s="12"/>
      <c r="D724" s="95"/>
      <c r="E724" s="14"/>
      <c r="F724" s="96"/>
    </row>
    <row r="725">
      <c r="A725" s="12"/>
      <c r="D725" s="95"/>
      <c r="E725" s="14"/>
      <c r="F725" s="96"/>
    </row>
    <row r="726">
      <c r="A726" s="12"/>
      <c r="D726" s="95"/>
      <c r="E726" s="14"/>
      <c r="F726" s="96"/>
    </row>
    <row r="727">
      <c r="A727" s="12"/>
      <c r="D727" s="95"/>
      <c r="E727" s="14"/>
      <c r="F727" s="96"/>
    </row>
    <row r="728">
      <c r="A728" s="12"/>
      <c r="D728" s="95"/>
      <c r="E728" s="14"/>
      <c r="F728" s="96"/>
    </row>
    <row r="729">
      <c r="A729" s="12"/>
      <c r="D729" s="95"/>
      <c r="E729" s="14"/>
      <c r="F729" s="96"/>
    </row>
    <row r="730">
      <c r="A730" s="12"/>
      <c r="D730" s="95"/>
      <c r="E730" s="14"/>
      <c r="F730" s="96"/>
    </row>
    <row r="731">
      <c r="A731" s="12"/>
      <c r="D731" s="95"/>
      <c r="E731" s="14"/>
      <c r="F731" s="96"/>
    </row>
    <row r="732">
      <c r="A732" s="12"/>
      <c r="D732" s="95"/>
      <c r="E732" s="14"/>
      <c r="F732" s="96"/>
    </row>
    <row r="733">
      <c r="A733" s="12"/>
      <c r="D733" s="95"/>
      <c r="E733" s="14"/>
      <c r="F733" s="96"/>
    </row>
    <row r="734">
      <c r="A734" s="12"/>
      <c r="D734" s="95"/>
      <c r="E734" s="14"/>
      <c r="F734" s="96"/>
    </row>
    <row r="735">
      <c r="A735" s="12"/>
      <c r="D735" s="95"/>
      <c r="E735" s="14"/>
      <c r="F735" s="96"/>
    </row>
    <row r="736">
      <c r="A736" s="12"/>
      <c r="D736" s="95"/>
      <c r="E736" s="14"/>
      <c r="F736" s="96"/>
    </row>
    <row r="737">
      <c r="A737" s="12"/>
      <c r="D737" s="95"/>
      <c r="E737" s="14"/>
      <c r="F737" s="96"/>
    </row>
    <row r="738">
      <c r="A738" s="12"/>
      <c r="D738" s="95"/>
      <c r="E738" s="14"/>
      <c r="F738" s="96"/>
    </row>
    <row r="739">
      <c r="A739" s="12"/>
      <c r="D739" s="95"/>
      <c r="E739" s="14"/>
      <c r="F739" s="96"/>
    </row>
    <row r="740">
      <c r="A740" s="12"/>
      <c r="D740" s="95"/>
      <c r="E740" s="14"/>
      <c r="F740" s="96"/>
    </row>
    <row r="741">
      <c r="A741" s="12"/>
      <c r="D741" s="95"/>
      <c r="E741" s="14"/>
      <c r="F741" s="96"/>
    </row>
    <row r="742">
      <c r="A742" s="12"/>
      <c r="D742" s="95"/>
      <c r="E742" s="14"/>
      <c r="F742" s="96"/>
    </row>
    <row r="743">
      <c r="A743" s="12"/>
      <c r="D743" s="95"/>
      <c r="E743" s="14"/>
      <c r="F743" s="96"/>
    </row>
    <row r="744">
      <c r="A744" s="12"/>
      <c r="D744" s="95"/>
      <c r="E744" s="14"/>
      <c r="F744" s="96"/>
    </row>
    <row r="745">
      <c r="A745" s="12"/>
      <c r="D745" s="95"/>
      <c r="E745" s="14"/>
      <c r="F745" s="96"/>
    </row>
    <row r="746">
      <c r="A746" s="12"/>
      <c r="D746" s="95"/>
      <c r="E746" s="14"/>
      <c r="F746" s="96"/>
    </row>
    <row r="747">
      <c r="A747" s="12"/>
      <c r="D747" s="95"/>
      <c r="E747" s="14"/>
      <c r="F747" s="96"/>
    </row>
    <row r="748">
      <c r="A748" s="12"/>
      <c r="D748" s="95"/>
      <c r="E748" s="14"/>
      <c r="F748" s="96"/>
    </row>
    <row r="749">
      <c r="A749" s="12"/>
      <c r="D749" s="95"/>
      <c r="E749" s="14"/>
      <c r="F749" s="96"/>
    </row>
    <row r="750">
      <c r="A750" s="12"/>
      <c r="D750" s="95"/>
      <c r="E750" s="14"/>
      <c r="F750" s="96"/>
    </row>
    <row r="751">
      <c r="A751" s="12"/>
      <c r="D751" s="95"/>
      <c r="E751" s="14"/>
      <c r="F751" s="96"/>
    </row>
    <row r="752">
      <c r="A752" s="12"/>
      <c r="D752" s="95"/>
      <c r="E752" s="14"/>
      <c r="F752" s="96"/>
    </row>
    <row r="753">
      <c r="A753" s="12"/>
      <c r="D753" s="95"/>
      <c r="E753" s="14"/>
      <c r="F753" s="96"/>
    </row>
    <row r="754">
      <c r="A754" s="12"/>
      <c r="D754" s="95"/>
      <c r="E754" s="14"/>
      <c r="F754" s="96"/>
    </row>
    <row r="755">
      <c r="A755" s="12"/>
      <c r="D755" s="95"/>
      <c r="E755" s="14"/>
      <c r="F755" s="96"/>
    </row>
    <row r="756">
      <c r="A756" s="12"/>
      <c r="D756" s="95"/>
      <c r="E756" s="14"/>
      <c r="F756" s="96"/>
    </row>
    <row r="757">
      <c r="A757" s="12"/>
      <c r="D757" s="95"/>
      <c r="E757" s="14"/>
      <c r="F757" s="96"/>
    </row>
    <row r="758">
      <c r="A758" s="12"/>
      <c r="D758" s="95"/>
      <c r="E758" s="14"/>
      <c r="F758" s="96"/>
    </row>
    <row r="759">
      <c r="A759" s="12"/>
      <c r="D759" s="95"/>
      <c r="E759" s="14"/>
      <c r="F759" s="96"/>
    </row>
    <row r="760">
      <c r="A760" s="12"/>
      <c r="D760" s="95"/>
      <c r="E760" s="14"/>
      <c r="F760" s="96"/>
    </row>
    <row r="761">
      <c r="A761" s="12"/>
      <c r="D761" s="95"/>
      <c r="E761" s="14"/>
      <c r="F761" s="96"/>
    </row>
    <row r="762">
      <c r="A762" s="12"/>
      <c r="D762" s="95"/>
      <c r="E762" s="14"/>
      <c r="F762" s="96"/>
    </row>
    <row r="763">
      <c r="A763" s="12"/>
      <c r="D763" s="95"/>
      <c r="E763" s="14"/>
      <c r="F763" s="96"/>
    </row>
    <row r="764">
      <c r="A764" s="12"/>
      <c r="D764" s="95"/>
      <c r="E764" s="14"/>
      <c r="F764" s="96"/>
    </row>
    <row r="765">
      <c r="A765" s="12"/>
      <c r="D765" s="95"/>
      <c r="E765" s="14"/>
      <c r="F765" s="96"/>
    </row>
    <row r="766">
      <c r="A766" s="12"/>
      <c r="D766" s="95"/>
      <c r="E766" s="14"/>
      <c r="F766" s="96"/>
    </row>
    <row r="767">
      <c r="A767" s="12"/>
      <c r="D767" s="95"/>
      <c r="E767" s="14"/>
      <c r="F767" s="96"/>
    </row>
    <row r="768">
      <c r="A768" s="12"/>
      <c r="D768" s="95"/>
      <c r="E768" s="14"/>
      <c r="F768" s="96"/>
    </row>
    <row r="769">
      <c r="A769" s="12"/>
      <c r="D769" s="95"/>
      <c r="E769" s="14"/>
      <c r="F769" s="96"/>
    </row>
    <row r="770">
      <c r="A770" s="12"/>
      <c r="D770" s="95"/>
      <c r="E770" s="14"/>
      <c r="F770" s="96"/>
    </row>
    <row r="771">
      <c r="A771" s="12"/>
      <c r="D771" s="95"/>
      <c r="E771" s="14"/>
      <c r="F771" s="96"/>
    </row>
    <row r="772">
      <c r="A772" s="12"/>
      <c r="D772" s="95"/>
      <c r="E772" s="14"/>
      <c r="F772" s="96"/>
    </row>
    <row r="773">
      <c r="A773" s="12"/>
      <c r="D773" s="95"/>
      <c r="E773" s="14"/>
      <c r="F773" s="96"/>
    </row>
    <row r="774">
      <c r="A774" s="12"/>
      <c r="D774" s="95"/>
      <c r="E774" s="14"/>
      <c r="F774" s="96"/>
    </row>
    <row r="775">
      <c r="A775" s="12"/>
      <c r="D775" s="95"/>
      <c r="E775" s="14"/>
      <c r="F775" s="96"/>
    </row>
    <row r="776">
      <c r="A776" s="12"/>
      <c r="D776" s="95"/>
      <c r="E776" s="14"/>
      <c r="F776" s="96"/>
    </row>
    <row r="777">
      <c r="A777" s="12"/>
      <c r="D777" s="95"/>
      <c r="E777" s="14"/>
      <c r="F777" s="96"/>
    </row>
    <row r="778">
      <c r="A778" s="12"/>
      <c r="D778" s="95"/>
      <c r="E778" s="14"/>
      <c r="F778" s="96"/>
    </row>
    <row r="779">
      <c r="A779" s="12"/>
      <c r="D779" s="95"/>
      <c r="E779" s="14"/>
      <c r="F779" s="96"/>
    </row>
    <row r="780">
      <c r="A780" s="12"/>
      <c r="D780" s="95"/>
      <c r="E780" s="14"/>
      <c r="F780" s="96"/>
    </row>
    <row r="781">
      <c r="A781" s="12"/>
      <c r="D781" s="95"/>
      <c r="E781" s="14"/>
      <c r="F781" s="96"/>
    </row>
    <row r="782">
      <c r="A782" s="12"/>
      <c r="D782" s="95"/>
      <c r="E782" s="14"/>
      <c r="F782" s="96"/>
    </row>
    <row r="783">
      <c r="A783" s="12"/>
      <c r="D783" s="95"/>
      <c r="E783" s="14"/>
      <c r="F783" s="96"/>
    </row>
    <row r="784">
      <c r="A784" s="12"/>
      <c r="D784" s="95"/>
      <c r="E784" s="14"/>
      <c r="F784" s="96"/>
    </row>
    <row r="785">
      <c r="A785" s="12"/>
      <c r="D785" s="95"/>
      <c r="E785" s="14"/>
      <c r="F785" s="96"/>
    </row>
    <row r="786">
      <c r="A786" s="12"/>
      <c r="D786" s="95"/>
      <c r="E786" s="14"/>
      <c r="F786" s="96"/>
    </row>
    <row r="787">
      <c r="A787" s="12"/>
      <c r="D787" s="95"/>
      <c r="E787" s="14"/>
      <c r="F787" s="96"/>
    </row>
    <row r="788">
      <c r="A788" s="12"/>
      <c r="D788" s="95"/>
      <c r="E788" s="14"/>
      <c r="F788" s="96"/>
    </row>
    <row r="789">
      <c r="A789" s="12"/>
      <c r="D789" s="95"/>
      <c r="E789" s="14"/>
      <c r="F789" s="96"/>
    </row>
    <row r="790">
      <c r="A790" s="12"/>
      <c r="D790" s="95"/>
      <c r="E790" s="14"/>
      <c r="F790" s="96"/>
    </row>
    <row r="791">
      <c r="A791" s="12"/>
      <c r="D791" s="95"/>
      <c r="E791" s="14"/>
      <c r="F791" s="96"/>
    </row>
    <row r="792">
      <c r="A792" s="12"/>
      <c r="D792" s="95"/>
      <c r="E792" s="14"/>
      <c r="F792" s="96"/>
    </row>
    <row r="793">
      <c r="A793" s="12"/>
      <c r="D793" s="95"/>
      <c r="E793" s="14"/>
      <c r="F793" s="96"/>
    </row>
    <row r="794">
      <c r="A794" s="12"/>
      <c r="D794" s="95"/>
      <c r="E794" s="14"/>
      <c r="F794" s="96"/>
    </row>
    <row r="795">
      <c r="A795" s="12"/>
      <c r="D795" s="95"/>
      <c r="E795" s="14"/>
      <c r="F795" s="96"/>
    </row>
    <row r="796">
      <c r="A796" s="12"/>
      <c r="D796" s="95"/>
      <c r="E796" s="14"/>
      <c r="F796" s="96"/>
    </row>
    <row r="797">
      <c r="A797" s="12"/>
      <c r="D797" s="95"/>
      <c r="E797" s="14"/>
      <c r="F797" s="96"/>
    </row>
    <row r="798">
      <c r="A798" s="12"/>
      <c r="D798" s="95"/>
      <c r="E798" s="14"/>
      <c r="F798" s="96"/>
    </row>
    <row r="799">
      <c r="A799" s="12"/>
      <c r="D799" s="95"/>
      <c r="E799" s="14"/>
      <c r="F799" s="96"/>
    </row>
    <row r="800">
      <c r="A800" s="12"/>
      <c r="D800" s="95"/>
      <c r="E800" s="14"/>
      <c r="F800" s="96"/>
    </row>
    <row r="801">
      <c r="A801" s="12"/>
      <c r="D801" s="95"/>
      <c r="E801" s="14"/>
      <c r="F801" s="96"/>
    </row>
    <row r="802">
      <c r="A802" s="12"/>
      <c r="D802" s="95"/>
      <c r="E802" s="14"/>
      <c r="F802" s="96"/>
    </row>
    <row r="803">
      <c r="A803" s="12"/>
      <c r="D803" s="95"/>
      <c r="E803" s="14"/>
      <c r="F803" s="96"/>
    </row>
    <row r="804">
      <c r="A804" s="12"/>
      <c r="D804" s="95"/>
      <c r="E804" s="14"/>
      <c r="F804" s="96"/>
    </row>
    <row r="805">
      <c r="A805" s="12"/>
      <c r="D805" s="95"/>
      <c r="E805" s="14"/>
      <c r="F805" s="96"/>
    </row>
    <row r="806">
      <c r="A806" s="12"/>
      <c r="D806" s="95"/>
      <c r="E806" s="14"/>
      <c r="F806" s="96"/>
    </row>
    <row r="807">
      <c r="A807" s="12"/>
      <c r="D807" s="95"/>
      <c r="E807" s="14"/>
      <c r="F807" s="96"/>
    </row>
    <row r="808">
      <c r="A808" s="12"/>
      <c r="D808" s="95"/>
      <c r="E808" s="14"/>
      <c r="F808" s="96"/>
    </row>
    <row r="809">
      <c r="A809" s="12"/>
      <c r="D809" s="95"/>
      <c r="E809" s="14"/>
      <c r="F809" s="96"/>
    </row>
    <row r="810">
      <c r="A810" s="12"/>
      <c r="D810" s="95"/>
      <c r="E810" s="14"/>
      <c r="F810" s="96"/>
    </row>
    <row r="811">
      <c r="A811" s="12"/>
      <c r="D811" s="95"/>
      <c r="E811" s="14"/>
      <c r="F811" s="96"/>
    </row>
    <row r="812">
      <c r="A812" s="12"/>
      <c r="D812" s="95"/>
      <c r="E812" s="14"/>
      <c r="F812" s="96"/>
    </row>
    <row r="813">
      <c r="A813" s="12"/>
      <c r="D813" s="95"/>
      <c r="E813" s="14"/>
      <c r="F813" s="96"/>
    </row>
    <row r="814">
      <c r="A814" s="12"/>
      <c r="D814" s="95"/>
      <c r="E814" s="14"/>
      <c r="F814" s="96"/>
    </row>
    <row r="815">
      <c r="A815" s="12"/>
      <c r="D815" s="95"/>
      <c r="E815" s="14"/>
      <c r="F815" s="96"/>
    </row>
    <row r="816">
      <c r="A816" s="12"/>
      <c r="D816" s="95"/>
      <c r="E816" s="14"/>
      <c r="F816" s="96"/>
    </row>
    <row r="817">
      <c r="A817" s="12"/>
      <c r="D817" s="95"/>
      <c r="E817" s="14"/>
      <c r="F817" s="96"/>
    </row>
    <row r="818">
      <c r="A818" s="12"/>
      <c r="D818" s="95"/>
      <c r="E818" s="14"/>
      <c r="F818" s="96"/>
    </row>
    <row r="819">
      <c r="A819" s="12"/>
      <c r="D819" s="95"/>
      <c r="E819" s="14"/>
      <c r="F819" s="96"/>
    </row>
    <row r="820">
      <c r="A820" s="12"/>
      <c r="D820" s="95"/>
      <c r="E820" s="14"/>
      <c r="F820" s="96"/>
    </row>
    <row r="821">
      <c r="A821" s="12"/>
      <c r="D821" s="95"/>
      <c r="E821" s="14"/>
      <c r="F821" s="96"/>
    </row>
    <row r="822">
      <c r="A822" s="12"/>
      <c r="D822" s="95"/>
      <c r="E822" s="14"/>
      <c r="F822" s="96"/>
    </row>
    <row r="823">
      <c r="A823" s="12"/>
      <c r="D823" s="95"/>
      <c r="E823" s="14"/>
      <c r="F823" s="96"/>
    </row>
    <row r="824">
      <c r="A824" s="12"/>
      <c r="D824" s="95"/>
      <c r="E824" s="14"/>
      <c r="F824" s="96"/>
    </row>
    <row r="825">
      <c r="A825" s="12"/>
      <c r="D825" s="95"/>
      <c r="E825" s="14"/>
      <c r="F825" s="96"/>
    </row>
    <row r="826">
      <c r="A826" s="12"/>
      <c r="D826" s="95"/>
      <c r="E826" s="14"/>
      <c r="F826" s="96"/>
    </row>
    <row r="827">
      <c r="A827" s="12"/>
      <c r="D827" s="95"/>
      <c r="E827" s="14"/>
      <c r="F827" s="96"/>
    </row>
    <row r="828">
      <c r="A828" s="12"/>
      <c r="D828" s="95"/>
      <c r="E828" s="14"/>
      <c r="F828" s="96"/>
    </row>
    <row r="829">
      <c r="A829" s="12"/>
      <c r="D829" s="95"/>
      <c r="E829" s="14"/>
      <c r="F829" s="96"/>
    </row>
    <row r="830">
      <c r="A830" s="12"/>
      <c r="D830" s="95"/>
      <c r="E830" s="14"/>
      <c r="F830" s="96"/>
    </row>
    <row r="831">
      <c r="A831" s="12"/>
      <c r="D831" s="95"/>
      <c r="E831" s="14"/>
      <c r="F831" s="96"/>
    </row>
    <row r="832">
      <c r="A832" s="12"/>
      <c r="D832" s="95"/>
      <c r="E832" s="14"/>
      <c r="F832" s="96"/>
    </row>
    <row r="833">
      <c r="A833" s="12"/>
      <c r="D833" s="95"/>
      <c r="E833" s="14"/>
      <c r="F833" s="96"/>
    </row>
    <row r="834">
      <c r="A834" s="12"/>
      <c r="D834" s="95"/>
      <c r="E834" s="14"/>
      <c r="F834" s="96"/>
    </row>
    <row r="835">
      <c r="A835" s="12"/>
      <c r="D835" s="95"/>
      <c r="E835" s="14"/>
      <c r="F835" s="96"/>
    </row>
    <row r="836">
      <c r="A836" s="12"/>
      <c r="D836" s="95"/>
      <c r="E836" s="14"/>
      <c r="F836" s="96"/>
    </row>
    <row r="837">
      <c r="A837" s="12"/>
      <c r="D837" s="95"/>
      <c r="E837" s="14"/>
      <c r="F837" s="96"/>
    </row>
    <row r="838">
      <c r="A838" s="12"/>
      <c r="D838" s="95"/>
      <c r="E838" s="14"/>
      <c r="F838" s="96"/>
    </row>
    <row r="839">
      <c r="A839" s="12"/>
      <c r="D839" s="95"/>
      <c r="E839" s="14"/>
      <c r="F839" s="96"/>
    </row>
    <row r="840">
      <c r="A840" s="12"/>
      <c r="D840" s="95"/>
      <c r="E840" s="14"/>
      <c r="F840" s="96"/>
    </row>
    <row r="841">
      <c r="A841" s="12"/>
      <c r="D841" s="95"/>
      <c r="E841" s="14"/>
      <c r="F841" s="96"/>
    </row>
    <row r="842">
      <c r="A842" s="12"/>
      <c r="D842" s="95"/>
      <c r="E842" s="14"/>
      <c r="F842" s="96"/>
    </row>
    <row r="843">
      <c r="A843" s="12"/>
      <c r="D843" s="95"/>
      <c r="E843" s="14"/>
      <c r="F843" s="96"/>
    </row>
    <row r="844">
      <c r="A844" s="12"/>
      <c r="D844" s="95"/>
      <c r="E844" s="14"/>
      <c r="F844" s="96"/>
    </row>
    <row r="845">
      <c r="A845" s="12"/>
      <c r="D845" s="95"/>
      <c r="E845" s="14"/>
      <c r="F845" s="96"/>
    </row>
    <row r="846">
      <c r="A846" s="12"/>
      <c r="D846" s="95"/>
      <c r="E846" s="14"/>
      <c r="F846" s="96"/>
    </row>
    <row r="847">
      <c r="A847" s="12"/>
      <c r="D847" s="95"/>
      <c r="E847" s="14"/>
      <c r="F847" s="96"/>
    </row>
    <row r="848">
      <c r="A848" s="12"/>
      <c r="D848" s="95"/>
      <c r="E848" s="14"/>
      <c r="F848" s="96"/>
    </row>
    <row r="849">
      <c r="A849" s="12"/>
      <c r="D849" s="95"/>
      <c r="E849" s="14"/>
      <c r="F849" s="96"/>
    </row>
    <row r="850">
      <c r="A850" s="12"/>
      <c r="D850" s="95"/>
      <c r="E850" s="14"/>
      <c r="F850" s="96"/>
    </row>
    <row r="851">
      <c r="A851" s="12"/>
      <c r="D851" s="95"/>
      <c r="E851" s="14"/>
      <c r="F851" s="96"/>
    </row>
    <row r="852">
      <c r="A852" s="12"/>
      <c r="D852" s="95"/>
      <c r="E852" s="14"/>
      <c r="F852" s="96"/>
    </row>
    <row r="853">
      <c r="A853" s="12"/>
      <c r="D853" s="95"/>
      <c r="E853" s="14"/>
      <c r="F853" s="96"/>
    </row>
    <row r="854">
      <c r="A854" s="12"/>
      <c r="D854" s="95"/>
      <c r="E854" s="14"/>
      <c r="F854" s="96"/>
    </row>
    <row r="855">
      <c r="A855" s="12"/>
      <c r="D855" s="95"/>
      <c r="E855" s="14"/>
      <c r="F855" s="96"/>
    </row>
    <row r="856">
      <c r="A856" s="12"/>
      <c r="D856" s="95"/>
      <c r="E856" s="14"/>
      <c r="F856" s="96"/>
    </row>
    <row r="857">
      <c r="A857" s="12"/>
      <c r="D857" s="95"/>
      <c r="E857" s="14"/>
      <c r="F857" s="96"/>
    </row>
    <row r="858">
      <c r="A858" s="12"/>
      <c r="D858" s="95"/>
      <c r="E858" s="14"/>
      <c r="F858" s="96"/>
    </row>
    <row r="859">
      <c r="A859" s="12"/>
      <c r="D859" s="95"/>
      <c r="E859" s="14"/>
      <c r="F859" s="96"/>
    </row>
    <row r="860">
      <c r="A860" s="12"/>
      <c r="D860" s="95"/>
      <c r="E860" s="14"/>
      <c r="F860" s="96"/>
    </row>
    <row r="861">
      <c r="A861" s="12"/>
      <c r="D861" s="95"/>
      <c r="E861" s="14"/>
      <c r="F861" s="96"/>
    </row>
    <row r="862">
      <c r="A862" s="12"/>
      <c r="D862" s="95"/>
      <c r="E862" s="14"/>
      <c r="F862" s="96"/>
    </row>
    <row r="863">
      <c r="A863" s="12"/>
      <c r="D863" s="95"/>
      <c r="E863" s="14"/>
      <c r="F863" s="96"/>
    </row>
    <row r="864">
      <c r="A864" s="12"/>
      <c r="D864" s="95"/>
      <c r="E864" s="14"/>
      <c r="F864" s="96"/>
    </row>
    <row r="865">
      <c r="A865" s="12"/>
      <c r="D865" s="95"/>
      <c r="E865" s="14"/>
      <c r="F865" s="96"/>
    </row>
    <row r="866">
      <c r="A866" s="12"/>
      <c r="D866" s="95"/>
      <c r="E866" s="14"/>
      <c r="F866" s="96"/>
    </row>
    <row r="867">
      <c r="A867" s="12"/>
      <c r="D867" s="95"/>
      <c r="E867" s="14"/>
      <c r="F867" s="96"/>
    </row>
    <row r="868">
      <c r="A868" s="12"/>
      <c r="D868" s="95"/>
      <c r="E868" s="14"/>
      <c r="F868" s="96"/>
    </row>
    <row r="869">
      <c r="A869" s="12"/>
      <c r="D869" s="95"/>
      <c r="E869" s="14"/>
      <c r="F869" s="96"/>
    </row>
    <row r="870">
      <c r="A870" s="12"/>
      <c r="D870" s="95"/>
      <c r="E870" s="14"/>
      <c r="F870" s="96"/>
    </row>
    <row r="871">
      <c r="A871" s="12"/>
      <c r="D871" s="95"/>
      <c r="E871" s="14"/>
      <c r="F871" s="96"/>
    </row>
    <row r="872">
      <c r="A872" s="12"/>
      <c r="D872" s="95"/>
      <c r="E872" s="14"/>
      <c r="F872" s="96"/>
    </row>
    <row r="873">
      <c r="A873" s="12"/>
      <c r="D873" s="95"/>
      <c r="E873" s="14"/>
      <c r="F873" s="96"/>
    </row>
    <row r="874">
      <c r="A874" s="12"/>
      <c r="D874" s="95"/>
      <c r="E874" s="14"/>
      <c r="F874" s="96"/>
    </row>
    <row r="875">
      <c r="A875" s="12"/>
      <c r="D875" s="95"/>
      <c r="E875" s="14"/>
      <c r="F875" s="96"/>
    </row>
    <row r="876">
      <c r="A876" s="12"/>
      <c r="D876" s="95"/>
      <c r="E876" s="14"/>
      <c r="F876" s="96"/>
    </row>
    <row r="877">
      <c r="A877" s="12"/>
      <c r="D877" s="95"/>
      <c r="E877" s="14"/>
      <c r="F877" s="96"/>
    </row>
    <row r="878">
      <c r="A878" s="12"/>
      <c r="D878" s="95"/>
      <c r="E878" s="14"/>
      <c r="F878" s="96"/>
    </row>
    <row r="879">
      <c r="A879" s="12"/>
      <c r="D879" s="95"/>
      <c r="E879" s="14"/>
      <c r="F879" s="96"/>
    </row>
    <row r="880">
      <c r="A880" s="12"/>
      <c r="D880" s="95"/>
      <c r="E880" s="14"/>
      <c r="F880" s="96"/>
    </row>
    <row r="881">
      <c r="A881" s="12"/>
      <c r="D881" s="95"/>
      <c r="E881" s="14"/>
      <c r="F881" s="96"/>
    </row>
    <row r="882">
      <c r="A882" s="12"/>
      <c r="D882" s="95"/>
      <c r="E882" s="14"/>
      <c r="F882" s="96"/>
    </row>
    <row r="883">
      <c r="A883" s="12"/>
      <c r="D883" s="95"/>
      <c r="E883" s="14"/>
      <c r="F883" s="96"/>
    </row>
    <row r="884">
      <c r="A884" s="12"/>
      <c r="D884" s="95"/>
      <c r="E884" s="14"/>
      <c r="F884" s="96"/>
    </row>
    <row r="885">
      <c r="A885" s="12"/>
      <c r="D885" s="95"/>
      <c r="E885" s="14"/>
      <c r="F885" s="96"/>
    </row>
    <row r="886">
      <c r="A886" s="12"/>
      <c r="D886" s="95"/>
      <c r="E886" s="14"/>
      <c r="F886" s="96"/>
    </row>
    <row r="887">
      <c r="A887" s="12"/>
      <c r="D887" s="95"/>
      <c r="E887" s="14"/>
      <c r="F887" s="96"/>
    </row>
    <row r="888">
      <c r="A888" s="12"/>
      <c r="D888" s="95"/>
      <c r="E888" s="14"/>
      <c r="F888" s="96"/>
    </row>
    <row r="889">
      <c r="A889" s="12"/>
      <c r="D889" s="95"/>
      <c r="E889" s="14"/>
      <c r="F889" s="96"/>
    </row>
    <row r="890">
      <c r="A890" s="12"/>
      <c r="D890" s="95"/>
      <c r="E890" s="14"/>
      <c r="F890" s="96"/>
    </row>
    <row r="891">
      <c r="A891" s="12"/>
      <c r="D891" s="95"/>
      <c r="E891" s="14"/>
      <c r="F891" s="96"/>
    </row>
    <row r="892">
      <c r="A892" s="12"/>
      <c r="D892" s="95"/>
      <c r="E892" s="14"/>
      <c r="F892" s="96"/>
    </row>
    <row r="893">
      <c r="A893" s="12"/>
      <c r="D893" s="95"/>
      <c r="E893" s="14"/>
      <c r="F893" s="96"/>
    </row>
    <row r="894">
      <c r="A894" s="12"/>
      <c r="D894" s="95"/>
      <c r="E894" s="14"/>
      <c r="F894" s="96"/>
    </row>
    <row r="895">
      <c r="A895" s="12"/>
      <c r="D895" s="95"/>
      <c r="E895" s="14"/>
      <c r="F895" s="96"/>
    </row>
    <row r="896">
      <c r="A896" s="12"/>
      <c r="D896" s="95"/>
      <c r="E896" s="14"/>
      <c r="F896" s="96"/>
    </row>
    <row r="897">
      <c r="A897" s="12"/>
      <c r="D897" s="95"/>
      <c r="E897" s="14"/>
      <c r="F897" s="96"/>
    </row>
    <row r="898">
      <c r="A898" s="12"/>
      <c r="D898" s="95"/>
      <c r="E898" s="14"/>
      <c r="F898" s="96"/>
    </row>
    <row r="899">
      <c r="A899" s="12"/>
      <c r="D899" s="95"/>
      <c r="E899" s="14"/>
      <c r="F899" s="96"/>
    </row>
    <row r="900">
      <c r="A900" s="12"/>
      <c r="D900" s="95"/>
      <c r="E900" s="14"/>
      <c r="F900" s="96"/>
    </row>
    <row r="901">
      <c r="A901" s="12"/>
      <c r="D901" s="95"/>
      <c r="E901" s="14"/>
      <c r="F901" s="96"/>
    </row>
    <row r="902">
      <c r="A902" s="12"/>
      <c r="D902" s="95"/>
      <c r="E902" s="14"/>
      <c r="F902" s="96"/>
    </row>
    <row r="903">
      <c r="A903" s="12"/>
      <c r="D903" s="95"/>
      <c r="E903" s="14"/>
      <c r="F903" s="96"/>
    </row>
    <row r="904">
      <c r="A904" s="12"/>
      <c r="D904" s="95"/>
      <c r="E904" s="14"/>
      <c r="F904" s="96"/>
    </row>
    <row r="905">
      <c r="A905" s="12"/>
      <c r="D905" s="95"/>
      <c r="E905" s="14"/>
      <c r="F905" s="96"/>
    </row>
    <row r="906">
      <c r="A906" s="12"/>
      <c r="D906" s="95"/>
      <c r="E906" s="14"/>
      <c r="F906" s="96"/>
    </row>
    <row r="907">
      <c r="A907" s="12"/>
      <c r="D907" s="95"/>
      <c r="E907" s="14"/>
      <c r="F907" s="96"/>
    </row>
    <row r="908">
      <c r="A908" s="12"/>
      <c r="D908" s="95"/>
      <c r="E908" s="14"/>
      <c r="F908" s="96"/>
    </row>
    <row r="909">
      <c r="A909" s="12"/>
      <c r="D909" s="95"/>
      <c r="E909" s="14"/>
      <c r="F909" s="96"/>
    </row>
    <row r="910">
      <c r="A910" s="12"/>
      <c r="D910" s="95"/>
      <c r="E910" s="14"/>
      <c r="F910" s="96"/>
    </row>
    <row r="911">
      <c r="A911" s="12"/>
      <c r="D911" s="95"/>
      <c r="E911" s="14"/>
      <c r="F911" s="96"/>
    </row>
    <row r="912">
      <c r="A912" s="12"/>
      <c r="D912" s="95"/>
      <c r="E912" s="14"/>
      <c r="F912" s="96"/>
    </row>
    <row r="913">
      <c r="A913" s="12"/>
      <c r="D913" s="95"/>
      <c r="E913" s="14"/>
      <c r="F913" s="96"/>
    </row>
    <row r="914">
      <c r="A914" s="12"/>
      <c r="D914" s="95"/>
      <c r="E914" s="14"/>
      <c r="F914" s="96"/>
    </row>
    <row r="915">
      <c r="A915" s="12"/>
      <c r="D915" s="95"/>
      <c r="E915" s="14"/>
      <c r="F915" s="96"/>
    </row>
    <row r="916">
      <c r="A916" s="12"/>
      <c r="D916" s="95"/>
      <c r="E916" s="14"/>
      <c r="F916" s="96"/>
    </row>
    <row r="917">
      <c r="A917" s="12"/>
      <c r="D917" s="95"/>
      <c r="E917" s="14"/>
      <c r="F917" s="96"/>
    </row>
    <row r="918">
      <c r="A918" s="12"/>
      <c r="D918" s="95"/>
      <c r="E918" s="14"/>
      <c r="F918" s="96"/>
    </row>
    <row r="919">
      <c r="A919" s="12"/>
      <c r="D919" s="95"/>
      <c r="E919" s="14"/>
      <c r="F919" s="96"/>
    </row>
    <row r="920">
      <c r="A920" s="12"/>
      <c r="D920" s="95"/>
      <c r="E920" s="14"/>
      <c r="F920" s="96"/>
    </row>
    <row r="921">
      <c r="A921" s="12"/>
      <c r="D921" s="95"/>
      <c r="E921" s="14"/>
      <c r="F921" s="96"/>
    </row>
    <row r="922">
      <c r="A922" s="12"/>
      <c r="D922" s="95"/>
      <c r="E922" s="14"/>
      <c r="F922" s="96"/>
    </row>
    <row r="923">
      <c r="A923" s="12"/>
      <c r="D923" s="95"/>
      <c r="E923" s="14"/>
      <c r="F923" s="96"/>
    </row>
    <row r="924">
      <c r="A924" s="12"/>
      <c r="D924" s="95"/>
      <c r="E924" s="14"/>
      <c r="F924" s="96"/>
    </row>
    <row r="925">
      <c r="A925" s="12"/>
      <c r="D925" s="95"/>
      <c r="E925" s="14"/>
      <c r="F925" s="96"/>
    </row>
    <row r="926">
      <c r="A926" s="12"/>
      <c r="D926" s="95"/>
      <c r="E926" s="14"/>
      <c r="F926" s="96"/>
    </row>
    <row r="927">
      <c r="A927" s="12"/>
      <c r="D927" s="95"/>
      <c r="E927" s="14"/>
      <c r="F927" s="96"/>
    </row>
    <row r="928">
      <c r="A928" s="12"/>
      <c r="D928" s="95"/>
      <c r="E928" s="14"/>
      <c r="F928" s="96"/>
    </row>
    <row r="929">
      <c r="A929" s="12"/>
      <c r="D929" s="95"/>
      <c r="E929" s="14"/>
      <c r="F929" s="96"/>
    </row>
    <row r="930">
      <c r="A930" s="12"/>
      <c r="D930" s="95"/>
      <c r="E930" s="14"/>
      <c r="F930" s="96"/>
    </row>
    <row r="931">
      <c r="A931" s="12"/>
      <c r="D931" s="95"/>
      <c r="E931" s="14"/>
      <c r="F931" s="96"/>
    </row>
    <row r="932">
      <c r="A932" s="12"/>
      <c r="D932" s="95"/>
      <c r="E932" s="14"/>
      <c r="F932" s="96"/>
    </row>
    <row r="933">
      <c r="A933" s="12"/>
      <c r="D933" s="95"/>
      <c r="E933" s="14"/>
      <c r="F933" s="96"/>
    </row>
    <row r="934">
      <c r="A934" s="12"/>
      <c r="D934" s="95"/>
      <c r="E934" s="14"/>
      <c r="F934" s="96"/>
    </row>
    <row r="935">
      <c r="A935" s="12"/>
      <c r="D935" s="95"/>
      <c r="E935" s="14"/>
      <c r="F935" s="96"/>
    </row>
    <row r="936">
      <c r="A936" s="12"/>
      <c r="D936" s="95"/>
      <c r="E936" s="14"/>
      <c r="F936" s="96"/>
    </row>
    <row r="937">
      <c r="A937" s="12"/>
      <c r="D937" s="95"/>
      <c r="E937" s="14"/>
      <c r="F937" s="96"/>
    </row>
    <row r="938">
      <c r="A938" s="12"/>
      <c r="D938" s="95"/>
      <c r="E938" s="14"/>
      <c r="F938" s="96"/>
    </row>
    <row r="939">
      <c r="A939" s="12"/>
      <c r="D939" s="95"/>
      <c r="E939" s="14"/>
      <c r="F939" s="96"/>
    </row>
    <row r="940">
      <c r="A940" s="12"/>
      <c r="D940" s="95"/>
      <c r="E940" s="14"/>
      <c r="F940" s="96"/>
    </row>
    <row r="941">
      <c r="A941" s="12"/>
      <c r="D941" s="95"/>
      <c r="E941" s="14"/>
      <c r="F941" s="96"/>
    </row>
    <row r="942">
      <c r="A942" s="12"/>
      <c r="D942" s="95"/>
      <c r="E942" s="14"/>
      <c r="F942" s="96"/>
    </row>
    <row r="943">
      <c r="A943" s="12"/>
      <c r="D943" s="95"/>
      <c r="E943" s="14"/>
      <c r="F943" s="96"/>
    </row>
    <row r="944">
      <c r="A944" s="12"/>
      <c r="D944" s="95"/>
      <c r="E944" s="14"/>
      <c r="F944" s="96"/>
    </row>
    <row r="945">
      <c r="A945" s="12"/>
      <c r="D945" s="95"/>
      <c r="E945" s="14"/>
      <c r="F945" s="96"/>
    </row>
    <row r="946">
      <c r="A946" s="12"/>
      <c r="D946" s="95"/>
      <c r="E946" s="14"/>
      <c r="F946" s="96"/>
    </row>
    <row r="947">
      <c r="A947" s="12"/>
      <c r="D947" s="95"/>
      <c r="E947" s="14"/>
      <c r="F947" s="96"/>
    </row>
    <row r="948">
      <c r="A948" s="12"/>
      <c r="D948" s="95"/>
      <c r="E948" s="14"/>
      <c r="F948" s="96"/>
    </row>
    <row r="949">
      <c r="A949" s="12"/>
      <c r="D949" s="95"/>
      <c r="E949" s="14"/>
      <c r="F949" s="96"/>
    </row>
    <row r="950">
      <c r="A950" s="12"/>
      <c r="D950" s="95"/>
      <c r="E950" s="14"/>
      <c r="F950" s="96"/>
    </row>
    <row r="951">
      <c r="A951" s="12"/>
      <c r="D951" s="95"/>
      <c r="E951" s="14"/>
      <c r="F951" s="96"/>
    </row>
    <row r="952">
      <c r="A952" s="12"/>
      <c r="D952" s="95"/>
      <c r="E952" s="14"/>
      <c r="F952" s="96"/>
    </row>
    <row r="953">
      <c r="A953" s="12"/>
      <c r="D953" s="95"/>
      <c r="E953" s="14"/>
      <c r="F953" s="96"/>
    </row>
    <row r="954">
      <c r="A954" s="12"/>
      <c r="D954" s="95"/>
      <c r="E954" s="14"/>
      <c r="F954" s="96"/>
    </row>
    <row r="955">
      <c r="A955" s="12"/>
      <c r="D955" s="95"/>
      <c r="E955" s="14"/>
      <c r="F955" s="96"/>
    </row>
    <row r="956">
      <c r="A956" s="12"/>
      <c r="D956" s="95"/>
      <c r="E956" s="14"/>
      <c r="F956" s="96"/>
    </row>
    <row r="957">
      <c r="A957" s="12"/>
      <c r="D957" s="95"/>
      <c r="E957" s="14"/>
      <c r="F957" s="96"/>
    </row>
    <row r="958">
      <c r="A958" s="12"/>
      <c r="D958" s="95"/>
      <c r="E958" s="14"/>
      <c r="F958" s="96"/>
    </row>
    <row r="959">
      <c r="A959" s="12"/>
      <c r="D959" s="95"/>
      <c r="E959" s="14"/>
      <c r="F959" s="96"/>
    </row>
    <row r="960">
      <c r="A960" s="12"/>
      <c r="D960" s="95"/>
      <c r="E960" s="14"/>
      <c r="F960" s="96"/>
    </row>
    <row r="961">
      <c r="A961" s="12"/>
      <c r="D961" s="95"/>
      <c r="E961" s="14"/>
      <c r="F961" s="96"/>
    </row>
    <row r="962">
      <c r="A962" s="12"/>
      <c r="D962" s="95"/>
      <c r="E962" s="14"/>
      <c r="F962" s="96"/>
    </row>
    <row r="963">
      <c r="A963" s="12"/>
      <c r="D963" s="95"/>
      <c r="E963" s="14"/>
      <c r="F963" s="96"/>
    </row>
    <row r="964">
      <c r="A964" s="12"/>
      <c r="D964" s="95"/>
      <c r="E964" s="14"/>
      <c r="F964" s="96"/>
    </row>
    <row r="965">
      <c r="A965" s="12"/>
      <c r="D965" s="95"/>
      <c r="E965" s="14"/>
      <c r="F965" s="96"/>
    </row>
    <row r="966">
      <c r="A966" s="12"/>
      <c r="D966" s="95"/>
      <c r="E966" s="14"/>
      <c r="F966" s="96"/>
    </row>
    <row r="967">
      <c r="A967" s="12"/>
      <c r="D967" s="95"/>
      <c r="E967" s="14"/>
      <c r="F967" s="96"/>
    </row>
    <row r="968">
      <c r="A968" s="12"/>
      <c r="D968" s="95"/>
      <c r="E968" s="14"/>
      <c r="F968" s="96"/>
    </row>
    <row r="969">
      <c r="A969" s="12"/>
      <c r="D969" s="95"/>
      <c r="E969" s="14"/>
      <c r="F969" s="96"/>
    </row>
    <row r="970">
      <c r="A970" s="12"/>
      <c r="D970" s="95"/>
      <c r="E970" s="14"/>
      <c r="F970" s="96"/>
    </row>
    <row r="971">
      <c r="A971" s="12"/>
      <c r="D971" s="95"/>
      <c r="E971" s="14"/>
      <c r="F971" s="96"/>
    </row>
    <row r="972">
      <c r="A972" s="12"/>
      <c r="D972" s="95"/>
      <c r="E972" s="14"/>
      <c r="F972" s="96"/>
    </row>
    <row r="973">
      <c r="A973" s="12"/>
      <c r="D973" s="95"/>
      <c r="E973" s="14"/>
      <c r="F973" s="96"/>
    </row>
    <row r="974">
      <c r="A974" s="12"/>
      <c r="D974" s="95"/>
      <c r="E974" s="14"/>
      <c r="F974" s="96"/>
    </row>
    <row r="975">
      <c r="A975" s="12"/>
      <c r="D975" s="95"/>
      <c r="E975" s="14"/>
      <c r="F975" s="96"/>
    </row>
    <row r="976">
      <c r="A976" s="12"/>
      <c r="D976" s="95"/>
      <c r="E976" s="14"/>
      <c r="F976" s="96"/>
    </row>
    <row r="977">
      <c r="A977" s="12"/>
      <c r="D977" s="95"/>
      <c r="E977" s="14"/>
      <c r="F977" s="96"/>
    </row>
    <row r="978">
      <c r="A978" s="12"/>
      <c r="D978" s="95"/>
      <c r="E978" s="14"/>
      <c r="F978" s="96"/>
    </row>
    <row r="979">
      <c r="A979" s="12"/>
      <c r="D979" s="95"/>
      <c r="E979" s="14"/>
      <c r="F979" s="96"/>
    </row>
    <row r="980">
      <c r="A980" s="12"/>
      <c r="D980" s="95"/>
      <c r="E980" s="14"/>
      <c r="F980" s="96"/>
    </row>
    <row r="981">
      <c r="A981" s="12"/>
      <c r="D981" s="95"/>
      <c r="E981" s="14"/>
      <c r="F981" s="96"/>
    </row>
    <row r="982">
      <c r="A982" s="12"/>
      <c r="D982" s="95"/>
      <c r="E982" s="14"/>
      <c r="F982" s="96"/>
    </row>
    <row r="983">
      <c r="A983" s="12"/>
      <c r="D983" s="95"/>
      <c r="E983" s="14"/>
      <c r="F983" s="96"/>
    </row>
    <row r="984">
      <c r="A984" s="12"/>
      <c r="D984" s="95"/>
      <c r="E984" s="14"/>
      <c r="F984" s="96"/>
    </row>
    <row r="985">
      <c r="A985" s="12"/>
      <c r="D985" s="95"/>
      <c r="E985" s="14"/>
      <c r="F985" s="96"/>
    </row>
    <row r="986">
      <c r="A986" s="12"/>
      <c r="D986" s="95"/>
      <c r="E986" s="14"/>
      <c r="F986" s="96"/>
    </row>
    <row r="987">
      <c r="A987" s="12"/>
      <c r="D987" s="95"/>
      <c r="E987" s="14"/>
      <c r="F987" s="96"/>
    </row>
    <row r="988">
      <c r="A988" s="12"/>
      <c r="D988" s="95"/>
      <c r="E988" s="14"/>
      <c r="F988" s="96"/>
    </row>
    <row r="989">
      <c r="A989" s="12"/>
      <c r="D989" s="95"/>
      <c r="E989" s="14"/>
      <c r="F989" s="96"/>
    </row>
    <row r="990">
      <c r="A990" s="12"/>
      <c r="D990" s="95"/>
      <c r="E990" s="14"/>
      <c r="F990" s="96"/>
    </row>
    <row r="991">
      <c r="A991" s="12"/>
      <c r="D991" s="95"/>
      <c r="E991" s="14"/>
      <c r="F991" s="96"/>
    </row>
    <row r="992">
      <c r="A992" s="12"/>
      <c r="D992" s="95"/>
      <c r="E992" s="14"/>
      <c r="F992" s="96"/>
    </row>
    <row r="993">
      <c r="A993" s="12"/>
      <c r="D993" s="95"/>
      <c r="E993" s="14"/>
      <c r="F993" s="96"/>
    </row>
    <row r="994">
      <c r="A994" s="12"/>
      <c r="D994" s="95"/>
      <c r="E994" s="14"/>
      <c r="F994" s="96"/>
    </row>
    <row r="995">
      <c r="A995" s="12"/>
      <c r="D995" s="95"/>
      <c r="E995" s="14"/>
      <c r="F995" s="96"/>
    </row>
    <row r="996">
      <c r="A996" s="12"/>
      <c r="D996" s="95"/>
      <c r="E996" s="14"/>
      <c r="F996" s="96"/>
    </row>
    <row r="997">
      <c r="A997" s="12"/>
      <c r="D997" s="95"/>
      <c r="E997" s="14"/>
      <c r="F997" s="96"/>
    </row>
    <row r="998">
      <c r="A998" s="12"/>
      <c r="D998" s="95"/>
      <c r="E998" s="14"/>
      <c r="F998" s="96"/>
    </row>
    <row r="999">
      <c r="A999" s="12"/>
      <c r="D999" s="95"/>
      <c r="E999" s="14"/>
      <c r="F999" s="96"/>
    </row>
    <row r="1000">
      <c r="A1000" s="12"/>
      <c r="D1000" s="95"/>
      <c r="E1000" s="14"/>
      <c r="F1000" s="96"/>
    </row>
    <row r="1001">
      <c r="A1001" s="12"/>
      <c r="D1001" s="95"/>
      <c r="E1001" s="14"/>
      <c r="F1001" s="96"/>
    </row>
    <row r="1002">
      <c r="A1002" s="12"/>
      <c r="D1002" s="95"/>
      <c r="E1002" s="14"/>
      <c r="F1002" s="96"/>
    </row>
    <row r="1003">
      <c r="A1003" s="12"/>
      <c r="D1003" s="95"/>
      <c r="E1003" s="14"/>
      <c r="F1003" s="96"/>
    </row>
    <row r="1004">
      <c r="A1004" s="12"/>
      <c r="D1004" s="95"/>
      <c r="E1004" s="14"/>
      <c r="F1004" s="96"/>
    </row>
    <row r="1005">
      <c r="A1005" s="12"/>
      <c r="D1005" s="95"/>
      <c r="E1005" s="14"/>
      <c r="F1005" s="96"/>
    </row>
    <row r="1006">
      <c r="A1006" s="12"/>
      <c r="D1006" s="95"/>
      <c r="E1006" s="14"/>
      <c r="F1006" s="96"/>
    </row>
  </sheetData>
  <conditionalFormatting sqref="H2:P28">
    <cfRule type="cellIs" dxfId="34" priority="1" operator="equal">
      <formula>0</formula>
    </cfRule>
  </conditionalFormatting>
  <conditionalFormatting sqref="H2:H28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28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28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28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28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28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28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4:C41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custom" allowBlank="1" showDropDown="1" sqref="F31">
      <formula1>OR(NOT(ISERROR(DATEVALUE(F31))), AND(ISNUMBER(F31), LEFT(CELL("format", F31))="D"))</formula1>
    </dataValidation>
    <dataValidation type="list" allowBlank="1" showDropDown="1" sqref="F34:F41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Nou),Astana (Astana Arena)"</formula1>
    </dataValidation>
    <dataValidation type="list" allowBlank="1" showDropDown="1" sqref="C2:C28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28.13"/>
    <col customWidth="1" min="3" max="3" width="15.5"/>
    <col customWidth="1" min="4" max="4" width="33.88"/>
    <col customWidth="1" min="5" max="5" width="9.25"/>
    <col customWidth="1" min="6" max="6" width="24.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041" t="s">
        <v>48</v>
      </c>
      <c r="B1" s="1042" t="s">
        <v>49</v>
      </c>
      <c r="C1" s="1042" t="s">
        <v>50</v>
      </c>
      <c r="D1" s="1043" t="s">
        <v>56</v>
      </c>
      <c r="E1" s="1041" t="s">
        <v>57</v>
      </c>
      <c r="F1" s="1044" t="s">
        <v>52</v>
      </c>
      <c r="G1" s="1043" t="s">
        <v>53</v>
      </c>
      <c r="H1" s="1041" t="s">
        <v>4</v>
      </c>
      <c r="I1" s="1041" t="s">
        <v>58</v>
      </c>
      <c r="J1" s="1041" t="s">
        <v>59</v>
      </c>
      <c r="K1" s="1041" t="s">
        <v>60</v>
      </c>
      <c r="L1" s="1041" t="s">
        <v>61</v>
      </c>
      <c r="M1" s="1041" t="s">
        <v>62</v>
      </c>
      <c r="N1" s="1041" t="s">
        <v>63</v>
      </c>
      <c r="O1" s="1045" t="s">
        <v>64</v>
      </c>
      <c r="P1" s="1041" t="s">
        <v>65</v>
      </c>
    </row>
    <row r="2" ht="22.5" customHeight="1">
      <c r="A2" s="1046">
        <v>1.0</v>
      </c>
      <c r="B2" s="1047" t="s">
        <v>1591</v>
      </c>
      <c r="C2" s="1048" t="s">
        <v>67</v>
      </c>
      <c r="D2" s="1049" t="s">
        <v>80</v>
      </c>
      <c r="E2" s="1050" t="str">
        <f>IMAGE("https://flagcdn.com/w320/nl.png")</f>
        <v/>
      </c>
      <c r="F2" s="1051">
        <v>36676.0</v>
      </c>
      <c r="G2" s="1052">
        <f t="shared" ref="G2:G24" si="1">DATEDIF(F2,TODAY(),"Y")</f>
        <v>25</v>
      </c>
      <c r="H2" s="1053">
        <f>1</f>
        <v>1</v>
      </c>
      <c r="I2" s="1053">
        <f>90</f>
        <v>90</v>
      </c>
      <c r="J2" s="1054"/>
      <c r="K2" s="1054"/>
      <c r="L2" s="1054"/>
      <c r="M2" s="1054"/>
      <c r="N2" s="1054"/>
      <c r="O2" s="1054">
        <f t="shared" ref="O2:O24" si="2">J2+K2</f>
        <v>0</v>
      </c>
      <c r="P2" s="1054"/>
    </row>
    <row r="3" ht="22.5" customHeight="1">
      <c r="A3" s="1046">
        <v>2.0</v>
      </c>
      <c r="B3" s="1047" t="s">
        <v>1592</v>
      </c>
      <c r="C3" s="1048" t="s">
        <v>70</v>
      </c>
      <c r="D3" s="1049" t="s">
        <v>1593</v>
      </c>
      <c r="E3" s="1050" t="str">
        <f>IMAGE("https://flagcdn.com/w320/cy.png")</f>
        <v/>
      </c>
      <c r="F3" s="1051">
        <v>36140.0</v>
      </c>
      <c r="G3" s="1052">
        <f t="shared" si="1"/>
        <v>27</v>
      </c>
      <c r="H3" s="1054">
        <f t="shared" ref="H3:H7" si="3">1+1+1+1+1+1</f>
        <v>6</v>
      </c>
      <c r="I3" s="1054">
        <f>58+78+65+19+13+90</f>
        <v>323</v>
      </c>
      <c r="J3" s="1054"/>
      <c r="K3" s="1054"/>
      <c r="L3" s="1054"/>
      <c r="M3" s="1054"/>
      <c r="N3" s="1054"/>
      <c r="O3" s="1054">
        <f t="shared" si="2"/>
        <v>0</v>
      </c>
      <c r="P3" s="1054"/>
    </row>
    <row r="4" ht="22.5" customHeight="1">
      <c r="A4" s="1046">
        <v>4.0</v>
      </c>
      <c r="B4" s="1055" t="s">
        <v>1594</v>
      </c>
      <c r="C4" s="1048" t="s">
        <v>70</v>
      </c>
      <c r="D4" s="1049" t="s">
        <v>182</v>
      </c>
      <c r="E4" s="1050" t="str">
        <f>IMAGE("https://flagcdn.com/w320/br.png")</f>
        <v/>
      </c>
      <c r="F4" s="1051">
        <v>31889.0</v>
      </c>
      <c r="G4" s="1052">
        <f t="shared" si="1"/>
        <v>38</v>
      </c>
      <c r="H4" s="1054">
        <f t="shared" si="3"/>
        <v>6</v>
      </c>
      <c r="I4" s="1054">
        <f>32+58+90+90+90+90</f>
        <v>450</v>
      </c>
      <c r="J4" s="1054">
        <f>1</f>
        <v>1</v>
      </c>
      <c r="K4" s="1054"/>
      <c r="L4" s="1054">
        <f t="shared" ref="L4:L5" si="4">1</f>
        <v>1</v>
      </c>
      <c r="M4" s="1054"/>
      <c r="N4" s="1054"/>
      <c r="O4" s="1054">
        <f t="shared" si="2"/>
        <v>1</v>
      </c>
      <c r="P4" s="1054"/>
    </row>
    <row r="5" ht="22.5" customHeight="1">
      <c r="A5" s="1046">
        <v>5.0</v>
      </c>
      <c r="B5" s="1047" t="s">
        <v>1595</v>
      </c>
      <c r="C5" s="1048" t="s">
        <v>70</v>
      </c>
      <c r="D5" s="1049" t="s">
        <v>83</v>
      </c>
      <c r="E5" s="1050" t="str">
        <f>IMAGE("https://flagcdn.com/w320/es.png")</f>
        <v/>
      </c>
      <c r="F5" s="1051">
        <v>34592.0</v>
      </c>
      <c r="G5" s="1052">
        <f t="shared" si="1"/>
        <v>31</v>
      </c>
      <c r="H5" s="1054">
        <f t="shared" si="3"/>
        <v>6</v>
      </c>
      <c r="I5" s="1054">
        <f>90+90+25+90+45+77</f>
        <v>417</v>
      </c>
      <c r="J5" s="1054"/>
      <c r="K5" s="1054"/>
      <c r="L5" s="1054">
        <f t="shared" si="4"/>
        <v>1</v>
      </c>
      <c r="M5" s="1054"/>
      <c r="N5" s="1054"/>
      <c r="O5" s="1054">
        <f t="shared" si="2"/>
        <v>0</v>
      </c>
      <c r="P5" s="1054"/>
    </row>
    <row r="6" ht="22.5" customHeight="1">
      <c r="A6" s="1046">
        <v>7.0</v>
      </c>
      <c r="B6" s="1055" t="s">
        <v>1596</v>
      </c>
      <c r="C6" s="1048" t="s">
        <v>70</v>
      </c>
      <c r="D6" s="1049" t="s">
        <v>182</v>
      </c>
      <c r="E6" s="1050" t="str">
        <f>IMAGE("https://flagcdn.com/w320/br.png")</f>
        <v/>
      </c>
      <c r="F6" s="1051">
        <v>34480.0</v>
      </c>
      <c r="G6" s="1052">
        <f t="shared" si="1"/>
        <v>31</v>
      </c>
      <c r="H6" s="1054">
        <f t="shared" si="3"/>
        <v>6</v>
      </c>
      <c r="I6" s="1054">
        <f>25+89+90+90+90+90</f>
        <v>474</v>
      </c>
      <c r="J6" s="1054"/>
      <c r="K6" s="1054"/>
      <c r="L6" s="1054">
        <f>2</f>
        <v>2</v>
      </c>
      <c r="M6" s="1054">
        <f>1</f>
        <v>1</v>
      </c>
      <c r="N6" s="1054"/>
      <c r="O6" s="1054">
        <f t="shared" si="2"/>
        <v>0</v>
      </c>
      <c r="P6" s="1054"/>
    </row>
    <row r="7" ht="22.5" customHeight="1">
      <c r="A7" s="1046">
        <v>8.0</v>
      </c>
      <c r="B7" s="1055" t="s">
        <v>1597</v>
      </c>
      <c r="C7" s="1048" t="s">
        <v>79</v>
      </c>
      <c r="D7" s="1049" t="s">
        <v>1598</v>
      </c>
      <c r="E7" s="1050" t="str">
        <f>IMAGE("https://flagcdn.com/w320/pt.png")</f>
        <v/>
      </c>
      <c r="F7" s="1051">
        <v>36482.0</v>
      </c>
      <c r="G7" s="1052">
        <f t="shared" si="1"/>
        <v>26</v>
      </c>
      <c r="H7" s="1053">
        <f t="shared" si="3"/>
        <v>6</v>
      </c>
      <c r="I7" s="1053">
        <f>25+65+86+56+29+26</f>
        <v>287</v>
      </c>
      <c r="J7" s="1054"/>
      <c r="K7" s="1054"/>
      <c r="L7" s="1054"/>
      <c r="M7" s="1054"/>
      <c r="N7" s="1054"/>
      <c r="O7" s="1054">
        <f t="shared" si="2"/>
        <v>0</v>
      </c>
      <c r="P7" s="1054"/>
    </row>
    <row r="8" ht="22.5" customHeight="1">
      <c r="A8" s="1046">
        <v>9.0</v>
      </c>
      <c r="B8" s="1047" t="s">
        <v>1599</v>
      </c>
      <c r="C8" s="1048" t="s">
        <v>82</v>
      </c>
      <c r="D8" s="1049" t="s">
        <v>1600</v>
      </c>
      <c r="E8" s="1050" t="str">
        <f>IMAGE("https://flagcdn.com/w320/cg.png")</f>
        <v/>
      </c>
      <c r="F8" s="1051">
        <v>35943.0</v>
      </c>
      <c r="G8" s="1052">
        <f t="shared" si="1"/>
        <v>27</v>
      </c>
      <c r="H8" s="1054">
        <f t="shared" ref="H8:H9" si="5">1+1+1+1+1</f>
        <v>5</v>
      </c>
      <c r="I8" s="1054">
        <f>32+25+22+13+8</f>
        <v>100</v>
      </c>
      <c r="J8" s="1054"/>
      <c r="K8" s="1054"/>
      <c r="L8" s="1054"/>
      <c r="M8" s="1054"/>
      <c r="N8" s="1054"/>
      <c r="O8" s="1054">
        <f t="shared" si="2"/>
        <v>0</v>
      </c>
      <c r="P8" s="1054"/>
    </row>
    <row r="9" ht="22.5" customHeight="1">
      <c r="A9" s="1046">
        <v>10.0</v>
      </c>
      <c r="B9" s="1047" t="s">
        <v>1601</v>
      </c>
      <c r="C9" s="1048" t="s">
        <v>82</v>
      </c>
      <c r="D9" s="1049" t="s">
        <v>1602</v>
      </c>
      <c r="E9" s="1050" t="str">
        <f>IMAGE("https://flagcdn.com/w320/be.png")</f>
        <v/>
      </c>
      <c r="F9" s="1051">
        <v>35674.0</v>
      </c>
      <c r="G9" s="1052">
        <f t="shared" si="1"/>
        <v>28</v>
      </c>
      <c r="H9" s="1054">
        <f t="shared" si="5"/>
        <v>5</v>
      </c>
      <c r="I9" s="1054">
        <f>32+32+12+12+26</f>
        <v>114</v>
      </c>
      <c r="J9" s="1054"/>
      <c r="K9" s="1054"/>
      <c r="L9" s="1054"/>
      <c r="M9" s="1054"/>
      <c r="N9" s="1054"/>
      <c r="O9" s="1054">
        <f t="shared" si="2"/>
        <v>0</v>
      </c>
      <c r="P9" s="1054"/>
    </row>
    <row r="10" ht="22.5" customHeight="1">
      <c r="A10" s="1046">
        <v>11.0</v>
      </c>
      <c r="B10" s="1055" t="s">
        <v>1603</v>
      </c>
      <c r="C10" s="1048" t="s">
        <v>82</v>
      </c>
      <c r="D10" s="1049" t="s">
        <v>182</v>
      </c>
      <c r="E10" s="1050" t="str">
        <f>IMAGE("https://flagcdn.com/w320/br.png")</f>
        <v/>
      </c>
      <c r="F10" s="1051">
        <v>36996.0</v>
      </c>
      <c r="G10" s="1052">
        <f t="shared" si="1"/>
        <v>24</v>
      </c>
      <c r="H10" s="1054">
        <f>1+1+1+1+1+1</f>
        <v>6</v>
      </c>
      <c r="I10" s="1054">
        <f>75+58+13+34+13+64</f>
        <v>257</v>
      </c>
      <c r="J10" s="1054"/>
      <c r="K10" s="1054"/>
      <c r="L10" s="1054"/>
      <c r="M10" s="1054"/>
      <c r="N10" s="1054"/>
      <c r="O10" s="1054">
        <f t="shared" si="2"/>
        <v>0</v>
      </c>
      <c r="P10" s="1054"/>
    </row>
    <row r="11" ht="22.5" customHeight="1">
      <c r="A11" s="1046">
        <v>12.0</v>
      </c>
      <c r="B11" s="1047" t="s">
        <v>1604</v>
      </c>
      <c r="C11" s="1048" t="s">
        <v>82</v>
      </c>
      <c r="D11" s="1049" t="s">
        <v>1605</v>
      </c>
      <c r="E11" s="1050" t="str">
        <f>IMAGE("https://flagcdn.com/w320/se.png")</f>
        <v/>
      </c>
      <c r="F11" s="1051">
        <v>34242.0</v>
      </c>
      <c r="G11" s="1052">
        <f t="shared" si="1"/>
        <v>32</v>
      </c>
      <c r="H11" s="1054">
        <f>1+1+1+1+1</f>
        <v>5</v>
      </c>
      <c r="I11" s="1054">
        <f>15+12+12+71+82</f>
        <v>192</v>
      </c>
      <c r="J11" s="1054"/>
      <c r="K11" s="1054">
        <f t="shared" ref="K11:L11" si="6">1</f>
        <v>1</v>
      </c>
      <c r="L11" s="1054">
        <f t="shared" si="6"/>
        <v>1</v>
      </c>
      <c r="M11" s="1054"/>
      <c r="N11" s="1054"/>
      <c r="O11" s="1054">
        <f t="shared" si="2"/>
        <v>1</v>
      </c>
      <c r="P11" s="1054"/>
    </row>
    <row r="12" ht="22.5" customHeight="1">
      <c r="A12" s="1046">
        <v>17.0</v>
      </c>
      <c r="B12" s="1047" t="s">
        <v>1606</v>
      </c>
      <c r="C12" s="1048" t="s">
        <v>82</v>
      </c>
      <c r="D12" s="1049" t="s">
        <v>111</v>
      </c>
      <c r="E12" s="1050" t="str">
        <f>IMAGE("https://flagcdn.com/w320/hr.png")</f>
        <v/>
      </c>
      <c r="F12" s="1051">
        <v>33967.0</v>
      </c>
      <c r="G12" s="1052">
        <f t="shared" si="1"/>
        <v>33</v>
      </c>
      <c r="H12" s="1054">
        <f t="shared" ref="H12:H16" si="8">1+1+1+1+1+1+1</f>
        <v>7</v>
      </c>
      <c r="I12" s="1054">
        <f>58+90+78+77+90+77+82</f>
        <v>552</v>
      </c>
      <c r="J12" s="1054">
        <f t="shared" ref="J12:K12" si="7">1</f>
        <v>1</v>
      </c>
      <c r="K12" s="1054">
        <f t="shared" si="7"/>
        <v>1</v>
      </c>
      <c r="L12" s="1054">
        <f>1+1</f>
        <v>2</v>
      </c>
      <c r="M12" s="1054"/>
      <c r="N12" s="1054"/>
      <c r="O12" s="1054">
        <f t="shared" si="2"/>
        <v>2</v>
      </c>
      <c r="P12" s="1054"/>
    </row>
    <row r="13" ht="22.5" customHeight="1">
      <c r="A13" s="1046">
        <v>23.0</v>
      </c>
      <c r="B13" s="1047" t="s">
        <v>1607</v>
      </c>
      <c r="C13" s="1048" t="s">
        <v>70</v>
      </c>
      <c r="D13" s="1049" t="s">
        <v>1608</v>
      </c>
      <c r="E13" s="1050" t="str">
        <f>IMAGE("https://flagcdn.com/w320/nl.png")</f>
        <v/>
      </c>
      <c r="F13" s="1051">
        <v>34883.0</v>
      </c>
      <c r="G13" s="1052">
        <f t="shared" si="1"/>
        <v>30</v>
      </c>
      <c r="H13" s="1054">
        <f t="shared" si="8"/>
        <v>7</v>
      </c>
      <c r="I13" s="1054">
        <f>90+90+90+90+90+90+90</f>
        <v>630</v>
      </c>
      <c r="J13" s="1054">
        <f>1</f>
        <v>1</v>
      </c>
      <c r="K13" s="1054"/>
      <c r="L13" s="1054">
        <f t="shared" ref="L13:L14" si="9">1</f>
        <v>1</v>
      </c>
      <c r="M13" s="1054"/>
      <c r="N13" s="1054"/>
      <c r="O13" s="1054">
        <f t="shared" si="2"/>
        <v>1</v>
      </c>
      <c r="P13" s="1054"/>
    </row>
    <row r="14" ht="22.5" customHeight="1">
      <c r="A14" s="1046">
        <v>25.0</v>
      </c>
      <c r="B14" s="1047" t="s">
        <v>1609</v>
      </c>
      <c r="C14" s="1048" t="s">
        <v>70</v>
      </c>
      <c r="D14" s="1049" t="s">
        <v>1610</v>
      </c>
      <c r="E14" s="1050" t="str">
        <f>IMAGE("https://flagcdn.com/w320/mz.png")</f>
        <v/>
      </c>
      <c r="F14" s="1051">
        <v>35734.0</v>
      </c>
      <c r="G14" s="1052">
        <f t="shared" si="1"/>
        <v>28</v>
      </c>
      <c r="H14" s="1054">
        <f t="shared" si="8"/>
        <v>7</v>
      </c>
      <c r="I14" s="1054">
        <f>15+32+1+4+45+2+8</f>
        <v>107</v>
      </c>
      <c r="J14" s="1054"/>
      <c r="K14" s="1054"/>
      <c r="L14" s="1054">
        <f t="shared" si="9"/>
        <v>1</v>
      </c>
      <c r="M14" s="1054"/>
      <c r="N14" s="1054"/>
      <c r="O14" s="1054">
        <f t="shared" si="2"/>
        <v>0</v>
      </c>
      <c r="P14" s="1054"/>
    </row>
    <row r="15" ht="22.5" customHeight="1">
      <c r="A15" s="1046">
        <v>26.0</v>
      </c>
      <c r="B15" s="1047" t="s">
        <v>1611</v>
      </c>
      <c r="C15" s="1048" t="s">
        <v>79</v>
      </c>
      <c r="D15" s="1049" t="s">
        <v>1612</v>
      </c>
      <c r="E15" s="1050" t="str">
        <f>IMAGE("https://flagcdn.com/w320/ba.png")</f>
        <v/>
      </c>
      <c r="F15" s="1051">
        <v>35347.0</v>
      </c>
      <c r="G15" s="1052">
        <f t="shared" si="1"/>
        <v>29</v>
      </c>
      <c r="H15" s="1054">
        <f t="shared" si="8"/>
        <v>7</v>
      </c>
      <c r="I15" s="1053">
        <f>90+90+90+90+90+90+90</f>
        <v>630</v>
      </c>
      <c r="J15" s="1054"/>
      <c r="K15" s="1054"/>
      <c r="L15" s="1054">
        <f>1+1+1</f>
        <v>3</v>
      </c>
      <c r="M15" s="1054"/>
      <c r="N15" s="1054"/>
      <c r="O15" s="1054">
        <f t="shared" si="2"/>
        <v>0</v>
      </c>
      <c r="P15" s="1054"/>
    </row>
    <row r="16" ht="22.5" customHeight="1">
      <c r="A16" s="1046">
        <v>30.0</v>
      </c>
      <c r="B16" s="1047" t="s">
        <v>1613</v>
      </c>
      <c r="C16" s="1048" t="s">
        <v>79</v>
      </c>
      <c r="D16" s="1049" t="s">
        <v>1040</v>
      </c>
      <c r="E16" s="1050" t="str">
        <f>IMAGE("https://flagcdn.com/w320/ro.png")</f>
        <v/>
      </c>
      <c r="F16" s="1051">
        <v>36274.0</v>
      </c>
      <c r="G16" s="1052">
        <f t="shared" si="1"/>
        <v>26</v>
      </c>
      <c r="H16" s="1054">
        <f t="shared" si="8"/>
        <v>7</v>
      </c>
      <c r="I16" s="1054">
        <f>84+65+90+90+78+77+88</f>
        <v>572</v>
      </c>
      <c r="J16" s="1054"/>
      <c r="K16" s="1054"/>
      <c r="L16" s="1054"/>
      <c r="M16" s="1054"/>
      <c r="N16" s="1054"/>
      <c r="O16" s="1054">
        <f t="shared" si="2"/>
        <v>0</v>
      </c>
      <c r="P16" s="1054"/>
    </row>
    <row r="17" ht="22.5" customHeight="1">
      <c r="A17" s="1046">
        <v>33.0</v>
      </c>
      <c r="B17" s="1055" t="s">
        <v>1614</v>
      </c>
      <c r="C17" s="1048" t="s">
        <v>82</v>
      </c>
      <c r="D17" s="1049" t="s">
        <v>182</v>
      </c>
      <c r="E17" s="1050" t="str">
        <f>IMAGE("https://flagcdn.com/w320/br.png")</f>
        <v/>
      </c>
      <c r="F17" s="1051">
        <v>35755.0</v>
      </c>
      <c r="G17" s="1052">
        <f t="shared" si="1"/>
        <v>28</v>
      </c>
      <c r="H17" s="1054">
        <f>1+1+1+1+1+1</f>
        <v>6</v>
      </c>
      <c r="I17" s="1054">
        <f>6+58+13+68+61+64</f>
        <v>270</v>
      </c>
      <c r="J17" s="1054"/>
      <c r="K17" s="1054"/>
      <c r="L17" s="1054"/>
      <c r="M17" s="1054"/>
      <c r="N17" s="1054"/>
      <c r="O17" s="1054">
        <f t="shared" si="2"/>
        <v>0</v>
      </c>
      <c r="P17" s="1054"/>
    </row>
    <row r="18" ht="22.5" customHeight="1">
      <c r="A18" s="1056">
        <v>42.0</v>
      </c>
      <c r="B18" s="1057" t="s">
        <v>1615</v>
      </c>
      <c r="C18" s="1058" t="s">
        <v>79</v>
      </c>
      <c r="D18" s="1059" t="s">
        <v>1593</v>
      </c>
      <c r="E18" s="1060" t="str">
        <f>IMAGE("https://flagcdn.com/w320/cy.png")</f>
        <v/>
      </c>
      <c r="F18" s="1061">
        <v>39776.0</v>
      </c>
      <c r="G18" s="1062">
        <f t="shared" si="1"/>
        <v>17</v>
      </c>
      <c r="H18" s="1063">
        <f>1</f>
        <v>1</v>
      </c>
      <c r="I18" s="1063">
        <f>2</f>
        <v>2</v>
      </c>
      <c r="J18" s="1063"/>
      <c r="K18" s="1063"/>
      <c r="L18" s="1063"/>
      <c r="M18" s="1063"/>
      <c r="N18" s="1063"/>
      <c r="O18" s="1063">
        <f t="shared" si="2"/>
        <v>0</v>
      </c>
      <c r="P18" s="1063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22.5" customHeight="1">
      <c r="A19" s="1046">
        <v>77.0</v>
      </c>
      <c r="B19" s="1055" t="s">
        <v>1616</v>
      </c>
      <c r="C19" s="1048" t="s">
        <v>82</v>
      </c>
      <c r="D19" s="1049" t="s">
        <v>1617</v>
      </c>
      <c r="E19" s="1050" t="str">
        <f>IMAGE("https://flagcdn.com/w320/cv.png")</f>
        <v/>
      </c>
      <c r="F19" s="1051">
        <v>35313.0</v>
      </c>
      <c r="G19" s="1052">
        <f t="shared" si="1"/>
        <v>29</v>
      </c>
      <c r="H19" s="1054">
        <f>1+1+1</f>
        <v>3</v>
      </c>
      <c r="I19" s="1054">
        <f>75+3+88</f>
        <v>166</v>
      </c>
      <c r="J19" s="1054"/>
      <c r="K19" s="1054"/>
      <c r="L19" s="1054"/>
      <c r="M19" s="1054">
        <f>1</f>
        <v>1</v>
      </c>
      <c r="N19" s="1054"/>
      <c r="O19" s="1054">
        <f t="shared" si="2"/>
        <v>0</v>
      </c>
      <c r="P19" s="1054"/>
    </row>
    <row r="20" ht="22.5" customHeight="1">
      <c r="A20" s="1056">
        <v>82.0</v>
      </c>
      <c r="B20" s="1057" t="s">
        <v>1618</v>
      </c>
      <c r="C20" s="1058" t="s">
        <v>67</v>
      </c>
      <c r="D20" s="1059" t="s">
        <v>1593</v>
      </c>
      <c r="E20" s="1060" t="str">
        <f>IMAGE("https://flagcdn.com/w320/cy.png")</f>
        <v/>
      </c>
      <c r="F20" s="1061">
        <v>38939.0</v>
      </c>
      <c r="G20" s="1062">
        <f t="shared" si="1"/>
        <v>19</v>
      </c>
      <c r="H20" s="1064">
        <v>0.0</v>
      </c>
      <c r="I20" s="1064">
        <v>0.0</v>
      </c>
      <c r="J20" s="1063"/>
      <c r="K20" s="1063"/>
      <c r="L20" s="1063"/>
      <c r="M20" s="1063"/>
      <c r="N20" s="1063"/>
      <c r="O20" s="1063">
        <f t="shared" si="2"/>
        <v>0</v>
      </c>
      <c r="P20" s="1063"/>
    </row>
    <row r="21" ht="22.5" customHeight="1">
      <c r="A21" s="1056">
        <v>87.0</v>
      </c>
      <c r="B21" s="1065" t="s">
        <v>1619</v>
      </c>
      <c r="C21" s="1058" t="s">
        <v>79</v>
      </c>
      <c r="D21" s="1059" t="s">
        <v>1620</v>
      </c>
      <c r="E21" s="1060" t="str">
        <f>IMAGE("https://flagcdn.com/w320/br.png")</f>
        <v/>
      </c>
      <c r="F21" s="1061">
        <v>38580.0</v>
      </c>
      <c r="G21" s="1062">
        <f t="shared" si="1"/>
        <v>20</v>
      </c>
      <c r="H21" s="1064">
        <v>0.0</v>
      </c>
      <c r="I21" s="1064">
        <v>0.0</v>
      </c>
      <c r="J21" s="1063"/>
      <c r="K21" s="1063"/>
      <c r="L21" s="1063"/>
      <c r="M21" s="1063"/>
      <c r="N21" s="1063"/>
      <c r="O21" s="1063">
        <f t="shared" si="2"/>
        <v>0</v>
      </c>
      <c r="P21" s="1063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22.5" customHeight="1">
      <c r="A22" s="1046">
        <v>88.0</v>
      </c>
      <c r="B22" s="1055" t="s">
        <v>1621</v>
      </c>
      <c r="C22" s="1048" t="s">
        <v>79</v>
      </c>
      <c r="D22" s="1049" t="s">
        <v>477</v>
      </c>
      <c r="E22" s="1050" t="str">
        <f>IMAGE("https://flagcdn.com/w320/pt.png")</f>
        <v/>
      </c>
      <c r="F22" s="1051">
        <v>35570.0</v>
      </c>
      <c r="G22" s="1052">
        <f t="shared" si="1"/>
        <v>28</v>
      </c>
      <c r="H22" s="1054">
        <f>1+1+1+1+1+1+1</f>
        <v>7</v>
      </c>
      <c r="I22" s="1054">
        <f>90+90+78+77+90+90+90</f>
        <v>605</v>
      </c>
      <c r="J22" s="1054"/>
      <c r="K22" s="1054"/>
      <c r="L22" s="1054"/>
      <c r="M22" s="1054"/>
      <c r="N22" s="1054"/>
      <c r="O22" s="1054">
        <f t="shared" si="2"/>
        <v>0</v>
      </c>
      <c r="P22" s="1054"/>
    </row>
    <row r="23" ht="22.5" customHeight="1">
      <c r="A23" s="1046">
        <v>93.0</v>
      </c>
      <c r="B23" s="1047" t="s">
        <v>1622</v>
      </c>
      <c r="C23" s="1048" t="s">
        <v>67</v>
      </c>
      <c r="D23" s="1049" t="s">
        <v>1593</v>
      </c>
      <c r="E23" s="1050" t="str">
        <f>IMAGE("https://flagcdn.com/w320/cy.png")</f>
        <v/>
      </c>
      <c r="F23" s="1051">
        <v>34319.0</v>
      </c>
      <c r="G23" s="1052">
        <f t="shared" si="1"/>
        <v>32</v>
      </c>
      <c r="H23" s="1054">
        <f>1+1+1+1+1+1</f>
        <v>6</v>
      </c>
      <c r="I23" s="1054">
        <f>90+90+90+90+90+90</f>
        <v>540</v>
      </c>
      <c r="J23" s="1054"/>
      <c r="K23" s="1054"/>
      <c r="L23" s="1054"/>
      <c r="M23" s="1054"/>
      <c r="N23" s="1054">
        <f>1+1+1</f>
        <v>3</v>
      </c>
      <c r="O23" s="1054">
        <f t="shared" si="2"/>
        <v>0</v>
      </c>
      <c r="P23" s="1054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22.5" customHeight="1">
      <c r="A24" s="1056">
        <v>99.0</v>
      </c>
      <c r="B24" s="1057" t="s">
        <v>1623</v>
      </c>
      <c r="C24" s="1058" t="s">
        <v>67</v>
      </c>
      <c r="D24" s="1059" t="s">
        <v>640</v>
      </c>
      <c r="E24" s="1060" t="str">
        <f>IMAGE("https://flagcdn.com/w320/gr.png")</f>
        <v/>
      </c>
      <c r="F24" s="1061">
        <v>37870.0</v>
      </c>
      <c r="G24" s="1062">
        <f t="shared" si="1"/>
        <v>22</v>
      </c>
      <c r="H24" s="1064">
        <v>0.0</v>
      </c>
      <c r="I24" s="1064">
        <v>0.0</v>
      </c>
      <c r="J24" s="1063"/>
      <c r="K24" s="1063"/>
      <c r="L24" s="1063"/>
      <c r="M24" s="1063"/>
      <c r="N24" s="1063"/>
      <c r="O24" s="1063">
        <f t="shared" si="2"/>
        <v>0</v>
      </c>
      <c r="P24" s="1063"/>
    </row>
    <row r="25">
      <c r="A25" s="11"/>
      <c r="B25" s="18"/>
      <c r="C25" s="18"/>
      <c r="D25" s="18"/>
      <c r="E25" s="65"/>
      <c r="F25" s="66"/>
      <c r="G25" s="18"/>
      <c r="H25" s="73">
        <f>SUM(H2:H24)</f>
        <v>110</v>
      </c>
      <c r="I25" s="73">
        <f>SUM(I2:I24)+65+87</f>
        <v>6930</v>
      </c>
      <c r="J25" s="73">
        <f t="shared" ref="J25:P25" si="10">SUM(J2:J24)</f>
        <v>3</v>
      </c>
      <c r="K25" s="73">
        <f t="shared" si="10"/>
        <v>2</v>
      </c>
      <c r="L25" s="73">
        <f t="shared" si="10"/>
        <v>12</v>
      </c>
      <c r="M25" s="73">
        <f t="shared" si="10"/>
        <v>2</v>
      </c>
      <c r="N25" s="73">
        <f t="shared" si="10"/>
        <v>3</v>
      </c>
      <c r="O25" s="73">
        <f t="shared" si="10"/>
        <v>5</v>
      </c>
      <c r="P25" s="73">
        <f t="shared" si="10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22.5" customHeight="1">
      <c r="A26" s="1041" t="s">
        <v>150</v>
      </c>
      <c r="B26" s="1042" t="s">
        <v>49</v>
      </c>
      <c r="C26" s="1042" t="s">
        <v>265</v>
      </c>
      <c r="D26" s="1066" t="s">
        <v>56</v>
      </c>
      <c r="E26" s="1067" t="s">
        <v>57</v>
      </c>
      <c r="F26" s="1042" t="s">
        <v>52</v>
      </c>
      <c r="G26" s="1042" t="s">
        <v>53</v>
      </c>
      <c r="H26" s="1042" t="s">
        <v>4</v>
      </c>
      <c r="I26" s="1042" t="s">
        <v>5</v>
      </c>
      <c r="J26" s="1042" t="s">
        <v>6</v>
      </c>
      <c r="K26" s="1042" t="s">
        <v>7</v>
      </c>
      <c r="L26" s="1042" t="s">
        <v>8</v>
      </c>
      <c r="M26" s="1042" t="s">
        <v>9</v>
      </c>
      <c r="N26" s="1042" t="s">
        <v>10</v>
      </c>
    </row>
    <row r="27" ht="22.5" customHeight="1">
      <c r="A27" s="1068"/>
      <c r="B27" s="1047" t="s">
        <v>1624</v>
      </c>
      <c r="C27" s="1047" t="s">
        <v>153</v>
      </c>
      <c r="D27" s="1069" t="s">
        <v>83</v>
      </c>
      <c r="E27" s="1070" t="str">
        <f t="shared" ref="E27:E28" si="11">IMAGE("https://flagcdn.com/w320/es.png")</f>
        <v/>
      </c>
      <c r="F27" s="1051">
        <v>26895.0</v>
      </c>
      <c r="G27" s="1052">
        <f t="shared" ref="G27:G28" si="12">DATEDIF(F27,TODAY(),"Y")</f>
        <v>52</v>
      </c>
      <c r="H27" s="1071">
        <f t="shared" ref="H27:H28" si="13">L27+M27+N27</f>
        <v>6</v>
      </c>
      <c r="I27" s="1071">
        <f t="shared" ref="I27:I28" si="14">(3*L27)+M27</f>
        <v>6</v>
      </c>
      <c r="J27" s="1072">
        <f>1+1+2</f>
        <v>4</v>
      </c>
      <c r="K27" s="1072">
        <f>5+2+2</f>
        <v>9</v>
      </c>
      <c r="L27" s="1073">
        <f>1</f>
        <v>1</v>
      </c>
      <c r="M27" s="1074">
        <f>1+1+1</f>
        <v>3</v>
      </c>
      <c r="N27" s="1075">
        <f>1+1</f>
        <v>2</v>
      </c>
    </row>
    <row r="28" ht="22.5" customHeight="1">
      <c r="A28" s="1068"/>
      <c r="B28" s="1047" t="s">
        <v>1625</v>
      </c>
      <c r="C28" s="1047" t="s">
        <v>153</v>
      </c>
      <c r="D28" s="1069" t="s">
        <v>1626</v>
      </c>
      <c r="E28" s="1070" t="str">
        <f t="shared" si="11"/>
        <v/>
      </c>
      <c r="F28" s="1051">
        <v>27666.0</v>
      </c>
      <c r="G28" s="1052">
        <f t="shared" si="12"/>
        <v>50</v>
      </c>
      <c r="H28" s="1071">
        <f t="shared" si="13"/>
        <v>1</v>
      </c>
      <c r="I28" s="1071">
        <f t="shared" si="14"/>
        <v>0</v>
      </c>
      <c r="J28" s="1072">
        <v>0.0</v>
      </c>
      <c r="K28" s="1072">
        <f>1</f>
        <v>1</v>
      </c>
      <c r="L28" s="1073">
        <v>0.0</v>
      </c>
      <c r="M28" s="1074">
        <v>0.0</v>
      </c>
      <c r="N28" s="1075">
        <f>1</f>
        <v>1</v>
      </c>
    </row>
    <row r="29">
      <c r="A29" s="11"/>
      <c r="B29" s="18"/>
      <c r="C29" s="18"/>
      <c r="D29" s="18"/>
      <c r="E29" s="65"/>
      <c r="F29" s="66"/>
      <c r="G29" s="18"/>
      <c r="H29" s="73">
        <f>SUM(trenerPafos[mecze])</f>
        <v>7</v>
      </c>
      <c r="I29" s="73">
        <f>SUM(trenerPafos[punkty])</f>
        <v>6</v>
      </c>
      <c r="J29" s="73">
        <f>SUM(trenerPafos[strzelone])</f>
        <v>4</v>
      </c>
      <c r="K29" s="73">
        <f>SUM(trenerPafos[stracone])</f>
        <v>10</v>
      </c>
      <c r="L29" s="73">
        <f>SUM(trenerPafos[wygrane])</f>
        <v>1</v>
      </c>
      <c r="M29" s="73">
        <f>SUM(trenerPafos[remisy])</f>
        <v>3</v>
      </c>
      <c r="N29" s="73">
        <f>SUM(trenerPafos[porażki])</f>
        <v>3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22.5" customHeight="1">
      <c r="A30" s="1041" t="s">
        <v>156</v>
      </c>
      <c r="B30" s="1041" t="s">
        <v>157</v>
      </c>
      <c r="C30" s="1041" t="s">
        <v>158</v>
      </c>
      <c r="D30" s="1043" t="s">
        <v>1627</v>
      </c>
      <c r="E30" s="1041" t="s">
        <v>160</v>
      </c>
      <c r="F30" s="1041" t="s">
        <v>161</v>
      </c>
    </row>
    <row r="31" ht="22.5" customHeight="1">
      <c r="A31" s="197">
        <v>1.0</v>
      </c>
      <c r="B31" s="198" t="s">
        <v>38</v>
      </c>
      <c r="C31" s="198" t="s">
        <v>36</v>
      </c>
      <c r="D31" s="923"/>
      <c r="E31" s="200" t="s">
        <v>331</v>
      </c>
      <c r="F31" s="198" t="s">
        <v>1209</v>
      </c>
    </row>
    <row r="32" ht="22.5" customHeight="1">
      <c r="A32" s="77">
        <v>2.0</v>
      </c>
      <c r="B32" s="697" t="s">
        <v>36</v>
      </c>
      <c r="C32" s="78" t="s">
        <v>13</v>
      </c>
      <c r="D32" s="921" t="s">
        <v>1628</v>
      </c>
      <c r="E32" s="84">
        <v>45662.0</v>
      </c>
      <c r="F32" s="78" t="s">
        <v>619</v>
      </c>
    </row>
    <row r="33" ht="22.5" customHeight="1">
      <c r="A33" s="197">
        <v>3.0</v>
      </c>
      <c r="B33" s="727" t="s">
        <v>47</v>
      </c>
      <c r="C33" s="727" t="s">
        <v>36</v>
      </c>
      <c r="D33" s="923"/>
      <c r="E33" s="200" t="s">
        <v>331</v>
      </c>
      <c r="F33" s="198" t="s">
        <v>839</v>
      </c>
    </row>
    <row r="34" ht="22.5" customHeight="1">
      <c r="A34" s="86">
        <v>4.0</v>
      </c>
      <c r="B34" s="847" t="s">
        <v>36</v>
      </c>
      <c r="C34" s="847" t="s">
        <v>46</v>
      </c>
      <c r="D34" s="924" t="s">
        <v>1629</v>
      </c>
      <c r="E34" s="161" t="s">
        <v>677</v>
      </c>
      <c r="F34" s="87" t="s">
        <v>619</v>
      </c>
    </row>
    <row r="35" ht="22.5" customHeight="1">
      <c r="A35" s="197">
        <v>5.0</v>
      </c>
      <c r="B35" s="198" t="s">
        <v>36</v>
      </c>
      <c r="C35" s="727" t="s">
        <v>29</v>
      </c>
      <c r="D35" s="922" t="s">
        <v>1630</v>
      </c>
      <c r="E35" s="265">
        <v>45690.0</v>
      </c>
      <c r="F35" s="198" t="s">
        <v>619</v>
      </c>
    </row>
    <row r="36" ht="22.5" customHeight="1">
      <c r="A36" s="77">
        <v>6.0</v>
      </c>
      <c r="B36" s="697" t="s">
        <v>35</v>
      </c>
      <c r="C36" s="78" t="s">
        <v>36</v>
      </c>
      <c r="D36" s="1076"/>
      <c r="E36" s="80" t="s">
        <v>271</v>
      </c>
      <c r="F36" s="78" t="s">
        <v>502</v>
      </c>
    </row>
    <row r="37" ht="22.5" customHeight="1">
      <c r="A37" s="77">
        <v>7.0</v>
      </c>
      <c r="B37" s="78" t="s">
        <v>22</v>
      </c>
      <c r="C37" s="697" t="s">
        <v>36</v>
      </c>
      <c r="D37" s="1076"/>
      <c r="E37" s="80" t="s">
        <v>677</v>
      </c>
      <c r="F37" s="78" t="s">
        <v>167</v>
      </c>
    </row>
    <row r="38" ht="22.5" customHeight="1">
      <c r="A38" s="90">
        <v>8.0</v>
      </c>
      <c r="B38" s="925" t="s">
        <v>36</v>
      </c>
      <c r="C38" s="91" t="s">
        <v>45</v>
      </c>
      <c r="D38" s="926"/>
      <c r="E38" s="93"/>
      <c r="F38" s="94" t="s">
        <v>619</v>
      </c>
    </row>
    <row r="39">
      <c r="A39" s="12"/>
      <c r="E39" s="14"/>
      <c r="F39" s="96"/>
    </row>
    <row r="40">
      <c r="A40" s="12"/>
      <c r="E40" s="14"/>
      <c r="F40" s="96"/>
    </row>
    <row r="41">
      <c r="A41" s="12"/>
      <c r="E41" s="14"/>
      <c r="F41" s="96"/>
    </row>
    <row r="42">
      <c r="A42" s="12"/>
      <c r="E42" s="14"/>
      <c r="F42" s="96"/>
    </row>
    <row r="43">
      <c r="A43" s="12"/>
      <c r="E43" s="14"/>
      <c r="F43" s="96"/>
    </row>
    <row r="44">
      <c r="A44" s="12"/>
      <c r="E44" s="14"/>
      <c r="F44" s="96"/>
    </row>
    <row r="45">
      <c r="A45" s="12"/>
      <c r="E45" s="14"/>
      <c r="F45" s="96"/>
    </row>
    <row r="46">
      <c r="A46" s="12"/>
      <c r="E46" s="14"/>
      <c r="F46" s="96"/>
    </row>
    <row r="47">
      <c r="A47" s="12"/>
      <c r="E47" s="14"/>
      <c r="F47" s="96"/>
    </row>
    <row r="48">
      <c r="A48" s="12"/>
      <c r="E48" s="14"/>
      <c r="F48" s="96"/>
    </row>
    <row r="49">
      <c r="A49" s="12"/>
      <c r="E49" s="14"/>
      <c r="F49" s="96"/>
    </row>
    <row r="50">
      <c r="A50" s="12"/>
      <c r="E50" s="14"/>
      <c r="F50" s="96"/>
    </row>
    <row r="51">
      <c r="A51" s="12"/>
      <c r="E51" s="14"/>
      <c r="F51" s="96"/>
    </row>
    <row r="52">
      <c r="A52" s="12"/>
      <c r="E52" s="14"/>
      <c r="F52" s="96"/>
    </row>
    <row r="53">
      <c r="A53" s="12"/>
      <c r="E53" s="14"/>
      <c r="F53" s="96"/>
    </row>
    <row r="54">
      <c r="A54" s="12"/>
      <c r="E54" s="14"/>
      <c r="F54" s="96"/>
    </row>
    <row r="55">
      <c r="A55" s="12"/>
      <c r="E55" s="14"/>
      <c r="F55" s="96"/>
    </row>
    <row r="56">
      <c r="A56" s="12"/>
      <c r="E56" s="14"/>
      <c r="F56" s="96"/>
    </row>
    <row r="57">
      <c r="A57" s="12"/>
      <c r="E57" s="14"/>
      <c r="F57" s="96"/>
    </row>
    <row r="58">
      <c r="A58" s="12"/>
      <c r="E58" s="14"/>
      <c r="F58" s="96"/>
    </row>
    <row r="59">
      <c r="A59" s="12"/>
      <c r="E59" s="14"/>
      <c r="F59" s="96"/>
    </row>
    <row r="60">
      <c r="A60" s="12"/>
      <c r="E60" s="14"/>
      <c r="F60" s="96"/>
    </row>
    <row r="61">
      <c r="A61" s="12"/>
      <c r="E61" s="14"/>
      <c r="F61" s="96"/>
    </row>
    <row r="62">
      <c r="A62" s="12"/>
      <c r="E62" s="14"/>
      <c r="F62" s="96"/>
    </row>
    <row r="63">
      <c r="A63" s="12"/>
      <c r="E63" s="14"/>
      <c r="F63" s="96"/>
    </row>
    <row r="64">
      <c r="A64" s="12"/>
      <c r="E64" s="14"/>
      <c r="F64" s="96"/>
    </row>
    <row r="65">
      <c r="A65" s="12"/>
      <c r="E65" s="14"/>
      <c r="F65" s="96"/>
    </row>
    <row r="66">
      <c r="A66" s="12"/>
      <c r="E66" s="14"/>
      <c r="F66" s="96"/>
    </row>
    <row r="67">
      <c r="A67" s="12"/>
      <c r="E67" s="14"/>
      <c r="F67" s="96"/>
    </row>
    <row r="68">
      <c r="A68" s="12"/>
      <c r="E68" s="14"/>
      <c r="F68" s="96"/>
    </row>
    <row r="69">
      <c r="A69" s="12"/>
      <c r="E69" s="14"/>
      <c r="F69" s="96"/>
    </row>
    <row r="70">
      <c r="A70" s="12"/>
      <c r="E70" s="14"/>
      <c r="F70" s="96"/>
    </row>
    <row r="71">
      <c r="A71" s="12"/>
      <c r="E71" s="14"/>
      <c r="F71" s="96"/>
    </row>
    <row r="72">
      <c r="A72" s="12"/>
      <c r="E72" s="14"/>
      <c r="F72" s="96"/>
    </row>
    <row r="73">
      <c r="A73" s="12"/>
      <c r="E73" s="14"/>
      <c r="F73" s="96"/>
    </row>
    <row r="74">
      <c r="A74" s="12"/>
      <c r="E74" s="14"/>
      <c r="F74" s="96"/>
    </row>
    <row r="75">
      <c r="A75" s="12"/>
      <c r="E75" s="14"/>
      <c r="F75" s="96"/>
    </row>
    <row r="76">
      <c r="A76" s="12"/>
      <c r="E76" s="14"/>
      <c r="F76" s="96"/>
    </row>
    <row r="77">
      <c r="A77" s="12"/>
      <c r="E77" s="14"/>
      <c r="F77" s="96"/>
    </row>
    <row r="78">
      <c r="A78" s="12"/>
      <c r="E78" s="14"/>
      <c r="F78" s="96"/>
    </row>
    <row r="79">
      <c r="A79" s="12"/>
      <c r="E79" s="14"/>
      <c r="F79" s="96"/>
    </row>
    <row r="80">
      <c r="A80" s="12"/>
      <c r="E80" s="14"/>
      <c r="F80" s="96"/>
    </row>
    <row r="81">
      <c r="A81" s="12"/>
      <c r="E81" s="14"/>
      <c r="F81" s="96"/>
    </row>
    <row r="82">
      <c r="A82" s="12"/>
      <c r="E82" s="14"/>
      <c r="F82" s="96"/>
    </row>
    <row r="83">
      <c r="A83" s="12"/>
      <c r="E83" s="14"/>
      <c r="F83" s="96"/>
    </row>
    <row r="84">
      <c r="A84" s="12"/>
      <c r="E84" s="14"/>
      <c r="F84" s="96"/>
    </row>
    <row r="85">
      <c r="A85" s="12"/>
      <c r="E85" s="14"/>
      <c r="F85" s="96"/>
    </row>
    <row r="86">
      <c r="A86" s="12"/>
      <c r="E86" s="14"/>
      <c r="F86" s="96"/>
    </row>
    <row r="87">
      <c r="A87" s="12"/>
      <c r="E87" s="14"/>
      <c r="F87" s="96"/>
    </row>
    <row r="88">
      <c r="A88" s="12"/>
      <c r="E88" s="14"/>
      <c r="F88" s="96"/>
    </row>
    <row r="89">
      <c r="A89" s="12"/>
      <c r="E89" s="14"/>
      <c r="F89" s="96"/>
    </row>
    <row r="90">
      <c r="A90" s="12"/>
      <c r="E90" s="14"/>
      <c r="F90" s="96"/>
    </row>
    <row r="91">
      <c r="A91" s="12"/>
      <c r="E91" s="14"/>
      <c r="F91" s="96"/>
    </row>
    <row r="92">
      <c r="A92" s="12"/>
      <c r="E92" s="14"/>
      <c r="F92" s="96"/>
    </row>
    <row r="93">
      <c r="A93" s="12"/>
      <c r="E93" s="14"/>
      <c r="F93" s="96"/>
    </row>
    <row r="94">
      <c r="A94" s="12"/>
      <c r="E94" s="14"/>
      <c r="F94" s="96"/>
    </row>
    <row r="95">
      <c r="A95" s="12"/>
      <c r="E95" s="14"/>
      <c r="F95" s="96"/>
    </row>
    <row r="96">
      <c r="A96" s="12"/>
      <c r="E96" s="14"/>
      <c r="F96" s="96"/>
    </row>
    <row r="97">
      <c r="A97" s="12"/>
      <c r="E97" s="14"/>
      <c r="F97" s="96"/>
    </row>
    <row r="98">
      <c r="A98" s="12"/>
      <c r="E98" s="14"/>
      <c r="F98" s="96"/>
    </row>
    <row r="99">
      <c r="A99" s="12"/>
      <c r="E99" s="14"/>
      <c r="F99" s="96"/>
    </row>
    <row r="100">
      <c r="A100" s="12"/>
      <c r="E100" s="14"/>
      <c r="F100" s="96"/>
    </row>
    <row r="101">
      <c r="A101" s="12"/>
      <c r="E101" s="14"/>
      <c r="F101" s="96"/>
    </row>
    <row r="102">
      <c r="A102" s="12"/>
      <c r="E102" s="14"/>
      <c r="F102" s="96"/>
    </row>
    <row r="103">
      <c r="A103" s="12"/>
      <c r="E103" s="14"/>
      <c r="F103" s="96"/>
    </row>
    <row r="104">
      <c r="A104" s="12"/>
      <c r="E104" s="14"/>
      <c r="F104" s="96"/>
    </row>
    <row r="105">
      <c r="A105" s="12"/>
      <c r="E105" s="14"/>
      <c r="F105" s="96"/>
    </row>
    <row r="106">
      <c r="A106" s="12"/>
      <c r="E106" s="14"/>
      <c r="F106" s="96"/>
    </row>
    <row r="107">
      <c r="A107" s="12"/>
      <c r="E107" s="14"/>
      <c r="F107" s="96"/>
    </row>
    <row r="108">
      <c r="A108" s="12"/>
      <c r="E108" s="14"/>
      <c r="F108" s="96"/>
    </row>
    <row r="109">
      <c r="A109" s="12"/>
      <c r="E109" s="14"/>
      <c r="F109" s="96"/>
    </row>
    <row r="110">
      <c r="A110" s="12"/>
      <c r="E110" s="14"/>
      <c r="F110" s="96"/>
    </row>
    <row r="111">
      <c r="A111" s="12"/>
      <c r="E111" s="14"/>
      <c r="F111" s="96"/>
    </row>
    <row r="112">
      <c r="A112" s="12"/>
      <c r="E112" s="14"/>
      <c r="F112" s="96"/>
    </row>
    <row r="113">
      <c r="A113" s="12"/>
      <c r="E113" s="14"/>
      <c r="F113" s="96"/>
    </row>
    <row r="114">
      <c r="A114" s="12"/>
      <c r="E114" s="14"/>
      <c r="F114" s="96"/>
    </row>
    <row r="115">
      <c r="A115" s="12"/>
      <c r="E115" s="14"/>
      <c r="F115" s="96"/>
    </row>
    <row r="116">
      <c r="A116" s="12"/>
      <c r="E116" s="14"/>
      <c r="F116" s="96"/>
    </row>
    <row r="117">
      <c r="A117" s="12"/>
      <c r="E117" s="14"/>
      <c r="F117" s="96"/>
    </row>
    <row r="118">
      <c r="A118" s="12"/>
      <c r="E118" s="14"/>
      <c r="F118" s="96"/>
    </row>
    <row r="119">
      <c r="A119" s="12"/>
      <c r="E119" s="14"/>
      <c r="F119" s="96"/>
    </row>
    <row r="120">
      <c r="A120" s="12"/>
      <c r="E120" s="14"/>
      <c r="F120" s="96"/>
    </row>
    <row r="121">
      <c r="A121" s="12"/>
      <c r="E121" s="14"/>
      <c r="F121" s="96"/>
    </row>
    <row r="122">
      <c r="A122" s="12"/>
      <c r="E122" s="14"/>
      <c r="F122" s="96"/>
    </row>
    <row r="123">
      <c r="A123" s="12"/>
      <c r="E123" s="14"/>
      <c r="F123" s="96"/>
    </row>
    <row r="124">
      <c r="A124" s="12"/>
      <c r="E124" s="14"/>
      <c r="F124" s="96"/>
    </row>
    <row r="125">
      <c r="A125" s="12"/>
      <c r="E125" s="14"/>
      <c r="F125" s="96"/>
    </row>
    <row r="126">
      <c r="A126" s="12"/>
      <c r="E126" s="14"/>
      <c r="F126" s="96"/>
    </row>
    <row r="127">
      <c r="A127" s="12"/>
      <c r="E127" s="14"/>
      <c r="F127" s="96"/>
    </row>
    <row r="128">
      <c r="A128" s="12"/>
      <c r="E128" s="14"/>
      <c r="F128" s="96"/>
    </row>
    <row r="129">
      <c r="A129" s="12"/>
      <c r="E129" s="14"/>
      <c r="F129" s="96"/>
    </row>
    <row r="130">
      <c r="A130" s="12"/>
      <c r="E130" s="14"/>
      <c r="F130" s="96"/>
    </row>
    <row r="131">
      <c r="A131" s="12"/>
      <c r="E131" s="14"/>
      <c r="F131" s="96"/>
    </row>
    <row r="132">
      <c r="A132" s="12"/>
      <c r="E132" s="14"/>
      <c r="F132" s="96"/>
    </row>
    <row r="133">
      <c r="A133" s="12"/>
      <c r="E133" s="14"/>
      <c r="F133" s="96"/>
    </row>
    <row r="134">
      <c r="A134" s="12"/>
      <c r="E134" s="14"/>
      <c r="F134" s="96"/>
    </row>
    <row r="135">
      <c r="A135" s="12"/>
      <c r="E135" s="14"/>
      <c r="F135" s="96"/>
    </row>
    <row r="136">
      <c r="A136" s="12"/>
      <c r="E136" s="14"/>
      <c r="F136" s="96"/>
    </row>
    <row r="137">
      <c r="A137" s="12"/>
      <c r="E137" s="14"/>
      <c r="F137" s="96"/>
    </row>
    <row r="138">
      <c r="A138" s="12"/>
      <c r="E138" s="14"/>
      <c r="F138" s="96"/>
    </row>
    <row r="139">
      <c r="A139" s="12"/>
      <c r="E139" s="14"/>
      <c r="F139" s="96"/>
    </row>
    <row r="140">
      <c r="A140" s="12"/>
      <c r="E140" s="14"/>
      <c r="F140" s="96"/>
    </row>
    <row r="141">
      <c r="A141" s="12"/>
      <c r="E141" s="14"/>
      <c r="F141" s="96"/>
    </row>
    <row r="142">
      <c r="A142" s="12"/>
      <c r="E142" s="14"/>
      <c r="F142" s="96"/>
    </row>
    <row r="143">
      <c r="A143" s="12"/>
      <c r="E143" s="14"/>
      <c r="F143" s="96"/>
    </row>
    <row r="144">
      <c r="A144" s="12"/>
      <c r="E144" s="14"/>
      <c r="F144" s="96"/>
    </row>
    <row r="145">
      <c r="A145" s="12"/>
      <c r="E145" s="14"/>
      <c r="F145" s="96"/>
    </row>
    <row r="146">
      <c r="A146" s="12"/>
      <c r="E146" s="14"/>
      <c r="F146" s="96"/>
    </row>
    <row r="147">
      <c r="A147" s="12"/>
      <c r="E147" s="14"/>
      <c r="F147" s="96"/>
    </row>
    <row r="148">
      <c r="A148" s="12"/>
      <c r="E148" s="14"/>
      <c r="F148" s="96"/>
    </row>
    <row r="149">
      <c r="A149" s="12"/>
      <c r="E149" s="14"/>
      <c r="F149" s="96"/>
    </row>
    <row r="150">
      <c r="A150" s="12"/>
      <c r="E150" s="14"/>
      <c r="F150" s="96"/>
    </row>
    <row r="151">
      <c r="A151" s="12"/>
      <c r="E151" s="14"/>
      <c r="F151" s="96"/>
    </row>
    <row r="152">
      <c r="A152" s="12"/>
      <c r="E152" s="14"/>
      <c r="F152" s="96"/>
    </row>
    <row r="153">
      <c r="A153" s="12"/>
      <c r="E153" s="14"/>
      <c r="F153" s="96"/>
    </row>
    <row r="154">
      <c r="A154" s="12"/>
      <c r="E154" s="14"/>
      <c r="F154" s="96"/>
    </row>
    <row r="155">
      <c r="A155" s="12"/>
      <c r="E155" s="14"/>
      <c r="F155" s="96"/>
    </row>
    <row r="156">
      <c r="A156" s="12"/>
      <c r="E156" s="14"/>
      <c r="F156" s="96"/>
    </row>
    <row r="157">
      <c r="A157" s="12"/>
      <c r="E157" s="14"/>
      <c r="F157" s="96"/>
    </row>
    <row r="158">
      <c r="A158" s="12"/>
      <c r="E158" s="14"/>
      <c r="F158" s="96"/>
    </row>
    <row r="159">
      <c r="A159" s="12"/>
      <c r="E159" s="14"/>
      <c r="F159" s="96"/>
    </row>
    <row r="160">
      <c r="A160" s="12"/>
      <c r="E160" s="14"/>
      <c r="F160" s="96"/>
    </row>
    <row r="161">
      <c r="A161" s="12"/>
      <c r="E161" s="14"/>
      <c r="F161" s="96"/>
    </row>
    <row r="162">
      <c r="A162" s="12"/>
      <c r="E162" s="14"/>
      <c r="F162" s="96"/>
    </row>
    <row r="163">
      <c r="A163" s="12"/>
      <c r="E163" s="14"/>
      <c r="F163" s="96"/>
    </row>
    <row r="164">
      <c r="A164" s="12"/>
      <c r="E164" s="14"/>
      <c r="F164" s="96"/>
    </row>
    <row r="165">
      <c r="A165" s="12"/>
      <c r="E165" s="14"/>
      <c r="F165" s="96"/>
    </row>
    <row r="166">
      <c r="A166" s="12"/>
      <c r="E166" s="14"/>
      <c r="F166" s="96"/>
    </row>
    <row r="167">
      <c r="A167" s="12"/>
      <c r="E167" s="14"/>
      <c r="F167" s="96"/>
    </row>
    <row r="168">
      <c r="A168" s="12"/>
      <c r="E168" s="14"/>
      <c r="F168" s="96"/>
    </row>
    <row r="169">
      <c r="A169" s="12"/>
      <c r="E169" s="14"/>
      <c r="F169" s="96"/>
    </row>
    <row r="170">
      <c r="A170" s="12"/>
      <c r="E170" s="14"/>
      <c r="F170" s="96"/>
    </row>
    <row r="171">
      <c r="A171" s="12"/>
      <c r="E171" s="14"/>
      <c r="F171" s="96"/>
    </row>
    <row r="172">
      <c r="A172" s="12"/>
      <c r="E172" s="14"/>
      <c r="F172" s="96"/>
    </row>
    <row r="173">
      <c r="A173" s="12"/>
      <c r="E173" s="14"/>
      <c r="F173" s="96"/>
    </row>
    <row r="174">
      <c r="A174" s="12"/>
      <c r="E174" s="14"/>
      <c r="F174" s="96"/>
    </row>
    <row r="175">
      <c r="A175" s="12"/>
      <c r="E175" s="14"/>
      <c r="F175" s="96"/>
    </row>
    <row r="176">
      <c r="A176" s="12"/>
      <c r="E176" s="14"/>
      <c r="F176" s="96"/>
    </row>
    <row r="177">
      <c r="A177" s="12"/>
      <c r="E177" s="14"/>
      <c r="F177" s="96"/>
    </row>
    <row r="178">
      <c r="A178" s="12"/>
      <c r="E178" s="14"/>
      <c r="F178" s="96"/>
    </row>
    <row r="179">
      <c r="A179" s="12"/>
      <c r="E179" s="14"/>
      <c r="F179" s="96"/>
    </row>
    <row r="180">
      <c r="A180" s="12"/>
      <c r="E180" s="14"/>
      <c r="F180" s="96"/>
    </row>
    <row r="181">
      <c r="A181" s="12"/>
      <c r="E181" s="14"/>
      <c r="F181" s="96"/>
    </row>
    <row r="182">
      <c r="A182" s="12"/>
      <c r="E182" s="14"/>
      <c r="F182" s="96"/>
    </row>
    <row r="183">
      <c r="A183" s="12"/>
      <c r="E183" s="14"/>
      <c r="F183" s="96"/>
    </row>
    <row r="184">
      <c r="A184" s="12"/>
      <c r="E184" s="14"/>
      <c r="F184" s="96"/>
    </row>
    <row r="185">
      <c r="A185" s="12"/>
      <c r="E185" s="14"/>
      <c r="F185" s="96"/>
    </row>
    <row r="186">
      <c r="A186" s="12"/>
      <c r="E186" s="14"/>
      <c r="F186" s="96"/>
    </row>
    <row r="187">
      <c r="A187" s="12"/>
      <c r="E187" s="14"/>
      <c r="F187" s="96"/>
    </row>
    <row r="188">
      <c r="A188" s="12"/>
      <c r="E188" s="14"/>
      <c r="F188" s="96"/>
    </row>
    <row r="189">
      <c r="A189" s="12"/>
      <c r="E189" s="14"/>
      <c r="F189" s="96"/>
    </row>
    <row r="190">
      <c r="A190" s="12"/>
      <c r="E190" s="14"/>
      <c r="F190" s="96"/>
    </row>
    <row r="191">
      <c r="A191" s="12"/>
      <c r="E191" s="14"/>
      <c r="F191" s="96"/>
    </row>
    <row r="192">
      <c r="A192" s="12"/>
      <c r="E192" s="14"/>
      <c r="F192" s="96"/>
    </row>
    <row r="193">
      <c r="A193" s="12"/>
      <c r="E193" s="14"/>
      <c r="F193" s="96"/>
    </row>
    <row r="194">
      <c r="A194" s="12"/>
      <c r="E194" s="14"/>
      <c r="F194" s="96"/>
    </row>
    <row r="195">
      <c r="A195" s="12"/>
      <c r="E195" s="14"/>
      <c r="F195" s="96"/>
    </row>
    <row r="196">
      <c r="A196" s="12"/>
      <c r="E196" s="14"/>
      <c r="F196" s="96"/>
    </row>
    <row r="197">
      <c r="A197" s="12"/>
      <c r="E197" s="14"/>
      <c r="F197" s="96"/>
    </row>
    <row r="198">
      <c r="A198" s="12"/>
      <c r="E198" s="14"/>
      <c r="F198" s="96"/>
    </row>
    <row r="199">
      <c r="A199" s="12"/>
      <c r="E199" s="14"/>
      <c r="F199" s="96"/>
    </row>
    <row r="200">
      <c r="A200" s="12"/>
      <c r="E200" s="14"/>
      <c r="F200" s="96"/>
    </row>
    <row r="201">
      <c r="A201" s="12"/>
      <c r="E201" s="14"/>
      <c r="F201" s="96"/>
    </row>
    <row r="202">
      <c r="A202" s="12"/>
      <c r="E202" s="14"/>
      <c r="F202" s="96"/>
    </row>
    <row r="203">
      <c r="A203" s="12"/>
      <c r="E203" s="14"/>
      <c r="F203" s="96"/>
    </row>
    <row r="204">
      <c r="A204" s="12"/>
      <c r="E204" s="14"/>
      <c r="F204" s="96"/>
    </row>
    <row r="205">
      <c r="A205" s="12"/>
      <c r="E205" s="14"/>
      <c r="F205" s="96"/>
    </row>
    <row r="206">
      <c r="A206" s="12"/>
      <c r="E206" s="14"/>
      <c r="F206" s="96"/>
    </row>
    <row r="207">
      <c r="A207" s="12"/>
      <c r="E207" s="14"/>
      <c r="F207" s="96"/>
    </row>
    <row r="208">
      <c r="A208" s="12"/>
      <c r="E208" s="14"/>
      <c r="F208" s="96"/>
    </row>
    <row r="209">
      <c r="A209" s="12"/>
      <c r="E209" s="14"/>
      <c r="F209" s="96"/>
    </row>
    <row r="210">
      <c r="A210" s="12"/>
      <c r="E210" s="14"/>
      <c r="F210" s="96"/>
    </row>
    <row r="211">
      <c r="A211" s="12"/>
      <c r="E211" s="14"/>
      <c r="F211" s="96"/>
    </row>
    <row r="212">
      <c r="A212" s="12"/>
      <c r="E212" s="14"/>
      <c r="F212" s="96"/>
    </row>
    <row r="213">
      <c r="A213" s="12"/>
      <c r="E213" s="14"/>
      <c r="F213" s="96"/>
    </row>
    <row r="214">
      <c r="A214" s="12"/>
      <c r="E214" s="14"/>
      <c r="F214" s="96"/>
    </row>
    <row r="215">
      <c r="A215" s="12"/>
      <c r="E215" s="14"/>
      <c r="F215" s="96"/>
    </row>
    <row r="216">
      <c r="A216" s="12"/>
      <c r="E216" s="14"/>
      <c r="F216" s="96"/>
    </row>
    <row r="217">
      <c r="A217" s="12"/>
      <c r="E217" s="14"/>
      <c r="F217" s="96"/>
    </row>
    <row r="218">
      <c r="A218" s="12"/>
      <c r="E218" s="14"/>
      <c r="F218" s="96"/>
    </row>
    <row r="219">
      <c r="A219" s="12"/>
      <c r="E219" s="14"/>
      <c r="F219" s="96"/>
    </row>
    <row r="220">
      <c r="A220" s="12"/>
      <c r="E220" s="14"/>
      <c r="F220" s="96"/>
    </row>
    <row r="221">
      <c r="A221" s="12"/>
      <c r="E221" s="14"/>
      <c r="F221" s="96"/>
    </row>
    <row r="222">
      <c r="A222" s="12"/>
      <c r="E222" s="14"/>
      <c r="F222" s="96"/>
    </row>
    <row r="223">
      <c r="A223" s="12"/>
      <c r="E223" s="14"/>
      <c r="F223" s="96"/>
    </row>
    <row r="224">
      <c r="A224" s="12"/>
      <c r="E224" s="14"/>
      <c r="F224" s="96"/>
    </row>
    <row r="225">
      <c r="A225" s="12"/>
      <c r="E225" s="14"/>
      <c r="F225" s="96"/>
    </row>
    <row r="226">
      <c r="A226" s="12"/>
      <c r="E226" s="14"/>
      <c r="F226" s="96"/>
    </row>
    <row r="227">
      <c r="A227" s="12"/>
      <c r="E227" s="14"/>
      <c r="F227" s="96"/>
    </row>
    <row r="228">
      <c r="A228" s="12"/>
      <c r="E228" s="14"/>
      <c r="F228" s="96"/>
    </row>
    <row r="229">
      <c r="A229" s="12"/>
      <c r="E229" s="14"/>
      <c r="F229" s="96"/>
    </row>
    <row r="230">
      <c r="A230" s="12"/>
      <c r="E230" s="14"/>
      <c r="F230" s="96"/>
    </row>
    <row r="231">
      <c r="A231" s="12"/>
      <c r="E231" s="14"/>
      <c r="F231" s="96"/>
    </row>
    <row r="232">
      <c r="A232" s="12"/>
      <c r="E232" s="14"/>
      <c r="F232" s="96"/>
    </row>
    <row r="233">
      <c r="A233" s="12"/>
      <c r="E233" s="14"/>
      <c r="F233" s="96"/>
    </row>
    <row r="234">
      <c r="A234" s="12"/>
      <c r="E234" s="14"/>
      <c r="F234" s="96"/>
    </row>
    <row r="235">
      <c r="A235" s="12"/>
      <c r="E235" s="14"/>
      <c r="F235" s="96"/>
    </row>
    <row r="236">
      <c r="A236" s="12"/>
      <c r="E236" s="14"/>
      <c r="F236" s="96"/>
    </row>
    <row r="237">
      <c r="A237" s="12"/>
      <c r="E237" s="14"/>
      <c r="F237" s="96"/>
    </row>
    <row r="238">
      <c r="A238" s="12"/>
      <c r="E238" s="14"/>
      <c r="F238" s="96"/>
    </row>
    <row r="239">
      <c r="A239" s="12"/>
      <c r="E239" s="14"/>
      <c r="F239" s="96"/>
    </row>
    <row r="240">
      <c r="A240" s="12"/>
      <c r="E240" s="14"/>
      <c r="F240" s="96"/>
    </row>
    <row r="241">
      <c r="A241" s="12"/>
      <c r="E241" s="14"/>
      <c r="F241" s="96"/>
    </row>
    <row r="242">
      <c r="A242" s="12"/>
      <c r="E242" s="14"/>
      <c r="F242" s="96"/>
    </row>
    <row r="243">
      <c r="A243" s="12"/>
      <c r="E243" s="14"/>
      <c r="F243" s="96"/>
    </row>
    <row r="244">
      <c r="A244" s="12"/>
      <c r="E244" s="14"/>
      <c r="F244" s="96"/>
    </row>
    <row r="245">
      <c r="A245" s="12"/>
      <c r="E245" s="14"/>
      <c r="F245" s="96"/>
    </row>
    <row r="246">
      <c r="A246" s="12"/>
      <c r="E246" s="14"/>
      <c r="F246" s="96"/>
    </row>
    <row r="247">
      <c r="A247" s="12"/>
      <c r="E247" s="14"/>
      <c r="F247" s="96"/>
    </row>
    <row r="248">
      <c r="A248" s="12"/>
      <c r="E248" s="14"/>
      <c r="F248" s="96"/>
    </row>
    <row r="249">
      <c r="A249" s="12"/>
      <c r="E249" s="14"/>
      <c r="F249" s="96"/>
    </row>
    <row r="250">
      <c r="A250" s="12"/>
      <c r="E250" s="14"/>
      <c r="F250" s="96"/>
    </row>
    <row r="251">
      <c r="A251" s="12"/>
      <c r="E251" s="14"/>
      <c r="F251" s="96"/>
    </row>
    <row r="252">
      <c r="A252" s="12"/>
      <c r="E252" s="14"/>
      <c r="F252" s="96"/>
    </row>
    <row r="253">
      <c r="A253" s="12"/>
      <c r="E253" s="14"/>
      <c r="F253" s="96"/>
    </row>
    <row r="254">
      <c r="A254" s="12"/>
      <c r="E254" s="14"/>
      <c r="F254" s="96"/>
    </row>
    <row r="255">
      <c r="A255" s="12"/>
      <c r="E255" s="14"/>
      <c r="F255" s="96"/>
    </row>
    <row r="256">
      <c r="A256" s="12"/>
      <c r="E256" s="14"/>
      <c r="F256" s="96"/>
    </row>
    <row r="257">
      <c r="A257" s="12"/>
      <c r="E257" s="14"/>
      <c r="F257" s="96"/>
    </row>
    <row r="258">
      <c r="A258" s="12"/>
      <c r="E258" s="14"/>
      <c r="F258" s="96"/>
    </row>
    <row r="259">
      <c r="A259" s="12"/>
      <c r="E259" s="14"/>
      <c r="F259" s="96"/>
    </row>
    <row r="260">
      <c r="A260" s="12"/>
      <c r="E260" s="14"/>
      <c r="F260" s="96"/>
    </row>
    <row r="261">
      <c r="A261" s="12"/>
      <c r="E261" s="14"/>
      <c r="F261" s="96"/>
    </row>
    <row r="262">
      <c r="A262" s="12"/>
      <c r="E262" s="14"/>
      <c r="F262" s="96"/>
    </row>
    <row r="263">
      <c r="A263" s="12"/>
      <c r="E263" s="14"/>
      <c r="F263" s="96"/>
    </row>
    <row r="264">
      <c r="A264" s="12"/>
      <c r="E264" s="14"/>
      <c r="F264" s="96"/>
    </row>
    <row r="265">
      <c r="A265" s="12"/>
      <c r="E265" s="14"/>
      <c r="F265" s="96"/>
    </row>
    <row r="266">
      <c r="A266" s="12"/>
      <c r="E266" s="14"/>
      <c r="F266" s="96"/>
    </row>
    <row r="267">
      <c r="A267" s="12"/>
      <c r="E267" s="14"/>
      <c r="F267" s="96"/>
    </row>
    <row r="268">
      <c r="A268" s="12"/>
      <c r="E268" s="14"/>
      <c r="F268" s="96"/>
    </row>
    <row r="269">
      <c r="A269" s="12"/>
      <c r="E269" s="14"/>
      <c r="F269" s="96"/>
    </row>
    <row r="270">
      <c r="A270" s="12"/>
      <c r="E270" s="14"/>
      <c r="F270" s="96"/>
    </row>
    <row r="271">
      <c r="A271" s="12"/>
      <c r="E271" s="14"/>
      <c r="F271" s="96"/>
    </row>
    <row r="272">
      <c r="A272" s="12"/>
      <c r="E272" s="14"/>
      <c r="F272" s="96"/>
    </row>
    <row r="273">
      <c r="A273" s="12"/>
      <c r="E273" s="14"/>
      <c r="F273" s="96"/>
    </row>
    <row r="274">
      <c r="A274" s="12"/>
      <c r="E274" s="14"/>
      <c r="F274" s="96"/>
    </row>
    <row r="275">
      <c r="A275" s="12"/>
      <c r="E275" s="14"/>
      <c r="F275" s="96"/>
    </row>
    <row r="276">
      <c r="A276" s="12"/>
      <c r="E276" s="14"/>
      <c r="F276" s="96"/>
    </row>
    <row r="277">
      <c r="A277" s="12"/>
      <c r="E277" s="14"/>
      <c r="F277" s="96"/>
    </row>
    <row r="278">
      <c r="A278" s="12"/>
      <c r="E278" s="14"/>
      <c r="F278" s="96"/>
    </row>
    <row r="279">
      <c r="A279" s="12"/>
      <c r="E279" s="14"/>
      <c r="F279" s="96"/>
    </row>
    <row r="280">
      <c r="A280" s="12"/>
      <c r="E280" s="14"/>
      <c r="F280" s="96"/>
    </row>
    <row r="281">
      <c r="A281" s="12"/>
      <c r="E281" s="14"/>
      <c r="F281" s="96"/>
    </row>
    <row r="282">
      <c r="A282" s="12"/>
      <c r="E282" s="14"/>
      <c r="F282" s="96"/>
    </row>
    <row r="283">
      <c r="A283" s="12"/>
      <c r="E283" s="14"/>
      <c r="F283" s="96"/>
    </row>
    <row r="284">
      <c r="A284" s="12"/>
      <c r="E284" s="14"/>
      <c r="F284" s="96"/>
    </row>
    <row r="285">
      <c r="A285" s="12"/>
      <c r="E285" s="14"/>
      <c r="F285" s="96"/>
    </row>
    <row r="286">
      <c r="A286" s="12"/>
      <c r="E286" s="14"/>
      <c r="F286" s="96"/>
    </row>
    <row r="287">
      <c r="A287" s="12"/>
      <c r="E287" s="14"/>
      <c r="F287" s="96"/>
    </row>
    <row r="288">
      <c r="A288" s="12"/>
      <c r="E288" s="14"/>
      <c r="F288" s="96"/>
    </row>
    <row r="289">
      <c r="A289" s="12"/>
      <c r="E289" s="14"/>
      <c r="F289" s="96"/>
    </row>
    <row r="290">
      <c r="A290" s="12"/>
      <c r="E290" s="14"/>
      <c r="F290" s="96"/>
    </row>
    <row r="291">
      <c r="A291" s="12"/>
      <c r="E291" s="14"/>
      <c r="F291" s="96"/>
    </row>
    <row r="292">
      <c r="A292" s="12"/>
      <c r="E292" s="14"/>
      <c r="F292" s="96"/>
    </row>
    <row r="293">
      <c r="A293" s="12"/>
      <c r="E293" s="14"/>
      <c r="F293" s="96"/>
    </row>
    <row r="294">
      <c r="A294" s="12"/>
      <c r="E294" s="14"/>
      <c r="F294" s="96"/>
    </row>
    <row r="295">
      <c r="A295" s="12"/>
      <c r="E295" s="14"/>
      <c r="F295" s="96"/>
    </row>
    <row r="296">
      <c r="A296" s="12"/>
      <c r="E296" s="14"/>
      <c r="F296" s="96"/>
    </row>
    <row r="297">
      <c r="A297" s="12"/>
      <c r="E297" s="14"/>
      <c r="F297" s="96"/>
    </row>
    <row r="298">
      <c r="A298" s="12"/>
      <c r="E298" s="14"/>
      <c r="F298" s="96"/>
    </row>
    <row r="299">
      <c r="A299" s="12"/>
      <c r="E299" s="14"/>
      <c r="F299" s="96"/>
    </row>
    <row r="300">
      <c r="A300" s="12"/>
      <c r="E300" s="14"/>
      <c r="F300" s="96"/>
    </row>
    <row r="301">
      <c r="A301" s="12"/>
      <c r="E301" s="14"/>
      <c r="F301" s="96"/>
    </row>
    <row r="302">
      <c r="A302" s="12"/>
      <c r="E302" s="14"/>
      <c r="F302" s="96"/>
    </row>
    <row r="303">
      <c r="A303" s="12"/>
      <c r="E303" s="14"/>
      <c r="F303" s="96"/>
    </row>
    <row r="304">
      <c r="A304" s="12"/>
      <c r="E304" s="14"/>
      <c r="F304" s="96"/>
    </row>
    <row r="305">
      <c r="A305" s="12"/>
      <c r="E305" s="14"/>
      <c r="F305" s="96"/>
    </row>
    <row r="306">
      <c r="A306" s="12"/>
      <c r="E306" s="14"/>
      <c r="F306" s="96"/>
    </row>
    <row r="307">
      <c r="A307" s="12"/>
      <c r="E307" s="14"/>
      <c r="F307" s="96"/>
    </row>
    <row r="308">
      <c r="A308" s="12"/>
      <c r="E308" s="14"/>
      <c r="F308" s="96"/>
    </row>
    <row r="309">
      <c r="A309" s="12"/>
      <c r="E309" s="14"/>
      <c r="F309" s="96"/>
    </row>
    <row r="310">
      <c r="A310" s="12"/>
      <c r="E310" s="14"/>
      <c r="F310" s="96"/>
    </row>
    <row r="311">
      <c r="A311" s="12"/>
      <c r="E311" s="14"/>
      <c r="F311" s="96"/>
    </row>
    <row r="312">
      <c r="A312" s="12"/>
      <c r="E312" s="14"/>
      <c r="F312" s="96"/>
    </row>
    <row r="313">
      <c r="A313" s="12"/>
      <c r="E313" s="14"/>
      <c r="F313" s="96"/>
    </row>
    <row r="314">
      <c r="A314" s="12"/>
      <c r="E314" s="14"/>
      <c r="F314" s="96"/>
    </row>
    <row r="315">
      <c r="A315" s="12"/>
      <c r="E315" s="14"/>
      <c r="F315" s="96"/>
    </row>
    <row r="316">
      <c r="A316" s="12"/>
      <c r="E316" s="14"/>
      <c r="F316" s="96"/>
    </row>
    <row r="317">
      <c r="A317" s="12"/>
      <c r="E317" s="14"/>
      <c r="F317" s="96"/>
    </row>
    <row r="318">
      <c r="A318" s="12"/>
      <c r="E318" s="14"/>
      <c r="F318" s="96"/>
    </row>
    <row r="319">
      <c r="A319" s="12"/>
      <c r="E319" s="14"/>
      <c r="F319" s="96"/>
    </row>
    <row r="320">
      <c r="A320" s="12"/>
      <c r="E320" s="14"/>
      <c r="F320" s="96"/>
    </row>
    <row r="321">
      <c r="A321" s="12"/>
      <c r="E321" s="14"/>
      <c r="F321" s="96"/>
    </row>
    <row r="322">
      <c r="A322" s="12"/>
      <c r="E322" s="14"/>
      <c r="F322" s="96"/>
    </row>
    <row r="323">
      <c r="A323" s="12"/>
      <c r="E323" s="14"/>
      <c r="F323" s="96"/>
    </row>
    <row r="324">
      <c r="A324" s="12"/>
      <c r="E324" s="14"/>
      <c r="F324" s="96"/>
    </row>
    <row r="325">
      <c r="A325" s="12"/>
      <c r="E325" s="14"/>
      <c r="F325" s="96"/>
    </row>
    <row r="326">
      <c r="A326" s="12"/>
      <c r="E326" s="14"/>
      <c r="F326" s="96"/>
    </row>
    <row r="327">
      <c r="A327" s="12"/>
      <c r="E327" s="14"/>
      <c r="F327" s="96"/>
    </row>
    <row r="328">
      <c r="A328" s="12"/>
      <c r="E328" s="14"/>
      <c r="F328" s="96"/>
    </row>
    <row r="329">
      <c r="A329" s="12"/>
      <c r="E329" s="14"/>
      <c r="F329" s="96"/>
    </row>
    <row r="330">
      <c r="A330" s="12"/>
      <c r="E330" s="14"/>
      <c r="F330" s="96"/>
    </row>
    <row r="331">
      <c r="A331" s="12"/>
      <c r="E331" s="14"/>
      <c r="F331" s="96"/>
    </row>
    <row r="332">
      <c r="A332" s="12"/>
      <c r="E332" s="14"/>
      <c r="F332" s="96"/>
    </row>
    <row r="333">
      <c r="A333" s="12"/>
      <c r="E333" s="14"/>
      <c r="F333" s="96"/>
    </row>
    <row r="334">
      <c r="A334" s="12"/>
      <c r="E334" s="14"/>
      <c r="F334" s="96"/>
    </row>
    <row r="335">
      <c r="A335" s="12"/>
      <c r="E335" s="14"/>
      <c r="F335" s="96"/>
    </row>
    <row r="336">
      <c r="A336" s="12"/>
      <c r="E336" s="14"/>
      <c r="F336" s="96"/>
    </row>
    <row r="337">
      <c r="A337" s="12"/>
      <c r="E337" s="14"/>
      <c r="F337" s="96"/>
    </row>
    <row r="338">
      <c r="A338" s="12"/>
      <c r="E338" s="14"/>
      <c r="F338" s="96"/>
    </row>
    <row r="339">
      <c r="A339" s="12"/>
      <c r="E339" s="14"/>
      <c r="F339" s="96"/>
    </row>
    <row r="340">
      <c r="A340" s="12"/>
      <c r="E340" s="14"/>
      <c r="F340" s="96"/>
    </row>
    <row r="341">
      <c r="A341" s="12"/>
      <c r="E341" s="14"/>
      <c r="F341" s="96"/>
    </row>
    <row r="342">
      <c r="A342" s="12"/>
      <c r="E342" s="14"/>
      <c r="F342" s="96"/>
    </row>
    <row r="343">
      <c r="A343" s="12"/>
      <c r="E343" s="14"/>
      <c r="F343" s="96"/>
    </row>
    <row r="344">
      <c r="A344" s="12"/>
      <c r="E344" s="14"/>
      <c r="F344" s="96"/>
    </row>
    <row r="345">
      <c r="A345" s="12"/>
      <c r="E345" s="14"/>
      <c r="F345" s="96"/>
    </row>
    <row r="346">
      <c r="A346" s="12"/>
      <c r="E346" s="14"/>
      <c r="F346" s="96"/>
    </row>
    <row r="347">
      <c r="A347" s="12"/>
      <c r="E347" s="14"/>
      <c r="F347" s="96"/>
    </row>
    <row r="348">
      <c r="A348" s="12"/>
      <c r="E348" s="14"/>
      <c r="F348" s="96"/>
    </row>
    <row r="349">
      <c r="A349" s="12"/>
      <c r="E349" s="14"/>
      <c r="F349" s="96"/>
    </row>
    <row r="350">
      <c r="A350" s="12"/>
      <c r="E350" s="14"/>
      <c r="F350" s="96"/>
    </row>
    <row r="351">
      <c r="A351" s="12"/>
      <c r="E351" s="14"/>
      <c r="F351" s="96"/>
    </row>
    <row r="352">
      <c r="A352" s="12"/>
      <c r="E352" s="14"/>
      <c r="F352" s="96"/>
    </row>
    <row r="353">
      <c r="A353" s="12"/>
      <c r="E353" s="14"/>
      <c r="F353" s="96"/>
    </row>
    <row r="354">
      <c r="A354" s="12"/>
      <c r="E354" s="14"/>
      <c r="F354" s="96"/>
    </row>
    <row r="355">
      <c r="A355" s="12"/>
      <c r="E355" s="14"/>
      <c r="F355" s="96"/>
    </row>
    <row r="356">
      <c r="A356" s="12"/>
      <c r="E356" s="14"/>
      <c r="F356" s="96"/>
    </row>
    <row r="357">
      <c r="A357" s="12"/>
      <c r="E357" s="14"/>
      <c r="F357" s="96"/>
    </row>
    <row r="358">
      <c r="A358" s="12"/>
      <c r="E358" s="14"/>
      <c r="F358" s="96"/>
    </row>
    <row r="359">
      <c r="A359" s="12"/>
      <c r="E359" s="14"/>
      <c r="F359" s="96"/>
    </row>
    <row r="360">
      <c r="A360" s="12"/>
      <c r="E360" s="14"/>
      <c r="F360" s="96"/>
    </row>
    <row r="361">
      <c r="A361" s="12"/>
      <c r="E361" s="14"/>
      <c r="F361" s="96"/>
    </row>
    <row r="362">
      <c r="A362" s="12"/>
      <c r="E362" s="14"/>
      <c r="F362" s="96"/>
    </row>
    <row r="363">
      <c r="A363" s="12"/>
      <c r="E363" s="14"/>
      <c r="F363" s="96"/>
    </row>
    <row r="364">
      <c r="A364" s="12"/>
      <c r="E364" s="14"/>
      <c r="F364" s="96"/>
    </row>
    <row r="365">
      <c r="A365" s="12"/>
      <c r="E365" s="14"/>
      <c r="F365" s="96"/>
    </row>
    <row r="366">
      <c r="A366" s="12"/>
      <c r="E366" s="14"/>
      <c r="F366" s="96"/>
    </row>
    <row r="367">
      <c r="A367" s="12"/>
      <c r="E367" s="14"/>
      <c r="F367" s="96"/>
    </row>
    <row r="368">
      <c r="A368" s="12"/>
      <c r="E368" s="14"/>
      <c r="F368" s="96"/>
    </row>
    <row r="369">
      <c r="A369" s="12"/>
      <c r="E369" s="14"/>
      <c r="F369" s="96"/>
    </row>
    <row r="370">
      <c r="A370" s="12"/>
      <c r="E370" s="14"/>
      <c r="F370" s="96"/>
    </row>
    <row r="371">
      <c r="A371" s="12"/>
      <c r="E371" s="14"/>
      <c r="F371" s="96"/>
    </row>
    <row r="372">
      <c r="A372" s="12"/>
      <c r="E372" s="14"/>
      <c r="F372" s="96"/>
    </row>
    <row r="373">
      <c r="A373" s="12"/>
      <c r="E373" s="14"/>
      <c r="F373" s="96"/>
    </row>
    <row r="374">
      <c r="A374" s="12"/>
      <c r="E374" s="14"/>
      <c r="F374" s="96"/>
    </row>
    <row r="375">
      <c r="A375" s="12"/>
      <c r="E375" s="14"/>
      <c r="F375" s="96"/>
    </row>
    <row r="376">
      <c r="A376" s="12"/>
      <c r="E376" s="14"/>
      <c r="F376" s="96"/>
    </row>
    <row r="377">
      <c r="A377" s="12"/>
      <c r="E377" s="14"/>
      <c r="F377" s="96"/>
    </row>
    <row r="378">
      <c r="A378" s="12"/>
      <c r="E378" s="14"/>
      <c r="F378" s="96"/>
    </row>
    <row r="379">
      <c r="A379" s="12"/>
      <c r="E379" s="14"/>
      <c r="F379" s="96"/>
    </row>
    <row r="380">
      <c r="A380" s="12"/>
      <c r="E380" s="14"/>
      <c r="F380" s="96"/>
    </row>
    <row r="381">
      <c r="A381" s="12"/>
      <c r="E381" s="14"/>
      <c r="F381" s="96"/>
    </row>
    <row r="382">
      <c r="A382" s="12"/>
      <c r="E382" s="14"/>
      <c r="F382" s="96"/>
    </row>
    <row r="383">
      <c r="A383" s="12"/>
      <c r="E383" s="14"/>
      <c r="F383" s="96"/>
    </row>
    <row r="384">
      <c r="A384" s="12"/>
      <c r="E384" s="14"/>
      <c r="F384" s="96"/>
    </row>
    <row r="385">
      <c r="A385" s="12"/>
      <c r="E385" s="14"/>
      <c r="F385" s="96"/>
    </row>
    <row r="386">
      <c r="A386" s="12"/>
      <c r="E386" s="14"/>
      <c r="F386" s="96"/>
    </row>
    <row r="387">
      <c r="A387" s="12"/>
      <c r="E387" s="14"/>
      <c r="F387" s="96"/>
    </row>
    <row r="388">
      <c r="A388" s="12"/>
      <c r="E388" s="14"/>
      <c r="F388" s="96"/>
    </row>
    <row r="389">
      <c r="A389" s="12"/>
      <c r="E389" s="14"/>
      <c r="F389" s="96"/>
    </row>
    <row r="390">
      <c r="A390" s="12"/>
      <c r="E390" s="14"/>
      <c r="F390" s="96"/>
    </row>
    <row r="391">
      <c r="A391" s="12"/>
      <c r="E391" s="14"/>
      <c r="F391" s="96"/>
    </row>
    <row r="392">
      <c r="A392" s="12"/>
      <c r="E392" s="14"/>
      <c r="F392" s="96"/>
    </row>
    <row r="393">
      <c r="A393" s="12"/>
      <c r="E393" s="14"/>
      <c r="F393" s="96"/>
    </row>
    <row r="394">
      <c r="A394" s="12"/>
      <c r="E394" s="14"/>
      <c r="F394" s="96"/>
    </row>
    <row r="395">
      <c r="A395" s="12"/>
      <c r="E395" s="14"/>
      <c r="F395" s="96"/>
    </row>
    <row r="396">
      <c r="A396" s="12"/>
      <c r="E396" s="14"/>
      <c r="F396" s="96"/>
    </row>
    <row r="397">
      <c r="A397" s="12"/>
      <c r="E397" s="14"/>
      <c r="F397" s="96"/>
    </row>
    <row r="398">
      <c r="A398" s="12"/>
      <c r="E398" s="14"/>
      <c r="F398" s="96"/>
    </row>
    <row r="399">
      <c r="A399" s="12"/>
      <c r="E399" s="14"/>
      <c r="F399" s="96"/>
    </row>
    <row r="400">
      <c r="A400" s="12"/>
      <c r="E400" s="14"/>
      <c r="F400" s="96"/>
    </row>
    <row r="401">
      <c r="A401" s="12"/>
      <c r="E401" s="14"/>
      <c r="F401" s="96"/>
    </row>
    <row r="402">
      <c r="A402" s="12"/>
      <c r="E402" s="14"/>
      <c r="F402" s="96"/>
    </row>
    <row r="403">
      <c r="A403" s="12"/>
      <c r="E403" s="14"/>
      <c r="F403" s="96"/>
    </row>
    <row r="404">
      <c r="A404" s="12"/>
      <c r="E404" s="14"/>
      <c r="F404" s="96"/>
    </row>
    <row r="405">
      <c r="A405" s="12"/>
      <c r="E405" s="14"/>
      <c r="F405" s="96"/>
    </row>
    <row r="406">
      <c r="A406" s="12"/>
      <c r="E406" s="14"/>
      <c r="F406" s="96"/>
    </row>
    <row r="407">
      <c r="A407" s="12"/>
      <c r="E407" s="14"/>
      <c r="F407" s="96"/>
    </row>
    <row r="408">
      <c r="A408" s="12"/>
      <c r="E408" s="14"/>
      <c r="F408" s="96"/>
    </row>
    <row r="409">
      <c r="A409" s="12"/>
      <c r="E409" s="14"/>
      <c r="F409" s="96"/>
    </row>
    <row r="410">
      <c r="A410" s="12"/>
      <c r="E410" s="14"/>
      <c r="F410" s="96"/>
    </row>
    <row r="411">
      <c r="A411" s="12"/>
      <c r="E411" s="14"/>
      <c r="F411" s="96"/>
    </row>
    <row r="412">
      <c r="A412" s="12"/>
      <c r="E412" s="14"/>
      <c r="F412" s="96"/>
    </row>
    <row r="413">
      <c r="A413" s="12"/>
      <c r="E413" s="14"/>
      <c r="F413" s="96"/>
    </row>
    <row r="414">
      <c r="A414" s="12"/>
      <c r="E414" s="14"/>
      <c r="F414" s="96"/>
    </row>
    <row r="415">
      <c r="A415" s="12"/>
      <c r="E415" s="14"/>
      <c r="F415" s="96"/>
    </row>
    <row r="416">
      <c r="A416" s="12"/>
      <c r="E416" s="14"/>
      <c r="F416" s="96"/>
    </row>
    <row r="417">
      <c r="A417" s="12"/>
      <c r="E417" s="14"/>
      <c r="F417" s="96"/>
    </row>
    <row r="418">
      <c r="A418" s="12"/>
      <c r="E418" s="14"/>
      <c r="F418" s="96"/>
    </row>
    <row r="419">
      <c r="A419" s="12"/>
      <c r="E419" s="14"/>
      <c r="F419" s="96"/>
    </row>
    <row r="420">
      <c r="A420" s="12"/>
      <c r="E420" s="14"/>
      <c r="F420" s="96"/>
    </row>
    <row r="421">
      <c r="A421" s="12"/>
      <c r="E421" s="14"/>
      <c r="F421" s="96"/>
    </row>
    <row r="422">
      <c r="A422" s="12"/>
      <c r="E422" s="14"/>
      <c r="F422" s="96"/>
    </row>
    <row r="423">
      <c r="A423" s="12"/>
      <c r="E423" s="14"/>
      <c r="F423" s="96"/>
    </row>
    <row r="424">
      <c r="A424" s="12"/>
      <c r="E424" s="14"/>
      <c r="F424" s="96"/>
    </row>
    <row r="425">
      <c r="A425" s="12"/>
      <c r="E425" s="14"/>
      <c r="F425" s="96"/>
    </row>
    <row r="426">
      <c r="A426" s="12"/>
      <c r="E426" s="14"/>
      <c r="F426" s="96"/>
    </row>
    <row r="427">
      <c r="A427" s="12"/>
      <c r="E427" s="14"/>
      <c r="F427" s="96"/>
    </row>
    <row r="428">
      <c r="A428" s="12"/>
      <c r="E428" s="14"/>
      <c r="F428" s="96"/>
    </row>
    <row r="429">
      <c r="A429" s="12"/>
      <c r="E429" s="14"/>
      <c r="F429" s="96"/>
    </row>
    <row r="430">
      <c r="A430" s="12"/>
      <c r="E430" s="14"/>
      <c r="F430" s="96"/>
    </row>
    <row r="431">
      <c r="A431" s="12"/>
      <c r="E431" s="14"/>
      <c r="F431" s="96"/>
    </row>
    <row r="432">
      <c r="A432" s="12"/>
      <c r="E432" s="14"/>
      <c r="F432" s="96"/>
    </row>
    <row r="433">
      <c r="A433" s="12"/>
      <c r="E433" s="14"/>
      <c r="F433" s="96"/>
    </row>
    <row r="434">
      <c r="A434" s="12"/>
      <c r="E434" s="14"/>
      <c r="F434" s="96"/>
    </row>
    <row r="435">
      <c r="A435" s="12"/>
      <c r="E435" s="14"/>
      <c r="F435" s="96"/>
    </row>
    <row r="436">
      <c r="A436" s="12"/>
      <c r="E436" s="14"/>
      <c r="F436" s="96"/>
    </row>
    <row r="437">
      <c r="A437" s="12"/>
      <c r="E437" s="14"/>
      <c r="F437" s="96"/>
    </row>
    <row r="438">
      <c r="A438" s="12"/>
      <c r="E438" s="14"/>
      <c r="F438" s="96"/>
    </row>
    <row r="439">
      <c r="A439" s="12"/>
      <c r="E439" s="14"/>
      <c r="F439" s="96"/>
    </row>
    <row r="440">
      <c r="A440" s="12"/>
      <c r="E440" s="14"/>
      <c r="F440" s="96"/>
    </row>
    <row r="441">
      <c r="A441" s="12"/>
      <c r="E441" s="14"/>
      <c r="F441" s="96"/>
    </row>
    <row r="442">
      <c r="A442" s="12"/>
      <c r="E442" s="14"/>
      <c r="F442" s="96"/>
    </row>
    <row r="443">
      <c r="A443" s="12"/>
      <c r="E443" s="14"/>
      <c r="F443" s="96"/>
    </row>
    <row r="444">
      <c r="A444" s="12"/>
      <c r="E444" s="14"/>
      <c r="F444" s="96"/>
    </row>
    <row r="445">
      <c r="A445" s="12"/>
      <c r="E445" s="14"/>
      <c r="F445" s="96"/>
    </row>
    <row r="446">
      <c r="A446" s="12"/>
      <c r="E446" s="14"/>
      <c r="F446" s="96"/>
    </row>
    <row r="447">
      <c r="A447" s="12"/>
      <c r="E447" s="14"/>
      <c r="F447" s="96"/>
    </row>
    <row r="448">
      <c r="A448" s="12"/>
      <c r="E448" s="14"/>
      <c r="F448" s="96"/>
    </row>
    <row r="449">
      <c r="A449" s="12"/>
      <c r="E449" s="14"/>
      <c r="F449" s="96"/>
    </row>
    <row r="450">
      <c r="A450" s="12"/>
      <c r="E450" s="14"/>
      <c r="F450" s="96"/>
    </row>
    <row r="451">
      <c r="A451" s="12"/>
      <c r="E451" s="14"/>
      <c r="F451" s="96"/>
    </row>
    <row r="452">
      <c r="A452" s="12"/>
      <c r="E452" s="14"/>
      <c r="F452" s="96"/>
    </row>
    <row r="453">
      <c r="A453" s="12"/>
      <c r="E453" s="14"/>
      <c r="F453" s="96"/>
    </row>
    <row r="454">
      <c r="A454" s="12"/>
      <c r="E454" s="14"/>
      <c r="F454" s="96"/>
    </row>
    <row r="455">
      <c r="A455" s="12"/>
      <c r="E455" s="14"/>
      <c r="F455" s="96"/>
    </row>
    <row r="456">
      <c r="A456" s="12"/>
      <c r="E456" s="14"/>
      <c r="F456" s="96"/>
    </row>
    <row r="457">
      <c r="A457" s="12"/>
      <c r="E457" s="14"/>
      <c r="F457" s="96"/>
    </row>
    <row r="458">
      <c r="A458" s="12"/>
      <c r="E458" s="14"/>
      <c r="F458" s="96"/>
    </row>
    <row r="459">
      <c r="A459" s="12"/>
      <c r="E459" s="14"/>
      <c r="F459" s="96"/>
    </row>
    <row r="460">
      <c r="A460" s="12"/>
      <c r="E460" s="14"/>
      <c r="F460" s="96"/>
    </row>
    <row r="461">
      <c r="A461" s="12"/>
      <c r="E461" s="14"/>
      <c r="F461" s="96"/>
    </row>
    <row r="462">
      <c r="A462" s="12"/>
      <c r="E462" s="14"/>
      <c r="F462" s="96"/>
    </row>
    <row r="463">
      <c r="A463" s="12"/>
      <c r="E463" s="14"/>
      <c r="F463" s="96"/>
    </row>
    <row r="464">
      <c r="A464" s="12"/>
      <c r="E464" s="14"/>
      <c r="F464" s="96"/>
    </row>
    <row r="465">
      <c r="A465" s="12"/>
      <c r="E465" s="14"/>
      <c r="F465" s="96"/>
    </row>
    <row r="466">
      <c r="A466" s="12"/>
      <c r="E466" s="14"/>
      <c r="F466" s="96"/>
    </row>
    <row r="467">
      <c r="A467" s="12"/>
      <c r="E467" s="14"/>
      <c r="F467" s="96"/>
    </row>
    <row r="468">
      <c r="A468" s="12"/>
      <c r="E468" s="14"/>
      <c r="F468" s="96"/>
    </row>
    <row r="469">
      <c r="A469" s="12"/>
      <c r="E469" s="14"/>
      <c r="F469" s="96"/>
    </row>
    <row r="470">
      <c r="A470" s="12"/>
      <c r="E470" s="14"/>
      <c r="F470" s="96"/>
    </row>
    <row r="471">
      <c r="A471" s="12"/>
      <c r="E471" s="14"/>
      <c r="F471" s="96"/>
    </row>
    <row r="472">
      <c r="A472" s="12"/>
      <c r="E472" s="14"/>
      <c r="F472" s="96"/>
    </row>
    <row r="473">
      <c r="A473" s="12"/>
      <c r="E473" s="14"/>
      <c r="F473" s="96"/>
    </row>
    <row r="474">
      <c r="A474" s="12"/>
      <c r="E474" s="14"/>
      <c r="F474" s="96"/>
    </row>
    <row r="475">
      <c r="A475" s="12"/>
      <c r="E475" s="14"/>
      <c r="F475" s="96"/>
    </row>
    <row r="476">
      <c r="A476" s="12"/>
      <c r="E476" s="14"/>
      <c r="F476" s="96"/>
    </row>
    <row r="477">
      <c r="A477" s="12"/>
      <c r="E477" s="14"/>
      <c r="F477" s="96"/>
    </row>
    <row r="478">
      <c r="A478" s="12"/>
      <c r="E478" s="14"/>
      <c r="F478" s="96"/>
    </row>
    <row r="479">
      <c r="A479" s="12"/>
      <c r="E479" s="14"/>
      <c r="F479" s="96"/>
    </row>
    <row r="480">
      <c r="A480" s="12"/>
      <c r="E480" s="14"/>
      <c r="F480" s="96"/>
    </row>
    <row r="481">
      <c r="A481" s="12"/>
      <c r="E481" s="14"/>
      <c r="F481" s="96"/>
    </row>
    <row r="482">
      <c r="A482" s="12"/>
      <c r="E482" s="14"/>
      <c r="F482" s="96"/>
    </row>
    <row r="483">
      <c r="A483" s="12"/>
      <c r="E483" s="14"/>
      <c r="F483" s="96"/>
    </row>
    <row r="484">
      <c r="A484" s="12"/>
      <c r="E484" s="14"/>
      <c r="F484" s="96"/>
    </row>
    <row r="485">
      <c r="A485" s="12"/>
      <c r="E485" s="14"/>
      <c r="F485" s="96"/>
    </row>
    <row r="486">
      <c r="A486" s="12"/>
      <c r="E486" s="14"/>
      <c r="F486" s="96"/>
    </row>
    <row r="487">
      <c r="A487" s="12"/>
      <c r="E487" s="14"/>
      <c r="F487" s="96"/>
    </row>
    <row r="488">
      <c r="A488" s="12"/>
      <c r="E488" s="14"/>
      <c r="F488" s="96"/>
    </row>
    <row r="489">
      <c r="A489" s="12"/>
      <c r="E489" s="14"/>
      <c r="F489" s="96"/>
    </row>
    <row r="490">
      <c r="A490" s="12"/>
      <c r="E490" s="14"/>
      <c r="F490" s="96"/>
    </row>
    <row r="491">
      <c r="A491" s="12"/>
      <c r="E491" s="14"/>
      <c r="F491" s="96"/>
    </row>
    <row r="492">
      <c r="A492" s="12"/>
      <c r="E492" s="14"/>
      <c r="F492" s="96"/>
    </row>
    <row r="493">
      <c r="A493" s="12"/>
      <c r="E493" s="14"/>
      <c r="F493" s="96"/>
    </row>
    <row r="494">
      <c r="A494" s="12"/>
      <c r="E494" s="14"/>
      <c r="F494" s="96"/>
    </row>
    <row r="495">
      <c r="A495" s="12"/>
      <c r="E495" s="14"/>
      <c r="F495" s="96"/>
    </row>
    <row r="496">
      <c r="A496" s="12"/>
      <c r="E496" s="14"/>
      <c r="F496" s="96"/>
    </row>
    <row r="497">
      <c r="A497" s="12"/>
      <c r="E497" s="14"/>
      <c r="F497" s="96"/>
    </row>
    <row r="498">
      <c r="A498" s="12"/>
      <c r="E498" s="14"/>
      <c r="F498" s="96"/>
    </row>
    <row r="499">
      <c r="A499" s="12"/>
      <c r="E499" s="14"/>
      <c r="F499" s="96"/>
    </row>
    <row r="500">
      <c r="A500" s="12"/>
      <c r="E500" s="14"/>
      <c r="F500" s="96"/>
    </row>
    <row r="501">
      <c r="A501" s="12"/>
      <c r="E501" s="14"/>
      <c r="F501" s="96"/>
    </row>
    <row r="502">
      <c r="A502" s="12"/>
      <c r="E502" s="14"/>
      <c r="F502" s="96"/>
    </row>
    <row r="503">
      <c r="A503" s="12"/>
      <c r="E503" s="14"/>
      <c r="F503" s="96"/>
    </row>
    <row r="504">
      <c r="A504" s="12"/>
      <c r="E504" s="14"/>
      <c r="F504" s="96"/>
    </row>
    <row r="505">
      <c r="A505" s="12"/>
      <c r="E505" s="14"/>
      <c r="F505" s="96"/>
    </row>
    <row r="506">
      <c r="A506" s="12"/>
      <c r="E506" s="14"/>
      <c r="F506" s="96"/>
    </row>
    <row r="507">
      <c r="A507" s="12"/>
      <c r="E507" s="14"/>
      <c r="F507" s="96"/>
    </row>
    <row r="508">
      <c r="A508" s="12"/>
      <c r="E508" s="14"/>
      <c r="F508" s="96"/>
    </row>
    <row r="509">
      <c r="A509" s="12"/>
      <c r="E509" s="14"/>
      <c r="F509" s="96"/>
    </row>
    <row r="510">
      <c r="A510" s="12"/>
      <c r="E510" s="14"/>
      <c r="F510" s="96"/>
    </row>
    <row r="511">
      <c r="A511" s="12"/>
      <c r="E511" s="14"/>
      <c r="F511" s="96"/>
    </row>
    <row r="512">
      <c r="A512" s="12"/>
      <c r="E512" s="14"/>
      <c r="F512" s="96"/>
    </row>
    <row r="513">
      <c r="A513" s="12"/>
      <c r="E513" s="14"/>
      <c r="F513" s="96"/>
    </row>
    <row r="514">
      <c r="A514" s="12"/>
      <c r="E514" s="14"/>
      <c r="F514" s="96"/>
    </row>
    <row r="515">
      <c r="A515" s="12"/>
      <c r="E515" s="14"/>
      <c r="F515" s="96"/>
    </row>
    <row r="516">
      <c r="A516" s="12"/>
      <c r="E516" s="14"/>
      <c r="F516" s="96"/>
    </row>
    <row r="517">
      <c r="A517" s="12"/>
      <c r="E517" s="14"/>
      <c r="F517" s="96"/>
    </row>
    <row r="518">
      <c r="A518" s="12"/>
      <c r="E518" s="14"/>
      <c r="F518" s="96"/>
    </row>
    <row r="519">
      <c r="A519" s="12"/>
      <c r="E519" s="14"/>
      <c r="F519" s="96"/>
    </row>
    <row r="520">
      <c r="A520" s="12"/>
      <c r="E520" s="14"/>
      <c r="F520" s="96"/>
    </row>
    <row r="521">
      <c r="A521" s="12"/>
      <c r="E521" s="14"/>
      <c r="F521" s="96"/>
    </row>
    <row r="522">
      <c r="A522" s="12"/>
      <c r="E522" s="14"/>
      <c r="F522" s="96"/>
    </row>
    <row r="523">
      <c r="A523" s="12"/>
      <c r="E523" s="14"/>
      <c r="F523" s="96"/>
    </row>
    <row r="524">
      <c r="A524" s="12"/>
      <c r="E524" s="14"/>
      <c r="F524" s="96"/>
    </row>
    <row r="525">
      <c r="A525" s="12"/>
      <c r="E525" s="14"/>
      <c r="F525" s="96"/>
    </row>
    <row r="526">
      <c r="A526" s="12"/>
      <c r="E526" s="14"/>
      <c r="F526" s="96"/>
    </row>
    <row r="527">
      <c r="A527" s="12"/>
      <c r="E527" s="14"/>
      <c r="F527" s="96"/>
    </row>
    <row r="528">
      <c r="A528" s="12"/>
      <c r="E528" s="14"/>
      <c r="F528" s="96"/>
    </row>
    <row r="529">
      <c r="A529" s="12"/>
      <c r="E529" s="14"/>
      <c r="F529" s="96"/>
    </row>
    <row r="530">
      <c r="A530" s="12"/>
      <c r="E530" s="14"/>
      <c r="F530" s="96"/>
    </row>
    <row r="531">
      <c r="A531" s="12"/>
      <c r="E531" s="14"/>
      <c r="F531" s="96"/>
    </row>
    <row r="532">
      <c r="A532" s="12"/>
      <c r="E532" s="14"/>
      <c r="F532" s="96"/>
    </row>
    <row r="533">
      <c r="A533" s="12"/>
      <c r="E533" s="14"/>
      <c r="F533" s="96"/>
    </row>
    <row r="534">
      <c r="A534" s="12"/>
      <c r="E534" s="14"/>
      <c r="F534" s="96"/>
    </row>
    <row r="535">
      <c r="A535" s="12"/>
      <c r="E535" s="14"/>
      <c r="F535" s="96"/>
    </row>
    <row r="536">
      <c r="A536" s="12"/>
      <c r="E536" s="14"/>
      <c r="F536" s="96"/>
    </row>
    <row r="537">
      <c r="A537" s="12"/>
      <c r="E537" s="14"/>
      <c r="F537" s="96"/>
    </row>
    <row r="538">
      <c r="A538" s="12"/>
      <c r="E538" s="14"/>
      <c r="F538" s="96"/>
    </row>
    <row r="539">
      <c r="A539" s="12"/>
      <c r="E539" s="14"/>
      <c r="F539" s="96"/>
    </row>
    <row r="540">
      <c r="A540" s="12"/>
      <c r="E540" s="14"/>
      <c r="F540" s="96"/>
    </row>
    <row r="541">
      <c r="A541" s="12"/>
      <c r="E541" s="14"/>
      <c r="F541" s="96"/>
    </row>
    <row r="542">
      <c r="A542" s="12"/>
      <c r="E542" s="14"/>
      <c r="F542" s="96"/>
    </row>
    <row r="543">
      <c r="A543" s="12"/>
      <c r="E543" s="14"/>
      <c r="F543" s="96"/>
    </row>
    <row r="544">
      <c r="A544" s="12"/>
      <c r="E544" s="14"/>
      <c r="F544" s="96"/>
    </row>
    <row r="545">
      <c r="A545" s="12"/>
      <c r="E545" s="14"/>
      <c r="F545" s="96"/>
    </row>
    <row r="546">
      <c r="A546" s="12"/>
      <c r="E546" s="14"/>
      <c r="F546" s="96"/>
    </row>
    <row r="547">
      <c r="A547" s="12"/>
      <c r="E547" s="14"/>
      <c r="F547" s="96"/>
    </row>
    <row r="548">
      <c r="A548" s="12"/>
      <c r="E548" s="14"/>
      <c r="F548" s="96"/>
    </row>
    <row r="549">
      <c r="A549" s="12"/>
      <c r="E549" s="14"/>
      <c r="F549" s="96"/>
    </row>
    <row r="550">
      <c r="A550" s="12"/>
      <c r="E550" s="14"/>
      <c r="F550" s="96"/>
    </row>
    <row r="551">
      <c r="A551" s="12"/>
      <c r="E551" s="14"/>
      <c r="F551" s="96"/>
    </row>
    <row r="552">
      <c r="A552" s="12"/>
      <c r="E552" s="14"/>
      <c r="F552" s="96"/>
    </row>
    <row r="553">
      <c r="A553" s="12"/>
      <c r="E553" s="14"/>
      <c r="F553" s="96"/>
    </row>
    <row r="554">
      <c r="A554" s="12"/>
      <c r="E554" s="14"/>
      <c r="F554" s="96"/>
    </row>
    <row r="555">
      <c r="A555" s="12"/>
      <c r="E555" s="14"/>
      <c r="F555" s="96"/>
    </row>
    <row r="556">
      <c r="A556" s="12"/>
      <c r="E556" s="14"/>
      <c r="F556" s="96"/>
    </row>
    <row r="557">
      <c r="A557" s="12"/>
      <c r="E557" s="14"/>
      <c r="F557" s="96"/>
    </row>
    <row r="558">
      <c r="A558" s="12"/>
      <c r="E558" s="14"/>
      <c r="F558" s="96"/>
    </row>
    <row r="559">
      <c r="A559" s="12"/>
      <c r="E559" s="14"/>
      <c r="F559" s="96"/>
    </row>
    <row r="560">
      <c r="A560" s="12"/>
      <c r="E560" s="14"/>
      <c r="F560" s="96"/>
    </row>
    <row r="561">
      <c r="A561" s="12"/>
      <c r="E561" s="14"/>
      <c r="F561" s="96"/>
    </row>
    <row r="562">
      <c r="A562" s="12"/>
      <c r="E562" s="14"/>
      <c r="F562" s="96"/>
    </row>
    <row r="563">
      <c r="A563" s="12"/>
      <c r="E563" s="14"/>
      <c r="F563" s="96"/>
    </row>
    <row r="564">
      <c r="A564" s="12"/>
      <c r="E564" s="14"/>
      <c r="F564" s="96"/>
    </row>
    <row r="565">
      <c r="A565" s="12"/>
      <c r="E565" s="14"/>
      <c r="F565" s="96"/>
    </row>
    <row r="566">
      <c r="A566" s="12"/>
      <c r="E566" s="14"/>
      <c r="F566" s="96"/>
    </row>
    <row r="567">
      <c r="A567" s="12"/>
      <c r="E567" s="14"/>
      <c r="F567" s="96"/>
    </row>
    <row r="568">
      <c r="A568" s="12"/>
      <c r="E568" s="14"/>
      <c r="F568" s="96"/>
    </row>
    <row r="569">
      <c r="A569" s="12"/>
      <c r="E569" s="14"/>
      <c r="F569" s="96"/>
    </row>
    <row r="570">
      <c r="A570" s="12"/>
      <c r="E570" s="14"/>
      <c r="F570" s="96"/>
    </row>
    <row r="571">
      <c r="A571" s="12"/>
      <c r="E571" s="14"/>
      <c r="F571" s="96"/>
    </row>
    <row r="572">
      <c r="A572" s="12"/>
      <c r="E572" s="14"/>
      <c r="F572" s="96"/>
    </row>
    <row r="573">
      <c r="A573" s="12"/>
      <c r="E573" s="14"/>
      <c r="F573" s="96"/>
    </row>
    <row r="574">
      <c r="A574" s="12"/>
      <c r="E574" s="14"/>
      <c r="F574" s="96"/>
    </row>
    <row r="575">
      <c r="A575" s="12"/>
      <c r="E575" s="14"/>
      <c r="F575" s="96"/>
    </row>
    <row r="576">
      <c r="A576" s="12"/>
      <c r="E576" s="14"/>
      <c r="F576" s="96"/>
    </row>
    <row r="577">
      <c r="A577" s="12"/>
      <c r="E577" s="14"/>
      <c r="F577" s="96"/>
    </row>
    <row r="578">
      <c r="A578" s="12"/>
      <c r="E578" s="14"/>
      <c r="F578" s="96"/>
    </row>
    <row r="579">
      <c r="A579" s="12"/>
      <c r="E579" s="14"/>
      <c r="F579" s="96"/>
    </row>
    <row r="580">
      <c r="A580" s="12"/>
      <c r="E580" s="14"/>
      <c r="F580" s="96"/>
    </row>
    <row r="581">
      <c r="A581" s="12"/>
      <c r="E581" s="14"/>
      <c r="F581" s="96"/>
    </row>
    <row r="582">
      <c r="A582" s="12"/>
      <c r="E582" s="14"/>
      <c r="F582" s="96"/>
    </row>
    <row r="583">
      <c r="A583" s="12"/>
      <c r="E583" s="14"/>
      <c r="F583" s="96"/>
    </row>
    <row r="584">
      <c r="A584" s="12"/>
      <c r="E584" s="14"/>
      <c r="F584" s="96"/>
    </row>
    <row r="585">
      <c r="A585" s="12"/>
      <c r="E585" s="14"/>
      <c r="F585" s="96"/>
    </row>
    <row r="586">
      <c r="A586" s="12"/>
      <c r="E586" s="14"/>
      <c r="F586" s="96"/>
    </row>
    <row r="587">
      <c r="A587" s="12"/>
      <c r="E587" s="14"/>
      <c r="F587" s="96"/>
    </row>
    <row r="588">
      <c r="A588" s="12"/>
      <c r="E588" s="14"/>
      <c r="F588" s="96"/>
    </row>
    <row r="589">
      <c r="A589" s="12"/>
      <c r="E589" s="14"/>
      <c r="F589" s="96"/>
    </row>
    <row r="590">
      <c r="A590" s="12"/>
      <c r="E590" s="14"/>
      <c r="F590" s="96"/>
    </row>
    <row r="591">
      <c r="A591" s="12"/>
      <c r="E591" s="14"/>
      <c r="F591" s="96"/>
    </row>
    <row r="592">
      <c r="A592" s="12"/>
      <c r="E592" s="14"/>
      <c r="F592" s="96"/>
    </row>
    <row r="593">
      <c r="A593" s="12"/>
      <c r="E593" s="14"/>
      <c r="F593" s="96"/>
    </row>
    <row r="594">
      <c r="A594" s="12"/>
      <c r="E594" s="14"/>
      <c r="F594" s="96"/>
    </row>
    <row r="595">
      <c r="A595" s="12"/>
      <c r="E595" s="14"/>
      <c r="F595" s="96"/>
    </row>
    <row r="596">
      <c r="A596" s="12"/>
      <c r="E596" s="14"/>
      <c r="F596" s="96"/>
    </row>
    <row r="597">
      <c r="A597" s="12"/>
      <c r="E597" s="14"/>
      <c r="F597" s="96"/>
    </row>
    <row r="598">
      <c r="A598" s="12"/>
      <c r="E598" s="14"/>
      <c r="F598" s="96"/>
    </row>
    <row r="599">
      <c r="A599" s="12"/>
      <c r="E599" s="14"/>
      <c r="F599" s="96"/>
    </row>
    <row r="600">
      <c r="A600" s="12"/>
      <c r="E600" s="14"/>
      <c r="F600" s="96"/>
    </row>
    <row r="601">
      <c r="A601" s="12"/>
      <c r="E601" s="14"/>
      <c r="F601" s="96"/>
    </row>
    <row r="602">
      <c r="A602" s="12"/>
      <c r="E602" s="14"/>
      <c r="F602" s="96"/>
    </row>
    <row r="603">
      <c r="A603" s="12"/>
      <c r="E603" s="14"/>
      <c r="F603" s="96"/>
    </row>
    <row r="604">
      <c r="A604" s="12"/>
      <c r="E604" s="14"/>
      <c r="F604" s="96"/>
    </row>
    <row r="605">
      <c r="A605" s="12"/>
      <c r="E605" s="14"/>
      <c r="F605" s="96"/>
    </row>
    <row r="606">
      <c r="A606" s="12"/>
      <c r="E606" s="14"/>
      <c r="F606" s="96"/>
    </row>
    <row r="607">
      <c r="A607" s="12"/>
      <c r="E607" s="14"/>
      <c r="F607" s="96"/>
    </row>
    <row r="608">
      <c r="A608" s="12"/>
      <c r="E608" s="14"/>
      <c r="F608" s="96"/>
    </row>
    <row r="609">
      <c r="A609" s="12"/>
      <c r="E609" s="14"/>
      <c r="F609" s="96"/>
    </row>
    <row r="610">
      <c r="A610" s="12"/>
      <c r="E610" s="14"/>
      <c r="F610" s="96"/>
    </row>
    <row r="611">
      <c r="A611" s="12"/>
      <c r="E611" s="14"/>
      <c r="F611" s="96"/>
    </row>
    <row r="612">
      <c r="A612" s="12"/>
      <c r="E612" s="14"/>
      <c r="F612" s="96"/>
    </row>
    <row r="613">
      <c r="A613" s="12"/>
      <c r="E613" s="14"/>
      <c r="F613" s="96"/>
    </row>
    <row r="614">
      <c r="A614" s="12"/>
      <c r="E614" s="14"/>
      <c r="F614" s="96"/>
    </row>
    <row r="615">
      <c r="A615" s="12"/>
      <c r="E615" s="14"/>
      <c r="F615" s="96"/>
    </row>
    <row r="616">
      <c r="A616" s="12"/>
      <c r="E616" s="14"/>
      <c r="F616" s="96"/>
    </row>
    <row r="617">
      <c r="A617" s="12"/>
      <c r="E617" s="14"/>
      <c r="F617" s="96"/>
    </row>
    <row r="618">
      <c r="A618" s="12"/>
      <c r="E618" s="14"/>
      <c r="F618" s="96"/>
    </row>
    <row r="619">
      <c r="A619" s="12"/>
      <c r="E619" s="14"/>
      <c r="F619" s="96"/>
    </row>
    <row r="620">
      <c r="A620" s="12"/>
      <c r="E620" s="14"/>
      <c r="F620" s="96"/>
    </row>
    <row r="621">
      <c r="A621" s="12"/>
      <c r="E621" s="14"/>
      <c r="F621" s="96"/>
    </row>
    <row r="622">
      <c r="A622" s="12"/>
      <c r="E622" s="14"/>
      <c r="F622" s="96"/>
    </row>
    <row r="623">
      <c r="A623" s="12"/>
      <c r="E623" s="14"/>
      <c r="F623" s="96"/>
    </row>
    <row r="624">
      <c r="A624" s="12"/>
      <c r="E624" s="14"/>
      <c r="F624" s="96"/>
    </row>
    <row r="625">
      <c r="A625" s="12"/>
      <c r="E625" s="14"/>
      <c r="F625" s="96"/>
    </row>
    <row r="626">
      <c r="A626" s="12"/>
      <c r="E626" s="14"/>
      <c r="F626" s="96"/>
    </row>
    <row r="627">
      <c r="A627" s="12"/>
      <c r="E627" s="14"/>
      <c r="F627" s="96"/>
    </row>
    <row r="628">
      <c r="A628" s="12"/>
      <c r="E628" s="14"/>
      <c r="F628" s="96"/>
    </row>
    <row r="629">
      <c r="A629" s="12"/>
      <c r="E629" s="14"/>
      <c r="F629" s="96"/>
    </row>
    <row r="630">
      <c r="A630" s="12"/>
      <c r="E630" s="14"/>
      <c r="F630" s="96"/>
    </row>
    <row r="631">
      <c r="A631" s="12"/>
      <c r="E631" s="14"/>
      <c r="F631" s="96"/>
    </row>
    <row r="632">
      <c r="A632" s="12"/>
      <c r="E632" s="14"/>
      <c r="F632" s="96"/>
    </row>
    <row r="633">
      <c r="A633" s="12"/>
      <c r="E633" s="14"/>
      <c r="F633" s="96"/>
    </row>
    <row r="634">
      <c r="A634" s="12"/>
      <c r="E634" s="14"/>
      <c r="F634" s="96"/>
    </row>
    <row r="635">
      <c r="A635" s="12"/>
      <c r="E635" s="14"/>
      <c r="F635" s="96"/>
    </row>
    <row r="636">
      <c r="A636" s="12"/>
      <c r="E636" s="14"/>
      <c r="F636" s="96"/>
    </row>
    <row r="637">
      <c r="A637" s="12"/>
      <c r="E637" s="14"/>
      <c r="F637" s="96"/>
    </row>
    <row r="638">
      <c r="A638" s="12"/>
      <c r="E638" s="14"/>
      <c r="F638" s="96"/>
    </row>
    <row r="639">
      <c r="A639" s="12"/>
      <c r="E639" s="14"/>
      <c r="F639" s="96"/>
    </row>
    <row r="640">
      <c r="A640" s="12"/>
      <c r="E640" s="14"/>
      <c r="F640" s="96"/>
    </row>
    <row r="641">
      <c r="A641" s="12"/>
      <c r="E641" s="14"/>
      <c r="F641" s="96"/>
    </row>
    <row r="642">
      <c r="A642" s="12"/>
      <c r="E642" s="14"/>
      <c r="F642" s="96"/>
    </row>
    <row r="643">
      <c r="A643" s="12"/>
      <c r="E643" s="14"/>
      <c r="F643" s="96"/>
    </row>
    <row r="644">
      <c r="A644" s="12"/>
      <c r="E644" s="14"/>
      <c r="F644" s="96"/>
    </row>
    <row r="645">
      <c r="A645" s="12"/>
      <c r="E645" s="14"/>
      <c r="F645" s="96"/>
    </row>
    <row r="646">
      <c r="A646" s="12"/>
      <c r="E646" s="14"/>
      <c r="F646" s="96"/>
    </row>
    <row r="647">
      <c r="A647" s="12"/>
      <c r="E647" s="14"/>
      <c r="F647" s="96"/>
    </row>
    <row r="648">
      <c r="A648" s="12"/>
      <c r="E648" s="14"/>
      <c r="F648" s="96"/>
    </row>
    <row r="649">
      <c r="A649" s="12"/>
      <c r="E649" s="14"/>
      <c r="F649" s="96"/>
    </row>
    <row r="650">
      <c r="A650" s="12"/>
      <c r="E650" s="14"/>
      <c r="F650" s="96"/>
    </row>
    <row r="651">
      <c r="A651" s="12"/>
      <c r="E651" s="14"/>
      <c r="F651" s="96"/>
    </row>
    <row r="652">
      <c r="A652" s="12"/>
      <c r="E652" s="14"/>
      <c r="F652" s="96"/>
    </row>
    <row r="653">
      <c r="A653" s="12"/>
      <c r="E653" s="14"/>
      <c r="F653" s="96"/>
    </row>
    <row r="654">
      <c r="A654" s="12"/>
      <c r="E654" s="14"/>
      <c r="F654" s="96"/>
    </row>
    <row r="655">
      <c r="A655" s="12"/>
      <c r="E655" s="14"/>
      <c r="F655" s="96"/>
    </row>
    <row r="656">
      <c r="A656" s="12"/>
      <c r="E656" s="14"/>
      <c r="F656" s="96"/>
    </row>
    <row r="657">
      <c r="A657" s="12"/>
      <c r="E657" s="14"/>
      <c r="F657" s="96"/>
    </row>
    <row r="658">
      <c r="A658" s="12"/>
      <c r="E658" s="14"/>
      <c r="F658" s="96"/>
    </row>
    <row r="659">
      <c r="A659" s="12"/>
      <c r="E659" s="14"/>
      <c r="F659" s="96"/>
    </row>
    <row r="660">
      <c r="A660" s="12"/>
      <c r="E660" s="14"/>
      <c r="F660" s="96"/>
    </row>
    <row r="661">
      <c r="A661" s="12"/>
      <c r="E661" s="14"/>
      <c r="F661" s="96"/>
    </row>
    <row r="662">
      <c r="A662" s="12"/>
      <c r="E662" s="14"/>
      <c r="F662" s="96"/>
    </row>
    <row r="663">
      <c r="A663" s="12"/>
      <c r="E663" s="14"/>
      <c r="F663" s="96"/>
    </row>
    <row r="664">
      <c r="A664" s="12"/>
      <c r="E664" s="14"/>
      <c r="F664" s="96"/>
    </row>
    <row r="665">
      <c r="A665" s="12"/>
      <c r="E665" s="14"/>
      <c r="F665" s="96"/>
    </row>
    <row r="666">
      <c r="A666" s="12"/>
      <c r="E666" s="14"/>
      <c r="F666" s="96"/>
    </row>
    <row r="667">
      <c r="A667" s="12"/>
      <c r="E667" s="14"/>
      <c r="F667" s="96"/>
    </row>
    <row r="668">
      <c r="A668" s="12"/>
      <c r="E668" s="14"/>
      <c r="F668" s="96"/>
    </row>
    <row r="669">
      <c r="A669" s="12"/>
      <c r="E669" s="14"/>
      <c r="F669" s="96"/>
    </row>
    <row r="670">
      <c r="A670" s="12"/>
      <c r="E670" s="14"/>
      <c r="F670" s="96"/>
    </row>
    <row r="671">
      <c r="A671" s="12"/>
      <c r="E671" s="14"/>
      <c r="F671" s="96"/>
    </row>
    <row r="672">
      <c r="A672" s="12"/>
      <c r="E672" s="14"/>
      <c r="F672" s="96"/>
    </row>
    <row r="673">
      <c r="A673" s="12"/>
      <c r="E673" s="14"/>
      <c r="F673" s="96"/>
    </row>
    <row r="674">
      <c r="A674" s="12"/>
      <c r="E674" s="14"/>
      <c r="F674" s="96"/>
    </row>
    <row r="675">
      <c r="A675" s="12"/>
      <c r="E675" s="14"/>
      <c r="F675" s="96"/>
    </row>
    <row r="676">
      <c r="A676" s="12"/>
      <c r="E676" s="14"/>
      <c r="F676" s="96"/>
    </row>
    <row r="677">
      <c r="A677" s="12"/>
      <c r="E677" s="14"/>
      <c r="F677" s="96"/>
    </row>
    <row r="678">
      <c r="A678" s="12"/>
      <c r="E678" s="14"/>
      <c r="F678" s="96"/>
    </row>
    <row r="679">
      <c r="A679" s="12"/>
      <c r="E679" s="14"/>
      <c r="F679" s="96"/>
    </row>
    <row r="680">
      <c r="A680" s="12"/>
      <c r="E680" s="14"/>
      <c r="F680" s="96"/>
    </row>
    <row r="681">
      <c r="A681" s="12"/>
      <c r="E681" s="14"/>
      <c r="F681" s="96"/>
    </row>
    <row r="682">
      <c r="A682" s="12"/>
      <c r="E682" s="14"/>
      <c r="F682" s="96"/>
    </row>
    <row r="683">
      <c r="A683" s="12"/>
      <c r="E683" s="14"/>
      <c r="F683" s="96"/>
    </row>
    <row r="684">
      <c r="A684" s="12"/>
      <c r="E684" s="14"/>
      <c r="F684" s="96"/>
    </row>
    <row r="685">
      <c r="A685" s="12"/>
      <c r="E685" s="14"/>
      <c r="F685" s="96"/>
    </row>
    <row r="686">
      <c r="A686" s="12"/>
      <c r="E686" s="14"/>
      <c r="F686" s="96"/>
    </row>
    <row r="687">
      <c r="A687" s="12"/>
      <c r="E687" s="14"/>
      <c r="F687" s="96"/>
    </row>
    <row r="688">
      <c r="A688" s="12"/>
      <c r="E688" s="14"/>
      <c r="F688" s="96"/>
    </row>
    <row r="689">
      <c r="A689" s="12"/>
      <c r="E689" s="14"/>
      <c r="F689" s="96"/>
    </row>
    <row r="690">
      <c r="A690" s="12"/>
      <c r="E690" s="14"/>
      <c r="F690" s="96"/>
    </row>
    <row r="691">
      <c r="A691" s="12"/>
      <c r="E691" s="14"/>
      <c r="F691" s="96"/>
    </row>
    <row r="692">
      <c r="A692" s="12"/>
      <c r="E692" s="14"/>
      <c r="F692" s="96"/>
    </row>
    <row r="693">
      <c r="A693" s="12"/>
      <c r="E693" s="14"/>
      <c r="F693" s="96"/>
    </row>
    <row r="694">
      <c r="A694" s="12"/>
      <c r="E694" s="14"/>
      <c r="F694" s="96"/>
    </row>
    <row r="695">
      <c r="A695" s="12"/>
      <c r="E695" s="14"/>
      <c r="F695" s="96"/>
    </row>
    <row r="696">
      <c r="A696" s="12"/>
      <c r="E696" s="14"/>
      <c r="F696" s="96"/>
    </row>
    <row r="697">
      <c r="A697" s="12"/>
      <c r="E697" s="14"/>
      <c r="F697" s="96"/>
    </row>
    <row r="698">
      <c r="A698" s="12"/>
      <c r="E698" s="14"/>
      <c r="F698" s="96"/>
    </row>
    <row r="699">
      <c r="A699" s="12"/>
      <c r="E699" s="14"/>
      <c r="F699" s="96"/>
    </row>
    <row r="700">
      <c r="A700" s="12"/>
      <c r="E700" s="14"/>
      <c r="F700" s="96"/>
    </row>
    <row r="701">
      <c r="A701" s="12"/>
      <c r="E701" s="14"/>
      <c r="F701" s="96"/>
    </row>
    <row r="702">
      <c r="A702" s="12"/>
      <c r="E702" s="14"/>
      <c r="F702" s="96"/>
    </row>
    <row r="703">
      <c r="A703" s="12"/>
      <c r="E703" s="14"/>
      <c r="F703" s="96"/>
    </row>
    <row r="704">
      <c r="A704" s="12"/>
      <c r="E704" s="14"/>
      <c r="F704" s="96"/>
    </row>
    <row r="705">
      <c r="A705" s="12"/>
      <c r="E705" s="14"/>
      <c r="F705" s="96"/>
    </row>
    <row r="706">
      <c r="A706" s="12"/>
      <c r="E706" s="14"/>
      <c r="F706" s="96"/>
    </row>
    <row r="707">
      <c r="A707" s="12"/>
      <c r="E707" s="14"/>
      <c r="F707" s="96"/>
    </row>
    <row r="708">
      <c r="A708" s="12"/>
      <c r="E708" s="14"/>
      <c r="F708" s="96"/>
    </row>
    <row r="709">
      <c r="A709" s="12"/>
      <c r="E709" s="14"/>
      <c r="F709" s="96"/>
    </row>
    <row r="710">
      <c r="A710" s="12"/>
      <c r="E710" s="14"/>
      <c r="F710" s="96"/>
    </row>
    <row r="711">
      <c r="A711" s="12"/>
      <c r="E711" s="14"/>
      <c r="F711" s="96"/>
    </row>
    <row r="712">
      <c r="A712" s="12"/>
      <c r="E712" s="14"/>
      <c r="F712" s="96"/>
    </row>
    <row r="713">
      <c r="A713" s="12"/>
      <c r="E713" s="14"/>
      <c r="F713" s="96"/>
    </row>
    <row r="714">
      <c r="A714" s="12"/>
      <c r="E714" s="14"/>
      <c r="F714" s="96"/>
    </row>
    <row r="715">
      <c r="A715" s="12"/>
      <c r="E715" s="14"/>
      <c r="F715" s="96"/>
    </row>
    <row r="716">
      <c r="A716" s="12"/>
      <c r="E716" s="14"/>
      <c r="F716" s="96"/>
    </row>
    <row r="717">
      <c r="A717" s="12"/>
      <c r="E717" s="14"/>
      <c r="F717" s="96"/>
    </row>
    <row r="718">
      <c r="A718" s="12"/>
      <c r="E718" s="14"/>
      <c r="F718" s="96"/>
    </row>
    <row r="719">
      <c r="A719" s="12"/>
      <c r="E719" s="14"/>
      <c r="F719" s="96"/>
    </row>
    <row r="720">
      <c r="A720" s="12"/>
      <c r="E720" s="14"/>
      <c r="F720" s="96"/>
    </row>
    <row r="721">
      <c r="A721" s="12"/>
      <c r="E721" s="14"/>
      <c r="F721" s="96"/>
    </row>
    <row r="722">
      <c r="A722" s="12"/>
      <c r="E722" s="14"/>
      <c r="F722" s="96"/>
    </row>
    <row r="723">
      <c r="A723" s="12"/>
      <c r="E723" s="14"/>
      <c r="F723" s="96"/>
    </row>
    <row r="724">
      <c r="A724" s="12"/>
      <c r="E724" s="14"/>
      <c r="F724" s="96"/>
    </row>
    <row r="725">
      <c r="A725" s="12"/>
      <c r="E725" s="14"/>
      <c r="F725" s="96"/>
    </row>
    <row r="726">
      <c r="A726" s="12"/>
      <c r="E726" s="14"/>
      <c r="F726" s="96"/>
    </row>
    <row r="727">
      <c r="A727" s="12"/>
      <c r="E727" s="14"/>
      <c r="F727" s="96"/>
    </row>
    <row r="728">
      <c r="A728" s="12"/>
      <c r="E728" s="14"/>
      <c r="F728" s="96"/>
    </row>
    <row r="729">
      <c r="A729" s="12"/>
      <c r="E729" s="14"/>
      <c r="F729" s="96"/>
    </row>
    <row r="730">
      <c r="A730" s="12"/>
      <c r="E730" s="14"/>
      <c r="F730" s="96"/>
    </row>
    <row r="731">
      <c r="A731" s="12"/>
      <c r="E731" s="14"/>
      <c r="F731" s="96"/>
    </row>
    <row r="732">
      <c r="A732" s="12"/>
      <c r="E732" s="14"/>
      <c r="F732" s="96"/>
    </row>
    <row r="733">
      <c r="A733" s="12"/>
      <c r="E733" s="14"/>
      <c r="F733" s="96"/>
    </row>
    <row r="734">
      <c r="A734" s="12"/>
      <c r="E734" s="14"/>
      <c r="F734" s="96"/>
    </row>
    <row r="735">
      <c r="A735" s="12"/>
      <c r="E735" s="14"/>
      <c r="F735" s="96"/>
    </row>
    <row r="736">
      <c r="A736" s="12"/>
      <c r="E736" s="14"/>
      <c r="F736" s="96"/>
    </row>
    <row r="737">
      <c r="A737" s="12"/>
      <c r="E737" s="14"/>
      <c r="F737" s="96"/>
    </row>
    <row r="738">
      <c r="A738" s="12"/>
      <c r="E738" s="14"/>
      <c r="F738" s="96"/>
    </row>
    <row r="739">
      <c r="A739" s="12"/>
      <c r="E739" s="14"/>
      <c r="F739" s="96"/>
    </row>
    <row r="740">
      <c r="A740" s="12"/>
      <c r="E740" s="14"/>
      <c r="F740" s="96"/>
    </row>
    <row r="741">
      <c r="A741" s="12"/>
      <c r="E741" s="14"/>
      <c r="F741" s="96"/>
    </row>
    <row r="742">
      <c r="A742" s="12"/>
      <c r="E742" s="14"/>
      <c r="F742" s="96"/>
    </row>
    <row r="743">
      <c r="A743" s="12"/>
      <c r="E743" s="14"/>
      <c r="F743" s="96"/>
    </row>
    <row r="744">
      <c r="A744" s="12"/>
      <c r="E744" s="14"/>
      <c r="F744" s="96"/>
    </row>
    <row r="745">
      <c r="A745" s="12"/>
      <c r="E745" s="14"/>
      <c r="F745" s="96"/>
    </row>
    <row r="746">
      <c r="A746" s="12"/>
      <c r="E746" s="14"/>
      <c r="F746" s="96"/>
    </row>
    <row r="747">
      <c r="A747" s="12"/>
      <c r="E747" s="14"/>
      <c r="F747" s="96"/>
    </row>
    <row r="748">
      <c r="A748" s="12"/>
      <c r="E748" s="14"/>
      <c r="F748" s="96"/>
    </row>
    <row r="749">
      <c r="A749" s="12"/>
      <c r="E749" s="14"/>
      <c r="F749" s="96"/>
    </row>
    <row r="750">
      <c r="A750" s="12"/>
      <c r="E750" s="14"/>
      <c r="F750" s="96"/>
    </row>
    <row r="751">
      <c r="A751" s="12"/>
      <c r="E751" s="14"/>
      <c r="F751" s="96"/>
    </row>
    <row r="752">
      <c r="A752" s="12"/>
      <c r="E752" s="14"/>
      <c r="F752" s="96"/>
    </row>
    <row r="753">
      <c r="A753" s="12"/>
      <c r="E753" s="14"/>
      <c r="F753" s="96"/>
    </row>
    <row r="754">
      <c r="A754" s="12"/>
      <c r="E754" s="14"/>
      <c r="F754" s="96"/>
    </row>
    <row r="755">
      <c r="A755" s="12"/>
      <c r="E755" s="14"/>
      <c r="F755" s="96"/>
    </row>
    <row r="756">
      <c r="A756" s="12"/>
      <c r="E756" s="14"/>
      <c r="F756" s="96"/>
    </row>
    <row r="757">
      <c r="A757" s="12"/>
      <c r="E757" s="14"/>
      <c r="F757" s="96"/>
    </row>
    <row r="758">
      <c r="A758" s="12"/>
      <c r="E758" s="14"/>
      <c r="F758" s="96"/>
    </row>
    <row r="759">
      <c r="A759" s="12"/>
      <c r="E759" s="14"/>
      <c r="F759" s="96"/>
    </row>
    <row r="760">
      <c r="A760" s="12"/>
      <c r="E760" s="14"/>
      <c r="F760" s="96"/>
    </row>
    <row r="761">
      <c r="A761" s="12"/>
      <c r="E761" s="14"/>
      <c r="F761" s="96"/>
    </row>
    <row r="762">
      <c r="A762" s="12"/>
      <c r="E762" s="14"/>
      <c r="F762" s="96"/>
    </row>
    <row r="763">
      <c r="A763" s="12"/>
      <c r="E763" s="14"/>
      <c r="F763" s="96"/>
    </row>
    <row r="764">
      <c r="A764" s="12"/>
      <c r="E764" s="14"/>
      <c r="F764" s="96"/>
    </row>
    <row r="765">
      <c r="A765" s="12"/>
      <c r="E765" s="14"/>
      <c r="F765" s="96"/>
    </row>
    <row r="766">
      <c r="A766" s="12"/>
      <c r="E766" s="14"/>
      <c r="F766" s="96"/>
    </row>
    <row r="767">
      <c r="A767" s="12"/>
      <c r="E767" s="14"/>
      <c r="F767" s="96"/>
    </row>
    <row r="768">
      <c r="A768" s="12"/>
      <c r="E768" s="14"/>
      <c r="F768" s="96"/>
    </row>
    <row r="769">
      <c r="A769" s="12"/>
      <c r="E769" s="14"/>
      <c r="F769" s="96"/>
    </row>
    <row r="770">
      <c r="A770" s="12"/>
      <c r="E770" s="14"/>
      <c r="F770" s="96"/>
    </row>
    <row r="771">
      <c r="A771" s="12"/>
      <c r="E771" s="14"/>
      <c r="F771" s="96"/>
    </row>
    <row r="772">
      <c r="A772" s="12"/>
      <c r="E772" s="14"/>
      <c r="F772" s="96"/>
    </row>
    <row r="773">
      <c r="A773" s="12"/>
      <c r="E773" s="14"/>
      <c r="F773" s="96"/>
    </row>
    <row r="774">
      <c r="A774" s="12"/>
      <c r="E774" s="14"/>
      <c r="F774" s="96"/>
    </row>
    <row r="775">
      <c r="A775" s="12"/>
      <c r="E775" s="14"/>
      <c r="F775" s="96"/>
    </row>
    <row r="776">
      <c r="A776" s="12"/>
      <c r="E776" s="14"/>
      <c r="F776" s="96"/>
    </row>
    <row r="777">
      <c r="A777" s="12"/>
      <c r="E777" s="14"/>
      <c r="F777" s="96"/>
    </row>
    <row r="778">
      <c r="A778" s="12"/>
      <c r="E778" s="14"/>
      <c r="F778" s="96"/>
    </row>
    <row r="779">
      <c r="A779" s="12"/>
      <c r="E779" s="14"/>
      <c r="F779" s="96"/>
    </row>
    <row r="780">
      <c r="A780" s="12"/>
      <c r="E780" s="14"/>
      <c r="F780" s="96"/>
    </row>
    <row r="781">
      <c r="A781" s="12"/>
      <c r="E781" s="14"/>
      <c r="F781" s="96"/>
    </row>
    <row r="782">
      <c r="A782" s="12"/>
      <c r="E782" s="14"/>
      <c r="F782" s="96"/>
    </row>
    <row r="783">
      <c r="A783" s="12"/>
      <c r="E783" s="14"/>
      <c r="F783" s="96"/>
    </row>
    <row r="784">
      <c r="A784" s="12"/>
      <c r="E784" s="14"/>
      <c r="F784" s="96"/>
    </row>
    <row r="785">
      <c r="A785" s="12"/>
      <c r="E785" s="14"/>
      <c r="F785" s="96"/>
    </row>
    <row r="786">
      <c r="A786" s="12"/>
      <c r="E786" s="14"/>
      <c r="F786" s="96"/>
    </row>
    <row r="787">
      <c r="A787" s="12"/>
      <c r="E787" s="14"/>
      <c r="F787" s="96"/>
    </row>
    <row r="788">
      <c r="A788" s="12"/>
      <c r="E788" s="14"/>
      <c r="F788" s="96"/>
    </row>
    <row r="789">
      <c r="A789" s="12"/>
      <c r="E789" s="14"/>
      <c r="F789" s="96"/>
    </row>
    <row r="790">
      <c r="A790" s="12"/>
      <c r="E790" s="14"/>
      <c r="F790" s="96"/>
    </row>
    <row r="791">
      <c r="A791" s="12"/>
      <c r="E791" s="14"/>
      <c r="F791" s="96"/>
    </row>
    <row r="792">
      <c r="A792" s="12"/>
      <c r="E792" s="14"/>
      <c r="F792" s="96"/>
    </row>
    <row r="793">
      <c r="A793" s="12"/>
      <c r="E793" s="14"/>
      <c r="F793" s="96"/>
    </row>
    <row r="794">
      <c r="A794" s="12"/>
      <c r="E794" s="14"/>
      <c r="F794" s="96"/>
    </row>
    <row r="795">
      <c r="A795" s="12"/>
      <c r="E795" s="14"/>
      <c r="F795" s="96"/>
    </row>
    <row r="796">
      <c r="A796" s="12"/>
      <c r="E796" s="14"/>
      <c r="F796" s="96"/>
    </row>
    <row r="797">
      <c r="A797" s="12"/>
      <c r="E797" s="14"/>
      <c r="F797" s="96"/>
    </row>
    <row r="798">
      <c r="A798" s="12"/>
      <c r="E798" s="14"/>
      <c r="F798" s="96"/>
    </row>
    <row r="799">
      <c r="A799" s="12"/>
      <c r="E799" s="14"/>
      <c r="F799" s="96"/>
    </row>
    <row r="800">
      <c r="A800" s="12"/>
      <c r="E800" s="14"/>
      <c r="F800" s="96"/>
    </row>
    <row r="801">
      <c r="A801" s="12"/>
      <c r="E801" s="14"/>
      <c r="F801" s="96"/>
    </row>
    <row r="802">
      <c r="A802" s="12"/>
      <c r="E802" s="14"/>
      <c r="F802" s="96"/>
    </row>
    <row r="803">
      <c r="A803" s="12"/>
      <c r="E803" s="14"/>
      <c r="F803" s="96"/>
    </row>
    <row r="804">
      <c r="A804" s="12"/>
      <c r="E804" s="14"/>
      <c r="F804" s="96"/>
    </row>
    <row r="805">
      <c r="A805" s="12"/>
      <c r="E805" s="14"/>
      <c r="F805" s="96"/>
    </row>
    <row r="806">
      <c r="A806" s="12"/>
      <c r="E806" s="14"/>
      <c r="F806" s="96"/>
    </row>
    <row r="807">
      <c r="A807" s="12"/>
      <c r="E807" s="14"/>
      <c r="F807" s="96"/>
    </row>
    <row r="808">
      <c r="A808" s="12"/>
      <c r="E808" s="14"/>
      <c r="F808" s="96"/>
    </row>
    <row r="809">
      <c r="A809" s="12"/>
      <c r="E809" s="14"/>
      <c r="F809" s="96"/>
    </row>
    <row r="810">
      <c r="A810" s="12"/>
      <c r="E810" s="14"/>
      <c r="F810" s="96"/>
    </row>
    <row r="811">
      <c r="A811" s="12"/>
      <c r="E811" s="14"/>
      <c r="F811" s="96"/>
    </row>
    <row r="812">
      <c r="A812" s="12"/>
      <c r="E812" s="14"/>
      <c r="F812" s="96"/>
    </row>
    <row r="813">
      <c r="A813" s="12"/>
      <c r="E813" s="14"/>
      <c r="F813" s="96"/>
    </row>
    <row r="814">
      <c r="A814" s="12"/>
      <c r="E814" s="14"/>
      <c r="F814" s="96"/>
    </row>
    <row r="815">
      <c r="A815" s="12"/>
      <c r="E815" s="14"/>
      <c r="F815" s="96"/>
    </row>
    <row r="816">
      <c r="A816" s="12"/>
      <c r="E816" s="14"/>
      <c r="F816" s="96"/>
    </row>
    <row r="817">
      <c r="A817" s="12"/>
      <c r="E817" s="14"/>
      <c r="F817" s="96"/>
    </row>
    <row r="818">
      <c r="A818" s="12"/>
      <c r="E818" s="14"/>
      <c r="F818" s="96"/>
    </row>
    <row r="819">
      <c r="A819" s="12"/>
      <c r="E819" s="14"/>
      <c r="F819" s="96"/>
    </row>
    <row r="820">
      <c r="A820" s="12"/>
      <c r="E820" s="14"/>
      <c r="F820" s="96"/>
    </row>
    <row r="821">
      <c r="A821" s="12"/>
      <c r="E821" s="14"/>
      <c r="F821" s="96"/>
    </row>
    <row r="822">
      <c r="A822" s="12"/>
      <c r="E822" s="14"/>
      <c r="F822" s="96"/>
    </row>
    <row r="823">
      <c r="A823" s="12"/>
      <c r="E823" s="14"/>
      <c r="F823" s="96"/>
    </row>
    <row r="824">
      <c r="A824" s="12"/>
      <c r="E824" s="14"/>
      <c r="F824" s="96"/>
    </row>
    <row r="825">
      <c r="A825" s="12"/>
      <c r="E825" s="14"/>
      <c r="F825" s="96"/>
    </row>
    <row r="826">
      <c r="A826" s="12"/>
      <c r="E826" s="14"/>
      <c r="F826" s="96"/>
    </row>
    <row r="827">
      <c r="A827" s="12"/>
      <c r="E827" s="14"/>
      <c r="F827" s="96"/>
    </row>
    <row r="828">
      <c r="A828" s="12"/>
      <c r="E828" s="14"/>
      <c r="F828" s="96"/>
    </row>
    <row r="829">
      <c r="A829" s="12"/>
      <c r="E829" s="14"/>
      <c r="F829" s="96"/>
    </row>
    <row r="830">
      <c r="A830" s="12"/>
      <c r="E830" s="14"/>
      <c r="F830" s="96"/>
    </row>
    <row r="831">
      <c r="A831" s="12"/>
      <c r="E831" s="14"/>
      <c r="F831" s="96"/>
    </row>
    <row r="832">
      <c r="A832" s="12"/>
      <c r="E832" s="14"/>
      <c r="F832" s="96"/>
    </row>
    <row r="833">
      <c r="A833" s="12"/>
      <c r="E833" s="14"/>
      <c r="F833" s="96"/>
    </row>
    <row r="834">
      <c r="A834" s="12"/>
      <c r="E834" s="14"/>
      <c r="F834" s="96"/>
    </row>
    <row r="835">
      <c r="A835" s="12"/>
      <c r="E835" s="14"/>
      <c r="F835" s="96"/>
    </row>
    <row r="836">
      <c r="A836" s="12"/>
      <c r="E836" s="14"/>
      <c r="F836" s="96"/>
    </row>
    <row r="837">
      <c r="A837" s="12"/>
      <c r="E837" s="14"/>
      <c r="F837" s="96"/>
    </row>
    <row r="838">
      <c r="A838" s="12"/>
      <c r="E838" s="14"/>
      <c r="F838" s="96"/>
    </row>
    <row r="839">
      <c r="A839" s="12"/>
      <c r="E839" s="14"/>
      <c r="F839" s="96"/>
    </row>
    <row r="840">
      <c r="A840" s="12"/>
      <c r="E840" s="14"/>
      <c r="F840" s="96"/>
    </row>
    <row r="841">
      <c r="A841" s="12"/>
      <c r="E841" s="14"/>
      <c r="F841" s="96"/>
    </row>
    <row r="842">
      <c r="A842" s="12"/>
      <c r="E842" s="14"/>
      <c r="F842" s="96"/>
    </row>
    <row r="843">
      <c r="A843" s="12"/>
      <c r="E843" s="14"/>
      <c r="F843" s="96"/>
    </row>
    <row r="844">
      <c r="A844" s="12"/>
      <c r="E844" s="14"/>
      <c r="F844" s="96"/>
    </row>
    <row r="845">
      <c r="A845" s="12"/>
      <c r="E845" s="14"/>
      <c r="F845" s="96"/>
    </row>
    <row r="846">
      <c r="A846" s="12"/>
      <c r="E846" s="14"/>
      <c r="F846" s="96"/>
    </row>
    <row r="847">
      <c r="A847" s="12"/>
      <c r="E847" s="14"/>
      <c r="F847" s="96"/>
    </row>
    <row r="848">
      <c r="A848" s="12"/>
      <c r="E848" s="14"/>
      <c r="F848" s="96"/>
    </row>
    <row r="849">
      <c r="A849" s="12"/>
      <c r="E849" s="14"/>
      <c r="F849" s="96"/>
    </row>
    <row r="850">
      <c r="A850" s="12"/>
      <c r="E850" s="14"/>
      <c r="F850" s="96"/>
    </row>
    <row r="851">
      <c r="A851" s="12"/>
      <c r="E851" s="14"/>
      <c r="F851" s="96"/>
    </row>
    <row r="852">
      <c r="A852" s="12"/>
      <c r="E852" s="14"/>
      <c r="F852" s="96"/>
    </row>
    <row r="853">
      <c r="A853" s="12"/>
      <c r="E853" s="14"/>
      <c r="F853" s="96"/>
    </row>
    <row r="854">
      <c r="A854" s="12"/>
      <c r="E854" s="14"/>
      <c r="F854" s="96"/>
    </row>
    <row r="855">
      <c r="A855" s="12"/>
      <c r="E855" s="14"/>
      <c r="F855" s="96"/>
    </row>
    <row r="856">
      <c r="A856" s="12"/>
      <c r="E856" s="14"/>
      <c r="F856" s="96"/>
    </row>
    <row r="857">
      <c r="A857" s="12"/>
      <c r="E857" s="14"/>
      <c r="F857" s="96"/>
    </row>
    <row r="858">
      <c r="A858" s="12"/>
      <c r="E858" s="14"/>
      <c r="F858" s="96"/>
    </row>
    <row r="859">
      <c r="A859" s="12"/>
      <c r="E859" s="14"/>
      <c r="F859" s="96"/>
    </row>
    <row r="860">
      <c r="A860" s="12"/>
      <c r="E860" s="14"/>
      <c r="F860" s="96"/>
    </row>
    <row r="861">
      <c r="A861" s="12"/>
      <c r="E861" s="14"/>
      <c r="F861" s="96"/>
    </row>
    <row r="862">
      <c r="A862" s="12"/>
      <c r="E862" s="14"/>
      <c r="F862" s="96"/>
    </row>
    <row r="863">
      <c r="A863" s="12"/>
      <c r="E863" s="14"/>
      <c r="F863" s="96"/>
    </row>
    <row r="864">
      <c r="A864" s="12"/>
      <c r="E864" s="14"/>
      <c r="F864" s="96"/>
    </row>
    <row r="865">
      <c r="A865" s="12"/>
      <c r="E865" s="14"/>
      <c r="F865" s="96"/>
    </row>
    <row r="866">
      <c r="A866" s="12"/>
      <c r="E866" s="14"/>
      <c r="F866" s="96"/>
    </row>
    <row r="867">
      <c r="A867" s="12"/>
      <c r="E867" s="14"/>
      <c r="F867" s="96"/>
    </row>
    <row r="868">
      <c r="A868" s="12"/>
      <c r="E868" s="14"/>
      <c r="F868" s="96"/>
    </row>
    <row r="869">
      <c r="A869" s="12"/>
      <c r="E869" s="14"/>
      <c r="F869" s="96"/>
    </row>
    <row r="870">
      <c r="A870" s="12"/>
      <c r="E870" s="14"/>
      <c r="F870" s="96"/>
    </row>
    <row r="871">
      <c r="A871" s="12"/>
      <c r="E871" s="14"/>
      <c r="F871" s="96"/>
    </row>
    <row r="872">
      <c r="A872" s="12"/>
      <c r="E872" s="14"/>
      <c r="F872" s="96"/>
    </row>
    <row r="873">
      <c r="A873" s="12"/>
      <c r="E873" s="14"/>
      <c r="F873" s="96"/>
    </row>
    <row r="874">
      <c r="A874" s="12"/>
      <c r="E874" s="14"/>
      <c r="F874" s="96"/>
    </row>
    <row r="875">
      <c r="A875" s="12"/>
      <c r="E875" s="14"/>
      <c r="F875" s="96"/>
    </row>
    <row r="876">
      <c r="A876" s="12"/>
      <c r="E876" s="14"/>
      <c r="F876" s="96"/>
    </row>
    <row r="877">
      <c r="A877" s="12"/>
      <c r="E877" s="14"/>
      <c r="F877" s="96"/>
    </row>
    <row r="878">
      <c r="A878" s="12"/>
      <c r="E878" s="14"/>
      <c r="F878" s="96"/>
    </row>
    <row r="879">
      <c r="A879" s="12"/>
      <c r="E879" s="14"/>
      <c r="F879" s="96"/>
    </row>
    <row r="880">
      <c r="A880" s="12"/>
      <c r="E880" s="14"/>
      <c r="F880" s="96"/>
    </row>
    <row r="881">
      <c r="A881" s="12"/>
      <c r="E881" s="14"/>
      <c r="F881" s="96"/>
    </row>
    <row r="882">
      <c r="A882" s="12"/>
      <c r="E882" s="14"/>
      <c r="F882" s="96"/>
    </row>
    <row r="883">
      <c r="A883" s="12"/>
      <c r="E883" s="14"/>
      <c r="F883" s="96"/>
    </row>
    <row r="884">
      <c r="A884" s="12"/>
      <c r="E884" s="14"/>
      <c r="F884" s="96"/>
    </row>
    <row r="885">
      <c r="A885" s="12"/>
      <c r="E885" s="14"/>
      <c r="F885" s="96"/>
    </row>
    <row r="886">
      <c r="A886" s="12"/>
      <c r="E886" s="14"/>
      <c r="F886" s="96"/>
    </row>
    <row r="887">
      <c r="A887" s="12"/>
      <c r="E887" s="14"/>
      <c r="F887" s="96"/>
    </row>
    <row r="888">
      <c r="A888" s="12"/>
      <c r="E888" s="14"/>
      <c r="F888" s="96"/>
    </row>
    <row r="889">
      <c r="A889" s="12"/>
      <c r="E889" s="14"/>
      <c r="F889" s="96"/>
    </row>
    <row r="890">
      <c r="A890" s="12"/>
      <c r="E890" s="14"/>
      <c r="F890" s="96"/>
    </row>
    <row r="891">
      <c r="A891" s="12"/>
      <c r="E891" s="14"/>
      <c r="F891" s="96"/>
    </row>
    <row r="892">
      <c r="A892" s="12"/>
      <c r="E892" s="14"/>
      <c r="F892" s="96"/>
    </row>
    <row r="893">
      <c r="A893" s="12"/>
      <c r="E893" s="14"/>
      <c r="F893" s="96"/>
    </row>
    <row r="894">
      <c r="A894" s="12"/>
      <c r="E894" s="14"/>
      <c r="F894" s="96"/>
    </row>
    <row r="895">
      <c r="A895" s="12"/>
      <c r="E895" s="14"/>
      <c r="F895" s="96"/>
    </row>
    <row r="896">
      <c r="A896" s="12"/>
      <c r="E896" s="14"/>
      <c r="F896" s="96"/>
    </row>
    <row r="897">
      <c r="A897" s="12"/>
      <c r="E897" s="14"/>
      <c r="F897" s="96"/>
    </row>
    <row r="898">
      <c r="A898" s="12"/>
      <c r="E898" s="14"/>
      <c r="F898" s="96"/>
    </row>
    <row r="899">
      <c r="A899" s="12"/>
      <c r="E899" s="14"/>
      <c r="F899" s="96"/>
    </row>
    <row r="900">
      <c r="A900" s="12"/>
      <c r="E900" s="14"/>
      <c r="F900" s="96"/>
    </row>
    <row r="901">
      <c r="A901" s="12"/>
      <c r="E901" s="14"/>
      <c r="F901" s="96"/>
    </row>
    <row r="902">
      <c r="A902" s="12"/>
      <c r="E902" s="14"/>
      <c r="F902" s="96"/>
    </row>
    <row r="903">
      <c r="A903" s="12"/>
      <c r="E903" s="14"/>
      <c r="F903" s="96"/>
    </row>
    <row r="904">
      <c r="A904" s="12"/>
      <c r="E904" s="14"/>
      <c r="F904" s="96"/>
    </row>
    <row r="905">
      <c r="A905" s="12"/>
      <c r="E905" s="14"/>
      <c r="F905" s="96"/>
    </row>
    <row r="906">
      <c r="A906" s="12"/>
      <c r="E906" s="14"/>
      <c r="F906" s="96"/>
    </row>
    <row r="907">
      <c r="A907" s="12"/>
      <c r="E907" s="14"/>
      <c r="F907" s="96"/>
    </row>
    <row r="908">
      <c r="A908" s="12"/>
      <c r="E908" s="14"/>
      <c r="F908" s="96"/>
    </row>
    <row r="909">
      <c r="A909" s="12"/>
      <c r="E909" s="14"/>
      <c r="F909" s="96"/>
    </row>
    <row r="910">
      <c r="A910" s="12"/>
      <c r="E910" s="14"/>
      <c r="F910" s="96"/>
    </row>
    <row r="911">
      <c r="A911" s="12"/>
      <c r="E911" s="14"/>
      <c r="F911" s="96"/>
    </row>
    <row r="912">
      <c r="A912" s="12"/>
      <c r="E912" s="14"/>
      <c r="F912" s="96"/>
    </row>
    <row r="913">
      <c r="A913" s="12"/>
      <c r="E913" s="14"/>
      <c r="F913" s="96"/>
    </row>
    <row r="914">
      <c r="A914" s="12"/>
      <c r="E914" s="14"/>
      <c r="F914" s="96"/>
    </row>
    <row r="915">
      <c r="A915" s="12"/>
      <c r="E915" s="14"/>
      <c r="F915" s="96"/>
    </row>
    <row r="916">
      <c r="A916" s="12"/>
      <c r="E916" s="14"/>
      <c r="F916" s="96"/>
    </row>
    <row r="917">
      <c r="A917" s="12"/>
      <c r="E917" s="14"/>
      <c r="F917" s="96"/>
    </row>
    <row r="918">
      <c r="A918" s="12"/>
      <c r="E918" s="14"/>
      <c r="F918" s="96"/>
    </row>
    <row r="919">
      <c r="A919" s="12"/>
      <c r="E919" s="14"/>
      <c r="F919" s="96"/>
    </row>
    <row r="920">
      <c r="A920" s="12"/>
      <c r="E920" s="14"/>
      <c r="F920" s="96"/>
    </row>
    <row r="921">
      <c r="A921" s="12"/>
      <c r="E921" s="14"/>
      <c r="F921" s="96"/>
    </row>
    <row r="922">
      <c r="A922" s="12"/>
      <c r="E922" s="14"/>
      <c r="F922" s="96"/>
    </row>
    <row r="923">
      <c r="A923" s="12"/>
      <c r="E923" s="14"/>
      <c r="F923" s="96"/>
    </row>
    <row r="924">
      <c r="A924" s="12"/>
      <c r="E924" s="14"/>
      <c r="F924" s="96"/>
    </row>
    <row r="925">
      <c r="A925" s="12"/>
      <c r="E925" s="14"/>
      <c r="F925" s="96"/>
    </row>
    <row r="926">
      <c r="A926" s="12"/>
      <c r="E926" s="14"/>
      <c r="F926" s="96"/>
    </row>
    <row r="927">
      <c r="A927" s="12"/>
      <c r="E927" s="14"/>
      <c r="F927" s="96"/>
    </row>
    <row r="928">
      <c r="A928" s="12"/>
      <c r="E928" s="14"/>
      <c r="F928" s="96"/>
    </row>
    <row r="929">
      <c r="A929" s="12"/>
      <c r="E929" s="14"/>
      <c r="F929" s="96"/>
    </row>
    <row r="930">
      <c r="A930" s="12"/>
      <c r="E930" s="14"/>
      <c r="F930" s="96"/>
    </row>
    <row r="931">
      <c r="A931" s="12"/>
      <c r="E931" s="14"/>
      <c r="F931" s="96"/>
    </row>
    <row r="932">
      <c r="A932" s="12"/>
      <c r="E932" s="14"/>
      <c r="F932" s="96"/>
    </row>
    <row r="933">
      <c r="A933" s="12"/>
      <c r="E933" s="14"/>
      <c r="F933" s="96"/>
    </row>
    <row r="934">
      <c r="A934" s="12"/>
      <c r="E934" s="14"/>
      <c r="F934" s="96"/>
    </row>
    <row r="935">
      <c r="A935" s="12"/>
      <c r="E935" s="14"/>
      <c r="F935" s="96"/>
    </row>
    <row r="936">
      <c r="A936" s="12"/>
      <c r="E936" s="14"/>
      <c r="F936" s="96"/>
    </row>
    <row r="937">
      <c r="A937" s="12"/>
      <c r="E937" s="14"/>
      <c r="F937" s="96"/>
    </row>
    <row r="938">
      <c r="A938" s="12"/>
      <c r="E938" s="14"/>
      <c r="F938" s="96"/>
    </row>
    <row r="939">
      <c r="A939" s="12"/>
      <c r="E939" s="14"/>
      <c r="F939" s="96"/>
    </row>
    <row r="940">
      <c r="A940" s="12"/>
      <c r="E940" s="14"/>
      <c r="F940" s="96"/>
    </row>
    <row r="941">
      <c r="A941" s="12"/>
      <c r="E941" s="14"/>
      <c r="F941" s="96"/>
    </row>
    <row r="942">
      <c r="A942" s="12"/>
      <c r="E942" s="14"/>
      <c r="F942" s="96"/>
    </row>
    <row r="943">
      <c r="A943" s="12"/>
      <c r="E943" s="14"/>
      <c r="F943" s="96"/>
    </row>
    <row r="944">
      <c r="A944" s="12"/>
      <c r="E944" s="14"/>
      <c r="F944" s="96"/>
    </row>
    <row r="945">
      <c r="A945" s="12"/>
      <c r="E945" s="14"/>
      <c r="F945" s="96"/>
    </row>
    <row r="946">
      <c r="A946" s="12"/>
      <c r="E946" s="14"/>
      <c r="F946" s="96"/>
    </row>
    <row r="947">
      <c r="A947" s="12"/>
      <c r="E947" s="14"/>
      <c r="F947" s="96"/>
    </row>
    <row r="948">
      <c r="A948" s="12"/>
      <c r="E948" s="14"/>
      <c r="F948" s="96"/>
    </row>
    <row r="949">
      <c r="A949" s="12"/>
      <c r="E949" s="14"/>
      <c r="F949" s="96"/>
    </row>
    <row r="950">
      <c r="A950" s="12"/>
      <c r="E950" s="14"/>
      <c r="F950" s="96"/>
    </row>
    <row r="951">
      <c r="A951" s="12"/>
      <c r="E951" s="14"/>
      <c r="F951" s="96"/>
    </row>
    <row r="952">
      <c r="A952" s="12"/>
      <c r="E952" s="14"/>
      <c r="F952" s="96"/>
    </row>
    <row r="953">
      <c r="A953" s="12"/>
      <c r="E953" s="14"/>
      <c r="F953" s="96"/>
    </row>
    <row r="954">
      <c r="A954" s="12"/>
      <c r="E954" s="14"/>
      <c r="F954" s="96"/>
    </row>
    <row r="955">
      <c r="A955" s="12"/>
      <c r="E955" s="14"/>
      <c r="F955" s="96"/>
    </row>
    <row r="956">
      <c r="A956" s="12"/>
      <c r="E956" s="14"/>
      <c r="F956" s="96"/>
    </row>
    <row r="957">
      <c r="A957" s="12"/>
      <c r="E957" s="14"/>
      <c r="F957" s="96"/>
    </row>
    <row r="958">
      <c r="A958" s="12"/>
      <c r="E958" s="14"/>
      <c r="F958" s="96"/>
    </row>
    <row r="959">
      <c r="A959" s="12"/>
      <c r="E959" s="14"/>
      <c r="F959" s="96"/>
    </row>
    <row r="960">
      <c r="A960" s="12"/>
      <c r="E960" s="14"/>
      <c r="F960" s="96"/>
    </row>
    <row r="961">
      <c r="A961" s="12"/>
      <c r="E961" s="14"/>
      <c r="F961" s="96"/>
    </row>
    <row r="962">
      <c r="A962" s="12"/>
      <c r="E962" s="14"/>
      <c r="F962" s="96"/>
    </row>
    <row r="963">
      <c r="A963" s="12"/>
      <c r="E963" s="14"/>
      <c r="F963" s="96"/>
    </row>
    <row r="964">
      <c r="A964" s="12"/>
      <c r="E964" s="14"/>
      <c r="F964" s="96"/>
    </row>
    <row r="965">
      <c r="A965" s="12"/>
      <c r="E965" s="14"/>
      <c r="F965" s="96"/>
    </row>
    <row r="966">
      <c r="A966" s="12"/>
      <c r="E966" s="14"/>
      <c r="F966" s="96"/>
    </row>
    <row r="967">
      <c r="A967" s="12"/>
      <c r="E967" s="14"/>
      <c r="F967" s="96"/>
    </row>
    <row r="968">
      <c r="A968" s="12"/>
      <c r="E968" s="14"/>
      <c r="F968" s="96"/>
    </row>
    <row r="969">
      <c r="A969" s="12"/>
      <c r="E969" s="14"/>
      <c r="F969" s="96"/>
    </row>
    <row r="970">
      <c r="A970" s="12"/>
      <c r="E970" s="14"/>
      <c r="F970" s="96"/>
    </row>
    <row r="971">
      <c r="A971" s="12"/>
      <c r="E971" s="14"/>
      <c r="F971" s="96"/>
    </row>
    <row r="972">
      <c r="A972" s="12"/>
      <c r="E972" s="14"/>
      <c r="F972" s="96"/>
    </row>
    <row r="973">
      <c r="A973" s="12"/>
      <c r="E973" s="14"/>
      <c r="F973" s="96"/>
    </row>
    <row r="974">
      <c r="A974" s="12"/>
      <c r="E974" s="14"/>
      <c r="F974" s="96"/>
    </row>
    <row r="975">
      <c r="A975" s="12"/>
      <c r="E975" s="14"/>
      <c r="F975" s="96"/>
    </row>
    <row r="976">
      <c r="A976" s="12"/>
      <c r="E976" s="14"/>
      <c r="F976" s="96"/>
    </row>
    <row r="977">
      <c r="A977" s="12"/>
      <c r="E977" s="14"/>
      <c r="F977" s="96"/>
    </row>
    <row r="978">
      <c r="A978" s="12"/>
      <c r="E978" s="14"/>
      <c r="F978" s="96"/>
    </row>
    <row r="979">
      <c r="A979" s="12"/>
      <c r="E979" s="14"/>
      <c r="F979" s="96"/>
    </row>
    <row r="980">
      <c r="A980" s="12"/>
      <c r="E980" s="14"/>
      <c r="F980" s="96"/>
    </row>
    <row r="981">
      <c r="A981" s="12"/>
      <c r="E981" s="14"/>
      <c r="F981" s="96"/>
    </row>
    <row r="982">
      <c r="A982" s="12"/>
      <c r="E982" s="14"/>
      <c r="F982" s="96"/>
    </row>
    <row r="983">
      <c r="A983" s="12"/>
      <c r="E983" s="14"/>
      <c r="F983" s="96"/>
    </row>
    <row r="984">
      <c r="A984" s="12"/>
      <c r="E984" s="14"/>
      <c r="F984" s="96"/>
    </row>
    <row r="985">
      <c r="A985" s="12"/>
      <c r="E985" s="14"/>
      <c r="F985" s="96"/>
    </row>
    <row r="986">
      <c r="A986" s="12"/>
      <c r="E986" s="14"/>
      <c r="F986" s="96"/>
    </row>
    <row r="987">
      <c r="A987" s="12"/>
      <c r="E987" s="14"/>
      <c r="F987" s="96"/>
    </row>
    <row r="988">
      <c r="A988" s="12"/>
      <c r="E988" s="14"/>
      <c r="F988" s="96"/>
    </row>
    <row r="989">
      <c r="A989" s="12"/>
      <c r="E989" s="14"/>
      <c r="F989" s="96"/>
    </row>
    <row r="990">
      <c r="A990" s="12"/>
      <c r="E990" s="14"/>
      <c r="F990" s="96"/>
    </row>
    <row r="991">
      <c r="A991" s="12"/>
      <c r="E991" s="14"/>
      <c r="F991" s="96"/>
    </row>
    <row r="992">
      <c r="A992" s="12"/>
      <c r="E992" s="14"/>
      <c r="F992" s="96"/>
    </row>
    <row r="993">
      <c r="A993" s="12"/>
      <c r="E993" s="14"/>
      <c r="F993" s="96"/>
    </row>
    <row r="994">
      <c r="A994" s="12"/>
      <c r="E994" s="14"/>
      <c r="F994" s="96"/>
    </row>
    <row r="995">
      <c r="A995" s="12"/>
      <c r="E995" s="14"/>
      <c r="F995" s="96"/>
    </row>
    <row r="996">
      <c r="A996" s="12"/>
      <c r="E996" s="14"/>
      <c r="F996" s="96"/>
    </row>
    <row r="997">
      <c r="A997" s="12"/>
      <c r="E997" s="14"/>
      <c r="F997" s="96"/>
    </row>
    <row r="998">
      <c r="A998" s="12"/>
      <c r="E998" s="14"/>
      <c r="F998" s="96"/>
    </row>
    <row r="999">
      <c r="A999" s="12"/>
      <c r="E999" s="14"/>
      <c r="F999" s="96"/>
    </row>
    <row r="1000">
      <c r="A1000" s="12"/>
      <c r="E1000" s="14"/>
      <c r="F1000" s="96"/>
    </row>
    <row r="1001">
      <c r="A1001" s="12"/>
      <c r="E1001" s="14"/>
      <c r="F1001" s="96"/>
    </row>
    <row r="1002">
      <c r="A1002" s="12"/>
      <c r="E1002" s="14"/>
      <c r="F1002" s="96"/>
    </row>
    <row r="1003">
      <c r="A1003" s="12"/>
      <c r="E1003" s="14"/>
      <c r="F1003" s="96"/>
    </row>
  </sheetData>
  <conditionalFormatting sqref="H2:P24">
    <cfRule type="cellIs" dxfId="35" priority="1" operator="equal">
      <formula>0</formula>
    </cfRule>
  </conditionalFormatting>
  <conditionalFormatting sqref="H2:H24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24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24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24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24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24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24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24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1:C38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1:F38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27:F28">
      <formula1>OR(NOT(ISERROR(DATEVALUE(F27))), AND(ISNUMBER(F27), LEFT(CELL("format", F27))="D"))</formula1>
    </dataValidation>
    <dataValidation type="list" allowBlank="1" showDropDown="1" sqref="C2:C24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18.88"/>
    <col customWidth="1" min="3" max="3" width="16.13"/>
    <col customWidth="1" min="4" max="4" width="32.38"/>
    <col customWidth="1" min="5" max="5" width="9.25"/>
    <col customWidth="1" min="6" max="6" width="25.0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077" t="s">
        <v>48</v>
      </c>
      <c r="B1" s="1078" t="s">
        <v>49</v>
      </c>
      <c r="C1" s="1078" t="s">
        <v>50</v>
      </c>
      <c r="D1" s="1079" t="s">
        <v>56</v>
      </c>
      <c r="E1" s="1077" t="s">
        <v>57</v>
      </c>
      <c r="F1" s="1080" t="s">
        <v>52</v>
      </c>
      <c r="G1" s="1081" t="s">
        <v>53</v>
      </c>
      <c r="H1" s="1077" t="s">
        <v>4</v>
      </c>
      <c r="I1" s="1077" t="s">
        <v>58</v>
      </c>
      <c r="J1" s="1077" t="s">
        <v>59</v>
      </c>
      <c r="K1" s="1077" t="s">
        <v>60</v>
      </c>
      <c r="L1" s="1077" t="s">
        <v>61</v>
      </c>
      <c r="M1" s="1077" t="s">
        <v>62</v>
      </c>
      <c r="N1" s="1077" t="s">
        <v>63</v>
      </c>
      <c r="O1" s="1082" t="s">
        <v>64</v>
      </c>
      <c r="P1" s="1077" t="s">
        <v>65</v>
      </c>
      <c r="Q1" s="1083"/>
      <c r="R1" s="1083"/>
      <c r="S1" s="1083"/>
      <c r="T1" s="1083"/>
      <c r="U1" s="1083"/>
      <c r="V1" s="1083"/>
      <c r="W1" s="1083"/>
      <c r="X1" s="1083"/>
      <c r="Y1" s="1083"/>
      <c r="Z1" s="1083"/>
      <c r="AA1" s="1083"/>
    </row>
    <row r="2" ht="22.5" customHeight="1">
      <c r="A2" s="1084">
        <v>2.0</v>
      </c>
      <c r="B2" s="1085" t="s">
        <v>1631</v>
      </c>
      <c r="C2" s="1086" t="s">
        <v>70</v>
      </c>
      <c r="D2" s="1087" t="s">
        <v>1632</v>
      </c>
      <c r="E2" s="1088" t="str">
        <f>IMAGE("https://flagcdn.com/w320/ma.png")</f>
        <v/>
      </c>
      <c r="F2" s="1089">
        <v>36103.0</v>
      </c>
      <c r="G2" s="1090">
        <f t="shared" ref="G2:G29" si="2">DATEDIF(F2,TODAY(),"Y")</f>
        <v>27</v>
      </c>
      <c r="H2" s="1091">
        <f>1+1+1+1</f>
        <v>4</v>
      </c>
      <c r="I2" s="1091">
        <f>90+90+90+44</f>
        <v>314</v>
      </c>
      <c r="J2" s="1091"/>
      <c r="K2" s="1091">
        <f t="shared" ref="K2:L2" si="1">1</f>
        <v>1</v>
      </c>
      <c r="L2" s="1091">
        <f t="shared" si="1"/>
        <v>1</v>
      </c>
      <c r="M2" s="1091"/>
      <c r="N2" s="1091"/>
      <c r="O2" s="1091">
        <f t="shared" ref="O2:O29" si="3">J2+K2</f>
        <v>1</v>
      </c>
      <c r="P2" s="1091"/>
    </row>
    <row r="3" ht="22.5" customHeight="1">
      <c r="A3" s="1084">
        <v>4.0</v>
      </c>
      <c r="B3" s="1092" t="s">
        <v>1633</v>
      </c>
      <c r="C3" s="1086" t="s">
        <v>70</v>
      </c>
      <c r="D3" s="1087" t="s">
        <v>182</v>
      </c>
      <c r="E3" s="1088" t="str">
        <f t="shared" ref="E3:E4" si="4">IMAGE("https://flagcdn.com/w320/br.png")</f>
        <v/>
      </c>
      <c r="F3" s="1089">
        <v>37949.0</v>
      </c>
      <c r="G3" s="1090">
        <f t="shared" si="2"/>
        <v>22</v>
      </c>
      <c r="H3" s="1093">
        <v>0.0</v>
      </c>
      <c r="I3" s="1093">
        <v>0.0</v>
      </c>
      <c r="J3" s="1091"/>
      <c r="K3" s="1091"/>
      <c r="L3" s="1091"/>
      <c r="M3" s="1091"/>
      <c r="N3" s="1091"/>
      <c r="O3" s="1091">
        <f t="shared" si="3"/>
        <v>0</v>
      </c>
      <c r="P3" s="1091"/>
    </row>
    <row r="4" ht="22.5" customHeight="1">
      <c r="A4" s="1084">
        <v>5.0</v>
      </c>
      <c r="B4" s="1092" t="s">
        <v>1634</v>
      </c>
      <c r="C4" s="1086" t="s">
        <v>70</v>
      </c>
      <c r="D4" s="1087" t="s">
        <v>1635</v>
      </c>
      <c r="E4" s="1088" t="str">
        <f t="shared" si="4"/>
        <v/>
      </c>
      <c r="F4" s="1089">
        <v>34468.0</v>
      </c>
      <c r="G4" s="1090">
        <f t="shared" si="2"/>
        <v>31</v>
      </c>
      <c r="H4" s="1091">
        <f>1+1+1+1+1</f>
        <v>5</v>
      </c>
      <c r="I4" s="1091">
        <f>90+90+90+45+90</f>
        <v>405</v>
      </c>
      <c r="J4" s="1091">
        <f>1</f>
        <v>1</v>
      </c>
      <c r="K4" s="1091"/>
      <c r="L4" s="1091"/>
      <c r="M4" s="1091"/>
      <c r="N4" s="1091"/>
      <c r="O4" s="1091">
        <f t="shared" si="3"/>
        <v>1</v>
      </c>
      <c r="P4" s="1091"/>
    </row>
    <row r="5" ht="22.5" customHeight="1">
      <c r="A5" s="1084">
        <v>6.0</v>
      </c>
      <c r="B5" s="1085" t="s">
        <v>1636</v>
      </c>
      <c r="C5" s="1086" t="s">
        <v>70</v>
      </c>
      <c r="D5" s="1087" t="s">
        <v>626</v>
      </c>
      <c r="E5" s="1088" t="str">
        <f>IMAGE("https://flagcdn.com/w320/ua.png")</f>
        <v/>
      </c>
      <c r="F5" s="1089">
        <v>37500.0</v>
      </c>
      <c r="G5" s="1090">
        <f t="shared" si="2"/>
        <v>23</v>
      </c>
      <c r="H5" s="1091">
        <f t="shared" ref="H5:H8" si="6">1+1+1+1+1+1</f>
        <v>6</v>
      </c>
      <c r="I5" s="1091">
        <f>16+90+36+1+45+11</f>
        <v>199</v>
      </c>
      <c r="J5" s="1091"/>
      <c r="K5" s="1091"/>
      <c r="L5" s="1091">
        <f t="shared" ref="L5:M5" si="5">1</f>
        <v>1</v>
      </c>
      <c r="M5" s="1091">
        <f t="shared" si="5"/>
        <v>1</v>
      </c>
      <c r="N5" s="1091"/>
      <c r="O5" s="1091">
        <f t="shared" si="3"/>
        <v>0</v>
      </c>
      <c r="P5" s="1091"/>
    </row>
    <row r="6" ht="22.5" customHeight="1">
      <c r="A6" s="1084">
        <v>7.0</v>
      </c>
      <c r="B6" s="1085" t="s">
        <v>1637</v>
      </c>
      <c r="C6" s="1086" t="s">
        <v>82</v>
      </c>
      <c r="D6" s="1087" t="s">
        <v>1059</v>
      </c>
      <c r="E6" s="1088" t="str">
        <f>IMAGE("https://flagcdn.com/w320/ge.png")</f>
        <v/>
      </c>
      <c r="F6" s="1089">
        <v>36934.0</v>
      </c>
      <c r="G6" s="1090">
        <f t="shared" si="2"/>
        <v>24</v>
      </c>
      <c r="H6" s="1091">
        <f t="shared" si="6"/>
        <v>6</v>
      </c>
      <c r="I6" s="1091">
        <f>74+62+90+78+90+25</f>
        <v>419</v>
      </c>
      <c r="J6" s="1091">
        <f>1+1+1</f>
        <v>3</v>
      </c>
      <c r="K6" s="1091">
        <f>1+1</f>
        <v>2</v>
      </c>
      <c r="L6" s="1091">
        <f>1</f>
        <v>1</v>
      </c>
      <c r="M6" s="1091"/>
      <c r="N6" s="1091"/>
      <c r="O6" s="1091">
        <f t="shared" si="3"/>
        <v>5</v>
      </c>
      <c r="P6" s="1091"/>
    </row>
    <row r="7" ht="22.5" customHeight="1">
      <c r="A7" s="1084">
        <v>8.0</v>
      </c>
      <c r="B7" s="1085" t="s">
        <v>1638</v>
      </c>
      <c r="C7" s="1086" t="s">
        <v>79</v>
      </c>
      <c r="D7" s="1087" t="s">
        <v>83</v>
      </c>
      <c r="E7" s="1088" t="str">
        <f>IMAGE("https://flagcdn.com/w320/es.png")</f>
        <v/>
      </c>
      <c r="F7" s="1089">
        <v>35158.0</v>
      </c>
      <c r="G7" s="1090">
        <f t="shared" si="2"/>
        <v>29</v>
      </c>
      <c r="H7" s="1091">
        <f t="shared" si="6"/>
        <v>6</v>
      </c>
      <c r="I7" s="1091">
        <f>54+71+65+90+90+79</f>
        <v>449</v>
      </c>
      <c r="J7" s="1091">
        <f t="shared" ref="J7:K7" si="7">1</f>
        <v>1</v>
      </c>
      <c r="K7" s="1091">
        <f t="shared" si="7"/>
        <v>1</v>
      </c>
      <c r="L7" s="1091"/>
      <c r="M7" s="1091"/>
      <c r="N7" s="1091"/>
      <c r="O7" s="1091">
        <f t="shared" si="3"/>
        <v>2</v>
      </c>
      <c r="P7" s="1091"/>
    </row>
    <row r="8" ht="22.5" customHeight="1">
      <c r="A8" s="1084">
        <v>9.0</v>
      </c>
      <c r="B8" s="1092" t="s">
        <v>1639</v>
      </c>
      <c r="C8" s="1086" t="s">
        <v>82</v>
      </c>
      <c r="D8" s="1087" t="s">
        <v>477</v>
      </c>
      <c r="E8" s="1088" t="str">
        <f>IMAGE("https://flagcdn.com/w320/pt.png")</f>
        <v/>
      </c>
      <c r="F8" s="1089">
        <v>37062.0</v>
      </c>
      <c r="G8" s="1090">
        <f t="shared" si="2"/>
        <v>24</v>
      </c>
      <c r="H8" s="1091">
        <f t="shared" si="6"/>
        <v>6</v>
      </c>
      <c r="I8" s="1091">
        <f>33+19+25+12+13+20</f>
        <v>122</v>
      </c>
      <c r="J8" s="1091">
        <f t="shared" ref="J8:J9" si="8">1</f>
        <v>1</v>
      </c>
      <c r="K8" s="1091"/>
      <c r="L8" s="1091"/>
      <c r="M8" s="1091"/>
      <c r="N8" s="1091"/>
      <c r="O8" s="1091">
        <f t="shared" si="3"/>
        <v>1</v>
      </c>
      <c r="P8" s="1091"/>
    </row>
    <row r="9" ht="22.5" customHeight="1">
      <c r="A9" s="1084">
        <v>10.0</v>
      </c>
      <c r="B9" s="1085" t="s">
        <v>1640</v>
      </c>
      <c r="C9" s="1086" t="s">
        <v>82</v>
      </c>
      <c r="D9" s="1087" t="s">
        <v>398</v>
      </c>
      <c r="E9" s="1088" t="str">
        <f t="shared" ref="E9:E10" si="9">IMAGE("https://flagcdn.com/w320/fr.png")</f>
        <v/>
      </c>
      <c r="F9" s="1089">
        <v>35565.0</v>
      </c>
      <c r="G9" s="1090">
        <f t="shared" si="2"/>
        <v>28</v>
      </c>
      <c r="H9" s="1091">
        <f>1+1+1+1</f>
        <v>4</v>
      </c>
      <c r="I9" s="1091">
        <f>28+24+12+90</f>
        <v>154</v>
      </c>
      <c r="J9" s="1091">
        <f t="shared" si="8"/>
        <v>1</v>
      </c>
      <c r="K9" s="1091">
        <f>1</f>
        <v>1</v>
      </c>
      <c r="L9" s="1091"/>
      <c r="M9" s="1091"/>
      <c r="N9" s="1091"/>
      <c r="O9" s="1091">
        <f t="shared" si="3"/>
        <v>2</v>
      </c>
      <c r="P9" s="1091"/>
    </row>
    <row r="10" ht="22.5" customHeight="1">
      <c r="A10" s="1084">
        <v>14.0</v>
      </c>
      <c r="B10" s="1085" t="s">
        <v>1641</v>
      </c>
      <c r="C10" s="1086" t="s">
        <v>82</v>
      </c>
      <c r="D10" s="1087" t="s">
        <v>1642</v>
      </c>
      <c r="E10" s="1088" t="str">
        <f t="shared" si="9"/>
        <v/>
      </c>
      <c r="F10" s="1089">
        <v>38506.0</v>
      </c>
      <c r="G10" s="1090">
        <f t="shared" si="2"/>
        <v>20</v>
      </c>
      <c r="H10" s="1091">
        <f>1+1+1</f>
        <v>3</v>
      </c>
      <c r="I10" s="1091">
        <f>45+29+90</f>
        <v>164</v>
      </c>
      <c r="J10" s="1091">
        <f>2</f>
        <v>2</v>
      </c>
      <c r="K10" s="1091"/>
      <c r="L10" s="1091"/>
      <c r="M10" s="1091"/>
      <c r="N10" s="1091"/>
      <c r="O10" s="1091">
        <f t="shared" si="3"/>
        <v>2</v>
      </c>
      <c r="P10" s="1091"/>
    </row>
    <row r="11" ht="22.5" customHeight="1">
      <c r="A11" s="1084">
        <v>17.0</v>
      </c>
      <c r="B11" s="1092" t="s">
        <v>1643</v>
      </c>
      <c r="C11" s="1086" t="s">
        <v>79</v>
      </c>
      <c r="D11" s="1087" t="s">
        <v>477</v>
      </c>
      <c r="E11" s="1088" t="str">
        <f>IMAGE("https://flagcdn.com/w320/pt.png")</f>
        <v/>
      </c>
      <c r="F11" s="1089">
        <v>36569.0</v>
      </c>
      <c r="G11" s="1090">
        <f t="shared" si="2"/>
        <v>25</v>
      </c>
      <c r="H11" s="1091">
        <f>1+1+1+1+1+1+1</f>
        <v>7</v>
      </c>
      <c r="I11" s="1091">
        <f>90+90+90+90+89+90+90</f>
        <v>629</v>
      </c>
      <c r="J11" s="1091">
        <f>1+3</f>
        <v>4</v>
      </c>
      <c r="K11" s="1091">
        <f t="shared" ref="K11:K12" si="10">1</f>
        <v>1</v>
      </c>
      <c r="L11" s="1091"/>
      <c r="M11" s="1091"/>
      <c r="N11" s="1091"/>
      <c r="O11" s="1091">
        <f t="shared" si="3"/>
        <v>5</v>
      </c>
      <c r="P11" s="1091"/>
    </row>
    <row r="12" ht="22.5" customHeight="1">
      <c r="A12" s="1084">
        <v>19.0</v>
      </c>
      <c r="B12" s="1085" t="s">
        <v>1644</v>
      </c>
      <c r="C12" s="1086" t="s">
        <v>82</v>
      </c>
      <c r="D12" s="1087" t="s">
        <v>568</v>
      </c>
      <c r="E12" s="1088" t="str">
        <f>IMAGE("https://flagcdn.com/w320/kr.png")</f>
        <v/>
      </c>
      <c r="F12" s="1089">
        <v>36941.0</v>
      </c>
      <c r="G12" s="1090">
        <f t="shared" si="2"/>
        <v>24</v>
      </c>
      <c r="H12" s="1091">
        <f>1+1+1+1+1</f>
        <v>5</v>
      </c>
      <c r="I12" s="1091">
        <f>36+11+28+66+35</f>
        <v>176</v>
      </c>
      <c r="J12" s="1091"/>
      <c r="K12" s="1091">
        <f t="shared" si="10"/>
        <v>1</v>
      </c>
      <c r="L12" s="1091"/>
      <c r="M12" s="1091"/>
      <c r="N12" s="1091"/>
      <c r="O12" s="1091">
        <f t="shared" si="3"/>
        <v>1</v>
      </c>
      <c r="P12" s="1091"/>
    </row>
    <row r="13" ht="22.5" customHeight="1">
      <c r="A13" s="1084">
        <v>21.0</v>
      </c>
      <c r="B13" s="1085" t="s">
        <v>1645</v>
      </c>
      <c r="C13" s="1086" t="s">
        <v>70</v>
      </c>
      <c r="D13" s="1087" t="s">
        <v>1646</v>
      </c>
      <c r="E13" s="1088" t="str">
        <f t="shared" ref="E13:E14" si="11">IMAGE("https://flagcdn.com/w320/fr.png")</f>
        <v/>
      </c>
      <c r="F13" s="1089">
        <v>35109.0</v>
      </c>
      <c r="G13" s="1090">
        <f t="shared" si="2"/>
        <v>29</v>
      </c>
      <c r="H13" s="1093">
        <f>1+1+1</f>
        <v>3</v>
      </c>
      <c r="I13" s="1093">
        <f>26+45+44</f>
        <v>115</v>
      </c>
      <c r="J13" s="1091"/>
      <c r="K13" s="1091"/>
      <c r="L13" s="1091"/>
      <c r="M13" s="1091">
        <f>1</f>
        <v>1</v>
      </c>
      <c r="N13" s="1091"/>
      <c r="O13" s="1091">
        <f t="shared" si="3"/>
        <v>0</v>
      </c>
      <c r="P13" s="1091"/>
    </row>
    <row r="14" ht="22.5" customHeight="1">
      <c r="A14" s="1084">
        <v>24.0</v>
      </c>
      <c r="B14" s="1085" t="s">
        <v>1647</v>
      </c>
      <c r="C14" s="1086" t="s">
        <v>79</v>
      </c>
      <c r="D14" s="1087" t="s">
        <v>1648</v>
      </c>
      <c r="E14" s="1088" t="str">
        <f t="shared" si="11"/>
        <v/>
      </c>
      <c r="F14" s="1089">
        <v>38854.0</v>
      </c>
      <c r="G14" s="1090">
        <f t="shared" si="2"/>
        <v>19</v>
      </c>
      <c r="H14" s="1091">
        <f>1+1+1+1+1+1</f>
        <v>6</v>
      </c>
      <c r="I14" s="1091">
        <f>54+79+62+46+61+65</f>
        <v>367</v>
      </c>
      <c r="J14" s="1091">
        <f>1</f>
        <v>1</v>
      </c>
      <c r="K14" s="1091"/>
      <c r="L14" s="1091"/>
      <c r="M14" s="1091"/>
      <c r="N14" s="1091"/>
      <c r="O14" s="1091">
        <f t="shared" si="3"/>
        <v>1</v>
      </c>
      <c r="P14" s="1091"/>
    </row>
    <row r="15" ht="22.5" customHeight="1">
      <c r="A15" s="1084">
        <v>25.0</v>
      </c>
      <c r="B15" s="1092" t="s">
        <v>1649</v>
      </c>
      <c r="C15" s="1086" t="s">
        <v>70</v>
      </c>
      <c r="D15" s="1087" t="s">
        <v>477</v>
      </c>
      <c r="E15" s="1088" t="str">
        <f>IMAGE("https://flagcdn.com/w320/pt.png")</f>
        <v/>
      </c>
      <c r="F15" s="1089">
        <v>37426.0</v>
      </c>
      <c r="G15" s="1090">
        <f t="shared" si="2"/>
        <v>23</v>
      </c>
      <c r="H15" s="1091">
        <f t="shared" ref="H15:H16" si="13">1+1+1+1+1+1+1</f>
        <v>7</v>
      </c>
      <c r="I15" s="1091">
        <f>74+90+90+90+45+90+90</f>
        <v>569</v>
      </c>
      <c r="J15" s="1091">
        <f t="shared" ref="J15:L15" si="12">1+1</f>
        <v>2</v>
      </c>
      <c r="K15" s="1091">
        <f t="shared" si="12"/>
        <v>2</v>
      </c>
      <c r="L15" s="1091">
        <f t="shared" si="12"/>
        <v>2</v>
      </c>
      <c r="M15" s="1091"/>
      <c r="N15" s="1091"/>
      <c r="O15" s="1091">
        <f t="shared" si="3"/>
        <v>4</v>
      </c>
      <c r="P15" s="1091"/>
    </row>
    <row r="16" ht="22.5" customHeight="1">
      <c r="A16" s="1084">
        <v>29.0</v>
      </c>
      <c r="B16" s="1085" t="s">
        <v>1650</v>
      </c>
      <c r="C16" s="1086" t="s">
        <v>82</v>
      </c>
      <c r="D16" s="1087" t="s">
        <v>1651</v>
      </c>
      <c r="E16" s="1088" t="str">
        <f t="shared" ref="E16:E18" si="14">IMAGE("https://flagcdn.com/w320/fr.png")</f>
        <v/>
      </c>
      <c r="F16" s="1089">
        <v>37501.0</v>
      </c>
      <c r="G16" s="1090">
        <f t="shared" si="2"/>
        <v>23</v>
      </c>
      <c r="H16" s="1091">
        <f t="shared" si="13"/>
        <v>7</v>
      </c>
      <c r="I16" s="1091">
        <f>90+79+71+65+55+77+70</f>
        <v>507</v>
      </c>
      <c r="J16" s="1091"/>
      <c r="K16" s="1091">
        <f>1+1</f>
        <v>2</v>
      </c>
      <c r="L16" s="1091"/>
      <c r="M16" s="1091"/>
      <c r="N16" s="1091"/>
      <c r="O16" s="1091">
        <f t="shared" si="3"/>
        <v>2</v>
      </c>
      <c r="P16" s="1091"/>
    </row>
    <row r="17" ht="22.5" customHeight="1">
      <c r="A17" s="1084">
        <v>30.0</v>
      </c>
      <c r="B17" s="1085" t="s">
        <v>1652</v>
      </c>
      <c r="C17" s="1086" t="s">
        <v>67</v>
      </c>
      <c r="D17" s="1087" t="s">
        <v>398</v>
      </c>
      <c r="E17" s="1088" t="str">
        <f t="shared" si="14"/>
        <v/>
      </c>
      <c r="F17" s="1089">
        <v>37201.0</v>
      </c>
      <c r="G17" s="1090">
        <f t="shared" si="2"/>
        <v>24</v>
      </c>
      <c r="H17" s="1091">
        <f>1+1+1+1+1+1</f>
        <v>6</v>
      </c>
      <c r="I17" s="1091">
        <f>90+90+90+90+90+90</f>
        <v>540</v>
      </c>
      <c r="J17" s="1091"/>
      <c r="K17" s="1091"/>
      <c r="L17" s="1091"/>
      <c r="M17" s="1091"/>
      <c r="N17" s="1091">
        <f>1</f>
        <v>1</v>
      </c>
      <c r="O17" s="1091">
        <f t="shared" si="3"/>
        <v>0</v>
      </c>
      <c r="P17" s="1091"/>
    </row>
    <row r="18" ht="22.5" customHeight="1">
      <c r="A18" s="1084">
        <v>33.0</v>
      </c>
      <c r="B18" s="1085" t="s">
        <v>1653</v>
      </c>
      <c r="C18" s="1086" t="s">
        <v>79</v>
      </c>
      <c r="D18" s="1087" t="s">
        <v>1654</v>
      </c>
      <c r="E18" s="1088" t="str">
        <f t="shared" si="14"/>
        <v/>
      </c>
      <c r="F18" s="1089">
        <v>38784.0</v>
      </c>
      <c r="G18" s="1090">
        <f t="shared" si="2"/>
        <v>19</v>
      </c>
      <c r="H18" s="1091">
        <f>1+1+1+1+1+1+1</f>
        <v>7</v>
      </c>
      <c r="I18" s="1091">
        <f>36+90+75+90+90+90+90</f>
        <v>561</v>
      </c>
      <c r="J18" s="1091"/>
      <c r="K18" s="1091"/>
      <c r="L18" s="1091">
        <f>1</f>
        <v>1</v>
      </c>
      <c r="M18" s="1091"/>
      <c r="N18" s="1091"/>
      <c r="O18" s="1091">
        <f t="shared" si="3"/>
        <v>0</v>
      </c>
      <c r="P18" s="1091"/>
    </row>
    <row r="19" ht="22.5" customHeight="1">
      <c r="A19" s="1084">
        <v>39.0</v>
      </c>
      <c r="B19" s="1085" t="s">
        <v>1655</v>
      </c>
      <c r="C19" s="1086" t="s">
        <v>67</v>
      </c>
      <c r="D19" s="1087" t="s">
        <v>1088</v>
      </c>
      <c r="E19" s="1088" t="str">
        <f>IMAGE("https://flagcdn.com/w320/ru.png")</f>
        <v/>
      </c>
      <c r="F19" s="1089">
        <v>36216.0</v>
      </c>
      <c r="G19" s="1090">
        <f t="shared" si="2"/>
        <v>26</v>
      </c>
      <c r="H19" s="1093">
        <f>1</f>
        <v>1</v>
      </c>
      <c r="I19" s="1093">
        <f>90</f>
        <v>90</v>
      </c>
      <c r="J19" s="1091"/>
      <c r="K19" s="1091"/>
      <c r="L19" s="1091"/>
      <c r="M19" s="1091"/>
      <c r="N19" s="1091">
        <f>1</f>
        <v>1</v>
      </c>
      <c r="O19" s="1091">
        <f t="shared" si="3"/>
        <v>0</v>
      </c>
      <c r="P19" s="1091"/>
    </row>
    <row r="20" ht="22.5" customHeight="1">
      <c r="A20" s="1094">
        <v>41.0</v>
      </c>
      <c r="B20" s="1095" t="s">
        <v>1656</v>
      </c>
      <c r="C20" s="1096" t="s">
        <v>79</v>
      </c>
      <c r="D20" s="1097" t="s">
        <v>1657</v>
      </c>
      <c r="E20" s="1098" t="str">
        <f t="shared" ref="E20:E24" si="15">IMAGE("https://flagcdn.com/w320/fr.png")</f>
        <v/>
      </c>
      <c r="F20" s="1099">
        <v>39623.0</v>
      </c>
      <c r="G20" s="1100">
        <f t="shared" si="2"/>
        <v>17</v>
      </c>
      <c r="H20" s="1101">
        <v>0.0</v>
      </c>
      <c r="I20" s="1101">
        <v>0.0</v>
      </c>
      <c r="J20" s="1102"/>
      <c r="K20" s="1102"/>
      <c r="L20" s="1102"/>
      <c r="M20" s="1102"/>
      <c r="N20" s="1102"/>
      <c r="O20" s="1102">
        <f t="shared" si="3"/>
        <v>0</v>
      </c>
      <c r="P20" s="1102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22.5" customHeight="1">
      <c r="A21" s="1094">
        <v>42.0</v>
      </c>
      <c r="B21" s="1095" t="s">
        <v>1658</v>
      </c>
      <c r="C21" s="1096" t="s">
        <v>70</v>
      </c>
      <c r="D21" s="1097" t="s">
        <v>1659</v>
      </c>
      <c r="E21" s="1098" t="str">
        <f t="shared" si="15"/>
        <v/>
      </c>
      <c r="F21" s="1099">
        <v>39835.0</v>
      </c>
      <c r="G21" s="1100">
        <f t="shared" si="2"/>
        <v>17</v>
      </c>
      <c r="H21" s="1102"/>
      <c r="I21" s="1102"/>
      <c r="J21" s="1102"/>
      <c r="K21" s="1102"/>
      <c r="L21" s="1102"/>
      <c r="M21" s="1102"/>
      <c r="N21" s="1102"/>
      <c r="O21" s="1102">
        <f t="shared" si="3"/>
        <v>0</v>
      </c>
      <c r="P21" s="1102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22.5" customHeight="1">
      <c r="A22" s="1084">
        <v>43.0</v>
      </c>
      <c r="B22" s="1085" t="s">
        <v>1660</v>
      </c>
      <c r="C22" s="1086" t="s">
        <v>70</v>
      </c>
      <c r="D22" s="1087" t="s">
        <v>1661</v>
      </c>
      <c r="E22" s="1088" t="str">
        <f t="shared" si="15"/>
        <v/>
      </c>
      <c r="F22" s="1089">
        <v>39104.0</v>
      </c>
      <c r="G22" s="1090">
        <f t="shared" si="2"/>
        <v>19</v>
      </c>
      <c r="H22" s="1091"/>
      <c r="I22" s="1091"/>
      <c r="J22" s="1091"/>
      <c r="K22" s="1091"/>
      <c r="L22" s="1091"/>
      <c r="M22" s="1091"/>
      <c r="N22" s="1091"/>
      <c r="O22" s="1091">
        <f t="shared" si="3"/>
        <v>0</v>
      </c>
      <c r="P22" s="1091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22.5" customHeight="1">
      <c r="A23" s="1094">
        <v>45.0</v>
      </c>
      <c r="B23" s="1095" t="s">
        <v>1662</v>
      </c>
      <c r="C23" s="1096" t="s">
        <v>82</v>
      </c>
      <c r="D23" s="1097" t="s">
        <v>1663</v>
      </c>
      <c r="E23" s="1098" t="str">
        <f t="shared" si="15"/>
        <v/>
      </c>
      <c r="F23" s="1099">
        <v>39133.0</v>
      </c>
      <c r="G23" s="1100">
        <f t="shared" si="2"/>
        <v>18</v>
      </c>
      <c r="H23" s="1102"/>
      <c r="I23" s="1102"/>
      <c r="J23" s="1102"/>
      <c r="K23" s="1102"/>
      <c r="L23" s="1102"/>
      <c r="M23" s="1102"/>
      <c r="N23" s="1102"/>
      <c r="O23" s="1102">
        <f t="shared" si="3"/>
        <v>0</v>
      </c>
      <c r="P23" s="1102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22.5" customHeight="1">
      <c r="A24" s="1094">
        <v>47.0</v>
      </c>
      <c r="B24" s="1095" t="s">
        <v>1664</v>
      </c>
      <c r="C24" s="1096" t="s">
        <v>82</v>
      </c>
      <c r="D24" s="1097" t="s">
        <v>1665</v>
      </c>
      <c r="E24" s="1098" t="str">
        <f t="shared" si="15"/>
        <v/>
      </c>
      <c r="F24" s="1099">
        <v>39286.0</v>
      </c>
      <c r="G24" s="1100">
        <f t="shared" si="2"/>
        <v>18</v>
      </c>
      <c r="H24" s="1102">
        <f t="shared" ref="H24:H25" si="16">1+1+1</f>
        <v>3</v>
      </c>
      <c r="I24" s="1102">
        <f>11+15+78</f>
        <v>104</v>
      </c>
      <c r="J24" s="1102"/>
      <c r="K24" s="1102">
        <f>1</f>
        <v>1</v>
      </c>
      <c r="L24" s="1102"/>
      <c r="M24" s="1102"/>
      <c r="N24" s="1102"/>
      <c r="O24" s="1102">
        <f t="shared" si="3"/>
        <v>1</v>
      </c>
      <c r="P24" s="1102"/>
    </row>
    <row r="25" ht="22.5" customHeight="1">
      <c r="A25" s="1084">
        <v>49.0</v>
      </c>
      <c r="B25" s="1085" t="s">
        <v>1666</v>
      </c>
      <c r="C25" s="1086" t="s">
        <v>82</v>
      </c>
      <c r="D25" s="1087" t="s">
        <v>1667</v>
      </c>
      <c r="E25" s="1088" t="str">
        <f>IMAGE("https://flagcdn.com/w320/sn.png")</f>
        <v/>
      </c>
      <c r="F25" s="1089">
        <v>39471.0</v>
      </c>
      <c r="G25" s="1090">
        <f t="shared" si="2"/>
        <v>18</v>
      </c>
      <c r="H25" s="1091">
        <f t="shared" si="16"/>
        <v>3</v>
      </c>
      <c r="I25" s="1091">
        <f>16+64+19</f>
        <v>99</v>
      </c>
      <c r="J25" s="1091"/>
      <c r="K25" s="1091"/>
      <c r="L25" s="1091"/>
      <c r="M25" s="1091"/>
      <c r="N25" s="1091"/>
      <c r="O25" s="1091">
        <f t="shared" si="3"/>
        <v>0</v>
      </c>
      <c r="P25" s="1091"/>
    </row>
    <row r="26" ht="22.5" customHeight="1">
      <c r="A26" s="1084">
        <v>51.0</v>
      </c>
      <c r="B26" s="1085" t="s">
        <v>1668</v>
      </c>
      <c r="C26" s="1086" t="s">
        <v>70</v>
      </c>
      <c r="D26" s="1087" t="s">
        <v>1669</v>
      </c>
      <c r="E26" s="1088" t="str">
        <f>IMAGE("https://flagcdn.com/w320/ec.png")</f>
        <v/>
      </c>
      <c r="F26" s="1089">
        <v>37180.0</v>
      </c>
      <c r="G26" s="1090">
        <f t="shared" si="2"/>
        <v>24</v>
      </c>
      <c r="H26" s="1091">
        <f>1+1+1+1+1+1+1</f>
        <v>7</v>
      </c>
      <c r="I26" s="1091">
        <f>90+90+90+90+90+90+90</f>
        <v>630</v>
      </c>
      <c r="J26" s="1091">
        <f>1+1</f>
        <v>2</v>
      </c>
      <c r="K26" s="1091"/>
      <c r="L26" s="1091"/>
      <c r="M26" s="1091"/>
      <c r="N26" s="1091"/>
      <c r="O26" s="1091">
        <f t="shared" si="3"/>
        <v>2</v>
      </c>
      <c r="P26" s="1091"/>
    </row>
    <row r="27" ht="22.5" customHeight="1">
      <c r="A27" s="1094">
        <v>60.0</v>
      </c>
      <c r="B27" s="1095" t="s">
        <v>1670</v>
      </c>
      <c r="C27" s="1096" t="s">
        <v>67</v>
      </c>
      <c r="D27" s="1097" t="s">
        <v>398</v>
      </c>
      <c r="E27" s="1098" t="str">
        <f>IMAGE("https://flagcdn.com/w320/fr.png")</f>
        <v/>
      </c>
      <c r="F27" s="1099">
        <v>39492.0</v>
      </c>
      <c r="G27" s="1100">
        <f t="shared" si="2"/>
        <v>17</v>
      </c>
      <c r="H27" s="1101">
        <v>0.0</v>
      </c>
      <c r="I27" s="1101">
        <v>0.0</v>
      </c>
      <c r="J27" s="1102"/>
      <c r="K27" s="1102"/>
      <c r="L27" s="1102"/>
      <c r="M27" s="1102"/>
      <c r="N27" s="1102"/>
      <c r="O27" s="1102">
        <f t="shared" si="3"/>
        <v>0</v>
      </c>
      <c r="P27" s="1102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1084">
        <v>87.0</v>
      </c>
      <c r="B28" s="1092" t="s">
        <v>1671</v>
      </c>
      <c r="C28" s="1086" t="s">
        <v>79</v>
      </c>
      <c r="D28" s="1087" t="s">
        <v>477</v>
      </c>
      <c r="E28" s="1088" t="str">
        <f>IMAGE("https://flagcdn.com/w320/pt.png")</f>
        <v/>
      </c>
      <c r="F28" s="1089">
        <v>38257.0</v>
      </c>
      <c r="G28" s="1090">
        <f t="shared" si="2"/>
        <v>21</v>
      </c>
      <c r="H28" s="1091">
        <f>1+1+1+1</f>
        <v>4</v>
      </c>
      <c r="I28" s="1091">
        <f>57+25+90+90</f>
        <v>262</v>
      </c>
      <c r="J28" s="1091">
        <f t="shared" ref="J28:K28" si="17">1</f>
        <v>1</v>
      </c>
      <c r="K28" s="1091">
        <f t="shared" si="17"/>
        <v>1</v>
      </c>
      <c r="L28" s="1091"/>
      <c r="M28" s="1091"/>
      <c r="N28" s="1091"/>
      <c r="O28" s="1091">
        <f t="shared" si="3"/>
        <v>2</v>
      </c>
      <c r="P28" s="1091"/>
    </row>
    <row r="29" ht="22.5" customHeight="1">
      <c r="A29" s="1084">
        <v>89.0</v>
      </c>
      <c r="B29" s="1085" t="s">
        <v>1672</v>
      </c>
      <c r="C29" s="1086" t="s">
        <v>67</v>
      </c>
      <c r="D29" s="1087" t="s">
        <v>1673</v>
      </c>
      <c r="E29" s="1088" t="str">
        <f>IMAGE("https://flagcdn.com/w320/it.png")</f>
        <v/>
      </c>
      <c r="F29" s="1089">
        <v>38908.0</v>
      </c>
      <c r="G29" s="1090">
        <f t="shared" si="2"/>
        <v>19</v>
      </c>
      <c r="H29" s="1093">
        <v>0.0</v>
      </c>
      <c r="I29" s="1093">
        <v>0.0</v>
      </c>
      <c r="J29" s="1091"/>
      <c r="K29" s="1091"/>
      <c r="L29" s="1091"/>
      <c r="M29" s="1091"/>
      <c r="N29" s="1091"/>
      <c r="O29" s="1091">
        <f t="shared" si="3"/>
        <v>0</v>
      </c>
      <c r="P29" s="1091"/>
    </row>
    <row r="30">
      <c r="A30" s="11"/>
      <c r="B30" s="18"/>
      <c r="C30" s="18"/>
      <c r="D30" s="64"/>
      <c r="E30" s="65"/>
      <c r="F30" s="66"/>
      <c r="G30" s="18"/>
      <c r="H30" s="11">
        <f>SUM(H2:H29)</f>
        <v>106</v>
      </c>
      <c r="I30" s="11">
        <f>SUM(I2:I29)+54+1</f>
        <v>6930</v>
      </c>
      <c r="J30" s="11">
        <f t="shared" ref="J30:P30" si="18">SUM(J2:J29)</f>
        <v>19</v>
      </c>
      <c r="K30" s="11">
        <f t="shared" si="18"/>
        <v>13</v>
      </c>
      <c r="L30" s="11">
        <f t="shared" si="18"/>
        <v>6</v>
      </c>
      <c r="M30" s="11">
        <f t="shared" si="18"/>
        <v>2</v>
      </c>
      <c r="N30" s="11">
        <f t="shared" si="18"/>
        <v>2</v>
      </c>
      <c r="O30" s="11">
        <f t="shared" si="18"/>
        <v>32</v>
      </c>
      <c r="P30" s="11">
        <f t="shared" si="18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22.5" customHeight="1">
      <c r="A31" s="1077" t="s">
        <v>150</v>
      </c>
      <c r="B31" s="1078" t="s">
        <v>49</v>
      </c>
      <c r="C31" s="1078" t="s">
        <v>265</v>
      </c>
      <c r="D31" s="1103" t="s">
        <v>56</v>
      </c>
      <c r="E31" s="1104" t="s">
        <v>57</v>
      </c>
      <c r="F31" s="1078" t="s">
        <v>52</v>
      </c>
      <c r="G31" s="1078" t="s">
        <v>53</v>
      </c>
      <c r="H31" s="1104" t="s">
        <v>4</v>
      </c>
      <c r="I31" s="1104" t="s">
        <v>5</v>
      </c>
      <c r="J31" s="1104" t="s">
        <v>6</v>
      </c>
      <c r="K31" s="1104" t="s">
        <v>7</v>
      </c>
      <c r="L31" s="1104" t="s">
        <v>8</v>
      </c>
      <c r="M31" s="1104" t="s">
        <v>9</v>
      </c>
      <c r="N31" s="1104" t="s">
        <v>10</v>
      </c>
      <c r="O31" s="1105"/>
      <c r="P31" s="1105"/>
      <c r="Q31" s="1083"/>
      <c r="R31" s="1083"/>
      <c r="S31" s="1083"/>
      <c r="T31" s="1083"/>
      <c r="U31" s="1083"/>
      <c r="V31" s="1083"/>
      <c r="W31" s="1083"/>
      <c r="X31" s="1083"/>
      <c r="Y31" s="1083"/>
      <c r="Z31" s="1083"/>
      <c r="AA31" s="1083"/>
    </row>
    <row r="32" ht="22.5" customHeight="1">
      <c r="A32" s="1106"/>
      <c r="B32" s="1092" t="s">
        <v>1674</v>
      </c>
      <c r="C32" s="1085" t="s">
        <v>153</v>
      </c>
      <c r="D32" s="1087" t="s">
        <v>83</v>
      </c>
      <c r="E32" s="1107" t="str">
        <f>IMAGE("https://flagcdn.com/w320/es.png")</f>
        <v/>
      </c>
      <c r="F32" s="1108">
        <v>25696.0</v>
      </c>
      <c r="G32" s="1090">
        <f>DATEDIF(F32,TODAY(),"Y")</f>
        <v>55</v>
      </c>
      <c r="H32" s="1109">
        <f>L32+M32+N32</f>
        <v>7</v>
      </c>
      <c r="I32" s="1109">
        <f>(3*L32)+M32</f>
        <v>13</v>
      </c>
      <c r="J32" s="1109">
        <f>4+2+7+1+5+1</f>
        <v>20</v>
      </c>
      <c r="K32" s="1109">
        <f>1+2+2+3+2</f>
        <v>10</v>
      </c>
      <c r="L32" s="1110">
        <f>1+1+1+1</f>
        <v>4</v>
      </c>
      <c r="M32" s="1111">
        <f>1</f>
        <v>1</v>
      </c>
      <c r="N32" s="1112">
        <f>1+1</f>
        <v>2</v>
      </c>
      <c r="O32" s="12"/>
      <c r="P32" s="12"/>
    </row>
    <row r="33">
      <c r="A33" s="11"/>
      <c r="B33" s="18"/>
      <c r="C33" s="18"/>
      <c r="D33" s="64"/>
      <c r="E33" s="65"/>
      <c r="F33" s="66"/>
      <c r="G33" s="18"/>
      <c r="H33" s="11">
        <f t="shared" ref="H33:N33" si="19">SUM(H32)</f>
        <v>7</v>
      </c>
      <c r="I33" s="11">
        <f t="shared" si="19"/>
        <v>13</v>
      </c>
      <c r="J33" s="11">
        <f t="shared" si="19"/>
        <v>20</v>
      </c>
      <c r="K33" s="11">
        <f t="shared" si="19"/>
        <v>10</v>
      </c>
      <c r="L33" s="11">
        <f t="shared" si="19"/>
        <v>4</v>
      </c>
      <c r="M33" s="11">
        <f t="shared" si="19"/>
        <v>1</v>
      </c>
      <c r="N33" s="11">
        <f t="shared" si="19"/>
        <v>2</v>
      </c>
      <c r="O33" s="11"/>
      <c r="P33" s="11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22.5" customHeight="1">
      <c r="A34" s="1077" t="s">
        <v>156</v>
      </c>
      <c r="B34" s="1077" t="s">
        <v>157</v>
      </c>
      <c r="C34" s="1077" t="s">
        <v>158</v>
      </c>
      <c r="D34" s="1081" t="s">
        <v>1675</v>
      </c>
      <c r="E34" s="1077" t="s">
        <v>160</v>
      </c>
      <c r="F34" s="1077" t="s">
        <v>161</v>
      </c>
      <c r="H34" s="12"/>
      <c r="I34" s="12"/>
      <c r="J34" s="12"/>
      <c r="K34" s="12"/>
      <c r="L34" s="12"/>
      <c r="M34" s="12"/>
      <c r="N34" s="12"/>
      <c r="O34" s="12"/>
      <c r="P34" s="12"/>
    </row>
    <row r="35" ht="22.5" customHeight="1">
      <c r="A35" s="86">
        <v>1.0</v>
      </c>
      <c r="B35" s="87" t="s">
        <v>15</v>
      </c>
      <c r="C35" s="87" t="s">
        <v>14</v>
      </c>
      <c r="D35" s="88" t="s">
        <v>1676</v>
      </c>
      <c r="E35" s="161" t="s">
        <v>164</v>
      </c>
      <c r="F35" s="87" t="s">
        <v>328</v>
      </c>
      <c r="H35" s="12"/>
      <c r="I35" s="12"/>
      <c r="J35" s="12"/>
      <c r="K35" s="12"/>
      <c r="L35" s="12"/>
      <c r="M35" s="12"/>
      <c r="N35" s="12"/>
      <c r="O35" s="12"/>
      <c r="P35" s="12"/>
    </row>
    <row r="36" ht="22.5" customHeight="1">
      <c r="A36" s="86">
        <v>2.0</v>
      </c>
      <c r="B36" s="847" t="s">
        <v>25</v>
      </c>
      <c r="C36" s="87" t="s">
        <v>15</v>
      </c>
      <c r="D36" s="88" t="s">
        <v>1677</v>
      </c>
      <c r="E36" s="89">
        <v>45659.0</v>
      </c>
      <c r="F36" s="87" t="s">
        <v>557</v>
      </c>
      <c r="H36" s="12"/>
      <c r="I36" s="12"/>
      <c r="J36" s="12"/>
      <c r="K36" s="12"/>
      <c r="L36" s="12"/>
      <c r="M36" s="12"/>
      <c r="N36" s="12"/>
      <c r="O36" s="12"/>
      <c r="P36" s="12"/>
    </row>
    <row r="37" ht="22.5" customHeight="1">
      <c r="A37" s="86">
        <v>3.0</v>
      </c>
      <c r="B37" s="847" t="s">
        <v>31</v>
      </c>
      <c r="C37" s="847" t="s">
        <v>15</v>
      </c>
      <c r="D37" s="88" t="s">
        <v>1678</v>
      </c>
      <c r="E37" s="89">
        <v>45695.0</v>
      </c>
      <c r="F37" s="87" t="s">
        <v>1204</v>
      </c>
      <c r="H37" s="12"/>
      <c r="I37" s="12"/>
      <c r="J37" s="12"/>
      <c r="K37" s="12"/>
      <c r="L37" s="12"/>
      <c r="M37" s="12"/>
      <c r="N37" s="12"/>
      <c r="O37" s="12"/>
      <c r="P37" s="12"/>
    </row>
    <row r="38" ht="22.5" customHeight="1">
      <c r="A38" s="77">
        <v>4.0</v>
      </c>
      <c r="B38" s="697" t="s">
        <v>15</v>
      </c>
      <c r="C38" s="697" t="s">
        <v>13</v>
      </c>
      <c r="D38" s="83" t="s">
        <v>1679</v>
      </c>
      <c r="E38" s="84">
        <v>45659.0</v>
      </c>
      <c r="F38" s="78" t="s">
        <v>328</v>
      </c>
      <c r="H38" s="12"/>
      <c r="I38" s="12"/>
      <c r="J38" s="12"/>
      <c r="K38" s="12"/>
      <c r="L38" s="12"/>
      <c r="M38" s="12"/>
      <c r="N38" s="12"/>
      <c r="O38" s="12"/>
      <c r="P38" s="12"/>
    </row>
    <row r="39" ht="22.5" customHeight="1">
      <c r="A39" s="86">
        <v>5.0</v>
      </c>
      <c r="B39" s="87" t="s">
        <v>15</v>
      </c>
      <c r="C39" s="847" t="s">
        <v>20</v>
      </c>
      <c r="D39" s="88" t="s">
        <v>1680</v>
      </c>
      <c r="E39" s="89">
        <v>45780.0</v>
      </c>
      <c r="F39" s="87" t="s">
        <v>328</v>
      </c>
      <c r="H39" s="12"/>
      <c r="I39" s="12"/>
      <c r="J39" s="12"/>
      <c r="K39" s="12"/>
      <c r="L39" s="12"/>
      <c r="M39" s="12"/>
      <c r="N39" s="12"/>
      <c r="O39" s="12"/>
      <c r="P39" s="12"/>
    </row>
    <row r="40" ht="22.5" customHeight="1">
      <c r="A40" s="197">
        <v>6.0</v>
      </c>
      <c r="B40" s="727" t="s">
        <v>40</v>
      </c>
      <c r="C40" s="198" t="s">
        <v>15</v>
      </c>
      <c r="D40" s="199"/>
      <c r="E40" s="200" t="s">
        <v>331</v>
      </c>
      <c r="F40" s="198" t="s">
        <v>269</v>
      </c>
      <c r="H40" s="12"/>
      <c r="I40" s="12"/>
      <c r="J40" s="12"/>
      <c r="K40" s="12"/>
      <c r="L40" s="12"/>
      <c r="M40" s="12"/>
      <c r="N40" s="12"/>
      <c r="O40" s="12"/>
      <c r="P40" s="12"/>
    </row>
    <row r="41" ht="22.5" customHeight="1">
      <c r="A41" s="77">
        <v>7.0</v>
      </c>
      <c r="B41" s="78" t="s">
        <v>24</v>
      </c>
      <c r="C41" s="697" t="s">
        <v>15</v>
      </c>
      <c r="D41" s="83" t="s">
        <v>1681</v>
      </c>
      <c r="E41" s="84">
        <v>46054.0</v>
      </c>
      <c r="F41" s="78" t="s">
        <v>837</v>
      </c>
      <c r="H41" s="12"/>
      <c r="I41" s="12"/>
      <c r="J41" s="12"/>
      <c r="K41" s="12"/>
      <c r="L41" s="12"/>
      <c r="M41" s="12"/>
      <c r="N41" s="12"/>
      <c r="O41" s="12"/>
      <c r="P41" s="12"/>
    </row>
    <row r="42" ht="22.5" customHeight="1">
      <c r="A42" s="90">
        <v>8.0</v>
      </c>
      <c r="B42" s="925" t="s">
        <v>15</v>
      </c>
      <c r="C42" s="91" t="s">
        <v>26</v>
      </c>
      <c r="D42" s="92"/>
      <c r="E42" s="93"/>
      <c r="F42" s="94" t="s">
        <v>328</v>
      </c>
      <c r="H42" s="12"/>
      <c r="I42" s="12"/>
      <c r="J42" s="12"/>
      <c r="K42" s="12"/>
      <c r="L42" s="12"/>
      <c r="M42" s="12"/>
      <c r="N42" s="12"/>
      <c r="O42" s="12"/>
      <c r="P42" s="12"/>
    </row>
    <row r="43">
      <c r="A43" s="12"/>
      <c r="D43" s="95"/>
      <c r="E43" s="14"/>
      <c r="F43" s="96"/>
      <c r="H43" s="12"/>
      <c r="I43" s="12"/>
      <c r="J43" s="12"/>
      <c r="K43" s="12"/>
      <c r="L43" s="12"/>
      <c r="M43" s="12"/>
      <c r="N43" s="12"/>
      <c r="O43" s="12"/>
      <c r="P43" s="12"/>
    </row>
    <row r="44">
      <c r="A44" s="12"/>
      <c r="D44" s="95"/>
      <c r="E44" s="14"/>
      <c r="F44" s="96"/>
      <c r="H44" s="12"/>
      <c r="I44" s="12"/>
      <c r="J44" s="12"/>
      <c r="K44" s="12"/>
      <c r="L44" s="12"/>
      <c r="M44" s="12"/>
      <c r="N44" s="12"/>
      <c r="O44" s="12"/>
      <c r="P44" s="12"/>
    </row>
    <row r="45">
      <c r="A45" s="12"/>
      <c r="D45" s="95"/>
      <c r="E45" s="14"/>
      <c r="F45" s="96"/>
      <c r="H45" s="12"/>
      <c r="I45" s="12"/>
      <c r="J45" s="12"/>
      <c r="K45" s="12"/>
      <c r="L45" s="12"/>
      <c r="M45" s="12"/>
      <c r="N45" s="12"/>
      <c r="O45" s="12"/>
      <c r="P45" s="12"/>
    </row>
    <row r="46">
      <c r="A46" s="12"/>
      <c r="D46" s="95"/>
      <c r="E46" s="14"/>
      <c r="F46" s="96"/>
      <c r="H46" s="12"/>
      <c r="I46" s="12"/>
      <c r="J46" s="12"/>
      <c r="K46" s="12"/>
      <c r="L46" s="12"/>
      <c r="M46" s="12"/>
      <c r="N46" s="12"/>
      <c r="O46" s="12"/>
      <c r="P46" s="12"/>
    </row>
    <row r="47">
      <c r="A47" s="12"/>
      <c r="D47" s="95"/>
      <c r="E47" s="14"/>
      <c r="F47" s="96"/>
      <c r="H47" s="12"/>
      <c r="I47" s="12"/>
      <c r="J47" s="12"/>
      <c r="K47" s="12"/>
      <c r="L47" s="12"/>
      <c r="M47" s="12"/>
      <c r="N47" s="12"/>
      <c r="O47" s="12"/>
      <c r="P47" s="12"/>
    </row>
    <row r="48">
      <c r="A48" s="12"/>
      <c r="D48" s="95"/>
      <c r="E48" s="14"/>
      <c r="F48" s="96"/>
      <c r="H48" s="12"/>
      <c r="I48" s="12"/>
      <c r="J48" s="12"/>
      <c r="K48" s="12"/>
      <c r="L48" s="12"/>
      <c r="M48" s="12"/>
      <c r="N48" s="12"/>
      <c r="O48" s="12"/>
      <c r="P48" s="12"/>
    </row>
    <row r="49">
      <c r="A49" s="12"/>
      <c r="D49" s="95"/>
      <c r="E49" s="14"/>
      <c r="F49" s="96"/>
      <c r="H49" s="12"/>
      <c r="I49" s="12"/>
      <c r="J49" s="12"/>
      <c r="K49" s="12"/>
      <c r="L49" s="12"/>
      <c r="M49" s="12"/>
      <c r="N49" s="12"/>
      <c r="O49" s="12"/>
      <c r="P49" s="12"/>
    </row>
    <row r="50">
      <c r="A50" s="12"/>
      <c r="D50" s="95"/>
      <c r="E50" s="14"/>
      <c r="F50" s="96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12"/>
      <c r="D51" s="95"/>
      <c r="E51" s="14"/>
      <c r="F51" s="96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2"/>
      <c r="D52" s="95"/>
      <c r="E52" s="14"/>
      <c r="F52" s="96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2"/>
      <c r="D53" s="95"/>
      <c r="E53" s="14"/>
      <c r="F53" s="96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2"/>
      <c r="D54" s="95"/>
      <c r="E54" s="14"/>
      <c r="F54" s="96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2"/>
      <c r="D55" s="95"/>
      <c r="E55" s="14"/>
      <c r="F55" s="96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2"/>
      <c r="D56" s="95"/>
      <c r="E56" s="14"/>
      <c r="F56" s="96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12"/>
      <c r="D57" s="95"/>
      <c r="E57" s="14"/>
      <c r="F57" s="96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12"/>
      <c r="D58" s="95"/>
      <c r="E58" s="14"/>
      <c r="F58" s="96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2"/>
      <c r="D59" s="95"/>
      <c r="E59" s="14"/>
      <c r="F59" s="96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12"/>
      <c r="D60" s="95"/>
      <c r="E60" s="14"/>
      <c r="F60" s="96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12"/>
      <c r="D61" s="95"/>
      <c r="E61" s="14"/>
      <c r="F61" s="96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12"/>
      <c r="D62" s="95"/>
      <c r="E62" s="14"/>
      <c r="F62" s="96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2"/>
      <c r="D63" s="95"/>
      <c r="E63" s="14"/>
      <c r="F63" s="96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12"/>
      <c r="D64" s="95"/>
      <c r="E64" s="14"/>
      <c r="F64" s="96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12"/>
      <c r="D65" s="95"/>
      <c r="E65" s="14"/>
      <c r="F65" s="96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12"/>
      <c r="D66" s="95"/>
      <c r="E66" s="14"/>
      <c r="F66" s="96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12"/>
      <c r="D67" s="95"/>
      <c r="E67" s="14"/>
      <c r="F67" s="96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2"/>
      <c r="D68" s="95"/>
      <c r="E68" s="14"/>
      <c r="F68" s="96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2"/>
      <c r="D69" s="95"/>
      <c r="E69" s="14"/>
      <c r="F69" s="96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12"/>
      <c r="D70" s="95"/>
      <c r="E70" s="14"/>
      <c r="F70" s="96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12"/>
      <c r="D71" s="95"/>
      <c r="E71" s="14"/>
      <c r="F71" s="96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12"/>
      <c r="D72" s="95"/>
      <c r="E72" s="14"/>
      <c r="F72" s="96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12"/>
      <c r="D73" s="95"/>
      <c r="E73" s="14"/>
      <c r="F73" s="96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12"/>
      <c r="D74" s="95"/>
      <c r="E74" s="14"/>
      <c r="F74" s="96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12"/>
      <c r="D75" s="95"/>
      <c r="E75" s="14"/>
      <c r="F75" s="96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12"/>
      <c r="D76" s="95"/>
      <c r="E76" s="14"/>
      <c r="F76" s="96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2"/>
      <c r="D77" s="95"/>
      <c r="E77" s="14"/>
      <c r="F77" s="96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2"/>
      <c r="D78" s="95"/>
      <c r="E78" s="14"/>
      <c r="F78" s="96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2"/>
      <c r="D79" s="95"/>
      <c r="E79" s="14"/>
      <c r="F79" s="96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2"/>
      <c r="D80" s="95"/>
      <c r="E80" s="14"/>
      <c r="F80" s="96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2"/>
      <c r="D81" s="95"/>
      <c r="E81" s="14"/>
      <c r="F81" s="96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2"/>
      <c r="D82" s="95"/>
      <c r="E82" s="14"/>
      <c r="F82" s="96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12"/>
      <c r="D83" s="95"/>
      <c r="E83" s="14"/>
      <c r="F83" s="96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12"/>
      <c r="D84" s="95"/>
      <c r="E84" s="14"/>
      <c r="F84" s="96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2"/>
      <c r="D85" s="95"/>
      <c r="E85" s="14"/>
      <c r="F85" s="96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12"/>
      <c r="D86" s="95"/>
      <c r="E86" s="14"/>
      <c r="F86" s="96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2"/>
      <c r="D87" s="95"/>
      <c r="E87" s="14"/>
      <c r="F87" s="96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12"/>
      <c r="D88" s="95"/>
      <c r="E88" s="14"/>
      <c r="F88" s="96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12"/>
      <c r="D89" s="95"/>
      <c r="E89" s="14"/>
      <c r="F89" s="96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2"/>
      <c r="D90" s="95"/>
      <c r="E90" s="14"/>
      <c r="F90" s="96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12"/>
      <c r="D91" s="95"/>
      <c r="E91" s="14"/>
      <c r="F91" s="96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12"/>
      <c r="D92" s="95"/>
      <c r="E92" s="14"/>
      <c r="F92" s="96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12"/>
      <c r="D93" s="95"/>
      <c r="E93" s="14"/>
      <c r="F93" s="96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12"/>
      <c r="D94" s="95"/>
      <c r="E94" s="14"/>
      <c r="F94" s="96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12"/>
      <c r="D95" s="95"/>
      <c r="E95" s="14"/>
      <c r="F95" s="96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2"/>
      <c r="D96" s="95"/>
      <c r="E96" s="14"/>
      <c r="F96" s="96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12"/>
      <c r="D97" s="95"/>
      <c r="E97" s="14"/>
      <c r="F97" s="96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12"/>
      <c r="D98" s="95"/>
      <c r="E98" s="14"/>
      <c r="F98" s="96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12"/>
      <c r="D99" s="95"/>
      <c r="E99" s="14"/>
      <c r="F99" s="96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2"/>
      <c r="D100" s="95"/>
      <c r="E100" s="14"/>
      <c r="F100" s="96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A101" s="12"/>
      <c r="D101" s="95"/>
      <c r="E101" s="14"/>
      <c r="F101" s="96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A102" s="12"/>
      <c r="D102" s="95"/>
      <c r="E102" s="14"/>
      <c r="F102" s="96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2"/>
      <c r="D103" s="95"/>
      <c r="E103" s="14"/>
      <c r="F103" s="96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A104" s="12"/>
      <c r="D104" s="95"/>
      <c r="E104" s="14"/>
      <c r="F104" s="96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A105" s="12"/>
      <c r="D105" s="95"/>
      <c r="E105" s="14"/>
      <c r="F105" s="96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A106" s="12"/>
      <c r="D106" s="95"/>
      <c r="E106" s="14"/>
      <c r="F106" s="96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A107" s="12"/>
      <c r="D107" s="95"/>
      <c r="E107" s="14"/>
      <c r="F107" s="96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A108" s="12"/>
      <c r="D108" s="95"/>
      <c r="E108" s="14"/>
      <c r="F108" s="96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A109" s="12"/>
      <c r="D109" s="95"/>
      <c r="E109" s="14"/>
      <c r="F109" s="96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A110" s="12"/>
      <c r="D110" s="95"/>
      <c r="E110" s="14"/>
      <c r="F110" s="96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A111" s="12"/>
      <c r="D111" s="95"/>
      <c r="E111" s="14"/>
      <c r="F111" s="96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A112" s="12"/>
      <c r="D112" s="95"/>
      <c r="E112" s="14"/>
      <c r="F112" s="96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A113" s="12"/>
      <c r="D113" s="95"/>
      <c r="E113" s="14"/>
      <c r="F113" s="96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A114" s="12"/>
      <c r="D114" s="95"/>
      <c r="E114" s="14"/>
      <c r="F114" s="96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A115" s="12"/>
      <c r="D115" s="95"/>
      <c r="E115" s="14"/>
      <c r="F115" s="96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A116" s="12"/>
      <c r="D116" s="95"/>
      <c r="E116" s="14"/>
      <c r="F116" s="96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A117" s="12"/>
      <c r="D117" s="95"/>
      <c r="E117" s="14"/>
      <c r="F117" s="96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A118" s="12"/>
      <c r="D118" s="95"/>
      <c r="E118" s="14"/>
      <c r="F118" s="96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A119" s="12"/>
      <c r="D119" s="95"/>
      <c r="E119" s="14"/>
      <c r="F119" s="96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A120" s="12"/>
      <c r="D120" s="95"/>
      <c r="E120" s="14"/>
      <c r="F120" s="96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A121" s="12"/>
      <c r="D121" s="95"/>
      <c r="E121" s="14"/>
      <c r="F121" s="96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A122" s="12"/>
      <c r="D122" s="95"/>
      <c r="E122" s="14"/>
      <c r="F122" s="96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A123" s="12"/>
      <c r="D123" s="95"/>
      <c r="E123" s="14"/>
      <c r="F123" s="96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A124" s="12"/>
      <c r="D124" s="95"/>
      <c r="E124" s="14"/>
      <c r="F124" s="96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A125" s="12"/>
      <c r="D125" s="95"/>
      <c r="E125" s="14"/>
      <c r="F125" s="96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A126" s="12"/>
      <c r="D126" s="95"/>
      <c r="E126" s="14"/>
      <c r="F126" s="96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A127" s="12"/>
      <c r="D127" s="95"/>
      <c r="E127" s="14"/>
      <c r="F127" s="96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A128" s="12"/>
      <c r="D128" s="95"/>
      <c r="E128" s="14"/>
      <c r="F128" s="96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A129" s="12"/>
      <c r="D129" s="95"/>
      <c r="E129" s="14"/>
      <c r="F129" s="96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A130" s="12"/>
      <c r="D130" s="95"/>
      <c r="E130" s="14"/>
      <c r="F130" s="96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A131" s="12"/>
      <c r="D131" s="95"/>
      <c r="E131" s="14"/>
      <c r="F131" s="96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A132" s="12"/>
      <c r="D132" s="95"/>
      <c r="E132" s="14"/>
      <c r="F132" s="96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A133" s="12"/>
      <c r="D133" s="95"/>
      <c r="E133" s="14"/>
      <c r="F133" s="96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A134" s="12"/>
      <c r="D134" s="95"/>
      <c r="E134" s="14"/>
      <c r="F134" s="96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A135" s="12"/>
      <c r="D135" s="95"/>
      <c r="E135" s="14"/>
      <c r="F135" s="96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A136" s="12"/>
      <c r="D136" s="95"/>
      <c r="E136" s="14"/>
      <c r="F136" s="96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A137" s="12"/>
      <c r="D137" s="95"/>
      <c r="E137" s="14"/>
      <c r="F137" s="96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A138" s="12"/>
      <c r="D138" s="95"/>
      <c r="E138" s="14"/>
      <c r="F138" s="96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A139" s="12"/>
      <c r="D139" s="95"/>
      <c r="E139" s="14"/>
      <c r="F139" s="96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A140" s="12"/>
      <c r="D140" s="95"/>
      <c r="E140" s="14"/>
      <c r="F140" s="96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A141" s="12"/>
      <c r="D141" s="95"/>
      <c r="E141" s="14"/>
      <c r="F141" s="96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A142" s="12"/>
      <c r="D142" s="95"/>
      <c r="E142" s="14"/>
      <c r="F142" s="96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A143" s="12"/>
      <c r="D143" s="95"/>
      <c r="E143" s="14"/>
      <c r="F143" s="96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A144" s="12"/>
      <c r="D144" s="95"/>
      <c r="E144" s="14"/>
      <c r="F144" s="96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A145" s="12"/>
      <c r="D145" s="95"/>
      <c r="E145" s="14"/>
      <c r="F145" s="96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A146" s="12"/>
      <c r="D146" s="95"/>
      <c r="E146" s="14"/>
      <c r="F146" s="96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A147" s="12"/>
      <c r="D147" s="95"/>
      <c r="E147" s="14"/>
      <c r="F147" s="96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A148" s="12"/>
      <c r="D148" s="95"/>
      <c r="E148" s="14"/>
      <c r="F148" s="96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A149" s="12"/>
      <c r="D149" s="95"/>
      <c r="E149" s="14"/>
      <c r="F149" s="96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A150" s="12"/>
      <c r="D150" s="95"/>
      <c r="E150" s="14"/>
      <c r="F150" s="96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A151" s="12"/>
      <c r="D151" s="95"/>
      <c r="E151" s="14"/>
      <c r="F151" s="96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A152" s="12"/>
      <c r="D152" s="95"/>
      <c r="E152" s="14"/>
      <c r="F152" s="96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A153" s="12"/>
      <c r="D153" s="95"/>
      <c r="E153" s="14"/>
      <c r="F153" s="96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A154" s="12"/>
      <c r="D154" s="95"/>
      <c r="E154" s="14"/>
      <c r="F154" s="96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A155" s="12"/>
      <c r="D155" s="95"/>
      <c r="E155" s="14"/>
      <c r="F155" s="96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A156" s="12"/>
      <c r="D156" s="95"/>
      <c r="E156" s="14"/>
      <c r="F156" s="96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A157" s="12"/>
      <c r="D157" s="95"/>
      <c r="E157" s="14"/>
      <c r="F157" s="96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A158" s="12"/>
      <c r="D158" s="95"/>
      <c r="E158" s="14"/>
      <c r="F158" s="96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A159" s="12"/>
      <c r="D159" s="95"/>
      <c r="E159" s="14"/>
      <c r="F159" s="96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A160" s="12"/>
      <c r="D160" s="95"/>
      <c r="E160" s="14"/>
      <c r="F160" s="96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A161" s="12"/>
      <c r="D161" s="95"/>
      <c r="E161" s="14"/>
      <c r="F161" s="96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A162" s="12"/>
      <c r="D162" s="95"/>
      <c r="E162" s="14"/>
      <c r="F162" s="96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A163" s="12"/>
      <c r="D163" s="95"/>
      <c r="E163" s="14"/>
      <c r="F163" s="96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A164" s="12"/>
      <c r="D164" s="95"/>
      <c r="E164" s="14"/>
      <c r="F164" s="96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A165" s="12"/>
      <c r="D165" s="95"/>
      <c r="E165" s="14"/>
      <c r="F165" s="96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A166" s="12"/>
      <c r="D166" s="95"/>
      <c r="E166" s="14"/>
      <c r="F166" s="96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A167" s="12"/>
      <c r="D167" s="95"/>
      <c r="E167" s="14"/>
      <c r="F167" s="96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A168" s="12"/>
      <c r="D168" s="95"/>
      <c r="E168" s="14"/>
      <c r="F168" s="96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A169" s="12"/>
      <c r="D169" s="95"/>
      <c r="E169" s="14"/>
      <c r="F169" s="96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A170" s="12"/>
      <c r="D170" s="95"/>
      <c r="E170" s="14"/>
      <c r="F170" s="96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A171" s="12"/>
      <c r="D171" s="95"/>
      <c r="E171" s="14"/>
      <c r="F171" s="96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A172" s="12"/>
      <c r="D172" s="95"/>
      <c r="E172" s="14"/>
      <c r="F172" s="96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A173" s="12"/>
      <c r="D173" s="95"/>
      <c r="E173" s="14"/>
      <c r="F173" s="96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A174" s="12"/>
      <c r="D174" s="95"/>
      <c r="E174" s="14"/>
      <c r="F174" s="96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A175" s="12"/>
      <c r="D175" s="95"/>
      <c r="E175" s="14"/>
      <c r="F175" s="96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A176" s="12"/>
      <c r="D176" s="95"/>
      <c r="E176" s="14"/>
      <c r="F176" s="96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A177" s="12"/>
      <c r="D177" s="95"/>
      <c r="E177" s="14"/>
      <c r="F177" s="96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A178" s="12"/>
      <c r="D178" s="95"/>
      <c r="E178" s="14"/>
      <c r="F178" s="96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A179" s="12"/>
      <c r="D179" s="95"/>
      <c r="E179" s="14"/>
      <c r="F179" s="96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A180" s="12"/>
      <c r="D180" s="95"/>
      <c r="E180" s="14"/>
      <c r="F180" s="96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A181" s="12"/>
      <c r="D181" s="95"/>
      <c r="E181" s="14"/>
      <c r="F181" s="96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A182" s="12"/>
      <c r="D182" s="95"/>
      <c r="E182" s="14"/>
      <c r="F182" s="96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A183" s="12"/>
      <c r="D183" s="95"/>
      <c r="E183" s="14"/>
      <c r="F183" s="96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A184" s="12"/>
      <c r="D184" s="95"/>
      <c r="E184" s="14"/>
      <c r="F184" s="96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A185" s="12"/>
      <c r="D185" s="95"/>
      <c r="E185" s="14"/>
      <c r="F185" s="96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A186" s="12"/>
      <c r="D186" s="95"/>
      <c r="E186" s="14"/>
      <c r="F186" s="96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A187" s="12"/>
      <c r="D187" s="95"/>
      <c r="E187" s="14"/>
      <c r="F187" s="96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A188" s="12"/>
      <c r="D188" s="95"/>
      <c r="E188" s="14"/>
      <c r="F188" s="96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A189" s="12"/>
      <c r="D189" s="95"/>
      <c r="E189" s="14"/>
      <c r="F189" s="96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A190" s="12"/>
      <c r="D190" s="95"/>
      <c r="E190" s="14"/>
      <c r="F190" s="96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A191" s="12"/>
      <c r="D191" s="95"/>
      <c r="E191" s="14"/>
      <c r="F191" s="96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A192" s="12"/>
      <c r="D192" s="95"/>
      <c r="E192" s="14"/>
      <c r="F192" s="96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A193" s="12"/>
      <c r="D193" s="95"/>
      <c r="E193" s="14"/>
      <c r="F193" s="96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A194" s="12"/>
      <c r="D194" s="95"/>
      <c r="E194" s="14"/>
      <c r="F194" s="96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A195" s="12"/>
      <c r="D195" s="95"/>
      <c r="E195" s="14"/>
      <c r="F195" s="96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A196" s="12"/>
      <c r="D196" s="95"/>
      <c r="E196" s="14"/>
      <c r="F196" s="96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A197" s="12"/>
      <c r="D197" s="95"/>
      <c r="E197" s="14"/>
      <c r="F197" s="96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A198" s="12"/>
      <c r="D198" s="95"/>
      <c r="E198" s="14"/>
      <c r="F198" s="96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A199" s="12"/>
      <c r="D199" s="95"/>
      <c r="E199" s="14"/>
      <c r="F199" s="96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A200" s="12"/>
      <c r="D200" s="95"/>
      <c r="E200" s="14"/>
      <c r="F200" s="96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A201" s="12"/>
      <c r="D201" s="95"/>
      <c r="E201" s="14"/>
      <c r="F201" s="96"/>
      <c r="H201" s="12"/>
      <c r="I201" s="12"/>
      <c r="J201" s="12"/>
      <c r="K201" s="12"/>
      <c r="L201" s="12"/>
      <c r="M201" s="12"/>
      <c r="N201" s="12"/>
      <c r="O201" s="12"/>
      <c r="P201" s="12"/>
    </row>
    <row r="202">
      <c r="A202" s="12"/>
      <c r="D202" s="95"/>
      <c r="E202" s="14"/>
      <c r="F202" s="96"/>
      <c r="H202" s="12"/>
      <c r="I202" s="12"/>
      <c r="J202" s="12"/>
      <c r="K202" s="12"/>
      <c r="L202" s="12"/>
      <c r="M202" s="12"/>
      <c r="N202" s="12"/>
      <c r="O202" s="12"/>
      <c r="P202" s="12"/>
    </row>
    <row r="203">
      <c r="A203" s="12"/>
      <c r="D203" s="95"/>
      <c r="E203" s="14"/>
      <c r="F203" s="96"/>
      <c r="H203" s="12"/>
      <c r="I203" s="12"/>
      <c r="J203" s="12"/>
      <c r="K203" s="12"/>
      <c r="L203" s="12"/>
      <c r="M203" s="12"/>
      <c r="N203" s="12"/>
      <c r="O203" s="12"/>
      <c r="P203" s="12"/>
    </row>
    <row r="204">
      <c r="A204" s="12"/>
      <c r="D204" s="95"/>
      <c r="E204" s="14"/>
      <c r="F204" s="96"/>
      <c r="H204" s="12"/>
      <c r="I204" s="12"/>
      <c r="J204" s="12"/>
      <c r="K204" s="12"/>
      <c r="L204" s="12"/>
      <c r="M204" s="12"/>
      <c r="N204" s="12"/>
      <c r="O204" s="12"/>
      <c r="P204" s="12"/>
    </row>
    <row r="205">
      <c r="A205" s="12"/>
      <c r="D205" s="95"/>
      <c r="E205" s="14"/>
      <c r="F205" s="96"/>
      <c r="H205" s="12"/>
      <c r="I205" s="12"/>
      <c r="J205" s="12"/>
      <c r="K205" s="12"/>
      <c r="L205" s="12"/>
      <c r="M205" s="12"/>
      <c r="N205" s="12"/>
      <c r="O205" s="12"/>
      <c r="P205" s="12"/>
    </row>
    <row r="206">
      <c r="A206" s="12"/>
      <c r="D206" s="95"/>
      <c r="E206" s="14"/>
      <c r="F206" s="96"/>
      <c r="H206" s="12"/>
      <c r="I206" s="12"/>
      <c r="J206" s="12"/>
      <c r="K206" s="12"/>
      <c r="L206" s="12"/>
      <c r="M206" s="12"/>
      <c r="N206" s="12"/>
      <c r="O206" s="12"/>
      <c r="P206" s="12"/>
    </row>
    <row r="207">
      <c r="A207" s="12"/>
      <c r="D207" s="95"/>
      <c r="E207" s="14"/>
      <c r="F207" s="96"/>
      <c r="H207" s="12"/>
      <c r="I207" s="12"/>
      <c r="J207" s="12"/>
      <c r="K207" s="12"/>
      <c r="L207" s="12"/>
      <c r="M207" s="12"/>
      <c r="N207" s="12"/>
      <c r="O207" s="12"/>
      <c r="P207" s="12"/>
    </row>
    <row r="208">
      <c r="A208" s="12"/>
      <c r="D208" s="95"/>
      <c r="E208" s="14"/>
      <c r="F208" s="96"/>
      <c r="H208" s="12"/>
      <c r="I208" s="12"/>
      <c r="J208" s="12"/>
      <c r="K208" s="12"/>
      <c r="L208" s="12"/>
      <c r="M208" s="12"/>
      <c r="N208" s="12"/>
      <c r="O208" s="12"/>
      <c r="P208" s="12"/>
    </row>
    <row r="209">
      <c r="A209" s="12"/>
      <c r="D209" s="95"/>
      <c r="E209" s="14"/>
      <c r="F209" s="96"/>
      <c r="H209" s="12"/>
      <c r="I209" s="12"/>
      <c r="J209" s="12"/>
      <c r="K209" s="12"/>
      <c r="L209" s="12"/>
      <c r="M209" s="12"/>
      <c r="N209" s="12"/>
      <c r="O209" s="12"/>
      <c r="P209" s="12"/>
    </row>
    <row r="210">
      <c r="A210" s="12"/>
      <c r="D210" s="95"/>
      <c r="E210" s="14"/>
      <c r="F210" s="96"/>
      <c r="H210" s="12"/>
      <c r="I210" s="12"/>
      <c r="J210" s="12"/>
      <c r="K210" s="12"/>
      <c r="L210" s="12"/>
      <c r="M210" s="12"/>
      <c r="N210" s="12"/>
      <c r="O210" s="12"/>
      <c r="P210" s="12"/>
    </row>
    <row r="211">
      <c r="A211" s="12"/>
      <c r="D211" s="95"/>
      <c r="E211" s="14"/>
      <c r="F211" s="96"/>
      <c r="H211" s="12"/>
      <c r="I211" s="12"/>
      <c r="J211" s="12"/>
      <c r="K211" s="12"/>
      <c r="L211" s="12"/>
      <c r="M211" s="12"/>
      <c r="N211" s="12"/>
      <c r="O211" s="12"/>
      <c r="P211" s="12"/>
    </row>
    <row r="212">
      <c r="A212" s="12"/>
      <c r="D212" s="95"/>
      <c r="E212" s="14"/>
      <c r="F212" s="96"/>
      <c r="H212" s="12"/>
      <c r="I212" s="12"/>
      <c r="J212" s="12"/>
      <c r="K212" s="12"/>
      <c r="L212" s="12"/>
      <c r="M212" s="12"/>
      <c r="N212" s="12"/>
      <c r="O212" s="12"/>
      <c r="P212" s="12"/>
    </row>
    <row r="213">
      <c r="A213" s="12"/>
      <c r="D213" s="95"/>
      <c r="E213" s="14"/>
      <c r="F213" s="96"/>
      <c r="H213" s="12"/>
      <c r="I213" s="12"/>
      <c r="J213" s="12"/>
      <c r="K213" s="12"/>
      <c r="L213" s="12"/>
      <c r="M213" s="12"/>
      <c r="N213" s="12"/>
      <c r="O213" s="12"/>
      <c r="P213" s="12"/>
    </row>
    <row r="214">
      <c r="A214" s="12"/>
      <c r="D214" s="95"/>
      <c r="E214" s="14"/>
      <c r="F214" s="96"/>
      <c r="H214" s="12"/>
      <c r="I214" s="12"/>
      <c r="J214" s="12"/>
      <c r="K214" s="12"/>
      <c r="L214" s="12"/>
      <c r="M214" s="12"/>
      <c r="N214" s="12"/>
      <c r="O214" s="12"/>
      <c r="P214" s="12"/>
    </row>
    <row r="215">
      <c r="A215" s="12"/>
      <c r="D215" s="95"/>
      <c r="E215" s="14"/>
      <c r="F215" s="96"/>
      <c r="H215" s="12"/>
      <c r="I215" s="12"/>
      <c r="J215" s="12"/>
      <c r="K215" s="12"/>
      <c r="L215" s="12"/>
      <c r="M215" s="12"/>
      <c r="N215" s="12"/>
      <c r="O215" s="12"/>
      <c r="P215" s="12"/>
    </row>
    <row r="216">
      <c r="A216" s="12"/>
      <c r="D216" s="95"/>
      <c r="E216" s="14"/>
      <c r="F216" s="96"/>
      <c r="H216" s="12"/>
      <c r="I216" s="12"/>
      <c r="J216" s="12"/>
      <c r="K216" s="12"/>
      <c r="L216" s="12"/>
      <c r="M216" s="12"/>
      <c r="N216" s="12"/>
      <c r="O216" s="12"/>
      <c r="P216" s="12"/>
    </row>
    <row r="217">
      <c r="A217" s="12"/>
      <c r="D217" s="95"/>
      <c r="E217" s="14"/>
      <c r="F217" s="96"/>
      <c r="H217" s="12"/>
      <c r="I217" s="12"/>
      <c r="J217" s="12"/>
      <c r="K217" s="12"/>
      <c r="L217" s="12"/>
      <c r="M217" s="12"/>
      <c r="N217" s="12"/>
      <c r="O217" s="12"/>
      <c r="P217" s="12"/>
    </row>
    <row r="218">
      <c r="A218" s="12"/>
      <c r="D218" s="95"/>
      <c r="E218" s="14"/>
      <c r="F218" s="96"/>
      <c r="H218" s="12"/>
      <c r="I218" s="12"/>
      <c r="J218" s="12"/>
      <c r="K218" s="12"/>
      <c r="L218" s="12"/>
      <c r="M218" s="12"/>
      <c r="N218" s="12"/>
      <c r="O218" s="12"/>
      <c r="P218" s="12"/>
    </row>
    <row r="219">
      <c r="A219" s="12"/>
      <c r="D219" s="95"/>
      <c r="E219" s="14"/>
      <c r="F219" s="96"/>
      <c r="H219" s="12"/>
      <c r="I219" s="12"/>
      <c r="J219" s="12"/>
      <c r="K219" s="12"/>
      <c r="L219" s="12"/>
      <c r="M219" s="12"/>
      <c r="N219" s="12"/>
      <c r="O219" s="12"/>
      <c r="P219" s="12"/>
    </row>
    <row r="220">
      <c r="A220" s="12"/>
      <c r="D220" s="95"/>
      <c r="E220" s="14"/>
      <c r="F220" s="96"/>
      <c r="H220" s="12"/>
      <c r="I220" s="12"/>
      <c r="J220" s="12"/>
      <c r="K220" s="12"/>
      <c r="L220" s="12"/>
      <c r="M220" s="12"/>
      <c r="N220" s="12"/>
      <c r="O220" s="12"/>
      <c r="P220" s="12"/>
    </row>
    <row r="221">
      <c r="A221" s="12"/>
      <c r="D221" s="95"/>
      <c r="E221" s="14"/>
      <c r="F221" s="96"/>
      <c r="H221" s="12"/>
      <c r="I221" s="12"/>
      <c r="J221" s="12"/>
      <c r="K221" s="12"/>
      <c r="L221" s="12"/>
      <c r="M221" s="12"/>
      <c r="N221" s="12"/>
      <c r="O221" s="12"/>
      <c r="P221" s="12"/>
    </row>
    <row r="222">
      <c r="A222" s="12"/>
      <c r="D222" s="95"/>
      <c r="E222" s="14"/>
      <c r="F222" s="96"/>
      <c r="H222" s="12"/>
      <c r="I222" s="12"/>
      <c r="J222" s="12"/>
      <c r="K222" s="12"/>
      <c r="L222" s="12"/>
      <c r="M222" s="12"/>
      <c r="N222" s="12"/>
      <c r="O222" s="12"/>
      <c r="P222" s="12"/>
    </row>
    <row r="223">
      <c r="A223" s="12"/>
      <c r="D223" s="95"/>
      <c r="E223" s="14"/>
      <c r="F223" s="96"/>
      <c r="H223" s="12"/>
      <c r="I223" s="12"/>
      <c r="J223" s="12"/>
      <c r="K223" s="12"/>
      <c r="L223" s="12"/>
      <c r="M223" s="12"/>
      <c r="N223" s="12"/>
      <c r="O223" s="12"/>
      <c r="P223" s="12"/>
    </row>
    <row r="224">
      <c r="A224" s="12"/>
      <c r="D224" s="95"/>
      <c r="E224" s="14"/>
      <c r="F224" s="96"/>
      <c r="H224" s="12"/>
      <c r="I224" s="12"/>
      <c r="J224" s="12"/>
      <c r="K224" s="12"/>
      <c r="L224" s="12"/>
      <c r="M224" s="12"/>
      <c r="N224" s="12"/>
      <c r="O224" s="12"/>
      <c r="P224" s="12"/>
    </row>
    <row r="225">
      <c r="A225" s="12"/>
      <c r="D225" s="95"/>
      <c r="E225" s="14"/>
      <c r="F225" s="96"/>
      <c r="H225" s="12"/>
      <c r="I225" s="12"/>
      <c r="J225" s="12"/>
      <c r="K225" s="12"/>
      <c r="L225" s="12"/>
      <c r="M225" s="12"/>
      <c r="N225" s="12"/>
      <c r="O225" s="12"/>
      <c r="P225" s="12"/>
    </row>
    <row r="226">
      <c r="A226" s="12"/>
      <c r="D226" s="95"/>
      <c r="E226" s="14"/>
      <c r="F226" s="96"/>
      <c r="H226" s="12"/>
      <c r="I226" s="12"/>
      <c r="J226" s="12"/>
      <c r="K226" s="12"/>
      <c r="L226" s="12"/>
      <c r="M226" s="12"/>
      <c r="N226" s="12"/>
      <c r="O226" s="12"/>
      <c r="P226" s="12"/>
    </row>
    <row r="227">
      <c r="A227" s="12"/>
      <c r="D227" s="95"/>
      <c r="E227" s="14"/>
      <c r="F227" s="96"/>
      <c r="H227" s="12"/>
      <c r="I227" s="12"/>
      <c r="J227" s="12"/>
      <c r="K227" s="12"/>
      <c r="L227" s="12"/>
      <c r="M227" s="12"/>
      <c r="N227" s="12"/>
      <c r="O227" s="12"/>
      <c r="P227" s="12"/>
    </row>
    <row r="228">
      <c r="A228" s="12"/>
      <c r="D228" s="95"/>
      <c r="E228" s="14"/>
      <c r="F228" s="96"/>
      <c r="H228" s="12"/>
      <c r="I228" s="12"/>
      <c r="J228" s="12"/>
      <c r="K228" s="12"/>
      <c r="L228" s="12"/>
      <c r="M228" s="12"/>
      <c r="N228" s="12"/>
      <c r="O228" s="12"/>
      <c r="P228" s="12"/>
    </row>
    <row r="229">
      <c r="A229" s="12"/>
      <c r="D229" s="95"/>
      <c r="E229" s="14"/>
      <c r="F229" s="96"/>
      <c r="H229" s="12"/>
      <c r="I229" s="12"/>
      <c r="J229" s="12"/>
      <c r="K229" s="12"/>
      <c r="L229" s="12"/>
      <c r="M229" s="12"/>
      <c r="N229" s="12"/>
      <c r="O229" s="12"/>
      <c r="P229" s="12"/>
    </row>
    <row r="230">
      <c r="A230" s="12"/>
      <c r="D230" s="95"/>
      <c r="E230" s="14"/>
      <c r="F230" s="96"/>
      <c r="H230" s="12"/>
      <c r="I230" s="12"/>
      <c r="J230" s="12"/>
      <c r="K230" s="12"/>
      <c r="L230" s="12"/>
      <c r="M230" s="12"/>
      <c r="N230" s="12"/>
      <c r="O230" s="12"/>
      <c r="P230" s="12"/>
    </row>
    <row r="231">
      <c r="A231" s="12"/>
      <c r="D231" s="95"/>
      <c r="E231" s="14"/>
      <c r="F231" s="96"/>
      <c r="H231" s="12"/>
      <c r="I231" s="12"/>
      <c r="J231" s="12"/>
      <c r="K231" s="12"/>
      <c r="L231" s="12"/>
      <c r="M231" s="12"/>
      <c r="N231" s="12"/>
      <c r="O231" s="12"/>
      <c r="P231" s="12"/>
    </row>
    <row r="232">
      <c r="A232" s="12"/>
      <c r="D232" s="95"/>
      <c r="E232" s="14"/>
      <c r="F232" s="96"/>
      <c r="H232" s="12"/>
      <c r="I232" s="12"/>
      <c r="J232" s="12"/>
      <c r="K232" s="12"/>
      <c r="L232" s="12"/>
      <c r="M232" s="12"/>
      <c r="N232" s="12"/>
      <c r="O232" s="12"/>
      <c r="P232" s="12"/>
    </row>
    <row r="233">
      <c r="A233" s="12"/>
      <c r="D233" s="95"/>
      <c r="E233" s="14"/>
      <c r="F233" s="96"/>
      <c r="H233" s="12"/>
      <c r="I233" s="12"/>
      <c r="J233" s="12"/>
      <c r="K233" s="12"/>
      <c r="L233" s="12"/>
      <c r="M233" s="12"/>
      <c r="N233" s="12"/>
      <c r="O233" s="12"/>
      <c r="P233" s="12"/>
    </row>
    <row r="234">
      <c r="A234" s="12"/>
      <c r="D234" s="95"/>
      <c r="E234" s="14"/>
      <c r="F234" s="96"/>
      <c r="H234" s="12"/>
      <c r="I234" s="12"/>
      <c r="J234" s="12"/>
      <c r="K234" s="12"/>
      <c r="L234" s="12"/>
      <c r="M234" s="12"/>
      <c r="N234" s="12"/>
      <c r="O234" s="12"/>
      <c r="P234" s="12"/>
    </row>
    <row r="235">
      <c r="A235" s="12"/>
      <c r="D235" s="95"/>
      <c r="E235" s="14"/>
      <c r="F235" s="96"/>
      <c r="H235" s="12"/>
      <c r="I235" s="12"/>
      <c r="J235" s="12"/>
      <c r="K235" s="12"/>
      <c r="L235" s="12"/>
      <c r="M235" s="12"/>
      <c r="N235" s="12"/>
      <c r="O235" s="12"/>
      <c r="P235" s="12"/>
    </row>
    <row r="236">
      <c r="A236" s="12"/>
      <c r="D236" s="95"/>
      <c r="E236" s="14"/>
      <c r="F236" s="96"/>
      <c r="H236" s="12"/>
      <c r="I236" s="12"/>
      <c r="J236" s="12"/>
      <c r="K236" s="12"/>
      <c r="L236" s="12"/>
      <c r="M236" s="12"/>
      <c r="N236" s="12"/>
      <c r="O236" s="12"/>
      <c r="P236" s="12"/>
    </row>
    <row r="237">
      <c r="A237" s="12"/>
      <c r="D237" s="95"/>
      <c r="E237" s="14"/>
      <c r="F237" s="96"/>
      <c r="H237" s="12"/>
      <c r="I237" s="12"/>
      <c r="J237" s="12"/>
      <c r="K237" s="12"/>
      <c r="L237" s="12"/>
      <c r="M237" s="12"/>
      <c r="N237" s="12"/>
      <c r="O237" s="12"/>
      <c r="P237" s="12"/>
    </row>
    <row r="238">
      <c r="A238" s="12"/>
      <c r="D238" s="95"/>
      <c r="E238" s="14"/>
      <c r="F238" s="96"/>
      <c r="H238" s="12"/>
      <c r="I238" s="12"/>
      <c r="J238" s="12"/>
      <c r="K238" s="12"/>
      <c r="L238" s="12"/>
      <c r="M238" s="12"/>
      <c r="N238" s="12"/>
      <c r="O238" s="12"/>
      <c r="P238" s="12"/>
    </row>
    <row r="239">
      <c r="A239" s="12"/>
      <c r="D239" s="95"/>
      <c r="E239" s="14"/>
      <c r="F239" s="96"/>
      <c r="H239" s="12"/>
      <c r="I239" s="12"/>
      <c r="J239" s="12"/>
      <c r="K239" s="12"/>
      <c r="L239" s="12"/>
      <c r="M239" s="12"/>
      <c r="N239" s="12"/>
      <c r="O239" s="12"/>
      <c r="P239" s="12"/>
    </row>
    <row r="240">
      <c r="A240" s="12"/>
      <c r="D240" s="95"/>
      <c r="E240" s="14"/>
      <c r="F240" s="96"/>
      <c r="H240" s="12"/>
      <c r="I240" s="12"/>
      <c r="J240" s="12"/>
      <c r="K240" s="12"/>
      <c r="L240" s="12"/>
      <c r="M240" s="12"/>
      <c r="N240" s="12"/>
      <c r="O240" s="12"/>
      <c r="P240" s="12"/>
    </row>
    <row r="241">
      <c r="A241" s="12"/>
      <c r="D241" s="95"/>
      <c r="E241" s="14"/>
      <c r="F241" s="96"/>
      <c r="H241" s="12"/>
      <c r="I241" s="12"/>
      <c r="J241" s="12"/>
      <c r="K241" s="12"/>
      <c r="L241" s="12"/>
      <c r="M241" s="12"/>
      <c r="N241" s="12"/>
      <c r="O241" s="12"/>
      <c r="P241" s="12"/>
    </row>
    <row r="242">
      <c r="A242" s="12"/>
      <c r="D242" s="95"/>
      <c r="E242" s="14"/>
      <c r="F242" s="96"/>
      <c r="H242" s="12"/>
      <c r="I242" s="12"/>
      <c r="J242" s="12"/>
      <c r="K242" s="12"/>
      <c r="L242" s="12"/>
      <c r="M242" s="12"/>
      <c r="N242" s="12"/>
      <c r="O242" s="12"/>
      <c r="P242" s="12"/>
    </row>
    <row r="243">
      <c r="A243" s="12"/>
      <c r="D243" s="95"/>
      <c r="E243" s="14"/>
      <c r="F243" s="96"/>
      <c r="H243" s="12"/>
      <c r="I243" s="12"/>
      <c r="J243" s="12"/>
      <c r="K243" s="12"/>
      <c r="L243" s="12"/>
      <c r="M243" s="12"/>
      <c r="N243" s="12"/>
      <c r="O243" s="12"/>
      <c r="P243" s="12"/>
    </row>
    <row r="244">
      <c r="A244" s="12"/>
      <c r="D244" s="95"/>
      <c r="E244" s="14"/>
      <c r="F244" s="96"/>
      <c r="H244" s="12"/>
      <c r="I244" s="12"/>
      <c r="J244" s="12"/>
      <c r="K244" s="12"/>
      <c r="L244" s="12"/>
      <c r="M244" s="12"/>
      <c r="N244" s="12"/>
      <c r="O244" s="12"/>
      <c r="P244" s="12"/>
    </row>
    <row r="245">
      <c r="A245" s="12"/>
      <c r="D245" s="95"/>
      <c r="E245" s="14"/>
      <c r="F245" s="96"/>
      <c r="H245" s="12"/>
      <c r="I245" s="12"/>
      <c r="J245" s="12"/>
      <c r="K245" s="12"/>
      <c r="L245" s="12"/>
      <c r="M245" s="12"/>
      <c r="N245" s="12"/>
      <c r="O245" s="12"/>
      <c r="P245" s="12"/>
    </row>
    <row r="246">
      <c r="A246" s="12"/>
      <c r="D246" s="95"/>
      <c r="E246" s="14"/>
      <c r="F246" s="96"/>
      <c r="H246" s="12"/>
      <c r="I246" s="12"/>
      <c r="J246" s="12"/>
      <c r="K246" s="12"/>
      <c r="L246" s="12"/>
      <c r="M246" s="12"/>
      <c r="N246" s="12"/>
      <c r="O246" s="12"/>
      <c r="P246" s="12"/>
    </row>
    <row r="247">
      <c r="A247" s="12"/>
      <c r="D247" s="95"/>
      <c r="E247" s="14"/>
      <c r="F247" s="96"/>
      <c r="H247" s="12"/>
      <c r="I247" s="12"/>
      <c r="J247" s="12"/>
      <c r="K247" s="12"/>
      <c r="L247" s="12"/>
      <c r="M247" s="12"/>
      <c r="N247" s="12"/>
      <c r="O247" s="12"/>
      <c r="P247" s="12"/>
    </row>
    <row r="248">
      <c r="A248" s="12"/>
      <c r="D248" s="95"/>
      <c r="E248" s="14"/>
      <c r="F248" s="96"/>
      <c r="H248" s="12"/>
      <c r="I248" s="12"/>
      <c r="J248" s="12"/>
      <c r="K248" s="12"/>
      <c r="L248" s="12"/>
      <c r="M248" s="12"/>
      <c r="N248" s="12"/>
      <c r="O248" s="12"/>
      <c r="P248" s="12"/>
    </row>
    <row r="249">
      <c r="A249" s="12"/>
      <c r="D249" s="95"/>
      <c r="E249" s="14"/>
      <c r="F249" s="96"/>
      <c r="H249" s="12"/>
      <c r="I249" s="12"/>
      <c r="J249" s="12"/>
      <c r="K249" s="12"/>
      <c r="L249" s="12"/>
      <c r="M249" s="12"/>
      <c r="N249" s="12"/>
      <c r="O249" s="12"/>
      <c r="P249" s="12"/>
    </row>
    <row r="250">
      <c r="A250" s="12"/>
      <c r="D250" s="95"/>
      <c r="E250" s="14"/>
      <c r="F250" s="96"/>
      <c r="H250" s="12"/>
      <c r="I250" s="12"/>
      <c r="J250" s="12"/>
      <c r="K250" s="12"/>
      <c r="L250" s="12"/>
      <c r="M250" s="12"/>
      <c r="N250" s="12"/>
      <c r="O250" s="12"/>
      <c r="P250" s="12"/>
    </row>
    <row r="251">
      <c r="A251" s="12"/>
      <c r="D251" s="95"/>
      <c r="E251" s="14"/>
      <c r="F251" s="96"/>
      <c r="H251" s="12"/>
      <c r="I251" s="12"/>
      <c r="J251" s="12"/>
      <c r="K251" s="12"/>
      <c r="L251" s="12"/>
      <c r="M251" s="12"/>
      <c r="N251" s="12"/>
      <c r="O251" s="12"/>
      <c r="P251" s="12"/>
    </row>
    <row r="252">
      <c r="A252" s="12"/>
      <c r="D252" s="95"/>
      <c r="E252" s="14"/>
      <c r="F252" s="96"/>
      <c r="H252" s="12"/>
      <c r="I252" s="12"/>
      <c r="J252" s="12"/>
      <c r="K252" s="12"/>
      <c r="L252" s="12"/>
      <c r="M252" s="12"/>
      <c r="N252" s="12"/>
      <c r="O252" s="12"/>
      <c r="P252" s="12"/>
    </row>
    <row r="253">
      <c r="A253" s="12"/>
      <c r="D253" s="95"/>
      <c r="E253" s="14"/>
      <c r="F253" s="96"/>
      <c r="H253" s="12"/>
      <c r="I253" s="12"/>
      <c r="J253" s="12"/>
      <c r="K253" s="12"/>
      <c r="L253" s="12"/>
      <c r="M253" s="12"/>
      <c r="N253" s="12"/>
      <c r="O253" s="12"/>
      <c r="P253" s="12"/>
    </row>
    <row r="254">
      <c r="A254" s="12"/>
      <c r="D254" s="95"/>
      <c r="E254" s="14"/>
      <c r="F254" s="96"/>
      <c r="H254" s="12"/>
      <c r="I254" s="12"/>
      <c r="J254" s="12"/>
      <c r="K254" s="12"/>
      <c r="L254" s="12"/>
      <c r="M254" s="12"/>
      <c r="N254" s="12"/>
      <c r="O254" s="12"/>
      <c r="P254" s="12"/>
    </row>
    <row r="255">
      <c r="A255" s="12"/>
      <c r="D255" s="95"/>
      <c r="E255" s="14"/>
      <c r="F255" s="96"/>
      <c r="H255" s="12"/>
      <c r="I255" s="12"/>
      <c r="J255" s="12"/>
      <c r="K255" s="12"/>
      <c r="L255" s="12"/>
      <c r="M255" s="12"/>
      <c r="N255" s="12"/>
      <c r="O255" s="12"/>
      <c r="P255" s="12"/>
    </row>
    <row r="256">
      <c r="A256" s="12"/>
      <c r="D256" s="95"/>
      <c r="E256" s="14"/>
      <c r="F256" s="96"/>
      <c r="H256" s="12"/>
      <c r="I256" s="12"/>
      <c r="J256" s="12"/>
      <c r="K256" s="12"/>
      <c r="L256" s="12"/>
      <c r="M256" s="12"/>
      <c r="N256" s="12"/>
      <c r="O256" s="12"/>
      <c r="P256" s="12"/>
    </row>
    <row r="257">
      <c r="A257" s="12"/>
      <c r="D257" s="95"/>
      <c r="E257" s="14"/>
      <c r="F257" s="96"/>
      <c r="H257" s="12"/>
      <c r="I257" s="12"/>
      <c r="J257" s="12"/>
      <c r="K257" s="12"/>
      <c r="L257" s="12"/>
      <c r="M257" s="12"/>
      <c r="N257" s="12"/>
      <c r="O257" s="12"/>
      <c r="P257" s="12"/>
    </row>
    <row r="258">
      <c r="A258" s="12"/>
      <c r="D258" s="95"/>
      <c r="E258" s="14"/>
      <c r="F258" s="96"/>
      <c r="H258" s="12"/>
      <c r="I258" s="12"/>
      <c r="J258" s="12"/>
      <c r="K258" s="12"/>
      <c r="L258" s="12"/>
      <c r="M258" s="12"/>
      <c r="N258" s="12"/>
      <c r="O258" s="12"/>
      <c r="P258" s="12"/>
    </row>
    <row r="259">
      <c r="A259" s="12"/>
      <c r="D259" s="95"/>
      <c r="E259" s="14"/>
      <c r="F259" s="96"/>
      <c r="H259" s="12"/>
      <c r="I259" s="12"/>
      <c r="J259" s="12"/>
      <c r="K259" s="12"/>
      <c r="L259" s="12"/>
      <c r="M259" s="12"/>
      <c r="N259" s="12"/>
      <c r="O259" s="12"/>
      <c r="P259" s="12"/>
    </row>
    <row r="260">
      <c r="A260" s="12"/>
      <c r="D260" s="95"/>
      <c r="E260" s="14"/>
      <c r="F260" s="96"/>
      <c r="H260" s="12"/>
      <c r="I260" s="12"/>
      <c r="J260" s="12"/>
      <c r="K260" s="12"/>
      <c r="L260" s="12"/>
      <c r="M260" s="12"/>
      <c r="N260" s="12"/>
      <c r="O260" s="12"/>
      <c r="P260" s="12"/>
    </row>
    <row r="261">
      <c r="A261" s="12"/>
      <c r="D261" s="95"/>
      <c r="E261" s="14"/>
      <c r="F261" s="96"/>
      <c r="H261" s="12"/>
      <c r="I261" s="12"/>
      <c r="J261" s="12"/>
      <c r="K261" s="12"/>
      <c r="L261" s="12"/>
      <c r="M261" s="12"/>
      <c r="N261" s="12"/>
      <c r="O261" s="12"/>
      <c r="P261" s="12"/>
    </row>
    <row r="262">
      <c r="A262" s="12"/>
      <c r="D262" s="95"/>
      <c r="E262" s="14"/>
      <c r="F262" s="96"/>
      <c r="H262" s="12"/>
      <c r="I262" s="12"/>
      <c r="J262" s="12"/>
      <c r="K262" s="12"/>
      <c r="L262" s="12"/>
      <c r="M262" s="12"/>
      <c r="N262" s="12"/>
      <c r="O262" s="12"/>
      <c r="P262" s="12"/>
    </row>
    <row r="263">
      <c r="A263" s="12"/>
      <c r="D263" s="95"/>
      <c r="E263" s="14"/>
      <c r="F263" s="96"/>
      <c r="H263" s="12"/>
      <c r="I263" s="12"/>
      <c r="J263" s="12"/>
      <c r="K263" s="12"/>
      <c r="L263" s="12"/>
      <c r="M263" s="12"/>
      <c r="N263" s="12"/>
      <c r="O263" s="12"/>
      <c r="P263" s="12"/>
    </row>
    <row r="264">
      <c r="A264" s="12"/>
      <c r="D264" s="95"/>
      <c r="E264" s="14"/>
      <c r="F264" s="96"/>
      <c r="H264" s="12"/>
      <c r="I264" s="12"/>
      <c r="J264" s="12"/>
      <c r="K264" s="12"/>
      <c r="L264" s="12"/>
      <c r="M264" s="12"/>
      <c r="N264" s="12"/>
      <c r="O264" s="12"/>
      <c r="P264" s="12"/>
    </row>
    <row r="265">
      <c r="A265" s="12"/>
      <c r="D265" s="95"/>
      <c r="E265" s="14"/>
      <c r="F265" s="96"/>
      <c r="H265" s="12"/>
      <c r="I265" s="12"/>
      <c r="J265" s="12"/>
      <c r="K265" s="12"/>
      <c r="L265" s="12"/>
      <c r="M265" s="12"/>
      <c r="N265" s="12"/>
      <c r="O265" s="12"/>
      <c r="P265" s="12"/>
    </row>
    <row r="266">
      <c r="A266" s="12"/>
      <c r="D266" s="95"/>
      <c r="E266" s="14"/>
      <c r="F266" s="96"/>
      <c r="H266" s="12"/>
      <c r="I266" s="12"/>
      <c r="J266" s="12"/>
      <c r="K266" s="12"/>
      <c r="L266" s="12"/>
      <c r="M266" s="12"/>
      <c r="N266" s="12"/>
      <c r="O266" s="12"/>
      <c r="P266" s="12"/>
    </row>
    <row r="267">
      <c r="A267" s="12"/>
      <c r="D267" s="95"/>
      <c r="E267" s="14"/>
      <c r="F267" s="96"/>
      <c r="H267" s="12"/>
      <c r="I267" s="12"/>
      <c r="J267" s="12"/>
      <c r="K267" s="12"/>
      <c r="L267" s="12"/>
      <c r="M267" s="12"/>
      <c r="N267" s="12"/>
      <c r="O267" s="12"/>
      <c r="P267" s="12"/>
    </row>
    <row r="268">
      <c r="A268" s="12"/>
      <c r="D268" s="95"/>
      <c r="E268" s="14"/>
      <c r="F268" s="96"/>
      <c r="H268" s="12"/>
      <c r="I268" s="12"/>
      <c r="J268" s="12"/>
      <c r="K268" s="12"/>
      <c r="L268" s="12"/>
      <c r="M268" s="12"/>
      <c r="N268" s="12"/>
      <c r="O268" s="12"/>
      <c r="P268" s="12"/>
    </row>
    <row r="269">
      <c r="A269" s="12"/>
      <c r="D269" s="95"/>
      <c r="E269" s="14"/>
      <c r="F269" s="96"/>
      <c r="H269" s="12"/>
      <c r="I269" s="12"/>
      <c r="J269" s="12"/>
      <c r="K269" s="12"/>
      <c r="L269" s="12"/>
      <c r="M269" s="12"/>
      <c r="N269" s="12"/>
      <c r="O269" s="12"/>
      <c r="P269" s="12"/>
    </row>
    <row r="270">
      <c r="A270" s="12"/>
      <c r="D270" s="95"/>
      <c r="E270" s="14"/>
      <c r="F270" s="96"/>
      <c r="H270" s="12"/>
      <c r="I270" s="12"/>
      <c r="J270" s="12"/>
      <c r="K270" s="12"/>
      <c r="L270" s="12"/>
      <c r="M270" s="12"/>
      <c r="N270" s="12"/>
      <c r="O270" s="12"/>
      <c r="P270" s="12"/>
    </row>
    <row r="271">
      <c r="A271" s="12"/>
      <c r="D271" s="95"/>
      <c r="E271" s="14"/>
      <c r="F271" s="96"/>
      <c r="H271" s="12"/>
      <c r="I271" s="12"/>
      <c r="J271" s="12"/>
      <c r="K271" s="12"/>
      <c r="L271" s="12"/>
      <c r="M271" s="12"/>
      <c r="N271" s="12"/>
      <c r="O271" s="12"/>
      <c r="P271" s="12"/>
    </row>
    <row r="272">
      <c r="A272" s="12"/>
      <c r="D272" s="95"/>
      <c r="E272" s="14"/>
      <c r="F272" s="96"/>
      <c r="H272" s="12"/>
      <c r="I272" s="12"/>
      <c r="J272" s="12"/>
      <c r="K272" s="12"/>
      <c r="L272" s="12"/>
      <c r="M272" s="12"/>
      <c r="N272" s="12"/>
      <c r="O272" s="12"/>
      <c r="P272" s="12"/>
    </row>
    <row r="273">
      <c r="A273" s="12"/>
      <c r="D273" s="95"/>
      <c r="E273" s="14"/>
      <c r="F273" s="96"/>
      <c r="H273" s="12"/>
      <c r="I273" s="12"/>
      <c r="J273" s="12"/>
      <c r="K273" s="12"/>
      <c r="L273" s="12"/>
      <c r="M273" s="12"/>
      <c r="N273" s="12"/>
      <c r="O273" s="12"/>
      <c r="P273" s="12"/>
    </row>
    <row r="274">
      <c r="A274" s="12"/>
      <c r="D274" s="95"/>
      <c r="E274" s="14"/>
      <c r="F274" s="96"/>
      <c r="H274" s="12"/>
      <c r="I274" s="12"/>
      <c r="J274" s="12"/>
      <c r="K274" s="12"/>
      <c r="L274" s="12"/>
      <c r="M274" s="12"/>
      <c r="N274" s="12"/>
      <c r="O274" s="12"/>
      <c r="P274" s="12"/>
    </row>
    <row r="275">
      <c r="A275" s="12"/>
      <c r="D275" s="95"/>
      <c r="E275" s="14"/>
      <c r="F275" s="96"/>
      <c r="H275" s="12"/>
      <c r="I275" s="12"/>
      <c r="J275" s="12"/>
      <c r="K275" s="12"/>
      <c r="L275" s="12"/>
      <c r="M275" s="12"/>
      <c r="N275" s="12"/>
      <c r="O275" s="12"/>
      <c r="P275" s="12"/>
    </row>
    <row r="276">
      <c r="A276" s="12"/>
      <c r="D276" s="95"/>
      <c r="E276" s="14"/>
      <c r="F276" s="96"/>
      <c r="H276" s="12"/>
      <c r="I276" s="12"/>
      <c r="J276" s="12"/>
      <c r="K276" s="12"/>
      <c r="L276" s="12"/>
      <c r="M276" s="12"/>
      <c r="N276" s="12"/>
      <c r="O276" s="12"/>
      <c r="P276" s="12"/>
    </row>
    <row r="277">
      <c r="A277" s="12"/>
      <c r="D277" s="95"/>
      <c r="E277" s="14"/>
      <c r="F277" s="96"/>
      <c r="H277" s="12"/>
      <c r="I277" s="12"/>
      <c r="J277" s="12"/>
      <c r="K277" s="12"/>
      <c r="L277" s="12"/>
      <c r="M277" s="12"/>
      <c r="N277" s="12"/>
      <c r="O277" s="12"/>
      <c r="P277" s="12"/>
    </row>
    <row r="278">
      <c r="A278" s="12"/>
      <c r="D278" s="95"/>
      <c r="E278" s="14"/>
      <c r="F278" s="96"/>
      <c r="H278" s="12"/>
      <c r="I278" s="12"/>
      <c r="J278" s="12"/>
      <c r="K278" s="12"/>
      <c r="L278" s="12"/>
      <c r="M278" s="12"/>
      <c r="N278" s="12"/>
      <c r="O278" s="12"/>
      <c r="P278" s="12"/>
    </row>
    <row r="279">
      <c r="A279" s="12"/>
      <c r="D279" s="95"/>
      <c r="E279" s="14"/>
      <c r="F279" s="96"/>
      <c r="H279" s="12"/>
      <c r="I279" s="12"/>
      <c r="J279" s="12"/>
      <c r="K279" s="12"/>
      <c r="L279" s="12"/>
      <c r="M279" s="12"/>
      <c r="N279" s="12"/>
      <c r="O279" s="12"/>
      <c r="P279" s="12"/>
    </row>
    <row r="280">
      <c r="A280" s="12"/>
      <c r="D280" s="95"/>
      <c r="E280" s="14"/>
      <c r="F280" s="96"/>
      <c r="H280" s="12"/>
      <c r="I280" s="12"/>
      <c r="J280" s="12"/>
      <c r="K280" s="12"/>
      <c r="L280" s="12"/>
      <c r="M280" s="12"/>
      <c r="N280" s="12"/>
      <c r="O280" s="12"/>
      <c r="P280" s="12"/>
    </row>
    <row r="281">
      <c r="A281" s="12"/>
      <c r="D281" s="95"/>
      <c r="E281" s="14"/>
      <c r="F281" s="96"/>
      <c r="H281" s="12"/>
      <c r="I281" s="12"/>
      <c r="J281" s="12"/>
      <c r="K281" s="12"/>
      <c r="L281" s="12"/>
      <c r="M281" s="12"/>
      <c r="N281" s="12"/>
      <c r="O281" s="12"/>
      <c r="P281" s="12"/>
    </row>
    <row r="282">
      <c r="A282" s="12"/>
      <c r="D282" s="95"/>
      <c r="E282" s="14"/>
      <c r="F282" s="96"/>
      <c r="H282" s="12"/>
      <c r="I282" s="12"/>
      <c r="J282" s="12"/>
      <c r="K282" s="12"/>
      <c r="L282" s="12"/>
      <c r="M282" s="12"/>
      <c r="N282" s="12"/>
      <c r="O282" s="12"/>
      <c r="P282" s="12"/>
    </row>
    <row r="283">
      <c r="A283" s="12"/>
      <c r="D283" s="95"/>
      <c r="E283" s="14"/>
      <c r="F283" s="96"/>
      <c r="H283" s="12"/>
      <c r="I283" s="12"/>
      <c r="J283" s="12"/>
      <c r="K283" s="12"/>
      <c r="L283" s="12"/>
      <c r="M283" s="12"/>
      <c r="N283" s="12"/>
      <c r="O283" s="12"/>
      <c r="P283" s="12"/>
    </row>
    <row r="284">
      <c r="A284" s="12"/>
      <c r="D284" s="95"/>
      <c r="E284" s="14"/>
      <c r="F284" s="96"/>
      <c r="H284" s="12"/>
      <c r="I284" s="12"/>
      <c r="J284" s="12"/>
      <c r="K284" s="12"/>
      <c r="L284" s="12"/>
      <c r="M284" s="12"/>
      <c r="N284" s="12"/>
      <c r="O284" s="12"/>
      <c r="P284" s="12"/>
    </row>
    <row r="285">
      <c r="A285" s="12"/>
      <c r="D285" s="95"/>
      <c r="E285" s="14"/>
      <c r="F285" s="96"/>
      <c r="H285" s="12"/>
      <c r="I285" s="12"/>
      <c r="J285" s="12"/>
      <c r="K285" s="12"/>
      <c r="L285" s="12"/>
      <c r="M285" s="12"/>
      <c r="N285" s="12"/>
      <c r="O285" s="12"/>
      <c r="P285" s="12"/>
    </row>
    <row r="286">
      <c r="A286" s="12"/>
      <c r="D286" s="95"/>
      <c r="E286" s="14"/>
      <c r="F286" s="96"/>
      <c r="H286" s="12"/>
      <c r="I286" s="12"/>
      <c r="J286" s="12"/>
      <c r="K286" s="12"/>
      <c r="L286" s="12"/>
      <c r="M286" s="12"/>
      <c r="N286" s="12"/>
      <c r="O286" s="12"/>
      <c r="P286" s="12"/>
    </row>
    <row r="287">
      <c r="A287" s="12"/>
      <c r="D287" s="95"/>
      <c r="E287" s="14"/>
      <c r="F287" s="96"/>
      <c r="H287" s="12"/>
      <c r="I287" s="12"/>
      <c r="J287" s="12"/>
      <c r="K287" s="12"/>
      <c r="L287" s="12"/>
      <c r="M287" s="12"/>
      <c r="N287" s="12"/>
      <c r="O287" s="12"/>
      <c r="P287" s="12"/>
    </row>
    <row r="288">
      <c r="A288" s="12"/>
      <c r="D288" s="95"/>
      <c r="E288" s="14"/>
      <c r="F288" s="96"/>
      <c r="H288" s="12"/>
      <c r="I288" s="12"/>
      <c r="J288" s="12"/>
      <c r="K288" s="12"/>
      <c r="L288" s="12"/>
      <c r="M288" s="12"/>
      <c r="N288" s="12"/>
      <c r="O288" s="12"/>
      <c r="P288" s="12"/>
    </row>
    <row r="289">
      <c r="A289" s="12"/>
      <c r="D289" s="95"/>
      <c r="E289" s="14"/>
      <c r="F289" s="96"/>
      <c r="H289" s="12"/>
      <c r="I289" s="12"/>
      <c r="J289" s="12"/>
      <c r="K289" s="12"/>
      <c r="L289" s="12"/>
      <c r="M289" s="12"/>
      <c r="N289" s="12"/>
      <c r="O289" s="12"/>
      <c r="P289" s="12"/>
    </row>
    <row r="290">
      <c r="A290" s="12"/>
      <c r="D290" s="95"/>
      <c r="E290" s="14"/>
      <c r="F290" s="96"/>
      <c r="H290" s="12"/>
      <c r="I290" s="12"/>
      <c r="J290" s="12"/>
      <c r="K290" s="12"/>
      <c r="L290" s="12"/>
      <c r="M290" s="12"/>
      <c r="N290" s="12"/>
      <c r="O290" s="12"/>
      <c r="P290" s="12"/>
    </row>
    <row r="291">
      <c r="A291" s="12"/>
      <c r="D291" s="95"/>
      <c r="E291" s="14"/>
      <c r="F291" s="96"/>
      <c r="H291" s="12"/>
      <c r="I291" s="12"/>
      <c r="J291" s="12"/>
      <c r="K291" s="12"/>
      <c r="L291" s="12"/>
      <c r="M291" s="12"/>
      <c r="N291" s="12"/>
      <c r="O291" s="12"/>
      <c r="P291" s="12"/>
    </row>
    <row r="292">
      <c r="A292" s="12"/>
      <c r="D292" s="95"/>
      <c r="E292" s="14"/>
      <c r="F292" s="96"/>
      <c r="H292" s="12"/>
      <c r="I292" s="12"/>
      <c r="J292" s="12"/>
      <c r="K292" s="12"/>
      <c r="L292" s="12"/>
      <c r="M292" s="12"/>
      <c r="N292" s="12"/>
      <c r="O292" s="12"/>
      <c r="P292" s="12"/>
    </row>
    <row r="293">
      <c r="A293" s="12"/>
      <c r="D293" s="95"/>
      <c r="E293" s="14"/>
      <c r="F293" s="96"/>
      <c r="H293" s="12"/>
      <c r="I293" s="12"/>
      <c r="J293" s="12"/>
      <c r="K293" s="12"/>
      <c r="L293" s="12"/>
      <c r="M293" s="12"/>
      <c r="N293" s="12"/>
      <c r="O293" s="12"/>
      <c r="P293" s="12"/>
    </row>
    <row r="294">
      <c r="A294" s="12"/>
      <c r="D294" s="95"/>
      <c r="E294" s="14"/>
      <c r="F294" s="96"/>
      <c r="H294" s="12"/>
      <c r="I294" s="12"/>
      <c r="J294" s="12"/>
      <c r="K294" s="12"/>
      <c r="L294" s="12"/>
      <c r="M294" s="12"/>
      <c r="N294" s="12"/>
      <c r="O294" s="12"/>
      <c r="P294" s="12"/>
    </row>
    <row r="295">
      <c r="A295" s="12"/>
      <c r="D295" s="95"/>
      <c r="E295" s="14"/>
      <c r="F295" s="96"/>
      <c r="H295" s="12"/>
      <c r="I295" s="12"/>
      <c r="J295" s="12"/>
      <c r="K295" s="12"/>
      <c r="L295" s="12"/>
      <c r="M295" s="12"/>
      <c r="N295" s="12"/>
      <c r="O295" s="12"/>
      <c r="P295" s="12"/>
    </row>
    <row r="296">
      <c r="A296" s="12"/>
      <c r="D296" s="95"/>
      <c r="E296" s="14"/>
      <c r="F296" s="96"/>
      <c r="H296" s="12"/>
      <c r="I296" s="12"/>
      <c r="J296" s="12"/>
      <c r="K296" s="12"/>
      <c r="L296" s="12"/>
      <c r="M296" s="12"/>
      <c r="N296" s="12"/>
      <c r="O296" s="12"/>
      <c r="P296" s="12"/>
    </row>
    <row r="297">
      <c r="A297" s="12"/>
      <c r="D297" s="95"/>
      <c r="E297" s="14"/>
      <c r="F297" s="96"/>
      <c r="H297" s="12"/>
      <c r="I297" s="12"/>
      <c r="J297" s="12"/>
      <c r="K297" s="12"/>
      <c r="L297" s="12"/>
      <c r="M297" s="12"/>
      <c r="N297" s="12"/>
      <c r="O297" s="12"/>
      <c r="P297" s="12"/>
    </row>
    <row r="298">
      <c r="A298" s="12"/>
      <c r="D298" s="95"/>
      <c r="E298" s="14"/>
      <c r="F298" s="96"/>
      <c r="H298" s="12"/>
      <c r="I298" s="12"/>
      <c r="J298" s="12"/>
      <c r="K298" s="12"/>
      <c r="L298" s="12"/>
      <c r="M298" s="12"/>
      <c r="N298" s="12"/>
      <c r="O298" s="12"/>
      <c r="P298" s="12"/>
    </row>
    <row r="299">
      <c r="A299" s="12"/>
      <c r="D299" s="95"/>
      <c r="E299" s="14"/>
      <c r="F299" s="96"/>
      <c r="H299" s="12"/>
      <c r="I299" s="12"/>
      <c r="J299" s="12"/>
      <c r="K299" s="12"/>
      <c r="L299" s="12"/>
      <c r="M299" s="12"/>
      <c r="N299" s="12"/>
      <c r="O299" s="12"/>
      <c r="P299" s="12"/>
    </row>
    <row r="300">
      <c r="A300" s="12"/>
      <c r="D300" s="95"/>
      <c r="E300" s="14"/>
      <c r="F300" s="96"/>
      <c r="H300" s="12"/>
      <c r="I300" s="12"/>
      <c r="J300" s="12"/>
      <c r="K300" s="12"/>
      <c r="L300" s="12"/>
      <c r="M300" s="12"/>
      <c r="N300" s="12"/>
      <c r="O300" s="12"/>
      <c r="P300" s="12"/>
    </row>
    <row r="301">
      <c r="A301" s="12"/>
      <c r="D301" s="95"/>
      <c r="E301" s="14"/>
      <c r="F301" s="96"/>
      <c r="H301" s="12"/>
      <c r="I301" s="12"/>
      <c r="J301" s="12"/>
      <c r="K301" s="12"/>
      <c r="L301" s="12"/>
      <c r="M301" s="12"/>
      <c r="N301" s="12"/>
      <c r="O301" s="12"/>
      <c r="P301" s="12"/>
    </row>
    <row r="302">
      <c r="A302" s="12"/>
      <c r="D302" s="95"/>
      <c r="E302" s="14"/>
      <c r="F302" s="96"/>
      <c r="H302" s="12"/>
      <c r="I302" s="12"/>
      <c r="J302" s="12"/>
      <c r="K302" s="12"/>
      <c r="L302" s="12"/>
      <c r="M302" s="12"/>
      <c r="N302" s="12"/>
      <c r="O302" s="12"/>
      <c r="P302" s="12"/>
    </row>
    <row r="303">
      <c r="A303" s="12"/>
      <c r="D303" s="95"/>
      <c r="E303" s="14"/>
      <c r="F303" s="96"/>
      <c r="H303" s="12"/>
      <c r="I303" s="12"/>
      <c r="J303" s="12"/>
      <c r="K303" s="12"/>
      <c r="L303" s="12"/>
      <c r="M303" s="12"/>
      <c r="N303" s="12"/>
      <c r="O303" s="12"/>
      <c r="P303" s="12"/>
    </row>
    <row r="304">
      <c r="A304" s="12"/>
      <c r="D304" s="95"/>
      <c r="E304" s="14"/>
      <c r="F304" s="96"/>
      <c r="H304" s="12"/>
      <c r="I304" s="12"/>
      <c r="J304" s="12"/>
      <c r="K304" s="12"/>
      <c r="L304" s="12"/>
      <c r="M304" s="12"/>
      <c r="N304" s="12"/>
      <c r="O304" s="12"/>
      <c r="P304" s="12"/>
    </row>
    <row r="305">
      <c r="A305" s="12"/>
      <c r="D305" s="95"/>
      <c r="E305" s="14"/>
      <c r="F305" s="96"/>
      <c r="H305" s="12"/>
      <c r="I305" s="12"/>
      <c r="J305" s="12"/>
      <c r="K305" s="12"/>
      <c r="L305" s="12"/>
      <c r="M305" s="12"/>
      <c r="N305" s="12"/>
      <c r="O305" s="12"/>
      <c r="P305" s="12"/>
    </row>
    <row r="306">
      <c r="A306" s="12"/>
      <c r="D306" s="95"/>
      <c r="E306" s="14"/>
      <c r="F306" s="96"/>
      <c r="H306" s="12"/>
      <c r="I306" s="12"/>
      <c r="J306" s="12"/>
      <c r="K306" s="12"/>
      <c r="L306" s="12"/>
      <c r="M306" s="12"/>
      <c r="N306" s="12"/>
      <c r="O306" s="12"/>
      <c r="P306" s="12"/>
    </row>
    <row r="307">
      <c r="A307" s="12"/>
      <c r="D307" s="95"/>
      <c r="E307" s="14"/>
      <c r="F307" s="96"/>
      <c r="H307" s="12"/>
      <c r="I307" s="12"/>
      <c r="J307" s="12"/>
      <c r="K307" s="12"/>
      <c r="L307" s="12"/>
      <c r="M307" s="12"/>
      <c r="N307" s="12"/>
      <c r="O307" s="12"/>
      <c r="P307" s="12"/>
    </row>
    <row r="308">
      <c r="A308" s="12"/>
      <c r="D308" s="95"/>
      <c r="E308" s="14"/>
      <c r="F308" s="96"/>
      <c r="H308" s="12"/>
      <c r="I308" s="12"/>
      <c r="J308" s="12"/>
      <c r="K308" s="12"/>
      <c r="L308" s="12"/>
      <c r="M308" s="12"/>
      <c r="N308" s="12"/>
      <c r="O308" s="12"/>
      <c r="P308" s="12"/>
    </row>
    <row r="309">
      <c r="A309" s="12"/>
      <c r="D309" s="95"/>
      <c r="E309" s="14"/>
      <c r="F309" s="96"/>
      <c r="H309" s="12"/>
      <c r="I309" s="12"/>
      <c r="J309" s="12"/>
      <c r="K309" s="12"/>
      <c r="L309" s="12"/>
      <c r="M309" s="12"/>
      <c r="N309" s="12"/>
      <c r="O309" s="12"/>
      <c r="P309" s="12"/>
    </row>
    <row r="310">
      <c r="A310" s="12"/>
      <c r="D310" s="95"/>
      <c r="E310" s="14"/>
      <c r="F310" s="96"/>
      <c r="H310" s="12"/>
      <c r="I310" s="12"/>
      <c r="J310" s="12"/>
      <c r="K310" s="12"/>
      <c r="L310" s="12"/>
      <c r="M310" s="12"/>
      <c r="N310" s="12"/>
      <c r="O310" s="12"/>
      <c r="P310" s="12"/>
    </row>
    <row r="311">
      <c r="A311" s="12"/>
      <c r="D311" s="95"/>
      <c r="E311" s="14"/>
      <c r="F311" s="96"/>
      <c r="H311" s="12"/>
      <c r="I311" s="12"/>
      <c r="J311" s="12"/>
      <c r="K311" s="12"/>
      <c r="L311" s="12"/>
      <c r="M311" s="12"/>
      <c r="N311" s="12"/>
      <c r="O311" s="12"/>
      <c r="P311" s="12"/>
    </row>
    <row r="312">
      <c r="A312" s="12"/>
      <c r="D312" s="95"/>
      <c r="E312" s="14"/>
      <c r="F312" s="96"/>
      <c r="H312" s="12"/>
      <c r="I312" s="12"/>
      <c r="J312" s="12"/>
      <c r="K312" s="12"/>
      <c r="L312" s="12"/>
      <c r="M312" s="12"/>
      <c r="N312" s="12"/>
      <c r="O312" s="12"/>
      <c r="P312" s="12"/>
    </row>
    <row r="313">
      <c r="A313" s="12"/>
      <c r="D313" s="95"/>
      <c r="E313" s="14"/>
      <c r="F313" s="96"/>
      <c r="H313" s="12"/>
      <c r="I313" s="12"/>
      <c r="J313" s="12"/>
      <c r="K313" s="12"/>
      <c r="L313" s="12"/>
      <c r="M313" s="12"/>
      <c r="N313" s="12"/>
      <c r="O313" s="12"/>
      <c r="P313" s="12"/>
    </row>
    <row r="314">
      <c r="A314" s="12"/>
      <c r="D314" s="95"/>
      <c r="E314" s="14"/>
      <c r="F314" s="96"/>
      <c r="H314" s="12"/>
      <c r="I314" s="12"/>
      <c r="J314" s="12"/>
      <c r="K314" s="12"/>
      <c r="L314" s="12"/>
      <c r="M314" s="12"/>
      <c r="N314" s="12"/>
      <c r="O314" s="12"/>
      <c r="P314" s="12"/>
    </row>
    <row r="315">
      <c r="A315" s="12"/>
      <c r="D315" s="95"/>
      <c r="E315" s="14"/>
      <c r="F315" s="96"/>
      <c r="H315" s="12"/>
      <c r="I315" s="12"/>
      <c r="J315" s="12"/>
      <c r="K315" s="12"/>
      <c r="L315" s="12"/>
      <c r="M315" s="12"/>
      <c r="N315" s="12"/>
      <c r="O315" s="12"/>
      <c r="P315" s="12"/>
    </row>
    <row r="316">
      <c r="A316" s="12"/>
      <c r="D316" s="95"/>
      <c r="E316" s="14"/>
      <c r="F316" s="96"/>
      <c r="H316" s="12"/>
      <c r="I316" s="12"/>
      <c r="J316" s="12"/>
      <c r="K316" s="12"/>
      <c r="L316" s="12"/>
      <c r="M316" s="12"/>
      <c r="N316" s="12"/>
      <c r="O316" s="12"/>
      <c r="P316" s="12"/>
    </row>
    <row r="317">
      <c r="A317" s="12"/>
      <c r="D317" s="95"/>
      <c r="E317" s="14"/>
      <c r="F317" s="96"/>
      <c r="H317" s="12"/>
      <c r="I317" s="12"/>
      <c r="J317" s="12"/>
      <c r="K317" s="12"/>
      <c r="L317" s="12"/>
      <c r="M317" s="12"/>
      <c r="N317" s="12"/>
      <c r="O317" s="12"/>
      <c r="P317" s="12"/>
    </row>
    <row r="318">
      <c r="A318" s="12"/>
      <c r="D318" s="95"/>
      <c r="E318" s="14"/>
      <c r="F318" s="96"/>
      <c r="H318" s="12"/>
      <c r="I318" s="12"/>
      <c r="J318" s="12"/>
      <c r="K318" s="12"/>
      <c r="L318" s="12"/>
      <c r="M318" s="12"/>
      <c r="N318" s="12"/>
      <c r="O318" s="12"/>
      <c r="P318" s="12"/>
    </row>
    <row r="319">
      <c r="A319" s="12"/>
      <c r="D319" s="95"/>
      <c r="E319" s="14"/>
      <c r="F319" s="96"/>
      <c r="H319" s="12"/>
      <c r="I319" s="12"/>
      <c r="J319" s="12"/>
      <c r="K319" s="12"/>
      <c r="L319" s="12"/>
      <c r="M319" s="12"/>
      <c r="N319" s="12"/>
      <c r="O319" s="12"/>
      <c r="P319" s="12"/>
    </row>
    <row r="320">
      <c r="A320" s="12"/>
      <c r="D320" s="95"/>
      <c r="E320" s="14"/>
      <c r="F320" s="96"/>
      <c r="H320" s="12"/>
      <c r="I320" s="12"/>
      <c r="J320" s="12"/>
      <c r="K320" s="12"/>
      <c r="L320" s="12"/>
      <c r="M320" s="12"/>
      <c r="N320" s="12"/>
      <c r="O320" s="12"/>
      <c r="P320" s="12"/>
    </row>
    <row r="321">
      <c r="A321" s="12"/>
      <c r="D321" s="95"/>
      <c r="E321" s="14"/>
      <c r="F321" s="96"/>
      <c r="H321" s="12"/>
      <c r="I321" s="12"/>
      <c r="J321" s="12"/>
      <c r="K321" s="12"/>
      <c r="L321" s="12"/>
      <c r="M321" s="12"/>
      <c r="N321" s="12"/>
      <c r="O321" s="12"/>
      <c r="P321" s="12"/>
    </row>
    <row r="322">
      <c r="A322" s="12"/>
      <c r="D322" s="95"/>
      <c r="E322" s="14"/>
      <c r="F322" s="96"/>
      <c r="H322" s="12"/>
      <c r="I322" s="12"/>
      <c r="J322" s="12"/>
      <c r="K322" s="12"/>
      <c r="L322" s="12"/>
      <c r="M322" s="12"/>
      <c r="N322" s="12"/>
      <c r="O322" s="12"/>
      <c r="P322" s="12"/>
    </row>
    <row r="323">
      <c r="A323" s="12"/>
      <c r="D323" s="95"/>
      <c r="E323" s="14"/>
      <c r="F323" s="96"/>
      <c r="H323" s="12"/>
      <c r="I323" s="12"/>
      <c r="J323" s="12"/>
      <c r="K323" s="12"/>
      <c r="L323" s="12"/>
      <c r="M323" s="12"/>
      <c r="N323" s="12"/>
      <c r="O323" s="12"/>
      <c r="P323" s="12"/>
    </row>
    <row r="324">
      <c r="A324" s="12"/>
      <c r="D324" s="95"/>
      <c r="E324" s="14"/>
      <c r="F324" s="96"/>
      <c r="H324" s="12"/>
      <c r="I324" s="12"/>
      <c r="J324" s="12"/>
      <c r="K324" s="12"/>
      <c r="L324" s="12"/>
      <c r="M324" s="12"/>
      <c r="N324" s="12"/>
      <c r="O324" s="12"/>
      <c r="P324" s="12"/>
    </row>
    <row r="325">
      <c r="A325" s="12"/>
      <c r="D325" s="95"/>
      <c r="E325" s="14"/>
      <c r="F325" s="96"/>
      <c r="H325" s="12"/>
      <c r="I325" s="12"/>
      <c r="J325" s="12"/>
      <c r="K325" s="12"/>
      <c r="L325" s="12"/>
      <c r="M325" s="12"/>
      <c r="N325" s="12"/>
      <c r="O325" s="12"/>
      <c r="P325" s="12"/>
    </row>
    <row r="326">
      <c r="A326" s="12"/>
      <c r="D326" s="95"/>
      <c r="E326" s="14"/>
      <c r="F326" s="96"/>
      <c r="H326" s="12"/>
      <c r="I326" s="12"/>
      <c r="J326" s="12"/>
      <c r="K326" s="12"/>
      <c r="L326" s="12"/>
      <c r="M326" s="12"/>
      <c r="N326" s="12"/>
      <c r="O326" s="12"/>
      <c r="P326" s="12"/>
    </row>
    <row r="327">
      <c r="A327" s="12"/>
      <c r="D327" s="95"/>
      <c r="E327" s="14"/>
      <c r="F327" s="96"/>
      <c r="H327" s="12"/>
      <c r="I327" s="12"/>
      <c r="J327" s="12"/>
      <c r="K327" s="12"/>
      <c r="L327" s="12"/>
      <c r="M327" s="12"/>
      <c r="N327" s="12"/>
      <c r="O327" s="12"/>
      <c r="P327" s="12"/>
    </row>
    <row r="328">
      <c r="A328" s="12"/>
      <c r="D328" s="95"/>
      <c r="E328" s="14"/>
      <c r="F328" s="96"/>
      <c r="H328" s="12"/>
      <c r="I328" s="12"/>
      <c r="J328" s="12"/>
      <c r="K328" s="12"/>
      <c r="L328" s="12"/>
      <c r="M328" s="12"/>
      <c r="N328" s="12"/>
      <c r="O328" s="12"/>
      <c r="P328" s="12"/>
    </row>
    <row r="329">
      <c r="A329" s="12"/>
      <c r="D329" s="95"/>
      <c r="E329" s="14"/>
      <c r="F329" s="96"/>
      <c r="H329" s="12"/>
      <c r="I329" s="12"/>
      <c r="J329" s="12"/>
      <c r="K329" s="12"/>
      <c r="L329" s="12"/>
      <c r="M329" s="12"/>
      <c r="N329" s="12"/>
      <c r="O329" s="12"/>
      <c r="P329" s="12"/>
    </row>
    <row r="330">
      <c r="A330" s="12"/>
      <c r="D330" s="95"/>
      <c r="E330" s="14"/>
      <c r="F330" s="96"/>
      <c r="H330" s="12"/>
      <c r="I330" s="12"/>
      <c r="J330" s="12"/>
      <c r="K330" s="12"/>
      <c r="L330" s="12"/>
      <c r="M330" s="12"/>
      <c r="N330" s="12"/>
      <c r="O330" s="12"/>
      <c r="P330" s="12"/>
    </row>
    <row r="331">
      <c r="A331" s="12"/>
      <c r="D331" s="95"/>
      <c r="E331" s="14"/>
      <c r="F331" s="96"/>
      <c r="H331" s="12"/>
      <c r="I331" s="12"/>
      <c r="J331" s="12"/>
      <c r="K331" s="12"/>
      <c r="L331" s="12"/>
      <c r="M331" s="12"/>
      <c r="N331" s="12"/>
      <c r="O331" s="12"/>
      <c r="P331" s="12"/>
    </row>
    <row r="332">
      <c r="A332" s="12"/>
      <c r="D332" s="95"/>
      <c r="E332" s="14"/>
      <c r="F332" s="96"/>
      <c r="H332" s="12"/>
      <c r="I332" s="12"/>
      <c r="J332" s="12"/>
      <c r="K332" s="12"/>
      <c r="L332" s="12"/>
      <c r="M332" s="12"/>
      <c r="N332" s="12"/>
      <c r="O332" s="12"/>
      <c r="P332" s="12"/>
    </row>
    <row r="333">
      <c r="A333" s="12"/>
      <c r="D333" s="95"/>
      <c r="E333" s="14"/>
      <c r="F333" s="96"/>
      <c r="H333" s="12"/>
      <c r="I333" s="12"/>
      <c r="J333" s="12"/>
      <c r="K333" s="12"/>
      <c r="L333" s="12"/>
      <c r="M333" s="12"/>
      <c r="N333" s="12"/>
      <c r="O333" s="12"/>
      <c r="P333" s="12"/>
    </row>
    <row r="334">
      <c r="A334" s="12"/>
      <c r="D334" s="95"/>
      <c r="E334" s="14"/>
      <c r="F334" s="96"/>
      <c r="H334" s="12"/>
      <c r="I334" s="12"/>
      <c r="J334" s="12"/>
      <c r="K334" s="12"/>
      <c r="L334" s="12"/>
      <c r="M334" s="12"/>
      <c r="N334" s="12"/>
      <c r="O334" s="12"/>
      <c r="P334" s="12"/>
    </row>
    <row r="335">
      <c r="A335" s="12"/>
      <c r="D335" s="95"/>
      <c r="E335" s="14"/>
      <c r="F335" s="96"/>
      <c r="H335" s="12"/>
      <c r="I335" s="12"/>
      <c r="J335" s="12"/>
      <c r="K335" s="12"/>
      <c r="L335" s="12"/>
      <c r="M335" s="12"/>
      <c r="N335" s="12"/>
      <c r="O335" s="12"/>
      <c r="P335" s="12"/>
    </row>
    <row r="336">
      <c r="A336" s="12"/>
      <c r="D336" s="95"/>
      <c r="E336" s="14"/>
      <c r="F336" s="96"/>
      <c r="H336" s="12"/>
      <c r="I336" s="12"/>
      <c r="J336" s="12"/>
      <c r="K336" s="12"/>
      <c r="L336" s="12"/>
      <c r="M336" s="12"/>
      <c r="N336" s="12"/>
      <c r="O336" s="12"/>
      <c r="P336" s="12"/>
    </row>
    <row r="337">
      <c r="A337" s="12"/>
      <c r="D337" s="95"/>
      <c r="E337" s="14"/>
      <c r="F337" s="96"/>
      <c r="H337" s="12"/>
      <c r="I337" s="12"/>
      <c r="J337" s="12"/>
      <c r="K337" s="12"/>
      <c r="L337" s="12"/>
      <c r="M337" s="12"/>
      <c r="N337" s="12"/>
      <c r="O337" s="12"/>
      <c r="P337" s="12"/>
    </row>
    <row r="338">
      <c r="A338" s="12"/>
      <c r="D338" s="95"/>
      <c r="E338" s="14"/>
      <c r="F338" s="96"/>
      <c r="H338" s="12"/>
      <c r="I338" s="12"/>
      <c r="J338" s="12"/>
      <c r="K338" s="12"/>
      <c r="L338" s="12"/>
      <c r="M338" s="12"/>
      <c r="N338" s="12"/>
      <c r="O338" s="12"/>
      <c r="P338" s="12"/>
    </row>
    <row r="339">
      <c r="A339" s="12"/>
      <c r="D339" s="95"/>
      <c r="E339" s="14"/>
      <c r="F339" s="96"/>
      <c r="H339" s="12"/>
      <c r="I339" s="12"/>
      <c r="J339" s="12"/>
      <c r="K339" s="12"/>
      <c r="L339" s="12"/>
      <c r="M339" s="12"/>
      <c r="N339" s="12"/>
      <c r="O339" s="12"/>
      <c r="P339" s="12"/>
    </row>
    <row r="340">
      <c r="A340" s="12"/>
      <c r="D340" s="95"/>
      <c r="E340" s="14"/>
      <c r="F340" s="96"/>
      <c r="H340" s="12"/>
      <c r="I340" s="12"/>
      <c r="J340" s="12"/>
      <c r="K340" s="12"/>
      <c r="L340" s="12"/>
      <c r="M340" s="12"/>
      <c r="N340" s="12"/>
      <c r="O340" s="12"/>
      <c r="P340" s="12"/>
    </row>
    <row r="341">
      <c r="A341" s="12"/>
      <c r="D341" s="95"/>
      <c r="E341" s="14"/>
      <c r="F341" s="96"/>
      <c r="H341" s="12"/>
      <c r="I341" s="12"/>
      <c r="J341" s="12"/>
      <c r="K341" s="12"/>
      <c r="L341" s="12"/>
      <c r="M341" s="12"/>
      <c r="N341" s="12"/>
      <c r="O341" s="12"/>
      <c r="P341" s="12"/>
    </row>
    <row r="342">
      <c r="A342" s="12"/>
      <c r="D342" s="95"/>
      <c r="E342" s="14"/>
      <c r="F342" s="96"/>
      <c r="H342" s="12"/>
      <c r="I342" s="12"/>
      <c r="J342" s="12"/>
      <c r="K342" s="12"/>
      <c r="L342" s="12"/>
      <c r="M342" s="12"/>
      <c r="N342" s="12"/>
      <c r="O342" s="12"/>
      <c r="P342" s="12"/>
    </row>
    <row r="343">
      <c r="A343" s="12"/>
      <c r="D343" s="95"/>
      <c r="E343" s="14"/>
      <c r="F343" s="96"/>
      <c r="H343" s="12"/>
      <c r="I343" s="12"/>
      <c r="J343" s="12"/>
      <c r="K343" s="12"/>
      <c r="L343" s="12"/>
      <c r="M343" s="12"/>
      <c r="N343" s="12"/>
      <c r="O343" s="12"/>
      <c r="P343" s="12"/>
    </row>
    <row r="344">
      <c r="A344" s="12"/>
      <c r="D344" s="95"/>
      <c r="E344" s="14"/>
      <c r="F344" s="96"/>
      <c r="H344" s="12"/>
      <c r="I344" s="12"/>
      <c r="J344" s="12"/>
      <c r="K344" s="12"/>
      <c r="L344" s="12"/>
      <c r="M344" s="12"/>
      <c r="N344" s="12"/>
      <c r="O344" s="12"/>
      <c r="P344" s="12"/>
    </row>
    <row r="345">
      <c r="A345" s="12"/>
      <c r="D345" s="95"/>
      <c r="E345" s="14"/>
      <c r="F345" s="96"/>
      <c r="H345" s="12"/>
      <c r="I345" s="12"/>
      <c r="J345" s="12"/>
      <c r="K345" s="12"/>
      <c r="L345" s="12"/>
      <c r="M345" s="12"/>
      <c r="N345" s="12"/>
      <c r="O345" s="12"/>
      <c r="P345" s="12"/>
    </row>
    <row r="346">
      <c r="A346" s="12"/>
      <c r="D346" s="95"/>
      <c r="E346" s="14"/>
      <c r="F346" s="96"/>
      <c r="H346" s="12"/>
      <c r="I346" s="12"/>
      <c r="J346" s="12"/>
      <c r="K346" s="12"/>
      <c r="L346" s="12"/>
      <c r="M346" s="12"/>
      <c r="N346" s="12"/>
      <c r="O346" s="12"/>
      <c r="P346" s="12"/>
    </row>
    <row r="347">
      <c r="A347" s="12"/>
      <c r="D347" s="95"/>
      <c r="E347" s="14"/>
      <c r="F347" s="96"/>
      <c r="H347" s="12"/>
      <c r="I347" s="12"/>
      <c r="J347" s="12"/>
      <c r="K347" s="12"/>
      <c r="L347" s="12"/>
      <c r="M347" s="12"/>
      <c r="N347" s="12"/>
      <c r="O347" s="12"/>
      <c r="P347" s="12"/>
    </row>
    <row r="348">
      <c r="A348" s="12"/>
      <c r="D348" s="95"/>
      <c r="E348" s="14"/>
      <c r="F348" s="96"/>
      <c r="H348" s="12"/>
      <c r="I348" s="12"/>
      <c r="J348" s="12"/>
      <c r="K348" s="12"/>
      <c r="L348" s="12"/>
      <c r="M348" s="12"/>
      <c r="N348" s="12"/>
      <c r="O348" s="12"/>
      <c r="P348" s="12"/>
    </row>
    <row r="349">
      <c r="A349" s="12"/>
      <c r="D349" s="95"/>
      <c r="E349" s="14"/>
      <c r="F349" s="96"/>
      <c r="H349" s="12"/>
      <c r="I349" s="12"/>
      <c r="J349" s="12"/>
      <c r="K349" s="12"/>
      <c r="L349" s="12"/>
      <c r="M349" s="12"/>
      <c r="N349" s="12"/>
      <c r="O349" s="12"/>
      <c r="P349" s="12"/>
    </row>
    <row r="350">
      <c r="A350" s="12"/>
      <c r="D350" s="95"/>
      <c r="E350" s="14"/>
      <c r="F350" s="96"/>
      <c r="H350" s="12"/>
      <c r="I350" s="12"/>
      <c r="J350" s="12"/>
      <c r="K350" s="12"/>
      <c r="L350" s="12"/>
      <c r="M350" s="12"/>
      <c r="N350" s="12"/>
      <c r="O350" s="12"/>
      <c r="P350" s="12"/>
    </row>
    <row r="351">
      <c r="A351" s="12"/>
      <c r="D351" s="95"/>
      <c r="E351" s="14"/>
      <c r="F351" s="96"/>
      <c r="H351" s="12"/>
      <c r="I351" s="12"/>
      <c r="J351" s="12"/>
      <c r="K351" s="12"/>
      <c r="L351" s="12"/>
      <c r="M351" s="12"/>
      <c r="N351" s="12"/>
      <c r="O351" s="12"/>
      <c r="P351" s="12"/>
    </row>
    <row r="352">
      <c r="A352" s="12"/>
      <c r="D352" s="95"/>
      <c r="E352" s="14"/>
      <c r="F352" s="96"/>
      <c r="H352" s="12"/>
      <c r="I352" s="12"/>
      <c r="J352" s="12"/>
      <c r="K352" s="12"/>
      <c r="L352" s="12"/>
      <c r="M352" s="12"/>
      <c r="N352" s="12"/>
      <c r="O352" s="12"/>
      <c r="P352" s="12"/>
    </row>
    <row r="353">
      <c r="A353" s="12"/>
      <c r="D353" s="95"/>
      <c r="E353" s="14"/>
      <c r="F353" s="96"/>
      <c r="H353" s="12"/>
      <c r="I353" s="12"/>
      <c r="J353" s="12"/>
      <c r="K353" s="12"/>
      <c r="L353" s="12"/>
      <c r="M353" s="12"/>
      <c r="N353" s="12"/>
      <c r="O353" s="12"/>
      <c r="P353" s="12"/>
    </row>
    <row r="354">
      <c r="A354" s="12"/>
      <c r="D354" s="95"/>
      <c r="E354" s="14"/>
      <c r="F354" s="96"/>
      <c r="H354" s="12"/>
      <c r="I354" s="12"/>
      <c r="J354" s="12"/>
      <c r="K354" s="12"/>
      <c r="L354" s="12"/>
      <c r="M354" s="12"/>
      <c r="N354" s="12"/>
      <c r="O354" s="12"/>
      <c r="P354" s="12"/>
    </row>
    <row r="355">
      <c r="A355" s="12"/>
      <c r="D355" s="95"/>
      <c r="E355" s="14"/>
      <c r="F355" s="96"/>
      <c r="H355" s="12"/>
      <c r="I355" s="12"/>
      <c r="J355" s="12"/>
      <c r="K355" s="12"/>
      <c r="L355" s="12"/>
      <c r="M355" s="12"/>
      <c r="N355" s="12"/>
      <c r="O355" s="12"/>
      <c r="P355" s="12"/>
    </row>
    <row r="356">
      <c r="A356" s="12"/>
      <c r="D356" s="95"/>
      <c r="E356" s="14"/>
      <c r="F356" s="96"/>
      <c r="H356" s="12"/>
      <c r="I356" s="12"/>
      <c r="J356" s="12"/>
      <c r="K356" s="12"/>
      <c r="L356" s="12"/>
      <c r="M356" s="12"/>
      <c r="N356" s="12"/>
      <c r="O356" s="12"/>
      <c r="P356" s="12"/>
    </row>
    <row r="357">
      <c r="A357" s="12"/>
      <c r="D357" s="95"/>
      <c r="E357" s="14"/>
      <c r="F357" s="96"/>
      <c r="H357" s="12"/>
      <c r="I357" s="12"/>
      <c r="J357" s="12"/>
      <c r="K357" s="12"/>
      <c r="L357" s="12"/>
      <c r="M357" s="12"/>
      <c r="N357" s="12"/>
      <c r="O357" s="12"/>
      <c r="P357" s="12"/>
    </row>
    <row r="358">
      <c r="A358" s="12"/>
      <c r="D358" s="95"/>
      <c r="E358" s="14"/>
      <c r="F358" s="96"/>
      <c r="H358" s="12"/>
      <c r="I358" s="12"/>
      <c r="J358" s="12"/>
      <c r="K358" s="12"/>
      <c r="L358" s="12"/>
      <c r="M358" s="12"/>
      <c r="N358" s="12"/>
      <c r="O358" s="12"/>
      <c r="P358" s="12"/>
    </row>
    <row r="359">
      <c r="A359" s="12"/>
      <c r="D359" s="95"/>
      <c r="E359" s="14"/>
      <c r="F359" s="96"/>
      <c r="H359" s="12"/>
      <c r="I359" s="12"/>
      <c r="J359" s="12"/>
      <c r="K359" s="12"/>
      <c r="L359" s="12"/>
      <c r="M359" s="12"/>
      <c r="N359" s="12"/>
      <c r="O359" s="12"/>
      <c r="P359" s="12"/>
    </row>
    <row r="360">
      <c r="A360" s="12"/>
      <c r="D360" s="95"/>
      <c r="E360" s="14"/>
      <c r="F360" s="96"/>
      <c r="H360" s="12"/>
      <c r="I360" s="12"/>
      <c r="J360" s="12"/>
      <c r="K360" s="12"/>
      <c r="L360" s="12"/>
      <c r="M360" s="12"/>
      <c r="N360" s="12"/>
      <c r="O360" s="12"/>
      <c r="P360" s="12"/>
    </row>
    <row r="361">
      <c r="A361" s="12"/>
      <c r="D361" s="95"/>
      <c r="E361" s="14"/>
      <c r="F361" s="96"/>
      <c r="H361" s="12"/>
      <c r="I361" s="12"/>
      <c r="J361" s="12"/>
      <c r="K361" s="12"/>
      <c r="L361" s="12"/>
      <c r="M361" s="12"/>
      <c r="N361" s="12"/>
      <c r="O361" s="12"/>
      <c r="P361" s="12"/>
    </row>
    <row r="362">
      <c r="A362" s="12"/>
      <c r="D362" s="95"/>
      <c r="E362" s="14"/>
      <c r="F362" s="96"/>
      <c r="H362" s="12"/>
      <c r="I362" s="12"/>
      <c r="J362" s="12"/>
      <c r="K362" s="12"/>
      <c r="L362" s="12"/>
      <c r="M362" s="12"/>
      <c r="N362" s="12"/>
      <c r="O362" s="12"/>
      <c r="P362" s="12"/>
    </row>
    <row r="363">
      <c r="A363" s="12"/>
      <c r="D363" s="95"/>
      <c r="E363" s="14"/>
      <c r="F363" s="96"/>
      <c r="H363" s="12"/>
      <c r="I363" s="12"/>
      <c r="J363" s="12"/>
      <c r="K363" s="12"/>
      <c r="L363" s="12"/>
      <c r="M363" s="12"/>
      <c r="N363" s="12"/>
      <c r="O363" s="12"/>
      <c r="P363" s="12"/>
    </row>
    <row r="364">
      <c r="A364" s="12"/>
      <c r="D364" s="95"/>
      <c r="E364" s="14"/>
      <c r="F364" s="96"/>
      <c r="H364" s="12"/>
      <c r="I364" s="12"/>
      <c r="J364" s="12"/>
      <c r="K364" s="12"/>
      <c r="L364" s="12"/>
      <c r="M364" s="12"/>
      <c r="N364" s="12"/>
      <c r="O364" s="12"/>
      <c r="P364" s="12"/>
    </row>
    <row r="365">
      <c r="A365" s="12"/>
      <c r="D365" s="95"/>
      <c r="E365" s="14"/>
      <c r="F365" s="96"/>
      <c r="H365" s="12"/>
      <c r="I365" s="12"/>
      <c r="J365" s="12"/>
      <c r="K365" s="12"/>
      <c r="L365" s="12"/>
      <c r="M365" s="12"/>
      <c r="N365" s="12"/>
      <c r="O365" s="12"/>
      <c r="P365" s="12"/>
    </row>
    <row r="366">
      <c r="A366" s="12"/>
      <c r="D366" s="95"/>
      <c r="E366" s="14"/>
      <c r="F366" s="96"/>
      <c r="H366" s="12"/>
      <c r="I366" s="12"/>
      <c r="J366" s="12"/>
      <c r="K366" s="12"/>
      <c r="L366" s="12"/>
      <c r="M366" s="12"/>
      <c r="N366" s="12"/>
      <c r="O366" s="12"/>
      <c r="P366" s="12"/>
    </row>
    <row r="367">
      <c r="A367" s="12"/>
      <c r="D367" s="95"/>
      <c r="E367" s="14"/>
      <c r="F367" s="96"/>
      <c r="H367" s="12"/>
      <c r="I367" s="12"/>
      <c r="J367" s="12"/>
      <c r="K367" s="12"/>
      <c r="L367" s="12"/>
      <c r="M367" s="12"/>
      <c r="N367" s="12"/>
      <c r="O367" s="12"/>
      <c r="P367" s="12"/>
    </row>
    <row r="368">
      <c r="A368" s="12"/>
      <c r="D368" s="95"/>
      <c r="E368" s="14"/>
      <c r="F368" s="96"/>
      <c r="H368" s="12"/>
      <c r="I368" s="12"/>
      <c r="J368" s="12"/>
      <c r="K368" s="12"/>
      <c r="L368" s="12"/>
      <c r="M368" s="12"/>
      <c r="N368" s="12"/>
      <c r="O368" s="12"/>
      <c r="P368" s="12"/>
    </row>
    <row r="369">
      <c r="A369" s="12"/>
      <c r="D369" s="95"/>
      <c r="E369" s="14"/>
      <c r="F369" s="96"/>
      <c r="H369" s="12"/>
      <c r="I369" s="12"/>
      <c r="J369" s="12"/>
      <c r="K369" s="12"/>
      <c r="L369" s="12"/>
      <c r="M369" s="12"/>
      <c r="N369" s="12"/>
      <c r="O369" s="12"/>
      <c r="P369" s="12"/>
    </row>
    <row r="370">
      <c r="A370" s="12"/>
      <c r="D370" s="95"/>
      <c r="E370" s="14"/>
      <c r="F370" s="96"/>
      <c r="H370" s="12"/>
      <c r="I370" s="12"/>
      <c r="J370" s="12"/>
      <c r="K370" s="12"/>
      <c r="L370" s="12"/>
      <c r="M370" s="12"/>
      <c r="N370" s="12"/>
      <c r="O370" s="12"/>
      <c r="P370" s="12"/>
    </row>
    <row r="371">
      <c r="A371" s="12"/>
      <c r="D371" s="95"/>
      <c r="E371" s="14"/>
      <c r="F371" s="96"/>
      <c r="H371" s="12"/>
      <c r="I371" s="12"/>
      <c r="J371" s="12"/>
      <c r="K371" s="12"/>
      <c r="L371" s="12"/>
      <c r="M371" s="12"/>
      <c r="N371" s="12"/>
      <c r="O371" s="12"/>
      <c r="P371" s="12"/>
    </row>
    <row r="372">
      <c r="A372" s="12"/>
      <c r="D372" s="95"/>
      <c r="E372" s="14"/>
      <c r="F372" s="96"/>
      <c r="H372" s="12"/>
      <c r="I372" s="12"/>
      <c r="J372" s="12"/>
      <c r="K372" s="12"/>
      <c r="L372" s="12"/>
      <c r="M372" s="12"/>
      <c r="N372" s="12"/>
      <c r="O372" s="12"/>
      <c r="P372" s="12"/>
    </row>
    <row r="373">
      <c r="A373" s="12"/>
      <c r="D373" s="95"/>
      <c r="E373" s="14"/>
      <c r="F373" s="96"/>
      <c r="H373" s="12"/>
      <c r="I373" s="12"/>
      <c r="J373" s="12"/>
      <c r="K373" s="12"/>
      <c r="L373" s="12"/>
      <c r="M373" s="12"/>
      <c r="N373" s="12"/>
      <c r="O373" s="12"/>
      <c r="P373" s="12"/>
    </row>
    <row r="374">
      <c r="A374" s="12"/>
      <c r="D374" s="95"/>
      <c r="E374" s="14"/>
      <c r="F374" s="96"/>
      <c r="H374" s="12"/>
      <c r="I374" s="12"/>
      <c r="J374" s="12"/>
      <c r="K374" s="12"/>
      <c r="L374" s="12"/>
      <c r="M374" s="12"/>
      <c r="N374" s="12"/>
      <c r="O374" s="12"/>
      <c r="P374" s="12"/>
    </row>
    <row r="375">
      <c r="A375" s="12"/>
      <c r="D375" s="95"/>
      <c r="E375" s="14"/>
      <c r="F375" s="96"/>
      <c r="H375" s="12"/>
      <c r="I375" s="12"/>
      <c r="J375" s="12"/>
      <c r="K375" s="12"/>
      <c r="L375" s="12"/>
      <c r="M375" s="12"/>
      <c r="N375" s="12"/>
      <c r="O375" s="12"/>
      <c r="P375" s="12"/>
    </row>
    <row r="376">
      <c r="A376" s="12"/>
      <c r="D376" s="95"/>
      <c r="E376" s="14"/>
      <c r="F376" s="96"/>
      <c r="H376" s="12"/>
      <c r="I376" s="12"/>
      <c r="J376" s="12"/>
      <c r="K376" s="12"/>
      <c r="L376" s="12"/>
      <c r="M376" s="12"/>
      <c r="N376" s="12"/>
      <c r="O376" s="12"/>
      <c r="P376" s="12"/>
    </row>
    <row r="377">
      <c r="A377" s="12"/>
      <c r="D377" s="95"/>
      <c r="E377" s="14"/>
      <c r="F377" s="96"/>
      <c r="H377" s="12"/>
      <c r="I377" s="12"/>
      <c r="J377" s="12"/>
      <c r="K377" s="12"/>
      <c r="L377" s="12"/>
      <c r="M377" s="12"/>
      <c r="N377" s="12"/>
      <c r="O377" s="12"/>
      <c r="P377" s="12"/>
    </row>
    <row r="378">
      <c r="A378" s="12"/>
      <c r="D378" s="95"/>
      <c r="E378" s="14"/>
      <c r="F378" s="96"/>
      <c r="H378" s="12"/>
      <c r="I378" s="12"/>
      <c r="J378" s="12"/>
      <c r="K378" s="12"/>
      <c r="L378" s="12"/>
      <c r="M378" s="12"/>
      <c r="N378" s="12"/>
      <c r="O378" s="12"/>
      <c r="P378" s="12"/>
    </row>
    <row r="379">
      <c r="A379" s="12"/>
      <c r="D379" s="95"/>
      <c r="E379" s="14"/>
      <c r="F379" s="96"/>
      <c r="H379" s="12"/>
      <c r="I379" s="12"/>
      <c r="J379" s="12"/>
      <c r="K379" s="12"/>
      <c r="L379" s="12"/>
      <c r="M379" s="12"/>
      <c r="N379" s="12"/>
      <c r="O379" s="12"/>
      <c r="P379" s="12"/>
    </row>
    <row r="380">
      <c r="A380" s="12"/>
      <c r="D380" s="95"/>
      <c r="E380" s="14"/>
      <c r="F380" s="96"/>
      <c r="H380" s="12"/>
      <c r="I380" s="12"/>
      <c r="J380" s="12"/>
      <c r="K380" s="12"/>
      <c r="L380" s="12"/>
      <c r="M380" s="12"/>
      <c r="N380" s="12"/>
      <c r="O380" s="12"/>
      <c r="P380" s="12"/>
    </row>
    <row r="381">
      <c r="A381" s="12"/>
      <c r="D381" s="95"/>
      <c r="E381" s="14"/>
      <c r="F381" s="96"/>
      <c r="H381" s="12"/>
      <c r="I381" s="12"/>
      <c r="J381" s="12"/>
      <c r="K381" s="12"/>
      <c r="L381" s="12"/>
      <c r="M381" s="12"/>
      <c r="N381" s="12"/>
      <c r="O381" s="12"/>
      <c r="P381" s="12"/>
    </row>
    <row r="382">
      <c r="A382" s="12"/>
      <c r="D382" s="95"/>
      <c r="E382" s="14"/>
      <c r="F382" s="96"/>
      <c r="H382" s="12"/>
      <c r="I382" s="12"/>
      <c r="J382" s="12"/>
      <c r="K382" s="12"/>
      <c r="L382" s="12"/>
      <c r="M382" s="12"/>
      <c r="N382" s="12"/>
      <c r="O382" s="12"/>
      <c r="P382" s="12"/>
    </row>
    <row r="383">
      <c r="A383" s="12"/>
      <c r="D383" s="95"/>
      <c r="E383" s="14"/>
      <c r="F383" s="96"/>
      <c r="H383" s="12"/>
      <c r="I383" s="12"/>
      <c r="J383" s="12"/>
      <c r="K383" s="12"/>
      <c r="L383" s="12"/>
      <c r="M383" s="12"/>
      <c r="N383" s="12"/>
      <c r="O383" s="12"/>
      <c r="P383" s="12"/>
    </row>
    <row r="384">
      <c r="A384" s="12"/>
      <c r="D384" s="95"/>
      <c r="E384" s="14"/>
      <c r="F384" s="96"/>
      <c r="H384" s="12"/>
      <c r="I384" s="12"/>
      <c r="J384" s="12"/>
      <c r="K384" s="12"/>
      <c r="L384" s="12"/>
      <c r="M384" s="12"/>
      <c r="N384" s="12"/>
      <c r="O384" s="12"/>
      <c r="P384" s="12"/>
    </row>
    <row r="385">
      <c r="A385" s="12"/>
      <c r="D385" s="95"/>
      <c r="E385" s="14"/>
      <c r="F385" s="96"/>
      <c r="H385" s="12"/>
      <c r="I385" s="12"/>
      <c r="J385" s="12"/>
      <c r="K385" s="12"/>
      <c r="L385" s="12"/>
      <c r="M385" s="12"/>
      <c r="N385" s="12"/>
      <c r="O385" s="12"/>
      <c r="P385" s="12"/>
    </row>
    <row r="386">
      <c r="A386" s="12"/>
      <c r="D386" s="95"/>
      <c r="E386" s="14"/>
      <c r="F386" s="96"/>
      <c r="H386" s="12"/>
      <c r="I386" s="12"/>
      <c r="J386" s="12"/>
      <c r="K386" s="12"/>
      <c r="L386" s="12"/>
      <c r="M386" s="12"/>
      <c r="N386" s="12"/>
      <c r="O386" s="12"/>
      <c r="P386" s="12"/>
    </row>
    <row r="387">
      <c r="A387" s="12"/>
      <c r="D387" s="95"/>
      <c r="E387" s="14"/>
      <c r="F387" s="96"/>
      <c r="H387" s="12"/>
      <c r="I387" s="12"/>
      <c r="J387" s="12"/>
      <c r="K387" s="12"/>
      <c r="L387" s="12"/>
      <c r="M387" s="12"/>
      <c r="N387" s="12"/>
      <c r="O387" s="12"/>
      <c r="P387" s="12"/>
    </row>
    <row r="388">
      <c r="A388" s="12"/>
      <c r="D388" s="95"/>
      <c r="E388" s="14"/>
      <c r="F388" s="96"/>
      <c r="H388" s="12"/>
      <c r="I388" s="12"/>
      <c r="J388" s="12"/>
      <c r="K388" s="12"/>
      <c r="L388" s="12"/>
      <c r="M388" s="12"/>
      <c r="N388" s="12"/>
      <c r="O388" s="12"/>
      <c r="P388" s="12"/>
    </row>
    <row r="389">
      <c r="A389" s="12"/>
      <c r="D389" s="95"/>
      <c r="E389" s="14"/>
      <c r="F389" s="96"/>
      <c r="H389" s="12"/>
      <c r="I389" s="12"/>
      <c r="J389" s="12"/>
      <c r="K389" s="12"/>
      <c r="L389" s="12"/>
      <c r="M389" s="12"/>
      <c r="N389" s="12"/>
      <c r="O389" s="12"/>
      <c r="P389" s="12"/>
    </row>
    <row r="390">
      <c r="A390" s="12"/>
      <c r="D390" s="95"/>
      <c r="E390" s="14"/>
      <c r="F390" s="96"/>
      <c r="H390" s="12"/>
      <c r="I390" s="12"/>
      <c r="J390" s="12"/>
      <c r="K390" s="12"/>
      <c r="L390" s="12"/>
      <c r="M390" s="12"/>
      <c r="N390" s="12"/>
      <c r="O390" s="12"/>
      <c r="P390" s="12"/>
    </row>
    <row r="391">
      <c r="A391" s="12"/>
      <c r="D391" s="95"/>
      <c r="E391" s="14"/>
      <c r="F391" s="96"/>
      <c r="H391" s="12"/>
      <c r="I391" s="12"/>
      <c r="J391" s="12"/>
      <c r="K391" s="12"/>
      <c r="L391" s="12"/>
      <c r="M391" s="12"/>
      <c r="N391" s="12"/>
      <c r="O391" s="12"/>
      <c r="P391" s="12"/>
    </row>
    <row r="392">
      <c r="A392" s="12"/>
      <c r="D392" s="95"/>
      <c r="E392" s="14"/>
      <c r="F392" s="96"/>
      <c r="H392" s="12"/>
      <c r="I392" s="12"/>
      <c r="J392" s="12"/>
      <c r="K392" s="12"/>
      <c r="L392" s="12"/>
      <c r="M392" s="12"/>
      <c r="N392" s="12"/>
      <c r="O392" s="12"/>
      <c r="P392" s="12"/>
    </row>
    <row r="393">
      <c r="A393" s="12"/>
      <c r="D393" s="95"/>
      <c r="E393" s="14"/>
      <c r="F393" s="96"/>
      <c r="H393" s="12"/>
      <c r="I393" s="12"/>
      <c r="J393" s="12"/>
      <c r="K393" s="12"/>
      <c r="L393" s="12"/>
      <c r="M393" s="12"/>
      <c r="N393" s="12"/>
      <c r="O393" s="12"/>
      <c r="P393" s="12"/>
    </row>
    <row r="394">
      <c r="A394" s="12"/>
      <c r="D394" s="95"/>
      <c r="E394" s="14"/>
      <c r="F394" s="96"/>
      <c r="H394" s="12"/>
      <c r="I394" s="12"/>
      <c r="J394" s="12"/>
      <c r="K394" s="12"/>
      <c r="L394" s="12"/>
      <c r="M394" s="12"/>
      <c r="N394" s="12"/>
      <c r="O394" s="12"/>
      <c r="P394" s="12"/>
    </row>
    <row r="395">
      <c r="A395" s="12"/>
      <c r="D395" s="95"/>
      <c r="E395" s="14"/>
      <c r="F395" s="96"/>
      <c r="H395" s="12"/>
      <c r="I395" s="12"/>
      <c r="J395" s="12"/>
      <c r="K395" s="12"/>
      <c r="L395" s="12"/>
      <c r="M395" s="12"/>
      <c r="N395" s="12"/>
      <c r="O395" s="12"/>
      <c r="P395" s="12"/>
    </row>
    <row r="396">
      <c r="A396" s="12"/>
      <c r="D396" s="95"/>
      <c r="E396" s="14"/>
      <c r="F396" s="96"/>
      <c r="H396" s="12"/>
      <c r="I396" s="12"/>
      <c r="J396" s="12"/>
      <c r="K396" s="12"/>
      <c r="L396" s="12"/>
      <c r="M396" s="12"/>
      <c r="N396" s="12"/>
      <c r="O396" s="12"/>
      <c r="P396" s="12"/>
    </row>
    <row r="397">
      <c r="A397" s="12"/>
      <c r="D397" s="95"/>
      <c r="E397" s="14"/>
      <c r="F397" s="96"/>
      <c r="H397" s="12"/>
      <c r="I397" s="12"/>
      <c r="J397" s="12"/>
      <c r="K397" s="12"/>
      <c r="L397" s="12"/>
      <c r="M397" s="12"/>
      <c r="N397" s="12"/>
      <c r="O397" s="12"/>
      <c r="P397" s="12"/>
    </row>
    <row r="398">
      <c r="A398" s="12"/>
      <c r="D398" s="95"/>
      <c r="E398" s="14"/>
      <c r="F398" s="96"/>
      <c r="H398" s="12"/>
      <c r="I398" s="12"/>
      <c r="J398" s="12"/>
      <c r="K398" s="12"/>
      <c r="L398" s="12"/>
      <c r="M398" s="12"/>
      <c r="N398" s="12"/>
      <c r="O398" s="12"/>
      <c r="P398" s="12"/>
    </row>
    <row r="399">
      <c r="A399" s="12"/>
      <c r="D399" s="95"/>
      <c r="E399" s="14"/>
      <c r="F399" s="96"/>
      <c r="H399" s="12"/>
      <c r="I399" s="12"/>
      <c r="J399" s="12"/>
      <c r="K399" s="12"/>
      <c r="L399" s="12"/>
      <c r="M399" s="12"/>
      <c r="N399" s="12"/>
      <c r="O399" s="12"/>
      <c r="P399" s="12"/>
    </row>
    <row r="400">
      <c r="A400" s="12"/>
      <c r="D400" s="95"/>
      <c r="E400" s="14"/>
      <c r="F400" s="96"/>
      <c r="H400" s="12"/>
      <c r="I400" s="12"/>
      <c r="J400" s="12"/>
      <c r="K400" s="12"/>
      <c r="L400" s="12"/>
      <c r="M400" s="12"/>
      <c r="N400" s="12"/>
      <c r="O400" s="12"/>
      <c r="P400" s="12"/>
    </row>
    <row r="401">
      <c r="A401" s="12"/>
      <c r="D401" s="95"/>
      <c r="E401" s="14"/>
      <c r="F401" s="96"/>
      <c r="H401" s="12"/>
      <c r="I401" s="12"/>
      <c r="J401" s="12"/>
      <c r="K401" s="12"/>
      <c r="L401" s="12"/>
      <c r="M401" s="12"/>
      <c r="N401" s="12"/>
      <c r="O401" s="12"/>
      <c r="P401" s="12"/>
    </row>
    <row r="402">
      <c r="A402" s="12"/>
      <c r="D402" s="95"/>
      <c r="E402" s="14"/>
      <c r="F402" s="96"/>
      <c r="H402" s="12"/>
      <c r="I402" s="12"/>
      <c r="J402" s="12"/>
      <c r="K402" s="12"/>
      <c r="L402" s="12"/>
      <c r="M402" s="12"/>
      <c r="N402" s="12"/>
      <c r="O402" s="12"/>
      <c r="P402" s="12"/>
    </row>
    <row r="403">
      <c r="A403" s="12"/>
      <c r="D403" s="95"/>
      <c r="E403" s="14"/>
      <c r="F403" s="96"/>
      <c r="H403" s="12"/>
      <c r="I403" s="12"/>
      <c r="J403" s="12"/>
      <c r="K403" s="12"/>
      <c r="L403" s="12"/>
      <c r="M403" s="12"/>
      <c r="N403" s="12"/>
      <c r="O403" s="12"/>
      <c r="P403" s="12"/>
    </row>
    <row r="404">
      <c r="A404" s="12"/>
      <c r="D404" s="95"/>
      <c r="E404" s="14"/>
      <c r="F404" s="96"/>
      <c r="H404" s="12"/>
      <c r="I404" s="12"/>
      <c r="J404" s="12"/>
      <c r="K404" s="12"/>
      <c r="L404" s="12"/>
      <c r="M404" s="12"/>
      <c r="N404" s="12"/>
      <c r="O404" s="12"/>
      <c r="P404" s="12"/>
    </row>
    <row r="405">
      <c r="A405" s="12"/>
      <c r="D405" s="95"/>
      <c r="E405" s="14"/>
      <c r="F405" s="96"/>
      <c r="H405" s="12"/>
      <c r="I405" s="12"/>
      <c r="J405" s="12"/>
      <c r="K405" s="12"/>
      <c r="L405" s="12"/>
      <c r="M405" s="12"/>
      <c r="N405" s="12"/>
      <c r="O405" s="12"/>
      <c r="P405" s="12"/>
    </row>
    <row r="406">
      <c r="A406" s="12"/>
      <c r="D406" s="95"/>
      <c r="E406" s="14"/>
      <c r="F406" s="96"/>
      <c r="H406" s="12"/>
      <c r="I406" s="12"/>
      <c r="J406" s="12"/>
      <c r="K406" s="12"/>
      <c r="L406" s="12"/>
      <c r="M406" s="12"/>
      <c r="N406" s="12"/>
      <c r="O406" s="12"/>
      <c r="P406" s="12"/>
    </row>
    <row r="407">
      <c r="A407" s="12"/>
      <c r="D407" s="95"/>
      <c r="E407" s="14"/>
      <c r="F407" s="96"/>
      <c r="H407" s="12"/>
      <c r="I407" s="12"/>
      <c r="J407" s="12"/>
      <c r="K407" s="12"/>
      <c r="L407" s="12"/>
      <c r="M407" s="12"/>
      <c r="N407" s="12"/>
      <c r="O407" s="12"/>
      <c r="P407" s="12"/>
    </row>
    <row r="408">
      <c r="A408" s="12"/>
      <c r="D408" s="95"/>
      <c r="E408" s="14"/>
      <c r="F408" s="96"/>
      <c r="H408" s="12"/>
      <c r="I408" s="12"/>
      <c r="J408" s="12"/>
      <c r="K408" s="12"/>
      <c r="L408" s="12"/>
      <c r="M408" s="12"/>
      <c r="N408" s="12"/>
      <c r="O408" s="12"/>
      <c r="P408" s="12"/>
    </row>
    <row r="409">
      <c r="A409" s="12"/>
      <c r="D409" s="95"/>
      <c r="E409" s="14"/>
      <c r="F409" s="96"/>
      <c r="H409" s="12"/>
      <c r="I409" s="12"/>
      <c r="J409" s="12"/>
      <c r="K409" s="12"/>
      <c r="L409" s="12"/>
      <c r="M409" s="12"/>
      <c r="N409" s="12"/>
      <c r="O409" s="12"/>
      <c r="P409" s="12"/>
    </row>
    <row r="410">
      <c r="A410" s="12"/>
      <c r="D410" s="95"/>
      <c r="E410" s="14"/>
      <c r="F410" s="96"/>
      <c r="H410" s="12"/>
      <c r="I410" s="12"/>
      <c r="J410" s="12"/>
      <c r="K410" s="12"/>
      <c r="L410" s="12"/>
      <c r="M410" s="12"/>
      <c r="N410" s="12"/>
      <c r="O410" s="12"/>
      <c r="P410" s="12"/>
    </row>
    <row r="411">
      <c r="A411" s="12"/>
      <c r="D411" s="95"/>
      <c r="E411" s="14"/>
      <c r="F411" s="96"/>
      <c r="H411" s="12"/>
      <c r="I411" s="12"/>
      <c r="J411" s="12"/>
      <c r="K411" s="12"/>
      <c r="L411" s="12"/>
      <c r="M411" s="12"/>
      <c r="N411" s="12"/>
      <c r="O411" s="12"/>
      <c r="P411" s="12"/>
    </row>
    <row r="412">
      <c r="A412" s="12"/>
      <c r="D412" s="95"/>
      <c r="E412" s="14"/>
      <c r="F412" s="96"/>
      <c r="H412" s="12"/>
      <c r="I412" s="12"/>
      <c r="J412" s="12"/>
      <c r="K412" s="12"/>
      <c r="L412" s="12"/>
      <c r="M412" s="12"/>
      <c r="N412" s="12"/>
      <c r="O412" s="12"/>
      <c r="P412" s="12"/>
    </row>
    <row r="413">
      <c r="A413" s="12"/>
      <c r="D413" s="95"/>
      <c r="E413" s="14"/>
      <c r="F413" s="96"/>
      <c r="H413" s="12"/>
      <c r="I413" s="12"/>
      <c r="J413" s="12"/>
      <c r="K413" s="12"/>
      <c r="L413" s="12"/>
      <c r="M413" s="12"/>
      <c r="N413" s="12"/>
      <c r="O413" s="12"/>
      <c r="P413" s="12"/>
    </row>
    <row r="414">
      <c r="A414" s="12"/>
      <c r="D414" s="95"/>
      <c r="E414" s="14"/>
      <c r="F414" s="96"/>
      <c r="H414" s="12"/>
      <c r="I414" s="12"/>
      <c r="J414" s="12"/>
      <c r="K414" s="12"/>
      <c r="L414" s="12"/>
      <c r="M414" s="12"/>
      <c r="N414" s="12"/>
      <c r="O414" s="12"/>
      <c r="P414" s="12"/>
    </row>
    <row r="415">
      <c r="A415" s="12"/>
      <c r="D415" s="95"/>
      <c r="E415" s="14"/>
      <c r="F415" s="96"/>
      <c r="H415" s="12"/>
      <c r="I415" s="12"/>
      <c r="J415" s="12"/>
      <c r="K415" s="12"/>
      <c r="L415" s="12"/>
      <c r="M415" s="12"/>
      <c r="N415" s="12"/>
      <c r="O415" s="12"/>
      <c r="P415" s="12"/>
    </row>
    <row r="416">
      <c r="A416" s="12"/>
      <c r="D416" s="95"/>
      <c r="E416" s="14"/>
      <c r="F416" s="96"/>
      <c r="H416" s="12"/>
      <c r="I416" s="12"/>
      <c r="J416" s="12"/>
      <c r="K416" s="12"/>
      <c r="L416" s="12"/>
      <c r="M416" s="12"/>
      <c r="N416" s="12"/>
      <c r="O416" s="12"/>
      <c r="P416" s="12"/>
    </row>
    <row r="417">
      <c r="A417" s="12"/>
      <c r="D417" s="95"/>
      <c r="E417" s="14"/>
      <c r="F417" s="96"/>
      <c r="H417" s="12"/>
      <c r="I417" s="12"/>
      <c r="J417" s="12"/>
      <c r="K417" s="12"/>
      <c r="L417" s="12"/>
      <c r="M417" s="12"/>
      <c r="N417" s="12"/>
      <c r="O417" s="12"/>
      <c r="P417" s="12"/>
    </row>
    <row r="418">
      <c r="A418" s="12"/>
      <c r="D418" s="95"/>
      <c r="E418" s="14"/>
      <c r="F418" s="96"/>
      <c r="H418" s="12"/>
      <c r="I418" s="12"/>
      <c r="J418" s="12"/>
      <c r="K418" s="12"/>
      <c r="L418" s="12"/>
      <c r="M418" s="12"/>
      <c r="N418" s="12"/>
      <c r="O418" s="12"/>
      <c r="P418" s="12"/>
    </row>
    <row r="419">
      <c r="A419" s="12"/>
      <c r="D419" s="95"/>
      <c r="E419" s="14"/>
      <c r="F419" s="96"/>
      <c r="H419" s="12"/>
      <c r="I419" s="12"/>
      <c r="J419" s="12"/>
      <c r="K419" s="12"/>
      <c r="L419" s="12"/>
      <c r="M419" s="12"/>
      <c r="N419" s="12"/>
      <c r="O419" s="12"/>
      <c r="P419" s="12"/>
    </row>
    <row r="420">
      <c r="A420" s="12"/>
      <c r="D420" s="95"/>
      <c r="E420" s="14"/>
      <c r="F420" s="96"/>
      <c r="H420" s="12"/>
      <c r="I420" s="12"/>
      <c r="J420" s="12"/>
      <c r="K420" s="12"/>
      <c r="L420" s="12"/>
      <c r="M420" s="12"/>
      <c r="N420" s="12"/>
      <c r="O420" s="12"/>
      <c r="P420" s="12"/>
    </row>
    <row r="421">
      <c r="A421" s="12"/>
      <c r="D421" s="95"/>
      <c r="E421" s="14"/>
      <c r="F421" s="96"/>
      <c r="H421" s="12"/>
      <c r="I421" s="12"/>
      <c r="J421" s="12"/>
      <c r="K421" s="12"/>
      <c r="L421" s="12"/>
      <c r="M421" s="12"/>
      <c r="N421" s="12"/>
      <c r="O421" s="12"/>
      <c r="P421" s="12"/>
    </row>
    <row r="422">
      <c r="A422" s="12"/>
      <c r="D422" s="95"/>
      <c r="E422" s="14"/>
      <c r="F422" s="96"/>
      <c r="H422" s="12"/>
      <c r="I422" s="12"/>
      <c r="J422" s="12"/>
      <c r="K422" s="12"/>
      <c r="L422" s="12"/>
      <c r="M422" s="12"/>
      <c r="N422" s="12"/>
      <c r="O422" s="12"/>
      <c r="P422" s="12"/>
    </row>
    <row r="423">
      <c r="A423" s="12"/>
      <c r="D423" s="95"/>
      <c r="E423" s="14"/>
      <c r="F423" s="96"/>
      <c r="H423" s="12"/>
      <c r="I423" s="12"/>
      <c r="J423" s="12"/>
      <c r="K423" s="12"/>
      <c r="L423" s="12"/>
      <c r="M423" s="12"/>
      <c r="N423" s="12"/>
      <c r="O423" s="12"/>
      <c r="P423" s="12"/>
    </row>
    <row r="424">
      <c r="A424" s="12"/>
      <c r="D424" s="95"/>
      <c r="E424" s="14"/>
      <c r="F424" s="96"/>
      <c r="H424" s="12"/>
      <c r="I424" s="12"/>
      <c r="J424" s="12"/>
      <c r="K424" s="12"/>
      <c r="L424" s="12"/>
      <c r="M424" s="12"/>
      <c r="N424" s="12"/>
      <c r="O424" s="12"/>
      <c r="P424" s="12"/>
    </row>
    <row r="425">
      <c r="A425" s="12"/>
      <c r="D425" s="95"/>
      <c r="E425" s="14"/>
      <c r="F425" s="96"/>
      <c r="H425" s="12"/>
      <c r="I425" s="12"/>
      <c r="J425" s="12"/>
      <c r="K425" s="12"/>
      <c r="L425" s="12"/>
      <c r="M425" s="12"/>
      <c r="N425" s="12"/>
      <c r="O425" s="12"/>
      <c r="P425" s="12"/>
    </row>
    <row r="426">
      <c r="A426" s="12"/>
      <c r="D426" s="95"/>
      <c r="E426" s="14"/>
      <c r="F426" s="96"/>
      <c r="H426" s="12"/>
      <c r="I426" s="12"/>
      <c r="J426" s="12"/>
      <c r="K426" s="12"/>
      <c r="L426" s="12"/>
      <c r="M426" s="12"/>
      <c r="N426" s="12"/>
      <c r="O426" s="12"/>
      <c r="P426" s="12"/>
    </row>
    <row r="427">
      <c r="A427" s="12"/>
      <c r="D427" s="95"/>
      <c r="E427" s="14"/>
      <c r="F427" s="96"/>
      <c r="H427" s="12"/>
      <c r="I427" s="12"/>
      <c r="J427" s="12"/>
      <c r="K427" s="12"/>
      <c r="L427" s="12"/>
      <c r="M427" s="12"/>
      <c r="N427" s="12"/>
      <c r="O427" s="12"/>
      <c r="P427" s="12"/>
    </row>
    <row r="428">
      <c r="A428" s="12"/>
      <c r="D428" s="95"/>
      <c r="E428" s="14"/>
      <c r="F428" s="96"/>
      <c r="H428" s="12"/>
      <c r="I428" s="12"/>
      <c r="J428" s="12"/>
      <c r="K428" s="12"/>
      <c r="L428" s="12"/>
      <c r="M428" s="12"/>
      <c r="N428" s="12"/>
      <c r="O428" s="12"/>
      <c r="P428" s="12"/>
    </row>
    <row r="429">
      <c r="A429" s="12"/>
      <c r="D429" s="95"/>
      <c r="E429" s="14"/>
      <c r="F429" s="96"/>
      <c r="H429" s="12"/>
      <c r="I429" s="12"/>
      <c r="J429" s="12"/>
      <c r="K429" s="12"/>
      <c r="L429" s="12"/>
      <c r="M429" s="12"/>
      <c r="N429" s="12"/>
      <c r="O429" s="12"/>
      <c r="P429" s="12"/>
    </row>
    <row r="430">
      <c r="A430" s="12"/>
      <c r="D430" s="95"/>
      <c r="E430" s="14"/>
      <c r="F430" s="96"/>
      <c r="H430" s="12"/>
      <c r="I430" s="12"/>
      <c r="J430" s="12"/>
      <c r="K430" s="12"/>
      <c r="L430" s="12"/>
      <c r="M430" s="12"/>
      <c r="N430" s="12"/>
      <c r="O430" s="12"/>
      <c r="P430" s="12"/>
    </row>
    <row r="431">
      <c r="A431" s="12"/>
      <c r="D431" s="95"/>
      <c r="E431" s="14"/>
      <c r="F431" s="96"/>
      <c r="H431" s="12"/>
      <c r="I431" s="12"/>
      <c r="J431" s="12"/>
      <c r="K431" s="12"/>
      <c r="L431" s="12"/>
      <c r="M431" s="12"/>
      <c r="N431" s="12"/>
      <c r="O431" s="12"/>
      <c r="P431" s="12"/>
    </row>
    <row r="432">
      <c r="A432" s="12"/>
      <c r="D432" s="95"/>
      <c r="E432" s="14"/>
      <c r="F432" s="96"/>
      <c r="H432" s="12"/>
      <c r="I432" s="12"/>
      <c r="J432" s="12"/>
      <c r="K432" s="12"/>
      <c r="L432" s="12"/>
      <c r="M432" s="12"/>
      <c r="N432" s="12"/>
      <c r="O432" s="12"/>
      <c r="P432" s="12"/>
    </row>
    <row r="433">
      <c r="A433" s="12"/>
      <c r="D433" s="95"/>
      <c r="E433" s="14"/>
      <c r="F433" s="96"/>
      <c r="H433" s="12"/>
      <c r="I433" s="12"/>
      <c r="J433" s="12"/>
      <c r="K433" s="12"/>
      <c r="L433" s="12"/>
      <c r="M433" s="12"/>
      <c r="N433" s="12"/>
      <c r="O433" s="12"/>
      <c r="P433" s="12"/>
    </row>
    <row r="434">
      <c r="A434" s="12"/>
      <c r="D434" s="95"/>
      <c r="E434" s="14"/>
      <c r="F434" s="96"/>
      <c r="H434" s="12"/>
      <c r="I434" s="12"/>
      <c r="J434" s="12"/>
      <c r="K434" s="12"/>
      <c r="L434" s="12"/>
      <c r="M434" s="12"/>
      <c r="N434" s="12"/>
      <c r="O434" s="12"/>
      <c r="P434" s="12"/>
    </row>
    <row r="435">
      <c r="A435" s="12"/>
      <c r="D435" s="95"/>
      <c r="E435" s="14"/>
      <c r="F435" s="96"/>
      <c r="H435" s="12"/>
      <c r="I435" s="12"/>
      <c r="J435" s="12"/>
      <c r="K435" s="12"/>
      <c r="L435" s="12"/>
      <c r="M435" s="12"/>
      <c r="N435" s="12"/>
      <c r="O435" s="12"/>
      <c r="P435" s="12"/>
    </row>
    <row r="436">
      <c r="A436" s="12"/>
      <c r="D436" s="95"/>
      <c r="E436" s="14"/>
      <c r="F436" s="96"/>
      <c r="H436" s="12"/>
      <c r="I436" s="12"/>
      <c r="J436" s="12"/>
      <c r="K436" s="12"/>
      <c r="L436" s="12"/>
      <c r="M436" s="12"/>
      <c r="N436" s="12"/>
      <c r="O436" s="12"/>
      <c r="P436" s="12"/>
    </row>
    <row r="437">
      <c r="A437" s="12"/>
      <c r="D437" s="95"/>
      <c r="E437" s="14"/>
      <c r="F437" s="96"/>
      <c r="H437" s="12"/>
      <c r="I437" s="12"/>
      <c r="J437" s="12"/>
      <c r="K437" s="12"/>
      <c r="L437" s="12"/>
      <c r="M437" s="12"/>
      <c r="N437" s="12"/>
      <c r="O437" s="12"/>
      <c r="P437" s="12"/>
    </row>
    <row r="438">
      <c r="A438" s="12"/>
      <c r="D438" s="95"/>
      <c r="E438" s="14"/>
      <c r="F438" s="96"/>
      <c r="H438" s="12"/>
      <c r="I438" s="12"/>
      <c r="J438" s="12"/>
      <c r="K438" s="12"/>
      <c r="L438" s="12"/>
      <c r="M438" s="12"/>
      <c r="N438" s="12"/>
      <c r="O438" s="12"/>
      <c r="P438" s="12"/>
    </row>
    <row r="439">
      <c r="A439" s="12"/>
      <c r="D439" s="95"/>
      <c r="E439" s="14"/>
      <c r="F439" s="96"/>
      <c r="H439" s="12"/>
      <c r="I439" s="12"/>
      <c r="J439" s="12"/>
      <c r="K439" s="12"/>
      <c r="L439" s="12"/>
      <c r="M439" s="12"/>
      <c r="N439" s="12"/>
      <c r="O439" s="12"/>
      <c r="P439" s="12"/>
    </row>
    <row r="440">
      <c r="A440" s="12"/>
      <c r="D440" s="95"/>
      <c r="E440" s="14"/>
      <c r="F440" s="96"/>
      <c r="H440" s="12"/>
      <c r="I440" s="12"/>
      <c r="J440" s="12"/>
      <c r="K440" s="12"/>
      <c r="L440" s="12"/>
      <c r="M440" s="12"/>
      <c r="N440" s="12"/>
      <c r="O440" s="12"/>
      <c r="P440" s="12"/>
    </row>
    <row r="441">
      <c r="A441" s="12"/>
      <c r="D441" s="95"/>
      <c r="E441" s="14"/>
      <c r="F441" s="96"/>
      <c r="H441" s="12"/>
      <c r="I441" s="12"/>
      <c r="J441" s="12"/>
      <c r="K441" s="12"/>
      <c r="L441" s="12"/>
      <c r="M441" s="12"/>
      <c r="N441" s="12"/>
      <c r="O441" s="12"/>
      <c r="P441" s="12"/>
    </row>
    <row r="442">
      <c r="A442" s="12"/>
      <c r="D442" s="95"/>
      <c r="E442" s="14"/>
      <c r="F442" s="96"/>
      <c r="H442" s="12"/>
      <c r="I442" s="12"/>
      <c r="J442" s="12"/>
      <c r="K442" s="12"/>
      <c r="L442" s="12"/>
      <c r="M442" s="12"/>
      <c r="N442" s="12"/>
      <c r="O442" s="12"/>
      <c r="P442" s="12"/>
    </row>
    <row r="443">
      <c r="A443" s="12"/>
      <c r="D443" s="95"/>
      <c r="E443" s="14"/>
      <c r="F443" s="96"/>
      <c r="H443" s="12"/>
      <c r="I443" s="12"/>
      <c r="J443" s="12"/>
      <c r="K443" s="12"/>
      <c r="L443" s="12"/>
      <c r="M443" s="12"/>
      <c r="N443" s="12"/>
      <c r="O443" s="12"/>
      <c r="P443" s="12"/>
    </row>
    <row r="444">
      <c r="A444" s="12"/>
      <c r="D444" s="95"/>
      <c r="E444" s="14"/>
      <c r="F444" s="96"/>
      <c r="H444" s="12"/>
      <c r="I444" s="12"/>
      <c r="J444" s="12"/>
      <c r="K444" s="12"/>
      <c r="L444" s="12"/>
      <c r="M444" s="12"/>
      <c r="N444" s="12"/>
      <c r="O444" s="12"/>
      <c r="P444" s="12"/>
    </row>
    <row r="445">
      <c r="A445" s="12"/>
      <c r="D445" s="95"/>
      <c r="E445" s="14"/>
      <c r="F445" s="96"/>
      <c r="H445" s="12"/>
      <c r="I445" s="12"/>
      <c r="J445" s="12"/>
      <c r="K445" s="12"/>
      <c r="L445" s="12"/>
      <c r="M445" s="12"/>
      <c r="N445" s="12"/>
      <c r="O445" s="12"/>
      <c r="P445" s="12"/>
    </row>
    <row r="446">
      <c r="A446" s="12"/>
      <c r="D446" s="95"/>
      <c r="E446" s="14"/>
      <c r="F446" s="96"/>
      <c r="H446" s="12"/>
      <c r="I446" s="12"/>
      <c r="J446" s="12"/>
      <c r="K446" s="12"/>
      <c r="L446" s="12"/>
      <c r="M446" s="12"/>
      <c r="N446" s="12"/>
      <c r="O446" s="12"/>
      <c r="P446" s="12"/>
    </row>
    <row r="447">
      <c r="A447" s="12"/>
      <c r="D447" s="95"/>
      <c r="E447" s="14"/>
      <c r="F447" s="96"/>
      <c r="H447" s="12"/>
      <c r="I447" s="12"/>
      <c r="J447" s="12"/>
      <c r="K447" s="12"/>
      <c r="L447" s="12"/>
      <c r="M447" s="12"/>
      <c r="N447" s="12"/>
      <c r="O447" s="12"/>
      <c r="P447" s="12"/>
    </row>
    <row r="448">
      <c r="A448" s="12"/>
      <c r="D448" s="95"/>
      <c r="E448" s="14"/>
      <c r="F448" s="96"/>
      <c r="H448" s="12"/>
      <c r="I448" s="12"/>
      <c r="J448" s="12"/>
      <c r="K448" s="12"/>
      <c r="L448" s="12"/>
      <c r="M448" s="12"/>
      <c r="N448" s="12"/>
      <c r="O448" s="12"/>
      <c r="P448" s="12"/>
    </row>
    <row r="449">
      <c r="A449" s="12"/>
      <c r="D449" s="95"/>
      <c r="E449" s="14"/>
      <c r="F449" s="96"/>
      <c r="H449" s="12"/>
      <c r="I449" s="12"/>
      <c r="J449" s="12"/>
      <c r="K449" s="12"/>
      <c r="L449" s="12"/>
      <c r="M449" s="12"/>
      <c r="N449" s="12"/>
      <c r="O449" s="12"/>
      <c r="P449" s="12"/>
    </row>
    <row r="450">
      <c r="A450" s="12"/>
      <c r="D450" s="95"/>
      <c r="E450" s="14"/>
      <c r="F450" s="96"/>
      <c r="H450" s="12"/>
      <c r="I450" s="12"/>
      <c r="J450" s="12"/>
      <c r="K450" s="12"/>
      <c r="L450" s="12"/>
      <c r="M450" s="12"/>
      <c r="N450" s="12"/>
      <c r="O450" s="12"/>
      <c r="P450" s="12"/>
    </row>
    <row r="451">
      <c r="A451" s="12"/>
      <c r="D451" s="95"/>
      <c r="E451" s="14"/>
      <c r="F451" s="96"/>
      <c r="H451" s="12"/>
      <c r="I451" s="12"/>
      <c r="J451" s="12"/>
      <c r="K451" s="12"/>
      <c r="L451" s="12"/>
      <c r="M451" s="12"/>
      <c r="N451" s="12"/>
      <c r="O451" s="12"/>
      <c r="P451" s="12"/>
    </row>
    <row r="452">
      <c r="A452" s="12"/>
      <c r="D452" s="95"/>
      <c r="E452" s="14"/>
      <c r="F452" s="96"/>
      <c r="H452" s="12"/>
      <c r="I452" s="12"/>
      <c r="J452" s="12"/>
      <c r="K452" s="12"/>
      <c r="L452" s="12"/>
      <c r="M452" s="12"/>
      <c r="N452" s="12"/>
      <c r="O452" s="12"/>
      <c r="P452" s="12"/>
    </row>
    <row r="453">
      <c r="A453" s="12"/>
      <c r="D453" s="95"/>
      <c r="E453" s="14"/>
      <c r="F453" s="96"/>
      <c r="H453" s="12"/>
      <c r="I453" s="12"/>
      <c r="J453" s="12"/>
      <c r="K453" s="12"/>
      <c r="L453" s="12"/>
      <c r="M453" s="12"/>
      <c r="N453" s="12"/>
      <c r="O453" s="12"/>
      <c r="P453" s="12"/>
    </row>
    <row r="454">
      <c r="A454" s="12"/>
      <c r="D454" s="95"/>
      <c r="E454" s="14"/>
      <c r="F454" s="96"/>
      <c r="H454" s="12"/>
      <c r="I454" s="12"/>
      <c r="J454" s="12"/>
      <c r="K454" s="12"/>
      <c r="L454" s="12"/>
      <c r="M454" s="12"/>
      <c r="N454" s="12"/>
      <c r="O454" s="12"/>
      <c r="P454" s="12"/>
    </row>
    <row r="455">
      <c r="A455" s="12"/>
      <c r="D455" s="95"/>
      <c r="E455" s="14"/>
      <c r="F455" s="96"/>
      <c r="H455" s="12"/>
      <c r="I455" s="12"/>
      <c r="J455" s="12"/>
      <c r="K455" s="12"/>
      <c r="L455" s="12"/>
      <c r="M455" s="12"/>
      <c r="N455" s="12"/>
      <c r="O455" s="12"/>
      <c r="P455" s="12"/>
    </row>
    <row r="456">
      <c r="A456" s="12"/>
      <c r="D456" s="95"/>
      <c r="E456" s="14"/>
      <c r="F456" s="96"/>
      <c r="H456" s="12"/>
      <c r="I456" s="12"/>
      <c r="J456" s="12"/>
      <c r="K456" s="12"/>
      <c r="L456" s="12"/>
      <c r="M456" s="12"/>
      <c r="N456" s="12"/>
      <c r="O456" s="12"/>
      <c r="P456" s="12"/>
    </row>
    <row r="457">
      <c r="A457" s="12"/>
      <c r="D457" s="95"/>
      <c r="E457" s="14"/>
      <c r="F457" s="96"/>
      <c r="H457" s="12"/>
      <c r="I457" s="12"/>
      <c r="J457" s="12"/>
      <c r="K457" s="12"/>
      <c r="L457" s="12"/>
      <c r="M457" s="12"/>
      <c r="N457" s="12"/>
      <c r="O457" s="12"/>
      <c r="P457" s="12"/>
    </row>
    <row r="458">
      <c r="A458" s="12"/>
      <c r="D458" s="95"/>
      <c r="E458" s="14"/>
      <c r="F458" s="96"/>
      <c r="H458" s="12"/>
      <c r="I458" s="12"/>
      <c r="J458" s="12"/>
      <c r="K458" s="12"/>
      <c r="L458" s="12"/>
      <c r="M458" s="12"/>
      <c r="N458" s="12"/>
      <c r="O458" s="12"/>
      <c r="P458" s="12"/>
    </row>
    <row r="459">
      <c r="A459" s="12"/>
      <c r="D459" s="95"/>
      <c r="E459" s="14"/>
      <c r="F459" s="96"/>
      <c r="H459" s="12"/>
      <c r="I459" s="12"/>
      <c r="J459" s="12"/>
      <c r="K459" s="12"/>
      <c r="L459" s="12"/>
      <c r="M459" s="12"/>
      <c r="N459" s="12"/>
      <c r="O459" s="12"/>
      <c r="P459" s="12"/>
    </row>
    <row r="460">
      <c r="A460" s="12"/>
      <c r="D460" s="95"/>
      <c r="E460" s="14"/>
      <c r="F460" s="96"/>
      <c r="H460" s="12"/>
      <c r="I460" s="12"/>
      <c r="J460" s="12"/>
      <c r="K460" s="12"/>
      <c r="L460" s="12"/>
      <c r="M460" s="12"/>
      <c r="N460" s="12"/>
      <c r="O460" s="12"/>
      <c r="P460" s="12"/>
    </row>
    <row r="461">
      <c r="A461" s="12"/>
      <c r="D461" s="95"/>
      <c r="E461" s="14"/>
      <c r="F461" s="96"/>
      <c r="H461" s="12"/>
      <c r="I461" s="12"/>
      <c r="J461" s="12"/>
      <c r="K461" s="12"/>
      <c r="L461" s="12"/>
      <c r="M461" s="12"/>
      <c r="N461" s="12"/>
      <c r="O461" s="12"/>
      <c r="P461" s="12"/>
    </row>
    <row r="462">
      <c r="A462" s="12"/>
      <c r="D462" s="95"/>
      <c r="E462" s="14"/>
      <c r="F462" s="96"/>
      <c r="H462" s="12"/>
      <c r="I462" s="12"/>
      <c r="J462" s="12"/>
      <c r="K462" s="12"/>
      <c r="L462" s="12"/>
      <c r="M462" s="12"/>
      <c r="N462" s="12"/>
      <c r="O462" s="12"/>
      <c r="P462" s="12"/>
    </row>
    <row r="463">
      <c r="A463" s="12"/>
      <c r="D463" s="95"/>
      <c r="E463" s="14"/>
      <c r="F463" s="96"/>
      <c r="H463" s="12"/>
      <c r="I463" s="12"/>
      <c r="J463" s="12"/>
      <c r="K463" s="12"/>
      <c r="L463" s="12"/>
      <c r="M463" s="12"/>
      <c r="N463" s="12"/>
      <c r="O463" s="12"/>
      <c r="P463" s="12"/>
    </row>
    <row r="464">
      <c r="A464" s="12"/>
      <c r="D464" s="95"/>
      <c r="E464" s="14"/>
      <c r="F464" s="96"/>
      <c r="H464" s="12"/>
      <c r="I464" s="12"/>
      <c r="J464" s="12"/>
      <c r="K464" s="12"/>
      <c r="L464" s="12"/>
      <c r="M464" s="12"/>
      <c r="N464" s="12"/>
      <c r="O464" s="12"/>
      <c r="P464" s="12"/>
    </row>
    <row r="465">
      <c r="A465" s="12"/>
      <c r="D465" s="95"/>
      <c r="E465" s="14"/>
      <c r="F465" s="96"/>
      <c r="H465" s="12"/>
      <c r="I465" s="12"/>
      <c r="J465" s="12"/>
      <c r="K465" s="12"/>
      <c r="L465" s="12"/>
      <c r="M465" s="12"/>
      <c r="N465" s="12"/>
      <c r="O465" s="12"/>
      <c r="P465" s="12"/>
    </row>
    <row r="466">
      <c r="A466" s="12"/>
      <c r="D466" s="95"/>
      <c r="E466" s="14"/>
      <c r="F466" s="96"/>
      <c r="H466" s="12"/>
      <c r="I466" s="12"/>
      <c r="J466" s="12"/>
      <c r="K466" s="12"/>
      <c r="L466" s="12"/>
      <c r="M466" s="12"/>
      <c r="N466" s="12"/>
      <c r="O466" s="12"/>
      <c r="P466" s="12"/>
    </row>
    <row r="467">
      <c r="A467" s="12"/>
      <c r="D467" s="95"/>
      <c r="E467" s="14"/>
      <c r="F467" s="96"/>
      <c r="H467" s="12"/>
      <c r="I467" s="12"/>
      <c r="J467" s="12"/>
      <c r="K467" s="12"/>
      <c r="L467" s="12"/>
      <c r="M467" s="12"/>
      <c r="N467" s="12"/>
      <c r="O467" s="12"/>
      <c r="P467" s="12"/>
    </row>
    <row r="468">
      <c r="A468" s="12"/>
      <c r="D468" s="95"/>
      <c r="E468" s="14"/>
      <c r="F468" s="96"/>
      <c r="H468" s="12"/>
      <c r="I468" s="12"/>
      <c r="J468" s="12"/>
      <c r="K468" s="12"/>
      <c r="L468" s="12"/>
      <c r="M468" s="12"/>
      <c r="N468" s="12"/>
      <c r="O468" s="12"/>
      <c r="P468" s="12"/>
    </row>
    <row r="469">
      <c r="A469" s="12"/>
      <c r="D469" s="95"/>
      <c r="E469" s="14"/>
      <c r="F469" s="96"/>
      <c r="H469" s="12"/>
      <c r="I469" s="12"/>
      <c r="J469" s="12"/>
      <c r="K469" s="12"/>
      <c r="L469" s="12"/>
      <c r="M469" s="12"/>
      <c r="N469" s="12"/>
      <c r="O469" s="12"/>
      <c r="P469" s="12"/>
    </row>
    <row r="470">
      <c r="A470" s="12"/>
      <c r="D470" s="95"/>
      <c r="E470" s="14"/>
      <c r="F470" s="96"/>
      <c r="H470" s="12"/>
      <c r="I470" s="12"/>
      <c r="J470" s="12"/>
      <c r="K470" s="12"/>
      <c r="L470" s="12"/>
      <c r="M470" s="12"/>
      <c r="N470" s="12"/>
      <c r="O470" s="12"/>
      <c r="P470" s="12"/>
    </row>
    <row r="471">
      <c r="A471" s="12"/>
      <c r="D471" s="95"/>
      <c r="E471" s="14"/>
      <c r="F471" s="96"/>
      <c r="H471" s="12"/>
      <c r="I471" s="12"/>
      <c r="J471" s="12"/>
      <c r="K471" s="12"/>
      <c r="L471" s="12"/>
      <c r="M471" s="12"/>
      <c r="N471" s="12"/>
      <c r="O471" s="12"/>
      <c r="P471" s="12"/>
    </row>
    <row r="472">
      <c r="A472" s="12"/>
      <c r="D472" s="95"/>
      <c r="E472" s="14"/>
      <c r="F472" s="96"/>
      <c r="H472" s="12"/>
      <c r="I472" s="12"/>
      <c r="J472" s="12"/>
      <c r="K472" s="12"/>
      <c r="L472" s="12"/>
      <c r="M472" s="12"/>
      <c r="N472" s="12"/>
      <c r="O472" s="12"/>
      <c r="P472" s="12"/>
    </row>
    <row r="473">
      <c r="A473" s="12"/>
      <c r="D473" s="95"/>
      <c r="E473" s="14"/>
      <c r="F473" s="96"/>
      <c r="H473" s="12"/>
      <c r="I473" s="12"/>
      <c r="J473" s="12"/>
      <c r="K473" s="12"/>
      <c r="L473" s="12"/>
      <c r="M473" s="12"/>
      <c r="N473" s="12"/>
      <c r="O473" s="12"/>
      <c r="P473" s="12"/>
    </row>
    <row r="474">
      <c r="A474" s="12"/>
      <c r="D474" s="95"/>
      <c r="E474" s="14"/>
      <c r="F474" s="96"/>
      <c r="H474" s="12"/>
      <c r="I474" s="12"/>
      <c r="J474" s="12"/>
      <c r="K474" s="12"/>
      <c r="L474" s="12"/>
      <c r="M474" s="12"/>
      <c r="N474" s="12"/>
      <c r="O474" s="12"/>
      <c r="P474" s="12"/>
    </row>
    <row r="475">
      <c r="A475" s="12"/>
      <c r="D475" s="95"/>
      <c r="E475" s="14"/>
      <c r="F475" s="96"/>
      <c r="H475" s="12"/>
      <c r="I475" s="12"/>
      <c r="J475" s="12"/>
      <c r="K475" s="12"/>
      <c r="L475" s="12"/>
      <c r="M475" s="12"/>
      <c r="N475" s="12"/>
      <c r="O475" s="12"/>
      <c r="P475" s="12"/>
    </row>
    <row r="476">
      <c r="A476" s="12"/>
      <c r="D476" s="95"/>
      <c r="E476" s="14"/>
      <c r="F476" s="96"/>
      <c r="H476" s="12"/>
      <c r="I476" s="12"/>
      <c r="J476" s="12"/>
      <c r="K476" s="12"/>
      <c r="L476" s="12"/>
      <c r="M476" s="12"/>
      <c r="N476" s="12"/>
      <c r="O476" s="12"/>
      <c r="P476" s="12"/>
    </row>
    <row r="477">
      <c r="A477" s="12"/>
      <c r="D477" s="95"/>
      <c r="E477" s="14"/>
      <c r="F477" s="96"/>
      <c r="H477" s="12"/>
      <c r="I477" s="12"/>
      <c r="J477" s="12"/>
      <c r="K477" s="12"/>
      <c r="L477" s="12"/>
      <c r="M477" s="12"/>
      <c r="N477" s="12"/>
      <c r="O477" s="12"/>
      <c r="P477" s="12"/>
    </row>
    <row r="478">
      <c r="A478" s="12"/>
      <c r="D478" s="95"/>
      <c r="E478" s="14"/>
      <c r="F478" s="96"/>
      <c r="H478" s="12"/>
      <c r="I478" s="12"/>
      <c r="J478" s="12"/>
      <c r="K478" s="12"/>
      <c r="L478" s="12"/>
      <c r="M478" s="12"/>
      <c r="N478" s="12"/>
      <c r="O478" s="12"/>
      <c r="P478" s="12"/>
    </row>
    <row r="479">
      <c r="A479" s="12"/>
      <c r="D479" s="95"/>
      <c r="E479" s="14"/>
      <c r="F479" s="96"/>
      <c r="H479" s="12"/>
      <c r="I479" s="12"/>
      <c r="J479" s="12"/>
      <c r="K479" s="12"/>
      <c r="L479" s="12"/>
      <c r="M479" s="12"/>
      <c r="N479" s="12"/>
      <c r="O479" s="12"/>
      <c r="P479" s="12"/>
    </row>
    <row r="480">
      <c r="A480" s="12"/>
      <c r="D480" s="95"/>
      <c r="E480" s="14"/>
      <c r="F480" s="96"/>
      <c r="H480" s="12"/>
      <c r="I480" s="12"/>
      <c r="J480" s="12"/>
      <c r="K480" s="12"/>
      <c r="L480" s="12"/>
      <c r="M480" s="12"/>
      <c r="N480" s="12"/>
      <c r="O480" s="12"/>
      <c r="P480" s="12"/>
    </row>
    <row r="481">
      <c r="A481" s="12"/>
      <c r="D481" s="95"/>
      <c r="E481" s="14"/>
      <c r="F481" s="96"/>
      <c r="H481" s="12"/>
      <c r="I481" s="12"/>
      <c r="J481" s="12"/>
      <c r="K481" s="12"/>
      <c r="L481" s="12"/>
      <c r="M481" s="12"/>
      <c r="N481" s="12"/>
      <c r="O481" s="12"/>
      <c r="P481" s="12"/>
    </row>
    <row r="482">
      <c r="A482" s="12"/>
      <c r="D482" s="95"/>
      <c r="E482" s="14"/>
      <c r="F482" s="96"/>
      <c r="H482" s="12"/>
      <c r="I482" s="12"/>
      <c r="J482" s="12"/>
      <c r="K482" s="12"/>
      <c r="L482" s="12"/>
      <c r="M482" s="12"/>
      <c r="N482" s="12"/>
      <c r="O482" s="12"/>
      <c r="P482" s="12"/>
    </row>
    <row r="483">
      <c r="A483" s="12"/>
      <c r="D483" s="95"/>
      <c r="E483" s="14"/>
      <c r="F483" s="96"/>
      <c r="H483" s="12"/>
      <c r="I483" s="12"/>
      <c r="J483" s="12"/>
      <c r="K483" s="12"/>
      <c r="L483" s="12"/>
      <c r="M483" s="12"/>
      <c r="N483" s="12"/>
      <c r="O483" s="12"/>
      <c r="P483" s="12"/>
    </row>
    <row r="484">
      <c r="A484" s="12"/>
      <c r="D484" s="95"/>
      <c r="E484" s="14"/>
      <c r="F484" s="96"/>
      <c r="H484" s="12"/>
      <c r="I484" s="12"/>
      <c r="J484" s="12"/>
      <c r="K484" s="12"/>
      <c r="L484" s="12"/>
      <c r="M484" s="12"/>
      <c r="N484" s="12"/>
      <c r="O484" s="12"/>
      <c r="P484" s="12"/>
    </row>
    <row r="485">
      <c r="A485" s="12"/>
      <c r="D485" s="95"/>
      <c r="E485" s="14"/>
      <c r="F485" s="96"/>
      <c r="H485" s="12"/>
      <c r="I485" s="12"/>
      <c r="J485" s="12"/>
      <c r="K485" s="12"/>
      <c r="L485" s="12"/>
      <c r="M485" s="12"/>
      <c r="N485" s="12"/>
      <c r="O485" s="12"/>
      <c r="P485" s="12"/>
    </row>
    <row r="486">
      <c r="A486" s="12"/>
      <c r="D486" s="95"/>
      <c r="E486" s="14"/>
      <c r="F486" s="96"/>
      <c r="H486" s="12"/>
      <c r="I486" s="12"/>
      <c r="J486" s="12"/>
      <c r="K486" s="12"/>
      <c r="L486" s="12"/>
      <c r="M486" s="12"/>
      <c r="N486" s="12"/>
      <c r="O486" s="12"/>
      <c r="P486" s="12"/>
    </row>
    <row r="487">
      <c r="A487" s="12"/>
      <c r="D487" s="95"/>
      <c r="E487" s="14"/>
      <c r="F487" s="96"/>
      <c r="H487" s="12"/>
      <c r="I487" s="12"/>
      <c r="J487" s="12"/>
      <c r="K487" s="12"/>
      <c r="L487" s="12"/>
      <c r="M487" s="12"/>
      <c r="N487" s="12"/>
      <c r="O487" s="12"/>
      <c r="P487" s="12"/>
    </row>
    <row r="488">
      <c r="A488" s="12"/>
      <c r="D488" s="95"/>
      <c r="E488" s="14"/>
      <c r="F488" s="96"/>
      <c r="H488" s="12"/>
      <c r="I488" s="12"/>
      <c r="J488" s="12"/>
      <c r="K488" s="12"/>
      <c r="L488" s="12"/>
      <c r="M488" s="12"/>
      <c r="N488" s="12"/>
      <c r="O488" s="12"/>
      <c r="P488" s="12"/>
    </row>
    <row r="489">
      <c r="A489" s="12"/>
      <c r="D489" s="95"/>
      <c r="E489" s="14"/>
      <c r="F489" s="96"/>
      <c r="H489" s="12"/>
      <c r="I489" s="12"/>
      <c r="J489" s="12"/>
      <c r="K489" s="12"/>
      <c r="L489" s="12"/>
      <c r="M489" s="12"/>
      <c r="N489" s="12"/>
      <c r="O489" s="12"/>
      <c r="P489" s="12"/>
    </row>
    <row r="490">
      <c r="A490" s="12"/>
      <c r="D490" s="95"/>
      <c r="E490" s="14"/>
      <c r="F490" s="96"/>
      <c r="H490" s="12"/>
      <c r="I490" s="12"/>
      <c r="J490" s="12"/>
      <c r="K490" s="12"/>
      <c r="L490" s="12"/>
      <c r="M490" s="12"/>
      <c r="N490" s="12"/>
      <c r="O490" s="12"/>
      <c r="P490" s="12"/>
    </row>
    <row r="491">
      <c r="A491" s="12"/>
      <c r="D491" s="95"/>
      <c r="E491" s="14"/>
      <c r="F491" s="96"/>
      <c r="H491" s="12"/>
      <c r="I491" s="12"/>
      <c r="J491" s="12"/>
      <c r="K491" s="12"/>
      <c r="L491" s="12"/>
      <c r="M491" s="12"/>
      <c r="N491" s="12"/>
      <c r="O491" s="12"/>
      <c r="P491" s="12"/>
    </row>
    <row r="492">
      <c r="A492" s="12"/>
      <c r="D492" s="95"/>
      <c r="E492" s="14"/>
      <c r="F492" s="96"/>
      <c r="H492" s="12"/>
      <c r="I492" s="12"/>
      <c r="J492" s="12"/>
      <c r="K492" s="12"/>
      <c r="L492" s="12"/>
      <c r="M492" s="12"/>
      <c r="N492" s="12"/>
      <c r="O492" s="12"/>
      <c r="P492" s="12"/>
    </row>
    <row r="493">
      <c r="A493" s="12"/>
      <c r="D493" s="95"/>
      <c r="E493" s="14"/>
      <c r="F493" s="96"/>
      <c r="H493" s="12"/>
      <c r="I493" s="12"/>
      <c r="J493" s="12"/>
      <c r="K493" s="12"/>
      <c r="L493" s="12"/>
      <c r="M493" s="12"/>
      <c r="N493" s="12"/>
      <c r="O493" s="12"/>
      <c r="P493" s="12"/>
    </row>
    <row r="494">
      <c r="A494" s="12"/>
      <c r="D494" s="95"/>
      <c r="E494" s="14"/>
      <c r="F494" s="96"/>
      <c r="H494" s="12"/>
      <c r="I494" s="12"/>
      <c r="J494" s="12"/>
      <c r="K494" s="12"/>
      <c r="L494" s="12"/>
      <c r="M494" s="12"/>
      <c r="N494" s="12"/>
      <c r="O494" s="12"/>
      <c r="P494" s="12"/>
    </row>
    <row r="495">
      <c r="A495" s="12"/>
      <c r="D495" s="95"/>
      <c r="E495" s="14"/>
      <c r="F495" s="96"/>
      <c r="H495" s="12"/>
      <c r="I495" s="12"/>
      <c r="J495" s="12"/>
      <c r="K495" s="12"/>
      <c r="L495" s="12"/>
      <c r="M495" s="12"/>
      <c r="N495" s="12"/>
      <c r="O495" s="12"/>
      <c r="P495" s="12"/>
    </row>
    <row r="496">
      <c r="A496" s="12"/>
      <c r="D496" s="95"/>
      <c r="E496" s="14"/>
      <c r="F496" s="96"/>
      <c r="H496" s="12"/>
      <c r="I496" s="12"/>
      <c r="J496" s="12"/>
      <c r="K496" s="12"/>
      <c r="L496" s="12"/>
      <c r="M496" s="12"/>
      <c r="N496" s="12"/>
      <c r="O496" s="12"/>
      <c r="P496" s="12"/>
    </row>
    <row r="497">
      <c r="A497" s="12"/>
      <c r="D497" s="95"/>
      <c r="E497" s="14"/>
      <c r="F497" s="96"/>
      <c r="H497" s="12"/>
      <c r="I497" s="12"/>
      <c r="J497" s="12"/>
      <c r="K497" s="12"/>
      <c r="L497" s="12"/>
      <c r="M497" s="12"/>
      <c r="N497" s="12"/>
      <c r="O497" s="12"/>
      <c r="P497" s="12"/>
    </row>
    <row r="498">
      <c r="A498" s="12"/>
      <c r="D498" s="95"/>
      <c r="E498" s="14"/>
      <c r="F498" s="96"/>
      <c r="H498" s="12"/>
      <c r="I498" s="12"/>
      <c r="J498" s="12"/>
      <c r="K498" s="12"/>
      <c r="L498" s="12"/>
      <c r="M498" s="12"/>
      <c r="N498" s="12"/>
      <c r="O498" s="12"/>
      <c r="P498" s="12"/>
    </row>
    <row r="499">
      <c r="A499" s="12"/>
      <c r="D499" s="95"/>
      <c r="E499" s="14"/>
      <c r="F499" s="96"/>
      <c r="H499" s="12"/>
      <c r="I499" s="12"/>
      <c r="J499" s="12"/>
      <c r="K499" s="12"/>
      <c r="L499" s="12"/>
      <c r="M499" s="12"/>
      <c r="N499" s="12"/>
      <c r="O499" s="12"/>
      <c r="P499" s="12"/>
    </row>
    <row r="500">
      <c r="A500" s="12"/>
      <c r="D500" s="95"/>
      <c r="E500" s="14"/>
      <c r="F500" s="96"/>
      <c r="H500" s="12"/>
      <c r="I500" s="12"/>
      <c r="J500" s="12"/>
      <c r="K500" s="12"/>
      <c r="L500" s="12"/>
      <c r="M500" s="12"/>
      <c r="N500" s="12"/>
      <c r="O500" s="12"/>
      <c r="P500" s="12"/>
    </row>
    <row r="501">
      <c r="A501" s="12"/>
      <c r="D501" s="95"/>
      <c r="E501" s="14"/>
      <c r="F501" s="96"/>
      <c r="H501" s="12"/>
      <c r="I501" s="12"/>
      <c r="J501" s="12"/>
      <c r="K501" s="12"/>
      <c r="L501" s="12"/>
      <c r="M501" s="12"/>
      <c r="N501" s="12"/>
      <c r="O501" s="12"/>
      <c r="P501" s="12"/>
    </row>
    <row r="502">
      <c r="A502" s="12"/>
      <c r="D502" s="95"/>
      <c r="E502" s="14"/>
      <c r="F502" s="96"/>
      <c r="H502" s="12"/>
      <c r="I502" s="12"/>
      <c r="J502" s="12"/>
      <c r="K502" s="12"/>
      <c r="L502" s="12"/>
      <c r="M502" s="12"/>
      <c r="N502" s="12"/>
      <c r="O502" s="12"/>
      <c r="P502" s="12"/>
    </row>
    <row r="503">
      <c r="A503" s="12"/>
      <c r="D503" s="95"/>
      <c r="E503" s="14"/>
      <c r="F503" s="96"/>
      <c r="H503" s="12"/>
      <c r="I503" s="12"/>
      <c r="J503" s="12"/>
      <c r="K503" s="12"/>
      <c r="L503" s="12"/>
      <c r="M503" s="12"/>
      <c r="N503" s="12"/>
      <c r="O503" s="12"/>
      <c r="P503" s="12"/>
    </row>
    <row r="504">
      <c r="A504" s="12"/>
      <c r="D504" s="95"/>
      <c r="E504" s="14"/>
      <c r="F504" s="96"/>
      <c r="H504" s="12"/>
      <c r="I504" s="12"/>
      <c r="J504" s="12"/>
      <c r="K504" s="12"/>
      <c r="L504" s="12"/>
      <c r="M504" s="12"/>
      <c r="N504" s="12"/>
      <c r="O504" s="12"/>
      <c r="P504" s="12"/>
    </row>
    <row r="505">
      <c r="A505" s="12"/>
      <c r="D505" s="95"/>
      <c r="E505" s="14"/>
      <c r="F505" s="96"/>
      <c r="H505" s="12"/>
      <c r="I505" s="12"/>
      <c r="J505" s="12"/>
      <c r="K505" s="12"/>
      <c r="L505" s="12"/>
      <c r="M505" s="12"/>
      <c r="N505" s="12"/>
      <c r="O505" s="12"/>
      <c r="P505" s="12"/>
    </row>
    <row r="506">
      <c r="A506" s="12"/>
      <c r="D506" s="95"/>
      <c r="E506" s="14"/>
      <c r="F506" s="96"/>
      <c r="H506" s="12"/>
      <c r="I506" s="12"/>
      <c r="J506" s="12"/>
      <c r="K506" s="12"/>
      <c r="L506" s="12"/>
      <c r="M506" s="12"/>
      <c r="N506" s="12"/>
      <c r="O506" s="12"/>
      <c r="P506" s="12"/>
    </row>
    <row r="507">
      <c r="A507" s="12"/>
      <c r="D507" s="95"/>
      <c r="E507" s="14"/>
      <c r="F507" s="96"/>
      <c r="H507" s="12"/>
      <c r="I507" s="12"/>
      <c r="J507" s="12"/>
      <c r="K507" s="12"/>
      <c r="L507" s="12"/>
      <c r="M507" s="12"/>
      <c r="N507" s="12"/>
      <c r="O507" s="12"/>
      <c r="P507" s="12"/>
    </row>
    <row r="508">
      <c r="A508" s="12"/>
      <c r="D508" s="95"/>
      <c r="E508" s="14"/>
      <c r="F508" s="96"/>
      <c r="H508" s="12"/>
      <c r="I508" s="12"/>
      <c r="J508" s="12"/>
      <c r="K508" s="12"/>
      <c r="L508" s="12"/>
      <c r="M508" s="12"/>
      <c r="N508" s="12"/>
      <c r="O508" s="12"/>
      <c r="P508" s="12"/>
    </row>
    <row r="509">
      <c r="A509" s="12"/>
      <c r="D509" s="95"/>
      <c r="E509" s="14"/>
      <c r="F509" s="96"/>
      <c r="H509" s="12"/>
      <c r="I509" s="12"/>
      <c r="J509" s="12"/>
      <c r="K509" s="12"/>
      <c r="L509" s="12"/>
      <c r="M509" s="12"/>
      <c r="N509" s="12"/>
      <c r="O509" s="12"/>
      <c r="P509" s="12"/>
    </row>
    <row r="510">
      <c r="A510" s="12"/>
      <c r="D510" s="95"/>
      <c r="E510" s="14"/>
      <c r="F510" s="96"/>
      <c r="H510" s="12"/>
      <c r="I510" s="12"/>
      <c r="J510" s="12"/>
      <c r="K510" s="12"/>
      <c r="L510" s="12"/>
      <c r="M510" s="12"/>
      <c r="N510" s="12"/>
      <c r="O510" s="12"/>
      <c r="P510" s="12"/>
    </row>
    <row r="511">
      <c r="A511" s="12"/>
      <c r="D511" s="95"/>
      <c r="E511" s="14"/>
      <c r="F511" s="96"/>
      <c r="H511" s="12"/>
      <c r="I511" s="12"/>
      <c r="J511" s="12"/>
      <c r="K511" s="12"/>
      <c r="L511" s="12"/>
      <c r="M511" s="12"/>
      <c r="N511" s="12"/>
      <c r="O511" s="12"/>
      <c r="P511" s="12"/>
    </row>
    <row r="512">
      <c r="A512" s="12"/>
      <c r="D512" s="95"/>
      <c r="E512" s="14"/>
      <c r="F512" s="96"/>
      <c r="H512" s="12"/>
      <c r="I512" s="12"/>
      <c r="J512" s="12"/>
      <c r="K512" s="12"/>
      <c r="L512" s="12"/>
      <c r="M512" s="12"/>
      <c r="N512" s="12"/>
      <c r="O512" s="12"/>
      <c r="P512" s="12"/>
    </row>
    <row r="513">
      <c r="A513" s="12"/>
      <c r="D513" s="95"/>
      <c r="E513" s="14"/>
      <c r="F513" s="96"/>
      <c r="H513" s="12"/>
      <c r="I513" s="12"/>
      <c r="J513" s="12"/>
      <c r="K513" s="12"/>
      <c r="L513" s="12"/>
      <c r="M513" s="12"/>
      <c r="N513" s="12"/>
      <c r="O513" s="12"/>
      <c r="P513" s="12"/>
    </row>
    <row r="514">
      <c r="A514" s="12"/>
      <c r="D514" s="95"/>
      <c r="E514" s="14"/>
      <c r="F514" s="96"/>
      <c r="H514" s="12"/>
      <c r="I514" s="12"/>
      <c r="J514" s="12"/>
      <c r="K514" s="12"/>
      <c r="L514" s="12"/>
      <c r="M514" s="12"/>
      <c r="N514" s="12"/>
      <c r="O514" s="12"/>
      <c r="P514" s="12"/>
    </row>
    <row r="515">
      <c r="A515" s="12"/>
      <c r="D515" s="95"/>
      <c r="E515" s="14"/>
      <c r="F515" s="96"/>
      <c r="H515" s="12"/>
      <c r="I515" s="12"/>
      <c r="J515" s="12"/>
      <c r="K515" s="12"/>
      <c r="L515" s="12"/>
      <c r="M515" s="12"/>
      <c r="N515" s="12"/>
      <c r="O515" s="12"/>
      <c r="P515" s="12"/>
    </row>
    <row r="516">
      <c r="A516" s="12"/>
      <c r="D516" s="95"/>
      <c r="E516" s="14"/>
      <c r="F516" s="96"/>
      <c r="H516" s="12"/>
      <c r="I516" s="12"/>
      <c r="J516" s="12"/>
      <c r="K516" s="12"/>
      <c r="L516" s="12"/>
      <c r="M516" s="12"/>
      <c r="N516" s="12"/>
      <c r="O516" s="12"/>
      <c r="P516" s="12"/>
    </row>
    <row r="517">
      <c r="A517" s="12"/>
      <c r="D517" s="95"/>
      <c r="E517" s="14"/>
      <c r="F517" s="96"/>
      <c r="H517" s="12"/>
      <c r="I517" s="12"/>
      <c r="J517" s="12"/>
      <c r="K517" s="12"/>
      <c r="L517" s="12"/>
      <c r="M517" s="12"/>
      <c r="N517" s="12"/>
      <c r="O517" s="12"/>
      <c r="P517" s="12"/>
    </row>
    <row r="518">
      <c r="A518" s="12"/>
      <c r="D518" s="95"/>
      <c r="E518" s="14"/>
      <c r="F518" s="96"/>
      <c r="H518" s="12"/>
      <c r="I518" s="12"/>
      <c r="J518" s="12"/>
      <c r="K518" s="12"/>
      <c r="L518" s="12"/>
      <c r="M518" s="12"/>
      <c r="N518" s="12"/>
      <c r="O518" s="12"/>
      <c r="P518" s="12"/>
    </row>
    <row r="519">
      <c r="A519" s="12"/>
      <c r="D519" s="95"/>
      <c r="E519" s="14"/>
      <c r="F519" s="96"/>
      <c r="H519" s="12"/>
      <c r="I519" s="12"/>
      <c r="J519" s="12"/>
      <c r="K519" s="12"/>
      <c r="L519" s="12"/>
      <c r="M519" s="12"/>
      <c r="N519" s="12"/>
      <c r="O519" s="12"/>
      <c r="P519" s="12"/>
    </row>
    <row r="520">
      <c r="A520" s="12"/>
      <c r="D520" s="95"/>
      <c r="E520" s="14"/>
      <c r="F520" s="96"/>
      <c r="H520" s="12"/>
      <c r="I520" s="12"/>
      <c r="J520" s="12"/>
      <c r="K520" s="12"/>
      <c r="L520" s="12"/>
      <c r="M520" s="12"/>
      <c r="N520" s="12"/>
      <c r="O520" s="12"/>
      <c r="P520" s="12"/>
    </row>
    <row r="521">
      <c r="A521" s="12"/>
      <c r="D521" s="95"/>
      <c r="E521" s="14"/>
      <c r="F521" s="96"/>
      <c r="H521" s="12"/>
      <c r="I521" s="12"/>
      <c r="J521" s="12"/>
      <c r="K521" s="12"/>
      <c r="L521" s="12"/>
      <c r="M521" s="12"/>
      <c r="N521" s="12"/>
      <c r="O521" s="12"/>
      <c r="P521" s="12"/>
    </row>
    <row r="522">
      <c r="A522" s="12"/>
      <c r="D522" s="95"/>
      <c r="E522" s="14"/>
      <c r="F522" s="96"/>
      <c r="H522" s="12"/>
      <c r="I522" s="12"/>
      <c r="J522" s="12"/>
      <c r="K522" s="12"/>
      <c r="L522" s="12"/>
      <c r="M522" s="12"/>
      <c r="N522" s="12"/>
      <c r="O522" s="12"/>
      <c r="P522" s="12"/>
    </row>
    <row r="523">
      <c r="A523" s="12"/>
      <c r="D523" s="95"/>
      <c r="E523" s="14"/>
      <c r="F523" s="96"/>
      <c r="H523" s="12"/>
      <c r="I523" s="12"/>
      <c r="J523" s="12"/>
      <c r="K523" s="12"/>
      <c r="L523" s="12"/>
      <c r="M523" s="12"/>
      <c r="N523" s="12"/>
      <c r="O523" s="12"/>
      <c r="P523" s="12"/>
    </row>
    <row r="524">
      <c r="A524" s="12"/>
      <c r="D524" s="95"/>
      <c r="E524" s="14"/>
      <c r="F524" s="96"/>
      <c r="H524" s="12"/>
      <c r="I524" s="12"/>
      <c r="J524" s="12"/>
      <c r="K524" s="12"/>
      <c r="L524" s="12"/>
      <c r="M524" s="12"/>
      <c r="N524" s="12"/>
      <c r="O524" s="12"/>
      <c r="P524" s="12"/>
    </row>
    <row r="525">
      <c r="A525" s="12"/>
      <c r="D525" s="95"/>
      <c r="E525" s="14"/>
      <c r="F525" s="96"/>
      <c r="H525" s="12"/>
      <c r="I525" s="12"/>
      <c r="J525" s="12"/>
      <c r="K525" s="12"/>
      <c r="L525" s="12"/>
      <c r="M525" s="12"/>
      <c r="N525" s="12"/>
      <c r="O525" s="12"/>
      <c r="P525" s="12"/>
    </row>
    <row r="526">
      <c r="A526" s="12"/>
      <c r="D526" s="95"/>
      <c r="E526" s="14"/>
      <c r="F526" s="96"/>
      <c r="H526" s="12"/>
      <c r="I526" s="12"/>
      <c r="J526" s="12"/>
      <c r="K526" s="12"/>
      <c r="L526" s="12"/>
      <c r="M526" s="12"/>
      <c r="N526" s="12"/>
      <c r="O526" s="12"/>
      <c r="P526" s="12"/>
    </row>
    <row r="527">
      <c r="A527" s="12"/>
      <c r="D527" s="95"/>
      <c r="E527" s="14"/>
      <c r="F527" s="96"/>
      <c r="H527" s="12"/>
      <c r="I527" s="12"/>
      <c r="J527" s="12"/>
      <c r="K527" s="12"/>
      <c r="L527" s="12"/>
      <c r="M527" s="12"/>
      <c r="N527" s="12"/>
      <c r="O527" s="12"/>
      <c r="P527" s="12"/>
    </row>
    <row r="528">
      <c r="A528" s="12"/>
      <c r="D528" s="95"/>
      <c r="E528" s="14"/>
      <c r="F528" s="96"/>
      <c r="H528" s="12"/>
      <c r="I528" s="12"/>
      <c r="J528" s="12"/>
      <c r="K528" s="12"/>
      <c r="L528" s="12"/>
      <c r="M528" s="12"/>
      <c r="N528" s="12"/>
      <c r="O528" s="12"/>
      <c r="P528" s="12"/>
    </row>
    <row r="529">
      <c r="A529" s="12"/>
      <c r="D529" s="95"/>
      <c r="E529" s="14"/>
      <c r="F529" s="96"/>
      <c r="H529" s="12"/>
      <c r="I529" s="12"/>
      <c r="J529" s="12"/>
      <c r="K529" s="12"/>
      <c r="L529" s="12"/>
      <c r="M529" s="12"/>
      <c r="N529" s="12"/>
      <c r="O529" s="12"/>
      <c r="P529" s="12"/>
    </row>
    <row r="530">
      <c r="A530" s="12"/>
      <c r="D530" s="95"/>
      <c r="E530" s="14"/>
      <c r="F530" s="96"/>
      <c r="H530" s="12"/>
      <c r="I530" s="12"/>
      <c r="J530" s="12"/>
      <c r="K530" s="12"/>
      <c r="L530" s="12"/>
      <c r="M530" s="12"/>
      <c r="N530" s="12"/>
      <c r="O530" s="12"/>
      <c r="P530" s="12"/>
    </row>
    <row r="531">
      <c r="A531" s="12"/>
      <c r="D531" s="95"/>
      <c r="E531" s="14"/>
      <c r="F531" s="96"/>
      <c r="H531" s="12"/>
      <c r="I531" s="12"/>
      <c r="J531" s="12"/>
      <c r="K531" s="12"/>
      <c r="L531" s="12"/>
      <c r="M531" s="12"/>
      <c r="N531" s="12"/>
      <c r="O531" s="12"/>
      <c r="P531" s="12"/>
    </row>
    <row r="532">
      <c r="A532" s="12"/>
      <c r="D532" s="95"/>
      <c r="E532" s="14"/>
      <c r="F532" s="96"/>
      <c r="H532" s="12"/>
      <c r="I532" s="12"/>
      <c r="J532" s="12"/>
      <c r="K532" s="12"/>
      <c r="L532" s="12"/>
      <c r="M532" s="12"/>
      <c r="N532" s="12"/>
      <c r="O532" s="12"/>
      <c r="P532" s="12"/>
    </row>
    <row r="533">
      <c r="A533" s="12"/>
      <c r="D533" s="95"/>
      <c r="E533" s="14"/>
      <c r="F533" s="96"/>
      <c r="H533" s="12"/>
      <c r="I533" s="12"/>
      <c r="J533" s="12"/>
      <c r="K533" s="12"/>
      <c r="L533" s="12"/>
      <c r="M533" s="12"/>
      <c r="N533" s="12"/>
      <c r="O533" s="12"/>
      <c r="P533" s="12"/>
    </row>
    <row r="534">
      <c r="A534" s="12"/>
      <c r="D534" s="95"/>
      <c r="E534" s="14"/>
      <c r="F534" s="96"/>
      <c r="H534" s="12"/>
      <c r="I534" s="12"/>
      <c r="J534" s="12"/>
      <c r="K534" s="12"/>
      <c r="L534" s="12"/>
      <c r="M534" s="12"/>
      <c r="N534" s="12"/>
      <c r="O534" s="12"/>
      <c r="P534" s="12"/>
    </row>
    <row r="535">
      <c r="A535" s="12"/>
      <c r="D535" s="95"/>
      <c r="E535" s="14"/>
      <c r="F535" s="96"/>
      <c r="H535" s="12"/>
      <c r="I535" s="12"/>
      <c r="J535" s="12"/>
      <c r="K535" s="12"/>
      <c r="L535" s="12"/>
      <c r="M535" s="12"/>
      <c r="N535" s="12"/>
      <c r="O535" s="12"/>
      <c r="P535" s="12"/>
    </row>
    <row r="536">
      <c r="A536" s="12"/>
      <c r="D536" s="95"/>
      <c r="E536" s="14"/>
      <c r="F536" s="96"/>
      <c r="H536" s="12"/>
      <c r="I536" s="12"/>
      <c r="J536" s="12"/>
      <c r="K536" s="12"/>
      <c r="L536" s="12"/>
      <c r="M536" s="12"/>
      <c r="N536" s="12"/>
      <c r="O536" s="12"/>
      <c r="P536" s="12"/>
    </row>
    <row r="537">
      <c r="A537" s="12"/>
      <c r="D537" s="95"/>
      <c r="E537" s="14"/>
      <c r="F537" s="96"/>
      <c r="H537" s="12"/>
      <c r="I537" s="12"/>
      <c r="J537" s="12"/>
      <c r="K537" s="12"/>
      <c r="L537" s="12"/>
      <c r="M537" s="12"/>
      <c r="N537" s="12"/>
      <c r="O537" s="12"/>
      <c r="P537" s="12"/>
    </row>
    <row r="538">
      <c r="A538" s="12"/>
      <c r="D538" s="95"/>
      <c r="E538" s="14"/>
      <c r="F538" s="96"/>
      <c r="H538" s="12"/>
      <c r="I538" s="12"/>
      <c r="J538" s="12"/>
      <c r="K538" s="12"/>
      <c r="L538" s="12"/>
      <c r="M538" s="12"/>
      <c r="N538" s="12"/>
      <c r="O538" s="12"/>
      <c r="P538" s="12"/>
    </row>
    <row r="539">
      <c r="A539" s="12"/>
      <c r="D539" s="95"/>
      <c r="E539" s="14"/>
      <c r="F539" s="96"/>
      <c r="H539" s="12"/>
      <c r="I539" s="12"/>
      <c r="J539" s="12"/>
      <c r="K539" s="12"/>
      <c r="L539" s="12"/>
      <c r="M539" s="12"/>
      <c r="N539" s="12"/>
      <c r="O539" s="12"/>
      <c r="P539" s="12"/>
    </row>
    <row r="540">
      <c r="A540" s="12"/>
      <c r="D540" s="95"/>
      <c r="E540" s="14"/>
      <c r="F540" s="96"/>
      <c r="H540" s="12"/>
      <c r="I540" s="12"/>
      <c r="J540" s="12"/>
      <c r="K540" s="12"/>
      <c r="L540" s="12"/>
      <c r="M540" s="12"/>
      <c r="N540" s="12"/>
      <c r="O540" s="12"/>
      <c r="P540" s="12"/>
    </row>
    <row r="541">
      <c r="A541" s="12"/>
      <c r="D541" s="95"/>
      <c r="E541" s="14"/>
      <c r="F541" s="96"/>
      <c r="H541" s="12"/>
      <c r="I541" s="12"/>
      <c r="J541" s="12"/>
      <c r="K541" s="12"/>
      <c r="L541" s="12"/>
      <c r="M541" s="12"/>
      <c r="N541" s="12"/>
      <c r="O541" s="12"/>
      <c r="P541" s="12"/>
    </row>
    <row r="542">
      <c r="A542" s="12"/>
      <c r="D542" s="95"/>
      <c r="E542" s="14"/>
      <c r="F542" s="96"/>
      <c r="H542" s="12"/>
      <c r="I542" s="12"/>
      <c r="J542" s="12"/>
      <c r="K542" s="12"/>
      <c r="L542" s="12"/>
      <c r="M542" s="12"/>
      <c r="N542" s="12"/>
      <c r="O542" s="12"/>
      <c r="P542" s="12"/>
    </row>
    <row r="543">
      <c r="A543" s="12"/>
      <c r="D543" s="95"/>
      <c r="E543" s="14"/>
      <c r="F543" s="96"/>
      <c r="H543" s="12"/>
      <c r="I543" s="12"/>
      <c r="J543" s="12"/>
      <c r="K543" s="12"/>
      <c r="L543" s="12"/>
      <c r="M543" s="12"/>
      <c r="N543" s="12"/>
      <c r="O543" s="12"/>
      <c r="P543" s="12"/>
    </row>
    <row r="544">
      <c r="A544" s="12"/>
      <c r="D544" s="95"/>
      <c r="E544" s="14"/>
      <c r="F544" s="96"/>
      <c r="H544" s="12"/>
      <c r="I544" s="12"/>
      <c r="J544" s="12"/>
      <c r="K544" s="12"/>
      <c r="L544" s="12"/>
      <c r="M544" s="12"/>
      <c r="N544" s="12"/>
      <c r="O544" s="12"/>
      <c r="P544" s="12"/>
    </row>
    <row r="545">
      <c r="A545" s="12"/>
      <c r="D545" s="95"/>
      <c r="E545" s="14"/>
      <c r="F545" s="96"/>
      <c r="H545" s="12"/>
      <c r="I545" s="12"/>
      <c r="J545" s="12"/>
      <c r="K545" s="12"/>
      <c r="L545" s="12"/>
      <c r="M545" s="12"/>
      <c r="N545" s="12"/>
      <c r="O545" s="12"/>
      <c r="P545" s="12"/>
    </row>
    <row r="546">
      <c r="A546" s="12"/>
      <c r="D546" s="95"/>
      <c r="E546" s="14"/>
      <c r="F546" s="96"/>
      <c r="H546" s="12"/>
      <c r="I546" s="12"/>
      <c r="J546" s="12"/>
      <c r="K546" s="12"/>
      <c r="L546" s="12"/>
      <c r="M546" s="12"/>
      <c r="N546" s="12"/>
      <c r="O546" s="12"/>
      <c r="P546" s="12"/>
    </row>
    <row r="547">
      <c r="A547" s="12"/>
      <c r="D547" s="95"/>
      <c r="E547" s="14"/>
      <c r="F547" s="96"/>
      <c r="H547" s="12"/>
      <c r="I547" s="12"/>
      <c r="J547" s="12"/>
      <c r="K547" s="12"/>
      <c r="L547" s="12"/>
      <c r="M547" s="12"/>
      <c r="N547" s="12"/>
      <c r="O547" s="12"/>
      <c r="P547" s="12"/>
    </row>
    <row r="548">
      <c r="A548" s="12"/>
      <c r="D548" s="95"/>
      <c r="E548" s="14"/>
      <c r="F548" s="96"/>
      <c r="H548" s="12"/>
      <c r="I548" s="12"/>
      <c r="J548" s="12"/>
      <c r="K548" s="12"/>
      <c r="L548" s="12"/>
      <c r="M548" s="12"/>
      <c r="N548" s="12"/>
      <c r="O548" s="12"/>
      <c r="P548" s="12"/>
    </row>
    <row r="549">
      <c r="A549" s="12"/>
      <c r="D549" s="95"/>
      <c r="E549" s="14"/>
      <c r="F549" s="96"/>
      <c r="H549" s="12"/>
      <c r="I549" s="12"/>
      <c r="J549" s="12"/>
      <c r="K549" s="12"/>
      <c r="L549" s="12"/>
      <c r="M549" s="12"/>
      <c r="N549" s="12"/>
      <c r="O549" s="12"/>
      <c r="P549" s="12"/>
    </row>
    <row r="550">
      <c r="A550" s="12"/>
      <c r="D550" s="95"/>
      <c r="E550" s="14"/>
      <c r="F550" s="96"/>
      <c r="H550" s="12"/>
      <c r="I550" s="12"/>
      <c r="J550" s="12"/>
      <c r="K550" s="12"/>
      <c r="L550" s="12"/>
      <c r="M550" s="12"/>
      <c r="N550" s="12"/>
      <c r="O550" s="12"/>
      <c r="P550" s="12"/>
    </row>
    <row r="551">
      <c r="A551" s="12"/>
      <c r="D551" s="95"/>
      <c r="E551" s="14"/>
      <c r="F551" s="96"/>
      <c r="H551" s="12"/>
      <c r="I551" s="12"/>
      <c r="J551" s="12"/>
      <c r="K551" s="12"/>
      <c r="L551" s="12"/>
      <c r="M551" s="12"/>
      <c r="N551" s="12"/>
      <c r="O551" s="12"/>
      <c r="P551" s="12"/>
    </row>
    <row r="552">
      <c r="A552" s="12"/>
      <c r="D552" s="95"/>
      <c r="E552" s="14"/>
      <c r="F552" s="96"/>
      <c r="H552" s="12"/>
      <c r="I552" s="12"/>
      <c r="J552" s="12"/>
      <c r="K552" s="12"/>
      <c r="L552" s="12"/>
      <c r="M552" s="12"/>
      <c r="N552" s="12"/>
      <c r="O552" s="12"/>
      <c r="P552" s="12"/>
    </row>
    <row r="553">
      <c r="A553" s="12"/>
      <c r="D553" s="95"/>
      <c r="E553" s="14"/>
      <c r="F553" s="96"/>
      <c r="H553" s="12"/>
      <c r="I553" s="12"/>
      <c r="J553" s="12"/>
      <c r="K553" s="12"/>
      <c r="L553" s="12"/>
      <c r="M553" s="12"/>
      <c r="N553" s="12"/>
      <c r="O553" s="12"/>
      <c r="P553" s="12"/>
    </row>
    <row r="554">
      <c r="A554" s="12"/>
      <c r="D554" s="95"/>
      <c r="E554" s="14"/>
      <c r="F554" s="96"/>
      <c r="H554" s="12"/>
      <c r="I554" s="12"/>
      <c r="J554" s="12"/>
      <c r="K554" s="12"/>
      <c r="L554" s="12"/>
      <c r="M554" s="12"/>
      <c r="N554" s="12"/>
      <c r="O554" s="12"/>
      <c r="P554" s="12"/>
    </row>
    <row r="555">
      <c r="A555" s="12"/>
      <c r="D555" s="95"/>
      <c r="E555" s="14"/>
      <c r="F555" s="96"/>
      <c r="H555" s="12"/>
      <c r="I555" s="12"/>
      <c r="J555" s="12"/>
      <c r="K555" s="12"/>
      <c r="L555" s="12"/>
      <c r="M555" s="12"/>
      <c r="N555" s="12"/>
      <c r="O555" s="12"/>
      <c r="P555" s="12"/>
    </row>
    <row r="556">
      <c r="A556" s="12"/>
      <c r="D556" s="95"/>
      <c r="E556" s="14"/>
      <c r="F556" s="96"/>
      <c r="H556" s="12"/>
      <c r="I556" s="12"/>
      <c r="J556" s="12"/>
      <c r="K556" s="12"/>
      <c r="L556" s="12"/>
      <c r="M556" s="12"/>
      <c r="N556" s="12"/>
      <c r="O556" s="12"/>
      <c r="P556" s="12"/>
    </row>
    <row r="557">
      <c r="A557" s="12"/>
      <c r="D557" s="95"/>
      <c r="E557" s="14"/>
      <c r="F557" s="96"/>
      <c r="H557" s="12"/>
      <c r="I557" s="12"/>
      <c r="J557" s="12"/>
      <c r="K557" s="12"/>
      <c r="L557" s="12"/>
      <c r="M557" s="12"/>
      <c r="N557" s="12"/>
      <c r="O557" s="12"/>
      <c r="P557" s="12"/>
    </row>
    <row r="558">
      <c r="A558" s="12"/>
      <c r="D558" s="95"/>
      <c r="E558" s="14"/>
      <c r="F558" s="96"/>
      <c r="H558" s="12"/>
      <c r="I558" s="12"/>
      <c r="J558" s="12"/>
      <c r="K558" s="12"/>
      <c r="L558" s="12"/>
      <c r="M558" s="12"/>
      <c r="N558" s="12"/>
      <c r="O558" s="12"/>
      <c r="P558" s="12"/>
    </row>
    <row r="559">
      <c r="A559" s="12"/>
      <c r="D559" s="95"/>
      <c r="E559" s="14"/>
      <c r="F559" s="96"/>
      <c r="H559" s="12"/>
      <c r="I559" s="12"/>
      <c r="J559" s="12"/>
      <c r="K559" s="12"/>
      <c r="L559" s="12"/>
      <c r="M559" s="12"/>
      <c r="N559" s="12"/>
      <c r="O559" s="12"/>
      <c r="P559" s="12"/>
    </row>
    <row r="560">
      <c r="A560" s="12"/>
      <c r="D560" s="95"/>
      <c r="E560" s="14"/>
      <c r="F560" s="96"/>
      <c r="H560" s="12"/>
      <c r="I560" s="12"/>
      <c r="J560" s="12"/>
      <c r="K560" s="12"/>
      <c r="L560" s="12"/>
      <c r="M560" s="12"/>
      <c r="N560" s="12"/>
      <c r="O560" s="12"/>
      <c r="P560" s="12"/>
    </row>
    <row r="561">
      <c r="A561" s="12"/>
      <c r="D561" s="95"/>
      <c r="E561" s="14"/>
      <c r="F561" s="96"/>
      <c r="H561" s="12"/>
      <c r="I561" s="12"/>
      <c r="J561" s="12"/>
      <c r="K561" s="12"/>
      <c r="L561" s="12"/>
      <c r="M561" s="12"/>
      <c r="N561" s="12"/>
      <c r="O561" s="12"/>
      <c r="P561" s="12"/>
    </row>
    <row r="562">
      <c r="A562" s="12"/>
      <c r="D562" s="95"/>
      <c r="E562" s="14"/>
      <c r="F562" s="96"/>
      <c r="H562" s="12"/>
      <c r="I562" s="12"/>
      <c r="J562" s="12"/>
      <c r="K562" s="12"/>
      <c r="L562" s="12"/>
      <c r="M562" s="12"/>
      <c r="N562" s="12"/>
      <c r="O562" s="12"/>
      <c r="P562" s="12"/>
    </row>
    <row r="563">
      <c r="A563" s="12"/>
      <c r="D563" s="95"/>
      <c r="E563" s="14"/>
      <c r="F563" s="96"/>
      <c r="H563" s="12"/>
      <c r="I563" s="12"/>
      <c r="J563" s="12"/>
      <c r="K563" s="12"/>
      <c r="L563" s="12"/>
      <c r="M563" s="12"/>
      <c r="N563" s="12"/>
      <c r="O563" s="12"/>
      <c r="P563" s="12"/>
    </row>
    <row r="564">
      <c r="A564" s="12"/>
      <c r="D564" s="95"/>
      <c r="E564" s="14"/>
      <c r="F564" s="96"/>
      <c r="H564" s="12"/>
      <c r="I564" s="12"/>
      <c r="J564" s="12"/>
      <c r="K564" s="12"/>
      <c r="L564" s="12"/>
      <c r="M564" s="12"/>
      <c r="N564" s="12"/>
      <c r="O564" s="12"/>
      <c r="P564" s="12"/>
    </row>
    <row r="565">
      <c r="A565" s="12"/>
      <c r="D565" s="95"/>
      <c r="E565" s="14"/>
      <c r="F565" s="96"/>
      <c r="H565" s="12"/>
      <c r="I565" s="12"/>
      <c r="J565" s="12"/>
      <c r="K565" s="12"/>
      <c r="L565" s="12"/>
      <c r="M565" s="12"/>
      <c r="N565" s="12"/>
      <c r="O565" s="12"/>
      <c r="P565" s="12"/>
    </row>
    <row r="566">
      <c r="A566" s="12"/>
      <c r="D566" s="95"/>
      <c r="E566" s="14"/>
      <c r="F566" s="96"/>
      <c r="H566" s="12"/>
      <c r="I566" s="12"/>
      <c r="J566" s="12"/>
      <c r="K566" s="12"/>
      <c r="L566" s="12"/>
      <c r="M566" s="12"/>
      <c r="N566" s="12"/>
      <c r="O566" s="12"/>
      <c r="P566" s="12"/>
    </row>
    <row r="567">
      <c r="A567" s="12"/>
      <c r="D567" s="95"/>
      <c r="E567" s="14"/>
      <c r="F567" s="96"/>
      <c r="H567" s="12"/>
      <c r="I567" s="12"/>
      <c r="J567" s="12"/>
      <c r="K567" s="12"/>
      <c r="L567" s="12"/>
      <c r="M567" s="12"/>
      <c r="N567" s="12"/>
      <c r="O567" s="12"/>
      <c r="P567" s="12"/>
    </row>
    <row r="568">
      <c r="A568" s="12"/>
      <c r="D568" s="95"/>
      <c r="E568" s="14"/>
      <c r="F568" s="96"/>
      <c r="H568" s="12"/>
      <c r="I568" s="12"/>
      <c r="J568" s="12"/>
      <c r="K568" s="12"/>
      <c r="L568" s="12"/>
      <c r="M568" s="12"/>
      <c r="N568" s="12"/>
      <c r="O568" s="12"/>
      <c r="P568" s="12"/>
    </row>
    <row r="569">
      <c r="A569" s="12"/>
      <c r="D569" s="95"/>
      <c r="E569" s="14"/>
      <c r="F569" s="96"/>
      <c r="H569" s="12"/>
      <c r="I569" s="12"/>
      <c r="J569" s="12"/>
      <c r="K569" s="12"/>
      <c r="L569" s="12"/>
      <c r="M569" s="12"/>
      <c r="N569" s="12"/>
      <c r="O569" s="12"/>
      <c r="P569" s="12"/>
    </row>
    <row r="570">
      <c r="A570" s="12"/>
      <c r="D570" s="95"/>
      <c r="E570" s="14"/>
      <c r="F570" s="96"/>
      <c r="H570" s="12"/>
      <c r="I570" s="12"/>
      <c r="J570" s="12"/>
      <c r="K570" s="12"/>
      <c r="L570" s="12"/>
      <c r="M570" s="12"/>
      <c r="N570" s="12"/>
      <c r="O570" s="12"/>
      <c r="P570" s="12"/>
    </row>
    <row r="571">
      <c r="A571" s="12"/>
      <c r="D571" s="95"/>
      <c r="E571" s="14"/>
      <c r="F571" s="96"/>
      <c r="H571" s="12"/>
      <c r="I571" s="12"/>
      <c r="J571" s="12"/>
      <c r="K571" s="12"/>
      <c r="L571" s="12"/>
      <c r="M571" s="12"/>
      <c r="N571" s="12"/>
      <c r="O571" s="12"/>
      <c r="P571" s="12"/>
    </row>
    <row r="572">
      <c r="A572" s="12"/>
      <c r="D572" s="95"/>
      <c r="E572" s="14"/>
      <c r="F572" s="96"/>
      <c r="H572" s="12"/>
      <c r="I572" s="12"/>
      <c r="J572" s="12"/>
      <c r="K572" s="12"/>
      <c r="L572" s="12"/>
      <c r="M572" s="12"/>
      <c r="N572" s="12"/>
      <c r="O572" s="12"/>
      <c r="P572" s="12"/>
    </row>
    <row r="573">
      <c r="A573" s="12"/>
      <c r="D573" s="95"/>
      <c r="E573" s="14"/>
      <c r="F573" s="96"/>
      <c r="H573" s="12"/>
      <c r="I573" s="12"/>
      <c r="J573" s="12"/>
      <c r="K573" s="12"/>
      <c r="L573" s="12"/>
      <c r="M573" s="12"/>
      <c r="N573" s="12"/>
      <c r="O573" s="12"/>
      <c r="P573" s="12"/>
    </row>
    <row r="574">
      <c r="A574" s="12"/>
      <c r="D574" s="95"/>
      <c r="E574" s="14"/>
      <c r="F574" s="96"/>
      <c r="H574" s="12"/>
      <c r="I574" s="12"/>
      <c r="J574" s="12"/>
      <c r="K574" s="12"/>
      <c r="L574" s="12"/>
      <c r="M574" s="12"/>
      <c r="N574" s="12"/>
      <c r="O574" s="12"/>
      <c r="P574" s="12"/>
    </row>
    <row r="575">
      <c r="A575" s="12"/>
      <c r="D575" s="95"/>
      <c r="E575" s="14"/>
      <c r="F575" s="96"/>
      <c r="H575" s="12"/>
      <c r="I575" s="12"/>
      <c r="J575" s="12"/>
      <c r="K575" s="12"/>
      <c r="L575" s="12"/>
      <c r="M575" s="12"/>
      <c r="N575" s="12"/>
      <c r="O575" s="12"/>
      <c r="P575" s="12"/>
    </row>
    <row r="576">
      <c r="A576" s="12"/>
      <c r="D576" s="95"/>
      <c r="E576" s="14"/>
      <c r="F576" s="96"/>
      <c r="H576" s="12"/>
      <c r="I576" s="12"/>
      <c r="J576" s="12"/>
      <c r="K576" s="12"/>
      <c r="L576" s="12"/>
      <c r="M576" s="12"/>
      <c r="N576" s="12"/>
      <c r="O576" s="12"/>
      <c r="P576" s="12"/>
    </row>
    <row r="577">
      <c r="A577" s="12"/>
      <c r="D577" s="95"/>
      <c r="E577" s="14"/>
      <c r="F577" s="96"/>
      <c r="H577" s="12"/>
      <c r="I577" s="12"/>
      <c r="J577" s="12"/>
      <c r="K577" s="12"/>
      <c r="L577" s="12"/>
      <c r="M577" s="12"/>
      <c r="N577" s="12"/>
      <c r="O577" s="12"/>
      <c r="P577" s="12"/>
    </row>
    <row r="578">
      <c r="A578" s="12"/>
      <c r="D578" s="95"/>
      <c r="E578" s="14"/>
      <c r="F578" s="96"/>
      <c r="H578" s="12"/>
      <c r="I578" s="12"/>
      <c r="J578" s="12"/>
      <c r="K578" s="12"/>
      <c r="L578" s="12"/>
      <c r="M578" s="12"/>
      <c r="N578" s="12"/>
      <c r="O578" s="12"/>
      <c r="P578" s="12"/>
    </row>
    <row r="579">
      <c r="A579" s="12"/>
      <c r="D579" s="95"/>
      <c r="E579" s="14"/>
      <c r="F579" s="96"/>
      <c r="H579" s="12"/>
      <c r="I579" s="12"/>
      <c r="J579" s="12"/>
      <c r="K579" s="12"/>
      <c r="L579" s="12"/>
      <c r="M579" s="12"/>
      <c r="N579" s="12"/>
      <c r="O579" s="12"/>
      <c r="P579" s="12"/>
    </row>
    <row r="580">
      <c r="A580" s="12"/>
      <c r="D580" s="95"/>
      <c r="E580" s="14"/>
      <c r="F580" s="96"/>
      <c r="H580" s="12"/>
      <c r="I580" s="12"/>
      <c r="J580" s="12"/>
      <c r="K580" s="12"/>
      <c r="L580" s="12"/>
      <c r="M580" s="12"/>
      <c r="N580" s="12"/>
      <c r="O580" s="12"/>
      <c r="P580" s="12"/>
    </row>
    <row r="581">
      <c r="A581" s="12"/>
      <c r="D581" s="95"/>
      <c r="E581" s="14"/>
      <c r="F581" s="96"/>
      <c r="H581" s="12"/>
      <c r="I581" s="12"/>
      <c r="J581" s="12"/>
      <c r="K581" s="12"/>
      <c r="L581" s="12"/>
      <c r="M581" s="12"/>
      <c r="N581" s="12"/>
      <c r="O581" s="12"/>
      <c r="P581" s="12"/>
    </row>
    <row r="582">
      <c r="A582" s="12"/>
      <c r="D582" s="95"/>
      <c r="E582" s="14"/>
      <c r="F582" s="96"/>
      <c r="H582" s="12"/>
      <c r="I582" s="12"/>
      <c r="J582" s="12"/>
      <c r="K582" s="12"/>
      <c r="L582" s="12"/>
      <c r="M582" s="12"/>
      <c r="N582" s="12"/>
      <c r="O582" s="12"/>
      <c r="P582" s="12"/>
    </row>
    <row r="583">
      <c r="A583" s="12"/>
      <c r="D583" s="95"/>
      <c r="E583" s="14"/>
      <c r="F583" s="96"/>
      <c r="H583" s="12"/>
      <c r="I583" s="12"/>
      <c r="J583" s="12"/>
      <c r="K583" s="12"/>
      <c r="L583" s="12"/>
      <c r="M583" s="12"/>
      <c r="N583" s="12"/>
      <c r="O583" s="12"/>
      <c r="P583" s="12"/>
    </row>
    <row r="584">
      <c r="A584" s="12"/>
      <c r="D584" s="95"/>
      <c r="E584" s="14"/>
      <c r="F584" s="96"/>
      <c r="H584" s="12"/>
      <c r="I584" s="12"/>
      <c r="J584" s="12"/>
      <c r="K584" s="12"/>
      <c r="L584" s="12"/>
      <c r="M584" s="12"/>
      <c r="N584" s="12"/>
      <c r="O584" s="12"/>
      <c r="P584" s="12"/>
    </row>
    <row r="585">
      <c r="A585" s="12"/>
      <c r="D585" s="95"/>
      <c r="E585" s="14"/>
      <c r="F585" s="96"/>
      <c r="H585" s="12"/>
      <c r="I585" s="12"/>
      <c r="J585" s="12"/>
      <c r="K585" s="12"/>
      <c r="L585" s="12"/>
      <c r="M585" s="12"/>
      <c r="N585" s="12"/>
      <c r="O585" s="12"/>
      <c r="P585" s="12"/>
    </row>
    <row r="586">
      <c r="A586" s="12"/>
      <c r="D586" s="95"/>
      <c r="E586" s="14"/>
      <c r="F586" s="96"/>
      <c r="H586" s="12"/>
      <c r="I586" s="12"/>
      <c r="J586" s="12"/>
      <c r="K586" s="12"/>
      <c r="L586" s="12"/>
      <c r="M586" s="12"/>
      <c r="N586" s="12"/>
      <c r="O586" s="12"/>
      <c r="P586" s="12"/>
    </row>
    <row r="587">
      <c r="A587" s="12"/>
      <c r="D587" s="95"/>
      <c r="E587" s="14"/>
      <c r="F587" s="96"/>
      <c r="H587" s="12"/>
      <c r="I587" s="12"/>
      <c r="J587" s="12"/>
      <c r="K587" s="12"/>
      <c r="L587" s="12"/>
      <c r="M587" s="12"/>
      <c r="N587" s="12"/>
      <c r="O587" s="12"/>
      <c r="P587" s="12"/>
    </row>
    <row r="588">
      <c r="A588" s="12"/>
      <c r="D588" s="95"/>
      <c r="E588" s="14"/>
      <c r="F588" s="96"/>
      <c r="H588" s="12"/>
      <c r="I588" s="12"/>
      <c r="J588" s="12"/>
      <c r="K588" s="12"/>
      <c r="L588" s="12"/>
      <c r="M588" s="12"/>
      <c r="N588" s="12"/>
      <c r="O588" s="12"/>
      <c r="P588" s="12"/>
    </row>
    <row r="589">
      <c r="A589" s="12"/>
      <c r="D589" s="95"/>
      <c r="E589" s="14"/>
      <c r="F589" s="96"/>
      <c r="H589" s="12"/>
      <c r="I589" s="12"/>
      <c r="J589" s="12"/>
      <c r="K589" s="12"/>
      <c r="L589" s="12"/>
      <c r="M589" s="12"/>
      <c r="N589" s="12"/>
      <c r="O589" s="12"/>
      <c r="P589" s="12"/>
    </row>
    <row r="590">
      <c r="A590" s="12"/>
      <c r="D590" s="95"/>
      <c r="E590" s="14"/>
      <c r="F590" s="96"/>
      <c r="H590" s="12"/>
      <c r="I590" s="12"/>
      <c r="J590" s="12"/>
      <c r="K590" s="12"/>
      <c r="L590" s="12"/>
      <c r="M590" s="12"/>
      <c r="N590" s="12"/>
      <c r="O590" s="12"/>
      <c r="P590" s="12"/>
    </row>
    <row r="591">
      <c r="A591" s="12"/>
      <c r="D591" s="95"/>
      <c r="E591" s="14"/>
      <c r="F591" s="96"/>
      <c r="H591" s="12"/>
      <c r="I591" s="12"/>
      <c r="J591" s="12"/>
      <c r="K591" s="12"/>
      <c r="L591" s="12"/>
      <c r="M591" s="12"/>
      <c r="N591" s="12"/>
      <c r="O591" s="12"/>
      <c r="P591" s="12"/>
    </row>
    <row r="592">
      <c r="A592" s="12"/>
      <c r="D592" s="95"/>
      <c r="E592" s="14"/>
      <c r="F592" s="96"/>
      <c r="H592" s="12"/>
      <c r="I592" s="12"/>
      <c r="J592" s="12"/>
      <c r="K592" s="12"/>
      <c r="L592" s="12"/>
      <c r="M592" s="12"/>
      <c r="N592" s="12"/>
      <c r="O592" s="12"/>
      <c r="P592" s="12"/>
    </row>
    <row r="593">
      <c r="A593" s="12"/>
      <c r="D593" s="95"/>
      <c r="E593" s="14"/>
      <c r="F593" s="96"/>
      <c r="H593" s="12"/>
      <c r="I593" s="12"/>
      <c r="J593" s="12"/>
      <c r="K593" s="12"/>
      <c r="L593" s="12"/>
      <c r="M593" s="12"/>
      <c r="N593" s="12"/>
      <c r="O593" s="12"/>
      <c r="P593" s="12"/>
    </row>
    <row r="594">
      <c r="A594" s="12"/>
      <c r="D594" s="95"/>
      <c r="E594" s="14"/>
      <c r="F594" s="96"/>
      <c r="H594" s="12"/>
      <c r="I594" s="12"/>
      <c r="J594" s="12"/>
      <c r="K594" s="12"/>
      <c r="L594" s="12"/>
      <c r="M594" s="12"/>
      <c r="N594" s="12"/>
      <c r="O594" s="12"/>
      <c r="P594" s="12"/>
    </row>
    <row r="595">
      <c r="A595" s="12"/>
      <c r="D595" s="95"/>
      <c r="E595" s="14"/>
      <c r="F595" s="96"/>
      <c r="H595" s="12"/>
      <c r="I595" s="12"/>
      <c r="J595" s="12"/>
      <c r="K595" s="12"/>
      <c r="L595" s="12"/>
      <c r="M595" s="12"/>
      <c r="N595" s="12"/>
      <c r="O595" s="12"/>
      <c r="P595" s="12"/>
    </row>
    <row r="596">
      <c r="A596" s="12"/>
      <c r="D596" s="95"/>
      <c r="E596" s="14"/>
      <c r="F596" s="96"/>
      <c r="H596" s="12"/>
      <c r="I596" s="12"/>
      <c r="J596" s="12"/>
      <c r="K596" s="12"/>
      <c r="L596" s="12"/>
      <c r="M596" s="12"/>
      <c r="N596" s="12"/>
      <c r="O596" s="12"/>
      <c r="P596" s="12"/>
    </row>
    <row r="597">
      <c r="A597" s="12"/>
      <c r="D597" s="95"/>
      <c r="E597" s="14"/>
      <c r="F597" s="96"/>
      <c r="H597" s="12"/>
      <c r="I597" s="12"/>
      <c r="J597" s="12"/>
      <c r="K597" s="12"/>
      <c r="L597" s="12"/>
      <c r="M597" s="12"/>
      <c r="N597" s="12"/>
      <c r="O597" s="12"/>
      <c r="P597" s="12"/>
    </row>
    <row r="598">
      <c r="A598" s="12"/>
      <c r="D598" s="95"/>
      <c r="E598" s="14"/>
      <c r="F598" s="96"/>
      <c r="H598" s="12"/>
      <c r="I598" s="12"/>
      <c r="J598" s="12"/>
      <c r="K598" s="12"/>
      <c r="L598" s="12"/>
      <c r="M598" s="12"/>
      <c r="N598" s="12"/>
      <c r="O598" s="12"/>
      <c r="P598" s="12"/>
    </row>
    <row r="599">
      <c r="A599" s="12"/>
      <c r="D599" s="95"/>
      <c r="E599" s="14"/>
      <c r="F599" s="96"/>
      <c r="H599" s="12"/>
      <c r="I599" s="12"/>
      <c r="J599" s="12"/>
      <c r="K599" s="12"/>
      <c r="L599" s="12"/>
      <c r="M599" s="12"/>
      <c r="N599" s="12"/>
      <c r="O599" s="12"/>
      <c r="P599" s="12"/>
    </row>
    <row r="600">
      <c r="A600" s="12"/>
      <c r="D600" s="95"/>
      <c r="E600" s="14"/>
      <c r="F600" s="96"/>
      <c r="H600" s="12"/>
      <c r="I600" s="12"/>
      <c r="J600" s="12"/>
      <c r="K600" s="12"/>
      <c r="L600" s="12"/>
      <c r="M600" s="12"/>
      <c r="N600" s="12"/>
      <c r="O600" s="12"/>
      <c r="P600" s="12"/>
    </row>
    <row r="601">
      <c r="A601" s="12"/>
      <c r="D601" s="95"/>
      <c r="E601" s="14"/>
      <c r="F601" s="96"/>
      <c r="H601" s="12"/>
      <c r="I601" s="12"/>
      <c r="J601" s="12"/>
      <c r="K601" s="12"/>
      <c r="L601" s="12"/>
      <c r="M601" s="12"/>
      <c r="N601" s="12"/>
      <c r="O601" s="12"/>
      <c r="P601" s="12"/>
    </row>
    <row r="602">
      <c r="A602" s="12"/>
      <c r="D602" s="95"/>
      <c r="E602" s="14"/>
      <c r="F602" s="96"/>
      <c r="H602" s="12"/>
      <c r="I602" s="12"/>
      <c r="J602" s="12"/>
      <c r="K602" s="12"/>
      <c r="L602" s="12"/>
      <c r="M602" s="12"/>
      <c r="N602" s="12"/>
      <c r="O602" s="12"/>
      <c r="P602" s="12"/>
    </row>
    <row r="603">
      <c r="A603" s="12"/>
      <c r="D603" s="95"/>
      <c r="E603" s="14"/>
      <c r="F603" s="96"/>
      <c r="H603" s="12"/>
      <c r="I603" s="12"/>
      <c r="J603" s="12"/>
      <c r="K603" s="12"/>
      <c r="L603" s="12"/>
      <c r="M603" s="12"/>
      <c r="N603" s="12"/>
      <c r="O603" s="12"/>
      <c r="P603" s="12"/>
    </row>
    <row r="604">
      <c r="A604" s="12"/>
      <c r="D604" s="95"/>
      <c r="E604" s="14"/>
      <c r="F604" s="96"/>
      <c r="H604" s="12"/>
      <c r="I604" s="12"/>
      <c r="J604" s="12"/>
      <c r="K604" s="12"/>
      <c r="L604" s="12"/>
      <c r="M604" s="12"/>
      <c r="N604" s="12"/>
      <c r="O604" s="12"/>
      <c r="P604" s="12"/>
    </row>
    <row r="605">
      <c r="A605" s="12"/>
      <c r="D605" s="95"/>
      <c r="E605" s="14"/>
      <c r="F605" s="96"/>
      <c r="H605" s="12"/>
      <c r="I605" s="12"/>
      <c r="J605" s="12"/>
      <c r="K605" s="12"/>
      <c r="L605" s="12"/>
      <c r="M605" s="12"/>
      <c r="N605" s="12"/>
      <c r="O605" s="12"/>
      <c r="P605" s="12"/>
    </row>
    <row r="606">
      <c r="A606" s="12"/>
      <c r="D606" s="95"/>
      <c r="E606" s="14"/>
      <c r="F606" s="96"/>
      <c r="H606" s="12"/>
      <c r="I606" s="12"/>
      <c r="J606" s="12"/>
      <c r="K606" s="12"/>
      <c r="L606" s="12"/>
      <c r="M606" s="12"/>
      <c r="N606" s="12"/>
      <c r="O606" s="12"/>
      <c r="P606" s="12"/>
    </row>
    <row r="607">
      <c r="A607" s="12"/>
      <c r="D607" s="95"/>
      <c r="E607" s="14"/>
      <c r="F607" s="96"/>
      <c r="H607" s="12"/>
      <c r="I607" s="12"/>
      <c r="J607" s="12"/>
      <c r="K607" s="12"/>
      <c r="L607" s="12"/>
      <c r="M607" s="12"/>
      <c r="N607" s="12"/>
      <c r="O607" s="12"/>
      <c r="P607" s="12"/>
    </row>
    <row r="608">
      <c r="A608" s="12"/>
      <c r="D608" s="95"/>
      <c r="E608" s="14"/>
      <c r="F608" s="96"/>
      <c r="H608" s="12"/>
      <c r="I608" s="12"/>
      <c r="J608" s="12"/>
      <c r="K608" s="12"/>
      <c r="L608" s="12"/>
      <c r="M608" s="12"/>
      <c r="N608" s="12"/>
      <c r="O608" s="12"/>
      <c r="P608" s="12"/>
    </row>
    <row r="609">
      <c r="A609" s="12"/>
      <c r="D609" s="95"/>
      <c r="E609" s="14"/>
      <c r="F609" s="96"/>
      <c r="H609" s="12"/>
      <c r="I609" s="12"/>
      <c r="J609" s="12"/>
      <c r="K609" s="12"/>
      <c r="L609" s="12"/>
      <c r="M609" s="12"/>
      <c r="N609" s="12"/>
      <c r="O609" s="12"/>
      <c r="P609" s="12"/>
    </row>
    <row r="610">
      <c r="A610" s="12"/>
      <c r="D610" s="95"/>
      <c r="E610" s="14"/>
      <c r="F610" s="96"/>
      <c r="H610" s="12"/>
      <c r="I610" s="12"/>
      <c r="J610" s="12"/>
      <c r="K610" s="12"/>
      <c r="L610" s="12"/>
      <c r="M610" s="12"/>
      <c r="N610" s="12"/>
      <c r="O610" s="12"/>
      <c r="P610" s="12"/>
    </row>
    <row r="611">
      <c r="A611" s="12"/>
      <c r="D611" s="95"/>
      <c r="E611" s="14"/>
      <c r="F611" s="96"/>
      <c r="H611" s="12"/>
      <c r="I611" s="12"/>
      <c r="J611" s="12"/>
      <c r="K611" s="12"/>
      <c r="L611" s="12"/>
      <c r="M611" s="12"/>
      <c r="N611" s="12"/>
      <c r="O611" s="12"/>
      <c r="P611" s="12"/>
    </row>
    <row r="612">
      <c r="A612" s="12"/>
      <c r="D612" s="95"/>
      <c r="E612" s="14"/>
      <c r="F612" s="96"/>
      <c r="H612" s="12"/>
      <c r="I612" s="12"/>
      <c r="J612" s="12"/>
      <c r="K612" s="12"/>
      <c r="L612" s="12"/>
      <c r="M612" s="12"/>
      <c r="N612" s="12"/>
      <c r="O612" s="12"/>
      <c r="P612" s="12"/>
    </row>
    <row r="613">
      <c r="A613" s="12"/>
      <c r="D613" s="95"/>
      <c r="E613" s="14"/>
      <c r="F613" s="96"/>
      <c r="H613" s="12"/>
      <c r="I613" s="12"/>
      <c r="J613" s="12"/>
      <c r="K613" s="12"/>
      <c r="L613" s="12"/>
      <c r="M613" s="12"/>
      <c r="N613" s="12"/>
      <c r="O613" s="12"/>
      <c r="P613" s="12"/>
    </row>
    <row r="614">
      <c r="A614" s="12"/>
      <c r="D614" s="95"/>
      <c r="E614" s="14"/>
      <c r="F614" s="96"/>
      <c r="H614" s="12"/>
      <c r="I614" s="12"/>
      <c r="J614" s="12"/>
      <c r="K614" s="12"/>
      <c r="L614" s="12"/>
      <c r="M614" s="12"/>
      <c r="N614" s="12"/>
      <c r="O614" s="12"/>
      <c r="P614" s="12"/>
    </row>
    <row r="615">
      <c r="A615" s="12"/>
      <c r="D615" s="95"/>
      <c r="E615" s="14"/>
      <c r="F615" s="96"/>
      <c r="H615" s="12"/>
      <c r="I615" s="12"/>
      <c r="J615" s="12"/>
      <c r="K615" s="12"/>
      <c r="L615" s="12"/>
      <c r="M615" s="12"/>
      <c r="N615" s="12"/>
      <c r="O615" s="12"/>
      <c r="P615" s="12"/>
    </row>
    <row r="616">
      <c r="A616" s="12"/>
      <c r="D616" s="95"/>
      <c r="E616" s="14"/>
      <c r="F616" s="96"/>
      <c r="H616" s="12"/>
      <c r="I616" s="12"/>
      <c r="J616" s="12"/>
      <c r="K616" s="12"/>
      <c r="L616" s="12"/>
      <c r="M616" s="12"/>
      <c r="N616" s="12"/>
      <c r="O616" s="12"/>
      <c r="P616" s="12"/>
    </row>
    <row r="617">
      <c r="A617" s="12"/>
      <c r="D617" s="95"/>
      <c r="E617" s="14"/>
      <c r="F617" s="96"/>
      <c r="H617" s="12"/>
      <c r="I617" s="12"/>
      <c r="J617" s="12"/>
      <c r="K617" s="12"/>
      <c r="L617" s="12"/>
      <c r="M617" s="12"/>
      <c r="N617" s="12"/>
      <c r="O617" s="12"/>
      <c r="P617" s="12"/>
    </row>
    <row r="618">
      <c r="A618" s="12"/>
      <c r="D618" s="95"/>
      <c r="E618" s="14"/>
      <c r="F618" s="96"/>
      <c r="H618" s="12"/>
      <c r="I618" s="12"/>
      <c r="J618" s="12"/>
      <c r="K618" s="12"/>
      <c r="L618" s="12"/>
      <c r="M618" s="12"/>
      <c r="N618" s="12"/>
      <c r="O618" s="12"/>
      <c r="P618" s="12"/>
    </row>
    <row r="619">
      <c r="A619" s="12"/>
      <c r="D619" s="95"/>
      <c r="E619" s="14"/>
      <c r="F619" s="96"/>
      <c r="H619" s="12"/>
      <c r="I619" s="12"/>
      <c r="J619" s="12"/>
      <c r="K619" s="12"/>
      <c r="L619" s="12"/>
      <c r="M619" s="12"/>
      <c r="N619" s="12"/>
      <c r="O619" s="12"/>
      <c r="P619" s="12"/>
    </row>
    <row r="620">
      <c r="A620" s="12"/>
      <c r="D620" s="95"/>
      <c r="E620" s="14"/>
      <c r="F620" s="96"/>
      <c r="H620" s="12"/>
      <c r="I620" s="12"/>
      <c r="J620" s="12"/>
      <c r="K620" s="12"/>
      <c r="L620" s="12"/>
      <c r="M620" s="12"/>
      <c r="N620" s="12"/>
      <c r="O620" s="12"/>
      <c r="P620" s="12"/>
    </row>
    <row r="621">
      <c r="A621" s="12"/>
      <c r="D621" s="95"/>
      <c r="E621" s="14"/>
      <c r="F621" s="96"/>
      <c r="H621" s="12"/>
      <c r="I621" s="12"/>
      <c r="J621" s="12"/>
      <c r="K621" s="12"/>
      <c r="L621" s="12"/>
      <c r="M621" s="12"/>
      <c r="N621" s="12"/>
      <c r="O621" s="12"/>
      <c r="P621" s="12"/>
    </row>
    <row r="622">
      <c r="A622" s="12"/>
      <c r="D622" s="95"/>
      <c r="E622" s="14"/>
      <c r="F622" s="96"/>
      <c r="H622" s="12"/>
      <c r="I622" s="12"/>
      <c r="J622" s="12"/>
      <c r="K622" s="12"/>
      <c r="L622" s="12"/>
      <c r="M622" s="12"/>
      <c r="N622" s="12"/>
      <c r="O622" s="12"/>
      <c r="P622" s="12"/>
    </row>
    <row r="623">
      <c r="A623" s="12"/>
      <c r="D623" s="95"/>
      <c r="E623" s="14"/>
      <c r="F623" s="96"/>
      <c r="H623" s="12"/>
      <c r="I623" s="12"/>
      <c r="J623" s="12"/>
      <c r="K623" s="12"/>
      <c r="L623" s="12"/>
      <c r="M623" s="12"/>
      <c r="N623" s="12"/>
      <c r="O623" s="12"/>
      <c r="P623" s="12"/>
    </row>
    <row r="624">
      <c r="A624" s="12"/>
      <c r="D624" s="95"/>
      <c r="E624" s="14"/>
      <c r="F624" s="96"/>
      <c r="H624" s="12"/>
      <c r="I624" s="12"/>
      <c r="J624" s="12"/>
      <c r="K624" s="12"/>
      <c r="L624" s="12"/>
      <c r="M624" s="12"/>
      <c r="N624" s="12"/>
      <c r="O624" s="12"/>
      <c r="P624" s="12"/>
    </row>
    <row r="625">
      <c r="A625" s="12"/>
      <c r="D625" s="95"/>
      <c r="E625" s="14"/>
      <c r="F625" s="96"/>
      <c r="H625" s="12"/>
      <c r="I625" s="12"/>
      <c r="J625" s="12"/>
      <c r="K625" s="12"/>
      <c r="L625" s="12"/>
      <c r="M625" s="12"/>
      <c r="N625" s="12"/>
      <c r="O625" s="12"/>
      <c r="P625" s="12"/>
    </row>
    <row r="626">
      <c r="A626" s="12"/>
      <c r="D626" s="95"/>
      <c r="E626" s="14"/>
      <c r="F626" s="96"/>
      <c r="H626" s="12"/>
      <c r="I626" s="12"/>
      <c r="J626" s="12"/>
      <c r="K626" s="12"/>
      <c r="L626" s="12"/>
      <c r="M626" s="12"/>
      <c r="N626" s="12"/>
      <c r="O626" s="12"/>
      <c r="P626" s="12"/>
    </row>
    <row r="627">
      <c r="A627" s="12"/>
      <c r="D627" s="95"/>
      <c r="E627" s="14"/>
      <c r="F627" s="96"/>
      <c r="H627" s="12"/>
      <c r="I627" s="12"/>
      <c r="J627" s="12"/>
      <c r="K627" s="12"/>
      <c r="L627" s="12"/>
      <c r="M627" s="12"/>
      <c r="N627" s="12"/>
      <c r="O627" s="12"/>
      <c r="P627" s="12"/>
    </row>
    <row r="628">
      <c r="A628" s="12"/>
      <c r="D628" s="95"/>
      <c r="E628" s="14"/>
      <c r="F628" s="96"/>
      <c r="H628" s="12"/>
      <c r="I628" s="12"/>
      <c r="J628" s="12"/>
      <c r="K628" s="12"/>
      <c r="L628" s="12"/>
      <c r="M628" s="12"/>
      <c r="N628" s="12"/>
      <c r="O628" s="12"/>
      <c r="P628" s="12"/>
    </row>
    <row r="629">
      <c r="A629" s="12"/>
      <c r="D629" s="95"/>
      <c r="E629" s="14"/>
      <c r="F629" s="96"/>
      <c r="H629" s="12"/>
      <c r="I629" s="12"/>
      <c r="J629" s="12"/>
      <c r="K629" s="12"/>
      <c r="L629" s="12"/>
      <c r="M629" s="12"/>
      <c r="N629" s="12"/>
      <c r="O629" s="12"/>
      <c r="P629" s="12"/>
    </row>
    <row r="630">
      <c r="A630" s="12"/>
      <c r="D630" s="95"/>
      <c r="E630" s="14"/>
      <c r="F630" s="96"/>
      <c r="H630" s="12"/>
      <c r="I630" s="12"/>
      <c r="J630" s="12"/>
      <c r="K630" s="12"/>
      <c r="L630" s="12"/>
      <c r="M630" s="12"/>
      <c r="N630" s="12"/>
      <c r="O630" s="12"/>
      <c r="P630" s="12"/>
    </row>
    <row r="631">
      <c r="A631" s="12"/>
      <c r="D631" s="95"/>
      <c r="E631" s="14"/>
      <c r="F631" s="96"/>
      <c r="H631" s="12"/>
      <c r="I631" s="12"/>
      <c r="J631" s="12"/>
      <c r="K631" s="12"/>
      <c r="L631" s="12"/>
      <c r="M631" s="12"/>
      <c r="N631" s="12"/>
      <c r="O631" s="12"/>
      <c r="P631" s="12"/>
    </row>
    <row r="632">
      <c r="A632" s="12"/>
      <c r="D632" s="95"/>
      <c r="E632" s="14"/>
      <c r="F632" s="96"/>
      <c r="H632" s="12"/>
      <c r="I632" s="12"/>
      <c r="J632" s="12"/>
      <c r="K632" s="12"/>
      <c r="L632" s="12"/>
      <c r="M632" s="12"/>
      <c r="N632" s="12"/>
      <c r="O632" s="12"/>
      <c r="P632" s="12"/>
    </row>
    <row r="633">
      <c r="A633" s="12"/>
      <c r="D633" s="95"/>
      <c r="E633" s="14"/>
      <c r="F633" s="96"/>
      <c r="H633" s="12"/>
      <c r="I633" s="12"/>
      <c r="J633" s="12"/>
      <c r="K633" s="12"/>
      <c r="L633" s="12"/>
      <c r="M633" s="12"/>
      <c r="N633" s="12"/>
      <c r="O633" s="12"/>
      <c r="P633" s="12"/>
    </row>
    <row r="634">
      <c r="A634" s="12"/>
      <c r="D634" s="95"/>
      <c r="E634" s="14"/>
      <c r="F634" s="96"/>
      <c r="H634" s="12"/>
      <c r="I634" s="12"/>
      <c r="J634" s="12"/>
      <c r="K634" s="12"/>
      <c r="L634" s="12"/>
      <c r="M634" s="12"/>
      <c r="N634" s="12"/>
      <c r="O634" s="12"/>
      <c r="P634" s="12"/>
    </row>
    <row r="635">
      <c r="A635" s="12"/>
      <c r="D635" s="95"/>
      <c r="E635" s="14"/>
      <c r="F635" s="96"/>
      <c r="H635" s="12"/>
      <c r="I635" s="12"/>
      <c r="J635" s="12"/>
      <c r="K635" s="12"/>
      <c r="L635" s="12"/>
      <c r="M635" s="12"/>
      <c r="N635" s="12"/>
      <c r="O635" s="12"/>
      <c r="P635" s="12"/>
    </row>
    <row r="636">
      <c r="A636" s="12"/>
      <c r="D636" s="95"/>
      <c r="E636" s="14"/>
      <c r="F636" s="96"/>
      <c r="H636" s="12"/>
      <c r="I636" s="12"/>
      <c r="J636" s="12"/>
      <c r="K636" s="12"/>
      <c r="L636" s="12"/>
      <c r="M636" s="12"/>
      <c r="N636" s="12"/>
      <c r="O636" s="12"/>
      <c r="P636" s="12"/>
    </row>
    <row r="637">
      <c r="A637" s="12"/>
      <c r="D637" s="95"/>
      <c r="E637" s="14"/>
      <c r="F637" s="96"/>
      <c r="H637" s="12"/>
      <c r="I637" s="12"/>
      <c r="J637" s="12"/>
      <c r="K637" s="12"/>
      <c r="L637" s="12"/>
      <c r="M637" s="12"/>
      <c r="N637" s="12"/>
      <c r="O637" s="12"/>
      <c r="P637" s="12"/>
    </row>
    <row r="638">
      <c r="A638" s="12"/>
      <c r="D638" s="95"/>
      <c r="E638" s="14"/>
      <c r="F638" s="96"/>
      <c r="H638" s="12"/>
      <c r="I638" s="12"/>
      <c r="J638" s="12"/>
      <c r="K638" s="12"/>
      <c r="L638" s="12"/>
      <c r="M638" s="12"/>
      <c r="N638" s="12"/>
      <c r="O638" s="12"/>
      <c r="P638" s="12"/>
    </row>
    <row r="639">
      <c r="A639" s="12"/>
      <c r="D639" s="95"/>
      <c r="E639" s="14"/>
      <c r="F639" s="96"/>
      <c r="H639" s="12"/>
      <c r="I639" s="12"/>
      <c r="J639" s="12"/>
      <c r="K639" s="12"/>
      <c r="L639" s="12"/>
      <c r="M639" s="12"/>
      <c r="N639" s="12"/>
      <c r="O639" s="12"/>
      <c r="P639" s="12"/>
    </row>
    <row r="640">
      <c r="A640" s="12"/>
      <c r="D640" s="95"/>
      <c r="E640" s="14"/>
      <c r="F640" s="96"/>
      <c r="H640" s="12"/>
      <c r="I640" s="12"/>
      <c r="J640" s="12"/>
      <c r="K640" s="12"/>
      <c r="L640" s="12"/>
      <c r="M640" s="12"/>
      <c r="N640" s="12"/>
      <c r="O640" s="12"/>
      <c r="P640" s="12"/>
    </row>
    <row r="641">
      <c r="A641" s="12"/>
      <c r="D641" s="95"/>
      <c r="E641" s="14"/>
      <c r="F641" s="96"/>
      <c r="H641" s="12"/>
      <c r="I641" s="12"/>
      <c r="J641" s="12"/>
      <c r="K641" s="12"/>
      <c r="L641" s="12"/>
      <c r="M641" s="12"/>
      <c r="N641" s="12"/>
      <c r="O641" s="12"/>
      <c r="P641" s="12"/>
    </row>
    <row r="642">
      <c r="A642" s="12"/>
      <c r="D642" s="95"/>
      <c r="E642" s="14"/>
      <c r="F642" s="96"/>
      <c r="H642" s="12"/>
      <c r="I642" s="12"/>
      <c r="J642" s="12"/>
      <c r="K642" s="12"/>
      <c r="L642" s="12"/>
      <c r="M642" s="12"/>
      <c r="N642" s="12"/>
      <c r="O642" s="12"/>
      <c r="P642" s="12"/>
    </row>
    <row r="643">
      <c r="A643" s="12"/>
      <c r="D643" s="95"/>
      <c r="E643" s="14"/>
      <c r="F643" s="96"/>
      <c r="H643" s="12"/>
      <c r="I643" s="12"/>
      <c r="J643" s="12"/>
      <c r="K643" s="12"/>
      <c r="L643" s="12"/>
      <c r="M643" s="12"/>
      <c r="N643" s="12"/>
      <c r="O643" s="12"/>
      <c r="P643" s="12"/>
    </row>
    <row r="644">
      <c r="A644" s="12"/>
      <c r="D644" s="95"/>
      <c r="E644" s="14"/>
      <c r="F644" s="96"/>
      <c r="H644" s="12"/>
      <c r="I644" s="12"/>
      <c r="J644" s="12"/>
      <c r="K644" s="12"/>
      <c r="L644" s="12"/>
      <c r="M644" s="12"/>
      <c r="N644" s="12"/>
      <c r="O644" s="12"/>
      <c r="P644" s="12"/>
    </row>
    <row r="645">
      <c r="A645" s="12"/>
      <c r="D645" s="95"/>
      <c r="E645" s="14"/>
      <c r="F645" s="96"/>
      <c r="H645" s="12"/>
      <c r="I645" s="12"/>
      <c r="J645" s="12"/>
      <c r="K645" s="12"/>
      <c r="L645" s="12"/>
      <c r="M645" s="12"/>
      <c r="N645" s="12"/>
      <c r="O645" s="12"/>
      <c r="P645" s="12"/>
    </row>
    <row r="646">
      <c r="A646" s="12"/>
      <c r="D646" s="95"/>
      <c r="E646" s="14"/>
      <c r="F646" s="96"/>
      <c r="H646" s="12"/>
      <c r="I646" s="12"/>
      <c r="J646" s="12"/>
      <c r="K646" s="12"/>
      <c r="L646" s="12"/>
      <c r="M646" s="12"/>
      <c r="N646" s="12"/>
      <c r="O646" s="12"/>
      <c r="P646" s="12"/>
    </row>
    <row r="647">
      <c r="A647" s="12"/>
      <c r="D647" s="95"/>
      <c r="E647" s="14"/>
      <c r="F647" s="96"/>
      <c r="H647" s="12"/>
      <c r="I647" s="12"/>
      <c r="J647" s="12"/>
      <c r="K647" s="12"/>
      <c r="L647" s="12"/>
      <c r="M647" s="12"/>
      <c r="N647" s="12"/>
      <c r="O647" s="12"/>
      <c r="P647" s="12"/>
    </row>
    <row r="648">
      <c r="A648" s="12"/>
      <c r="D648" s="95"/>
      <c r="E648" s="14"/>
      <c r="F648" s="96"/>
      <c r="H648" s="12"/>
      <c r="I648" s="12"/>
      <c r="J648" s="12"/>
      <c r="K648" s="12"/>
      <c r="L648" s="12"/>
      <c r="M648" s="12"/>
      <c r="N648" s="12"/>
      <c r="O648" s="12"/>
      <c r="P648" s="12"/>
    </row>
    <row r="649">
      <c r="A649" s="12"/>
      <c r="D649" s="95"/>
      <c r="E649" s="14"/>
      <c r="F649" s="96"/>
      <c r="H649" s="12"/>
      <c r="I649" s="12"/>
      <c r="J649" s="12"/>
      <c r="K649" s="12"/>
      <c r="L649" s="12"/>
      <c r="M649" s="12"/>
      <c r="N649" s="12"/>
      <c r="O649" s="12"/>
      <c r="P649" s="12"/>
    </row>
    <row r="650">
      <c r="A650" s="12"/>
      <c r="D650" s="95"/>
      <c r="E650" s="14"/>
      <c r="F650" s="96"/>
      <c r="H650" s="12"/>
      <c r="I650" s="12"/>
      <c r="J650" s="12"/>
      <c r="K650" s="12"/>
      <c r="L650" s="12"/>
      <c r="M650" s="12"/>
      <c r="N650" s="12"/>
      <c r="O650" s="12"/>
      <c r="P650" s="12"/>
    </row>
    <row r="651">
      <c r="A651" s="12"/>
      <c r="D651" s="95"/>
      <c r="E651" s="14"/>
      <c r="F651" s="96"/>
      <c r="H651" s="12"/>
      <c r="I651" s="12"/>
      <c r="J651" s="12"/>
      <c r="K651" s="12"/>
      <c r="L651" s="12"/>
      <c r="M651" s="12"/>
      <c r="N651" s="12"/>
      <c r="O651" s="12"/>
      <c r="P651" s="12"/>
    </row>
    <row r="652">
      <c r="A652" s="12"/>
      <c r="D652" s="95"/>
      <c r="E652" s="14"/>
      <c r="F652" s="96"/>
      <c r="H652" s="12"/>
      <c r="I652" s="12"/>
      <c r="J652" s="12"/>
      <c r="K652" s="12"/>
      <c r="L652" s="12"/>
      <c r="M652" s="12"/>
      <c r="N652" s="12"/>
      <c r="O652" s="12"/>
      <c r="P652" s="12"/>
    </row>
    <row r="653">
      <c r="A653" s="12"/>
      <c r="D653" s="95"/>
      <c r="E653" s="14"/>
      <c r="F653" s="96"/>
      <c r="H653" s="12"/>
      <c r="I653" s="12"/>
      <c r="J653" s="12"/>
      <c r="K653" s="12"/>
      <c r="L653" s="12"/>
      <c r="M653" s="12"/>
      <c r="N653" s="12"/>
      <c r="O653" s="12"/>
      <c r="P653" s="12"/>
    </row>
    <row r="654">
      <c r="A654" s="12"/>
      <c r="D654" s="95"/>
      <c r="E654" s="14"/>
      <c r="F654" s="96"/>
      <c r="H654" s="12"/>
      <c r="I654" s="12"/>
      <c r="J654" s="12"/>
      <c r="K654" s="12"/>
      <c r="L654" s="12"/>
      <c r="M654" s="12"/>
      <c r="N654" s="12"/>
      <c r="O654" s="12"/>
      <c r="P654" s="12"/>
    </row>
    <row r="655">
      <c r="A655" s="12"/>
      <c r="D655" s="95"/>
      <c r="E655" s="14"/>
      <c r="F655" s="96"/>
      <c r="H655" s="12"/>
      <c r="I655" s="12"/>
      <c r="J655" s="12"/>
      <c r="K655" s="12"/>
      <c r="L655" s="12"/>
      <c r="M655" s="12"/>
      <c r="N655" s="12"/>
      <c r="O655" s="12"/>
      <c r="P655" s="12"/>
    </row>
    <row r="656">
      <c r="A656" s="12"/>
      <c r="D656" s="95"/>
      <c r="E656" s="14"/>
      <c r="F656" s="96"/>
      <c r="H656" s="12"/>
      <c r="I656" s="12"/>
      <c r="J656" s="12"/>
      <c r="K656" s="12"/>
      <c r="L656" s="12"/>
      <c r="M656" s="12"/>
      <c r="N656" s="12"/>
      <c r="O656" s="12"/>
      <c r="P656" s="12"/>
    </row>
    <row r="657">
      <c r="A657" s="12"/>
      <c r="D657" s="95"/>
      <c r="E657" s="14"/>
      <c r="F657" s="96"/>
      <c r="H657" s="12"/>
      <c r="I657" s="12"/>
      <c r="J657" s="12"/>
      <c r="K657" s="12"/>
      <c r="L657" s="12"/>
      <c r="M657" s="12"/>
      <c r="N657" s="12"/>
      <c r="O657" s="12"/>
      <c r="P657" s="12"/>
    </row>
    <row r="658">
      <c r="A658" s="12"/>
      <c r="D658" s="95"/>
      <c r="E658" s="14"/>
      <c r="F658" s="96"/>
      <c r="H658" s="12"/>
      <c r="I658" s="12"/>
      <c r="J658" s="12"/>
      <c r="K658" s="12"/>
      <c r="L658" s="12"/>
      <c r="M658" s="12"/>
      <c r="N658" s="12"/>
      <c r="O658" s="12"/>
      <c r="P658" s="12"/>
    </row>
    <row r="659">
      <c r="A659" s="12"/>
      <c r="D659" s="95"/>
      <c r="E659" s="14"/>
      <c r="F659" s="96"/>
      <c r="H659" s="12"/>
      <c r="I659" s="12"/>
      <c r="J659" s="12"/>
      <c r="K659" s="12"/>
      <c r="L659" s="12"/>
      <c r="M659" s="12"/>
      <c r="N659" s="12"/>
      <c r="O659" s="12"/>
      <c r="P659" s="12"/>
    </row>
    <row r="660">
      <c r="A660" s="12"/>
      <c r="D660" s="95"/>
      <c r="E660" s="14"/>
      <c r="F660" s="96"/>
      <c r="H660" s="12"/>
      <c r="I660" s="12"/>
      <c r="J660" s="12"/>
      <c r="K660" s="12"/>
      <c r="L660" s="12"/>
      <c r="M660" s="12"/>
      <c r="N660" s="12"/>
      <c r="O660" s="12"/>
      <c r="P660" s="12"/>
    </row>
    <row r="661">
      <c r="A661" s="12"/>
      <c r="D661" s="95"/>
      <c r="E661" s="14"/>
      <c r="F661" s="96"/>
      <c r="H661" s="12"/>
      <c r="I661" s="12"/>
      <c r="J661" s="12"/>
      <c r="K661" s="12"/>
      <c r="L661" s="12"/>
      <c r="M661" s="12"/>
      <c r="N661" s="12"/>
      <c r="O661" s="12"/>
      <c r="P661" s="12"/>
    </row>
    <row r="662">
      <c r="A662" s="12"/>
      <c r="D662" s="95"/>
      <c r="E662" s="14"/>
      <c r="F662" s="96"/>
      <c r="H662" s="12"/>
      <c r="I662" s="12"/>
      <c r="J662" s="12"/>
      <c r="K662" s="12"/>
      <c r="L662" s="12"/>
      <c r="M662" s="12"/>
      <c r="N662" s="12"/>
      <c r="O662" s="12"/>
      <c r="P662" s="12"/>
    </row>
    <row r="663">
      <c r="A663" s="12"/>
      <c r="D663" s="95"/>
      <c r="E663" s="14"/>
      <c r="F663" s="96"/>
      <c r="H663" s="12"/>
      <c r="I663" s="12"/>
      <c r="J663" s="12"/>
      <c r="K663" s="12"/>
      <c r="L663" s="12"/>
      <c r="M663" s="12"/>
      <c r="N663" s="12"/>
      <c r="O663" s="12"/>
      <c r="P663" s="12"/>
    </row>
    <row r="664">
      <c r="A664" s="12"/>
      <c r="D664" s="95"/>
      <c r="E664" s="14"/>
      <c r="F664" s="96"/>
      <c r="H664" s="12"/>
      <c r="I664" s="12"/>
      <c r="J664" s="12"/>
      <c r="K664" s="12"/>
      <c r="L664" s="12"/>
      <c r="M664" s="12"/>
      <c r="N664" s="12"/>
      <c r="O664" s="12"/>
      <c r="P664" s="12"/>
    </row>
    <row r="665">
      <c r="A665" s="12"/>
      <c r="D665" s="95"/>
      <c r="E665" s="14"/>
      <c r="F665" s="96"/>
      <c r="H665" s="12"/>
      <c r="I665" s="12"/>
      <c r="J665" s="12"/>
      <c r="K665" s="12"/>
      <c r="L665" s="12"/>
      <c r="M665" s="12"/>
      <c r="N665" s="12"/>
      <c r="O665" s="12"/>
      <c r="P665" s="12"/>
    </row>
    <row r="666">
      <c r="A666" s="12"/>
      <c r="D666" s="95"/>
      <c r="E666" s="14"/>
      <c r="F666" s="96"/>
      <c r="H666" s="12"/>
      <c r="I666" s="12"/>
      <c r="J666" s="12"/>
      <c r="K666" s="12"/>
      <c r="L666" s="12"/>
      <c r="M666" s="12"/>
      <c r="N666" s="12"/>
      <c r="O666" s="12"/>
      <c r="P666" s="12"/>
    </row>
    <row r="667">
      <c r="A667" s="12"/>
      <c r="D667" s="95"/>
      <c r="E667" s="14"/>
      <c r="F667" s="96"/>
      <c r="H667" s="12"/>
      <c r="I667" s="12"/>
      <c r="J667" s="12"/>
      <c r="K667" s="12"/>
      <c r="L667" s="12"/>
      <c r="M667" s="12"/>
      <c r="N667" s="12"/>
      <c r="O667" s="12"/>
      <c r="P667" s="12"/>
    </row>
    <row r="668">
      <c r="A668" s="12"/>
      <c r="D668" s="95"/>
      <c r="E668" s="14"/>
      <c r="F668" s="96"/>
      <c r="H668" s="12"/>
      <c r="I668" s="12"/>
      <c r="J668" s="12"/>
      <c r="K668" s="12"/>
      <c r="L668" s="12"/>
      <c r="M668" s="12"/>
      <c r="N668" s="12"/>
      <c r="O668" s="12"/>
      <c r="P668" s="12"/>
    </row>
    <row r="669">
      <c r="A669" s="12"/>
      <c r="D669" s="95"/>
      <c r="E669" s="14"/>
      <c r="F669" s="96"/>
      <c r="H669" s="12"/>
      <c r="I669" s="12"/>
      <c r="J669" s="12"/>
      <c r="K669" s="12"/>
      <c r="L669" s="12"/>
      <c r="M669" s="12"/>
      <c r="N669" s="12"/>
      <c r="O669" s="12"/>
      <c r="P669" s="12"/>
    </row>
    <row r="670">
      <c r="A670" s="12"/>
      <c r="D670" s="95"/>
      <c r="E670" s="14"/>
      <c r="F670" s="96"/>
      <c r="H670" s="12"/>
      <c r="I670" s="12"/>
      <c r="J670" s="12"/>
      <c r="K670" s="12"/>
      <c r="L670" s="12"/>
      <c r="M670" s="12"/>
      <c r="N670" s="12"/>
      <c r="O670" s="12"/>
      <c r="P670" s="12"/>
    </row>
    <row r="671">
      <c r="A671" s="12"/>
      <c r="D671" s="95"/>
      <c r="E671" s="14"/>
      <c r="F671" s="96"/>
      <c r="H671" s="12"/>
      <c r="I671" s="12"/>
      <c r="J671" s="12"/>
      <c r="K671" s="12"/>
      <c r="L671" s="12"/>
      <c r="M671" s="12"/>
      <c r="N671" s="12"/>
      <c r="O671" s="12"/>
      <c r="P671" s="12"/>
    </row>
    <row r="672">
      <c r="A672" s="12"/>
      <c r="D672" s="95"/>
      <c r="E672" s="14"/>
      <c r="F672" s="96"/>
      <c r="H672" s="12"/>
      <c r="I672" s="12"/>
      <c r="J672" s="12"/>
      <c r="K672" s="12"/>
      <c r="L672" s="12"/>
      <c r="M672" s="12"/>
      <c r="N672" s="12"/>
      <c r="O672" s="12"/>
      <c r="P672" s="12"/>
    </row>
    <row r="673">
      <c r="A673" s="12"/>
      <c r="D673" s="95"/>
      <c r="E673" s="14"/>
      <c r="F673" s="96"/>
      <c r="H673" s="12"/>
      <c r="I673" s="12"/>
      <c r="J673" s="12"/>
      <c r="K673" s="12"/>
      <c r="L673" s="12"/>
      <c r="M673" s="12"/>
      <c r="N673" s="12"/>
      <c r="O673" s="12"/>
      <c r="P673" s="12"/>
    </row>
    <row r="674">
      <c r="A674" s="12"/>
      <c r="D674" s="95"/>
      <c r="E674" s="14"/>
      <c r="F674" s="96"/>
      <c r="H674" s="12"/>
      <c r="I674" s="12"/>
      <c r="J674" s="12"/>
      <c r="K674" s="12"/>
      <c r="L674" s="12"/>
      <c r="M674" s="12"/>
      <c r="N674" s="12"/>
      <c r="O674" s="12"/>
      <c r="P674" s="12"/>
    </row>
    <row r="675">
      <c r="A675" s="12"/>
      <c r="D675" s="95"/>
      <c r="E675" s="14"/>
      <c r="F675" s="96"/>
      <c r="H675" s="12"/>
      <c r="I675" s="12"/>
      <c r="J675" s="12"/>
      <c r="K675" s="12"/>
      <c r="L675" s="12"/>
      <c r="M675" s="12"/>
      <c r="N675" s="12"/>
      <c r="O675" s="12"/>
      <c r="P675" s="12"/>
    </row>
    <row r="676">
      <c r="A676" s="12"/>
      <c r="D676" s="95"/>
      <c r="E676" s="14"/>
      <c r="F676" s="96"/>
      <c r="H676" s="12"/>
      <c r="I676" s="12"/>
      <c r="J676" s="12"/>
      <c r="K676" s="12"/>
      <c r="L676" s="12"/>
      <c r="M676" s="12"/>
      <c r="N676" s="12"/>
      <c r="O676" s="12"/>
      <c r="P676" s="12"/>
    </row>
    <row r="677">
      <c r="A677" s="12"/>
      <c r="D677" s="95"/>
      <c r="E677" s="14"/>
      <c r="F677" s="96"/>
      <c r="H677" s="12"/>
      <c r="I677" s="12"/>
      <c r="J677" s="12"/>
      <c r="K677" s="12"/>
      <c r="L677" s="12"/>
      <c r="M677" s="12"/>
      <c r="N677" s="12"/>
      <c r="O677" s="12"/>
      <c r="P677" s="12"/>
    </row>
    <row r="678">
      <c r="A678" s="12"/>
      <c r="D678" s="95"/>
      <c r="E678" s="14"/>
      <c r="F678" s="96"/>
      <c r="H678" s="12"/>
      <c r="I678" s="12"/>
      <c r="J678" s="12"/>
      <c r="K678" s="12"/>
      <c r="L678" s="12"/>
      <c r="M678" s="12"/>
      <c r="N678" s="12"/>
      <c r="O678" s="12"/>
      <c r="P678" s="12"/>
    </row>
    <row r="679">
      <c r="A679" s="12"/>
      <c r="D679" s="95"/>
      <c r="E679" s="14"/>
      <c r="F679" s="96"/>
      <c r="H679" s="12"/>
      <c r="I679" s="12"/>
      <c r="J679" s="12"/>
      <c r="K679" s="12"/>
      <c r="L679" s="12"/>
      <c r="M679" s="12"/>
      <c r="N679" s="12"/>
      <c r="O679" s="12"/>
      <c r="P679" s="12"/>
    </row>
    <row r="680">
      <c r="A680" s="12"/>
      <c r="D680" s="95"/>
      <c r="E680" s="14"/>
      <c r="F680" s="96"/>
      <c r="H680" s="12"/>
      <c r="I680" s="12"/>
      <c r="J680" s="12"/>
      <c r="K680" s="12"/>
      <c r="L680" s="12"/>
      <c r="M680" s="12"/>
      <c r="N680" s="12"/>
      <c r="O680" s="12"/>
      <c r="P680" s="12"/>
    </row>
    <row r="681">
      <c r="A681" s="12"/>
      <c r="D681" s="95"/>
      <c r="E681" s="14"/>
      <c r="F681" s="96"/>
      <c r="H681" s="12"/>
      <c r="I681" s="12"/>
      <c r="J681" s="12"/>
      <c r="K681" s="12"/>
      <c r="L681" s="12"/>
      <c r="M681" s="12"/>
      <c r="N681" s="12"/>
      <c r="O681" s="12"/>
      <c r="P681" s="12"/>
    </row>
    <row r="682">
      <c r="A682" s="12"/>
      <c r="D682" s="95"/>
      <c r="E682" s="14"/>
      <c r="F682" s="96"/>
      <c r="H682" s="12"/>
      <c r="I682" s="12"/>
      <c r="J682" s="12"/>
      <c r="K682" s="12"/>
      <c r="L682" s="12"/>
      <c r="M682" s="12"/>
      <c r="N682" s="12"/>
      <c r="O682" s="12"/>
      <c r="P682" s="12"/>
    </row>
    <row r="683">
      <c r="A683" s="12"/>
      <c r="D683" s="95"/>
      <c r="E683" s="14"/>
      <c r="F683" s="96"/>
      <c r="H683" s="12"/>
      <c r="I683" s="12"/>
      <c r="J683" s="12"/>
      <c r="K683" s="12"/>
      <c r="L683" s="12"/>
      <c r="M683" s="12"/>
      <c r="N683" s="12"/>
      <c r="O683" s="12"/>
      <c r="P683" s="12"/>
    </row>
    <row r="684">
      <c r="A684" s="12"/>
      <c r="D684" s="95"/>
      <c r="E684" s="14"/>
      <c r="F684" s="96"/>
      <c r="H684" s="12"/>
      <c r="I684" s="12"/>
      <c r="J684" s="12"/>
      <c r="K684" s="12"/>
      <c r="L684" s="12"/>
      <c r="M684" s="12"/>
      <c r="N684" s="12"/>
      <c r="O684" s="12"/>
      <c r="P684" s="12"/>
    </row>
    <row r="685">
      <c r="A685" s="12"/>
      <c r="D685" s="95"/>
      <c r="E685" s="14"/>
      <c r="F685" s="96"/>
      <c r="H685" s="12"/>
      <c r="I685" s="12"/>
      <c r="J685" s="12"/>
      <c r="K685" s="12"/>
      <c r="L685" s="12"/>
      <c r="M685" s="12"/>
      <c r="N685" s="12"/>
      <c r="O685" s="12"/>
      <c r="P685" s="12"/>
    </row>
    <row r="686">
      <c r="A686" s="12"/>
      <c r="D686" s="95"/>
      <c r="E686" s="14"/>
      <c r="F686" s="96"/>
      <c r="H686" s="12"/>
      <c r="I686" s="12"/>
      <c r="J686" s="12"/>
      <c r="K686" s="12"/>
      <c r="L686" s="12"/>
      <c r="M686" s="12"/>
      <c r="N686" s="12"/>
      <c r="O686" s="12"/>
      <c r="P686" s="12"/>
    </row>
    <row r="687">
      <c r="A687" s="12"/>
      <c r="D687" s="95"/>
      <c r="E687" s="14"/>
      <c r="F687" s="96"/>
      <c r="H687" s="12"/>
      <c r="I687" s="12"/>
      <c r="J687" s="12"/>
      <c r="K687" s="12"/>
      <c r="L687" s="12"/>
      <c r="M687" s="12"/>
      <c r="N687" s="12"/>
      <c r="O687" s="12"/>
      <c r="P687" s="12"/>
    </row>
    <row r="688">
      <c r="A688" s="12"/>
      <c r="D688" s="95"/>
      <c r="E688" s="14"/>
      <c r="F688" s="96"/>
      <c r="H688" s="12"/>
      <c r="I688" s="12"/>
      <c r="J688" s="12"/>
      <c r="K688" s="12"/>
      <c r="L688" s="12"/>
      <c r="M688" s="12"/>
      <c r="N688" s="12"/>
      <c r="O688" s="12"/>
      <c r="P688" s="12"/>
    </row>
    <row r="689">
      <c r="A689" s="12"/>
      <c r="D689" s="95"/>
      <c r="E689" s="14"/>
      <c r="F689" s="96"/>
      <c r="H689" s="12"/>
      <c r="I689" s="12"/>
      <c r="J689" s="12"/>
      <c r="K689" s="12"/>
      <c r="L689" s="12"/>
      <c r="M689" s="12"/>
      <c r="N689" s="12"/>
      <c r="O689" s="12"/>
      <c r="P689" s="12"/>
    </row>
    <row r="690">
      <c r="A690" s="12"/>
      <c r="D690" s="95"/>
      <c r="E690" s="14"/>
      <c r="F690" s="96"/>
      <c r="H690" s="12"/>
      <c r="I690" s="12"/>
      <c r="J690" s="12"/>
      <c r="K690" s="12"/>
      <c r="L690" s="12"/>
      <c r="M690" s="12"/>
      <c r="N690" s="12"/>
      <c r="O690" s="12"/>
      <c r="P690" s="12"/>
    </row>
    <row r="691">
      <c r="A691" s="12"/>
      <c r="D691" s="95"/>
      <c r="E691" s="14"/>
      <c r="F691" s="96"/>
      <c r="H691" s="12"/>
      <c r="I691" s="12"/>
      <c r="J691" s="12"/>
      <c r="K691" s="12"/>
      <c r="L691" s="12"/>
      <c r="M691" s="12"/>
      <c r="N691" s="12"/>
      <c r="O691" s="12"/>
      <c r="P691" s="12"/>
    </row>
    <row r="692">
      <c r="A692" s="12"/>
      <c r="D692" s="95"/>
      <c r="E692" s="14"/>
      <c r="F692" s="96"/>
      <c r="H692" s="12"/>
      <c r="I692" s="12"/>
      <c r="J692" s="12"/>
      <c r="K692" s="12"/>
      <c r="L692" s="12"/>
      <c r="M692" s="12"/>
      <c r="N692" s="12"/>
      <c r="O692" s="12"/>
      <c r="P692" s="12"/>
    </row>
    <row r="693">
      <c r="A693" s="12"/>
      <c r="D693" s="95"/>
      <c r="E693" s="14"/>
      <c r="F693" s="96"/>
      <c r="H693" s="12"/>
      <c r="I693" s="12"/>
      <c r="J693" s="12"/>
      <c r="K693" s="12"/>
      <c r="L693" s="12"/>
      <c r="M693" s="12"/>
      <c r="N693" s="12"/>
      <c r="O693" s="12"/>
      <c r="P693" s="12"/>
    </row>
    <row r="694">
      <c r="A694" s="12"/>
      <c r="D694" s="95"/>
      <c r="E694" s="14"/>
      <c r="F694" s="96"/>
      <c r="H694" s="12"/>
      <c r="I694" s="12"/>
      <c r="J694" s="12"/>
      <c r="K694" s="12"/>
      <c r="L694" s="12"/>
      <c r="M694" s="12"/>
      <c r="N694" s="12"/>
      <c r="O694" s="12"/>
      <c r="P694" s="12"/>
    </row>
    <row r="695">
      <c r="A695" s="12"/>
      <c r="D695" s="95"/>
      <c r="E695" s="14"/>
      <c r="F695" s="96"/>
      <c r="H695" s="12"/>
      <c r="I695" s="12"/>
      <c r="J695" s="12"/>
      <c r="K695" s="12"/>
      <c r="L695" s="12"/>
      <c r="M695" s="12"/>
      <c r="N695" s="12"/>
      <c r="O695" s="12"/>
      <c r="P695" s="12"/>
    </row>
    <row r="696">
      <c r="A696" s="12"/>
      <c r="D696" s="95"/>
      <c r="E696" s="14"/>
      <c r="F696" s="96"/>
      <c r="H696" s="12"/>
      <c r="I696" s="12"/>
      <c r="J696" s="12"/>
      <c r="K696" s="12"/>
      <c r="L696" s="12"/>
      <c r="M696" s="12"/>
      <c r="N696" s="12"/>
      <c r="O696" s="12"/>
      <c r="P696" s="12"/>
    </row>
    <row r="697">
      <c r="A697" s="12"/>
      <c r="D697" s="95"/>
      <c r="E697" s="14"/>
      <c r="F697" s="96"/>
      <c r="H697" s="12"/>
      <c r="I697" s="12"/>
      <c r="J697" s="12"/>
      <c r="K697" s="12"/>
      <c r="L697" s="12"/>
      <c r="M697" s="12"/>
      <c r="N697" s="12"/>
      <c r="O697" s="12"/>
      <c r="P697" s="12"/>
    </row>
    <row r="698">
      <c r="A698" s="12"/>
      <c r="D698" s="95"/>
      <c r="E698" s="14"/>
      <c r="F698" s="96"/>
      <c r="H698" s="12"/>
      <c r="I698" s="12"/>
      <c r="J698" s="12"/>
      <c r="K698" s="12"/>
      <c r="L698" s="12"/>
      <c r="M698" s="12"/>
      <c r="N698" s="12"/>
      <c r="O698" s="12"/>
      <c r="P698" s="12"/>
    </row>
    <row r="699">
      <c r="A699" s="12"/>
      <c r="D699" s="95"/>
      <c r="E699" s="14"/>
      <c r="F699" s="96"/>
      <c r="H699" s="12"/>
      <c r="I699" s="12"/>
      <c r="J699" s="12"/>
      <c r="K699" s="12"/>
      <c r="L699" s="12"/>
      <c r="M699" s="12"/>
      <c r="N699" s="12"/>
      <c r="O699" s="12"/>
      <c r="P699" s="12"/>
    </row>
    <row r="700">
      <c r="A700" s="12"/>
      <c r="D700" s="95"/>
      <c r="E700" s="14"/>
      <c r="F700" s="96"/>
      <c r="H700" s="12"/>
      <c r="I700" s="12"/>
      <c r="J700" s="12"/>
      <c r="K700" s="12"/>
      <c r="L700" s="12"/>
      <c r="M700" s="12"/>
      <c r="N700" s="12"/>
      <c r="O700" s="12"/>
      <c r="P700" s="12"/>
    </row>
    <row r="701">
      <c r="A701" s="12"/>
      <c r="D701" s="95"/>
      <c r="E701" s="14"/>
      <c r="F701" s="96"/>
      <c r="H701" s="12"/>
      <c r="I701" s="12"/>
      <c r="J701" s="12"/>
      <c r="K701" s="12"/>
      <c r="L701" s="12"/>
      <c r="M701" s="12"/>
      <c r="N701" s="12"/>
      <c r="O701" s="12"/>
      <c r="P701" s="12"/>
    </row>
    <row r="702">
      <c r="A702" s="12"/>
      <c r="D702" s="95"/>
      <c r="E702" s="14"/>
      <c r="F702" s="96"/>
      <c r="H702" s="12"/>
      <c r="I702" s="12"/>
      <c r="J702" s="12"/>
      <c r="K702" s="12"/>
      <c r="L702" s="12"/>
      <c r="M702" s="12"/>
      <c r="N702" s="12"/>
      <c r="O702" s="12"/>
      <c r="P702" s="12"/>
    </row>
    <row r="703">
      <c r="A703" s="12"/>
      <c r="D703" s="95"/>
      <c r="E703" s="14"/>
      <c r="F703" s="96"/>
      <c r="H703" s="12"/>
      <c r="I703" s="12"/>
      <c r="J703" s="12"/>
      <c r="K703" s="12"/>
      <c r="L703" s="12"/>
      <c r="M703" s="12"/>
      <c r="N703" s="12"/>
      <c r="O703" s="12"/>
      <c r="P703" s="12"/>
    </row>
    <row r="704">
      <c r="A704" s="12"/>
      <c r="D704" s="95"/>
      <c r="E704" s="14"/>
      <c r="F704" s="96"/>
      <c r="H704" s="12"/>
      <c r="I704" s="12"/>
      <c r="J704" s="12"/>
      <c r="K704" s="12"/>
      <c r="L704" s="12"/>
      <c r="M704" s="12"/>
      <c r="N704" s="12"/>
      <c r="O704" s="12"/>
      <c r="P704" s="12"/>
    </row>
    <row r="705">
      <c r="A705" s="12"/>
      <c r="D705" s="95"/>
      <c r="E705" s="14"/>
      <c r="F705" s="96"/>
      <c r="H705" s="12"/>
      <c r="I705" s="12"/>
      <c r="J705" s="12"/>
      <c r="K705" s="12"/>
      <c r="L705" s="12"/>
      <c r="M705" s="12"/>
      <c r="N705" s="12"/>
      <c r="O705" s="12"/>
      <c r="P705" s="12"/>
    </row>
    <row r="706">
      <c r="A706" s="12"/>
      <c r="D706" s="95"/>
      <c r="E706" s="14"/>
      <c r="F706" s="96"/>
      <c r="H706" s="12"/>
      <c r="I706" s="12"/>
      <c r="J706" s="12"/>
      <c r="K706" s="12"/>
      <c r="L706" s="12"/>
      <c r="M706" s="12"/>
      <c r="N706" s="12"/>
      <c r="O706" s="12"/>
      <c r="P706" s="12"/>
    </row>
    <row r="707">
      <c r="A707" s="12"/>
      <c r="D707" s="95"/>
      <c r="E707" s="14"/>
      <c r="F707" s="96"/>
      <c r="H707" s="12"/>
      <c r="I707" s="12"/>
      <c r="J707" s="12"/>
      <c r="K707" s="12"/>
      <c r="L707" s="12"/>
      <c r="M707" s="12"/>
      <c r="N707" s="12"/>
      <c r="O707" s="12"/>
      <c r="P707" s="12"/>
    </row>
    <row r="708">
      <c r="A708" s="12"/>
      <c r="D708" s="95"/>
      <c r="E708" s="14"/>
      <c r="F708" s="96"/>
      <c r="H708" s="12"/>
      <c r="I708" s="12"/>
      <c r="J708" s="12"/>
      <c r="K708" s="12"/>
      <c r="L708" s="12"/>
      <c r="M708" s="12"/>
      <c r="N708" s="12"/>
      <c r="O708" s="12"/>
      <c r="P708" s="12"/>
    </row>
    <row r="709">
      <c r="A709" s="12"/>
      <c r="D709" s="95"/>
      <c r="E709" s="14"/>
      <c r="F709" s="96"/>
      <c r="H709" s="12"/>
      <c r="I709" s="12"/>
      <c r="J709" s="12"/>
      <c r="K709" s="12"/>
      <c r="L709" s="12"/>
      <c r="M709" s="12"/>
      <c r="N709" s="12"/>
      <c r="O709" s="12"/>
      <c r="P709" s="12"/>
    </row>
    <row r="710">
      <c r="A710" s="12"/>
      <c r="D710" s="95"/>
      <c r="E710" s="14"/>
      <c r="F710" s="96"/>
      <c r="H710" s="12"/>
      <c r="I710" s="12"/>
      <c r="J710" s="12"/>
      <c r="K710" s="12"/>
      <c r="L710" s="12"/>
      <c r="M710" s="12"/>
      <c r="N710" s="12"/>
      <c r="O710" s="12"/>
      <c r="P710" s="12"/>
    </row>
    <row r="711">
      <c r="A711" s="12"/>
      <c r="D711" s="95"/>
      <c r="E711" s="14"/>
      <c r="F711" s="96"/>
      <c r="H711" s="12"/>
      <c r="I711" s="12"/>
      <c r="J711" s="12"/>
      <c r="K711" s="12"/>
      <c r="L711" s="12"/>
      <c r="M711" s="12"/>
      <c r="N711" s="12"/>
      <c r="O711" s="12"/>
      <c r="P711" s="12"/>
    </row>
    <row r="712">
      <c r="A712" s="12"/>
      <c r="D712" s="95"/>
      <c r="E712" s="14"/>
      <c r="F712" s="96"/>
      <c r="H712" s="12"/>
      <c r="I712" s="12"/>
      <c r="J712" s="12"/>
      <c r="K712" s="12"/>
      <c r="L712" s="12"/>
      <c r="M712" s="12"/>
      <c r="N712" s="12"/>
      <c r="O712" s="12"/>
      <c r="P712" s="12"/>
    </row>
    <row r="713">
      <c r="A713" s="12"/>
      <c r="D713" s="95"/>
      <c r="E713" s="14"/>
      <c r="F713" s="96"/>
      <c r="H713" s="12"/>
      <c r="I713" s="12"/>
      <c r="J713" s="12"/>
      <c r="K713" s="12"/>
      <c r="L713" s="12"/>
      <c r="M713" s="12"/>
      <c r="N713" s="12"/>
      <c r="O713" s="12"/>
      <c r="P713" s="12"/>
    </row>
    <row r="714">
      <c r="A714" s="12"/>
      <c r="D714" s="95"/>
      <c r="E714" s="14"/>
      <c r="F714" s="96"/>
      <c r="H714" s="12"/>
      <c r="I714" s="12"/>
      <c r="J714" s="12"/>
      <c r="K714" s="12"/>
      <c r="L714" s="12"/>
      <c r="M714" s="12"/>
      <c r="N714" s="12"/>
      <c r="O714" s="12"/>
      <c r="P714" s="12"/>
    </row>
    <row r="715">
      <c r="A715" s="12"/>
      <c r="D715" s="95"/>
      <c r="E715" s="14"/>
      <c r="F715" s="96"/>
      <c r="H715" s="12"/>
      <c r="I715" s="12"/>
      <c r="J715" s="12"/>
      <c r="K715" s="12"/>
      <c r="L715" s="12"/>
      <c r="M715" s="12"/>
      <c r="N715" s="12"/>
      <c r="O715" s="12"/>
      <c r="P715" s="12"/>
    </row>
    <row r="716">
      <c r="A716" s="12"/>
      <c r="D716" s="95"/>
      <c r="E716" s="14"/>
      <c r="F716" s="96"/>
      <c r="H716" s="12"/>
      <c r="I716" s="12"/>
      <c r="J716" s="12"/>
      <c r="K716" s="12"/>
      <c r="L716" s="12"/>
      <c r="M716" s="12"/>
      <c r="N716" s="12"/>
      <c r="O716" s="12"/>
      <c r="P716" s="12"/>
    </row>
    <row r="717">
      <c r="A717" s="12"/>
      <c r="D717" s="95"/>
      <c r="E717" s="14"/>
      <c r="F717" s="96"/>
      <c r="H717" s="12"/>
      <c r="I717" s="12"/>
      <c r="J717" s="12"/>
      <c r="K717" s="12"/>
      <c r="L717" s="12"/>
      <c r="M717" s="12"/>
      <c r="N717" s="12"/>
      <c r="O717" s="12"/>
      <c r="P717" s="12"/>
    </row>
    <row r="718">
      <c r="A718" s="12"/>
      <c r="D718" s="95"/>
      <c r="E718" s="14"/>
      <c r="F718" s="96"/>
      <c r="H718" s="12"/>
      <c r="I718" s="12"/>
      <c r="J718" s="12"/>
      <c r="K718" s="12"/>
      <c r="L718" s="12"/>
      <c r="M718" s="12"/>
      <c r="N718" s="12"/>
      <c r="O718" s="12"/>
      <c r="P718" s="12"/>
    </row>
    <row r="719">
      <c r="A719" s="12"/>
      <c r="D719" s="95"/>
      <c r="E719" s="14"/>
      <c r="F719" s="96"/>
      <c r="H719" s="12"/>
      <c r="I719" s="12"/>
      <c r="J719" s="12"/>
      <c r="K719" s="12"/>
      <c r="L719" s="12"/>
      <c r="M719" s="12"/>
      <c r="N719" s="12"/>
      <c r="O719" s="12"/>
      <c r="P719" s="12"/>
    </row>
    <row r="720">
      <c r="A720" s="12"/>
      <c r="D720" s="95"/>
      <c r="E720" s="14"/>
      <c r="F720" s="96"/>
      <c r="H720" s="12"/>
      <c r="I720" s="12"/>
      <c r="J720" s="12"/>
      <c r="K720" s="12"/>
      <c r="L720" s="12"/>
      <c r="M720" s="12"/>
      <c r="N720" s="12"/>
      <c r="O720" s="12"/>
      <c r="P720" s="12"/>
    </row>
    <row r="721">
      <c r="A721" s="12"/>
      <c r="D721" s="95"/>
      <c r="E721" s="14"/>
      <c r="F721" s="96"/>
      <c r="H721" s="12"/>
      <c r="I721" s="12"/>
      <c r="J721" s="12"/>
      <c r="K721" s="12"/>
      <c r="L721" s="12"/>
      <c r="M721" s="12"/>
      <c r="N721" s="12"/>
      <c r="O721" s="12"/>
      <c r="P721" s="12"/>
    </row>
    <row r="722">
      <c r="A722" s="12"/>
      <c r="D722" s="95"/>
      <c r="E722" s="14"/>
      <c r="F722" s="96"/>
      <c r="H722" s="12"/>
      <c r="I722" s="12"/>
      <c r="J722" s="12"/>
      <c r="K722" s="12"/>
      <c r="L722" s="12"/>
      <c r="M722" s="12"/>
      <c r="N722" s="12"/>
      <c r="O722" s="12"/>
      <c r="P722" s="12"/>
    </row>
    <row r="723">
      <c r="A723" s="12"/>
      <c r="D723" s="95"/>
      <c r="E723" s="14"/>
      <c r="F723" s="96"/>
      <c r="H723" s="12"/>
      <c r="I723" s="12"/>
      <c r="J723" s="12"/>
      <c r="K723" s="12"/>
      <c r="L723" s="12"/>
      <c r="M723" s="12"/>
      <c r="N723" s="12"/>
      <c r="O723" s="12"/>
      <c r="P723" s="12"/>
    </row>
    <row r="724">
      <c r="A724" s="12"/>
      <c r="D724" s="95"/>
      <c r="E724" s="14"/>
      <c r="F724" s="96"/>
      <c r="H724" s="12"/>
      <c r="I724" s="12"/>
      <c r="J724" s="12"/>
      <c r="K724" s="12"/>
      <c r="L724" s="12"/>
      <c r="M724" s="12"/>
      <c r="N724" s="12"/>
      <c r="O724" s="12"/>
      <c r="P724" s="12"/>
    </row>
    <row r="725">
      <c r="A725" s="12"/>
      <c r="D725" s="95"/>
      <c r="E725" s="14"/>
      <c r="F725" s="96"/>
      <c r="H725" s="12"/>
      <c r="I725" s="12"/>
      <c r="J725" s="12"/>
      <c r="K725" s="12"/>
      <c r="L725" s="12"/>
      <c r="M725" s="12"/>
      <c r="N725" s="12"/>
      <c r="O725" s="12"/>
      <c r="P725" s="12"/>
    </row>
    <row r="726">
      <c r="A726" s="12"/>
      <c r="D726" s="95"/>
      <c r="E726" s="14"/>
      <c r="F726" s="96"/>
      <c r="H726" s="12"/>
      <c r="I726" s="12"/>
      <c r="J726" s="12"/>
      <c r="K726" s="12"/>
      <c r="L726" s="12"/>
      <c r="M726" s="12"/>
      <c r="N726" s="12"/>
      <c r="O726" s="12"/>
      <c r="P726" s="12"/>
    </row>
    <row r="727">
      <c r="A727" s="12"/>
      <c r="D727" s="95"/>
      <c r="E727" s="14"/>
      <c r="F727" s="96"/>
      <c r="H727" s="12"/>
      <c r="I727" s="12"/>
      <c r="J727" s="12"/>
      <c r="K727" s="12"/>
      <c r="L727" s="12"/>
      <c r="M727" s="12"/>
      <c r="N727" s="12"/>
      <c r="O727" s="12"/>
      <c r="P727" s="12"/>
    </row>
    <row r="728">
      <c r="A728" s="12"/>
      <c r="D728" s="95"/>
      <c r="E728" s="14"/>
      <c r="F728" s="96"/>
      <c r="H728" s="12"/>
      <c r="I728" s="12"/>
      <c r="J728" s="12"/>
      <c r="K728" s="12"/>
      <c r="L728" s="12"/>
      <c r="M728" s="12"/>
      <c r="N728" s="12"/>
      <c r="O728" s="12"/>
      <c r="P728" s="12"/>
    </row>
    <row r="729">
      <c r="A729" s="12"/>
      <c r="D729" s="95"/>
      <c r="E729" s="14"/>
      <c r="F729" s="96"/>
      <c r="H729" s="12"/>
      <c r="I729" s="12"/>
      <c r="J729" s="12"/>
      <c r="K729" s="12"/>
      <c r="L729" s="12"/>
      <c r="M729" s="12"/>
      <c r="N729" s="12"/>
      <c r="O729" s="12"/>
      <c r="P729" s="12"/>
    </row>
    <row r="730">
      <c r="A730" s="12"/>
      <c r="D730" s="95"/>
      <c r="E730" s="14"/>
      <c r="F730" s="96"/>
      <c r="H730" s="12"/>
      <c r="I730" s="12"/>
      <c r="J730" s="12"/>
      <c r="K730" s="12"/>
      <c r="L730" s="12"/>
      <c r="M730" s="12"/>
      <c r="N730" s="12"/>
      <c r="O730" s="12"/>
      <c r="P730" s="12"/>
    </row>
    <row r="731">
      <c r="A731" s="12"/>
      <c r="D731" s="95"/>
      <c r="E731" s="14"/>
      <c r="F731" s="96"/>
      <c r="H731" s="12"/>
      <c r="I731" s="12"/>
      <c r="J731" s="12"/>
      <c r="K731" s="12"/>
      <c r="L731" s="12"/>
      <c r="M731" s="12"/>
      <c r="N731" s="12"/>
      <c r="O731" s="12"/>
      <c r="P731" s="12"/>
    </row>
    <row r="732">
      <c r="A732" s="12"/>
      <c r="D732" s="95"/>
      <c r="E732" s="14"/>
      <c r="F732" s="96"/>
      <c r="H732" s="12"/>
      <c r="I732" s="12"/>
      <c r="J732" s="12"/>
      <c r="K732" s="12"/>
      <c r="L732" s="12"/>
      <c r="M732" s="12"/>
      <c r="N732" s="12"/>
      <c r="O732" s="12"/>
      <c r="P732" s="12"/>
    </row>
    <row r="733">
      <c r="A733" s="12"/>
      <c r="D733" s="95"/>
      <c r="E733" s="14"/>
      <c r="F733" s="96"/>
      <c r="H733" s="12"/>
      <c r="I733" s="12"/>
      <c r="J733" s="12"/>
      <c r="K733" s="12"/>
      <c r="L733" s="12"/>
      <c r="M733" s="12"/>
      <c r="N733" s="12"/>
      <c r="O733" s="12"/>
      <c r="P733" s="12"/>
    </row>
    <row r="734">
      <c r="A734" s="12"/>
      <c r="D734" s="95"/>
      <c r="E734" s="14"/>
      <c r="F734" s="96"/>
      <c r="H734" s="12"/>
      <c r="I734" s="12"/>
      <c r="J734" s="12"/>
      <c r="K734" s="12"/>
      <c r="L734" s="12"/>
      <c r="M734" s="12"/>
      <c r="N734" s="12"/>
      <c r="O734" s="12"/>
      <c r="P734" s="12"/>
    </row>
    <row r="735">
      <c r="A735" s="12"/>
      <c r="D735" s="95"/>
      <c r="E735" s="14"/>
      <c r="F735" s="96"/>
      <c r="H735" s="12"/>
      <c r="I735" s="12"/>
      <c r="J735" s="12"/>
      <c r="K735" s="12"/>
      <c r="L735" s="12"/>
      <c r="M735" s="12"/>
      <c r="N735" s="12"/>
      <c r="O735" s="12"/>
      <c r="P735" s="12"/>
    </row>
    <row r="736">
      <c r="A736" s="12"/>
      <c r="D736" s="95"/>
      <c r="E736" s="14"/>
      <c r="F736" s="96"/>
      <c r="H736" s="12"/>
      <c r="I736" s="12"/>
      <c r="J736" s="12"/>
      <c r="K736" s="12"/>
      <c r="L736" s="12"/>
      <c r="M736" s="12"/>
      <c r="N736" s="12"/>
      <c r="O736" s="12"/>
      <c r="P736" s="12"/>
    </row>
    <row r="737">
      <c r="A737" s="12"/>
      <c r="D737" s="95"/>
      <c r="E737" s="14"/>
      <c r="F737" s="96"/>
      <c r="H737" s="12"/>
      <c r="I737" s="12"/>
      <c r="J737" s="12"/>
      <c r="K737" s="12"/>
      <c r="L737" s="12"/>
      <c r="M737" s="12"/>
      <c r="N737" s="12"/>
      <c r="O737" s="12"/>
      <c r="P737" s="12"/>
    </row>
    <row r="738">
      <c r="A738" s="12"/>
      <c r="D738" s="95"/>
      <c r="E738" s="14"/>
      <c r="F738" s="96"/>
      <c r="H738" s="12"/>
      <c r="I738" s="12"/>
      <c r="J738" s="12"/>
      <c r="K738" s="12"/>
      <c r="L738" s="12"/>
      <c r="M738" s="12"/>
      <c r="N738" s="12"/>
      <c r="O738" s="12"/>
      <c r="P738" s="12"/>
    </row>
    <row r="739">
      <c r="A739" s="12"/>
      <c r="D739" s="95"/>
      <c r="E739" s="14"/>
      <c r="F739" s="96"/>
      <c r="H739" s="12"/>
      <c r="I739" s="12"/>
      <c r="J739" s="12"/>
      <c r="K739" s="12"/>
      <c r="L739" s="12"/>
      <c r="M739" s="12"/>
      <c r="N739" s="12"/>
      <c r="O739" s="12"/>
      <c r="P739" s="12"/>
    </row>
    <row r="740">
      <c r="A740" s="12"/>
      <c r="D740" s="95"/>
      <c r="E740" s="14"/>
      <c r="F740" s="96"/>
      <c r="H740" s="12"/>
      <c r="I740" s="12"/>
      <c r="J740" s="12"/>
      <c r="K740" s="12"/>
      <c r="L740" s="12"/>
      <c r="M740" s="12"/>
      <c r="N740" s="12"/>
      <c r="O740" s="12"/>
      <c r="P740" s="12"/>
    </row>
    <row r="741">
      <c r="A741" s="12"/>
      <c r="D741" s="95"/>
      <c r="E741" s="14"/>
      <c r="F741" s="96"/>
      <c r="H741" s="12"/>
      <c r="I741" s="12"/>
      <c r="J741" s="12"/>
      <c r="K741" s="12"/>
      <c r="L741" s="12"/>
      <c r="M741" s="12"/>
      <c r="N741" s="12"/>
      <c r="O741" s="12"/>
      <c r="P741" s="12"/>
    </row>
    <row r="742">
      <c r="A742" s="12"/>
      <c r="D742" s="95"/>
      <c r="E742" s="14"/>
      <c r="F742" s="96"/>
      <c r="H742" s="12"/>
      <c r="I742" s="12"/>
      <c r="J742" s="12"/>
      <c r="K742" s="12"/>
      <c r="L742" s="12"/>
      <c r="M742" s="12"/>
      <c r="N742" s="12"/>
      <c r="O742" s="12"/>
      <c r="P742" s="12"/>
    </row>
    <row r="743">
      <c r="A743" s="12"/>
      <c r="D743" s="95"/>
      <c r="E743" s="14"/>
      <c r="F743" s="96"/>
      <c r="H743" s="12"/>
      <c r="I743" s="12"/>
      <c r="J743" s="12"/>
      <c r="K743" s="12"/>
      <c r="L743" s="12"/>
      <c r="M743" s="12"/>
      <c r="N743" s="12"/>
      <c r="O743" s="12"/>
      <c r="P743" s="12"/>
    </row>
    <row r="744">
      <c r="A744" s="12"/>
      <c r="D744" s="95"/>
      <c r="E744" s="14"/>
      <c r="F744" s="96"/>
      <c r="H744" s="12"/>
      <c r="I744" s="12"/>
      <c r="J744" s="12"/>
      <c r="K744" s="12"/>
      <c r="L744" s="12"/>
      <c r="M744" s="12"/>
      <c r="N744" s="12"/>
      <c r="O744" s="12"/>
      <c r="P744" s="12"/>
    </row>
    <row r="745">
      <c r="A745" s="12"/>
      <c r="D745" s="95"/>
      <c r="E745" s="14"/>
      <c r="F745" s="96"/>
      <c r="H745" s="12"/>
      <c r="I745" s="12"/>
      <c r="J745" s="12"/>
      <c r="K745" s="12"/>
      <c r="L745" s="12"/>
      <c r="M745" s="12"/>
      <c r="N745" s="12"/>
      <c r="O745" s="12"/>
      <c r="P745" s="12"/>
    </row>
    <row r="746">
      <c r="A746" s="12"/>
      <c r="D746" s="95"/>
      <c r="E746" s="14"/>
      <c r="F746" s="96"/>
      <c r="H746" s="12"/>
      <c r="I746" s="12"/>
      <c r="J746" s="12"/>
      <c r="K746" s="12"/>
      <c r="L746" s="12"/>
      <c r="M746" s="12"/>
      <c r="N746" s="12"/>
      <c r="O746" s="12"/>
      <c r="P746" s="12"/>
    </row>
    <row r="747">
      <c r="A747" s="12"/>
      <c r="D747" s="95"/>
      <c r="E747" s="14"/>
      <c r="F747" s="96"/>
      <c r="H747" s="12"/>
      <c r="I747" s="12"/>
      <c r="J747" s="12"/>
      <c r="K747" s="12"/>
      <c r="L747" s="12"/>
      <c r="M747" s="12"/>
      <c r="N747" s="12"/>
      <c r="O747" s="12"/>
      <c r="P747" s="12"/>
    </row>
    <row r="748">
      <c r="A748" s="12"/>
      <c r="D748" s="95"/>
      <c r="E748" s="14"/>
      <c r="F748" s="96"/>
      <c r="H748" s="12"/>
      <c r="I748" s="12"/>
      <c r="J748" s="12"/>
      <c r="K748" s="12"/>
      <c r="L748" s="12"/>
      <c r="M748" s="12"/>
      <c r="N748" s="12"/>
      <c r="O748" s="12"/>
      <c r="P748" s="12"/>
    </row>
    <row r="749">
      <c r="A749" s="12"/>
      <c r="D749" s="95"/>
      <c r="E749" s="14"/>
      <c r="F749" s="96"/>
      <c r="H749" s="12"/>
      <c r="I749" s="12"/>
      <c r="J749" s="12"/>
      <c r="K749" s="12"/>
      <c r="L749" s="12"/>
      <c r="M749" s="12"/>
      <c r="N749" s="12"/>
      <c r="O749" s="12"/>
      <c r="P749" s="12"/>
    </row>
    <row r="750">
      <c r="A750" s="12"/>
      <c r="D750" s="95"/>
      <c r="E750" s="14"/>
      <c r="F750" s="96"/>
      <c r="H750" s="12"/>
      <c r="I750" s="12"/>
      <c r="J750" s="12"/>
      <c r="K750" s="12"/>
      <c r="L750" s="12"/>
      <c r="M750" s="12"/>
      <c r="N750" s="12"/>
      <c r="O750" s="12"/>
      <c r="P750" s="12"/>
    </row>
    <row r="751">
      <c r="A751" s="12"/>
      <c r="D751" s="95"/>
      <c r="E751" s="14"/>
      <c r="F751" s="96"/>
      <c r="H751" s="12"/>
      <c r="I751" s="12"/>
      <c r="J751" s="12"/>
      <c r="K751" s="12"/>
      <c r="L751" s="12"/>
      <c r="M751" s="12"/>
      <c r="N751" s="12"/>
      <c r="O751" s="12"/>
      <c r="P751" s="12"/>
    </row>
    <row r="752">
      <c r="A752" s="12"/>
      <c r="D752" s="95"/>
      <c r="E752" s="14"/>
      <c r="F752" s="96"/>
      <c r="H752" s="12"/>
      <c r="I752" s="12"/>
      <c r="J752" s="12"/>
      <c r="K752" s="12"/>
      <c r="L752" s="12"/>
      <c r="M752" s="12"/>
      <c r="N752" s="12"/>
      <c r="O752" s="12"/>
      <c r="P752" s="12"/>
    </row>
    <row r="753">
      <c r="A753" s="12"/>
      <c r="D753" s="95"/>
      <c r="E753" s="14"/>
      <c r="F753" s="96"/>
      <c r="H753" s="12"/>
      <c r="I753" s="12"/>
      <c r="J753" s="12"/>
      <c r="K753" s="12"/>
      <c r="L753" s="12"/>
      <c r="M753" s="12"/>
      <c r="N753" s="12"/>
      <c r="O753" s="12"/>
      <c r="P753" s="12"/>
    </row>
    <row r="754">
      <c r="A754" s="12"/>
      <c r="D754" s="95"/>
      <c r="E754" s="14"/>
      <c r="F754" s="96"/>
      <c r="H754" s="12"/>
      <c r="I754" s="12"/>
      <c r="J754" s="12"/>
      <c r="K754" s="12"/>
      <c r="L754" s="12"/>
      <c r="M754" s="12"/>
      <c r="N754" s="12"/>
      <c r="O754" s="12"/>
      <c r="P754" s="12"/>
    </row>
    <row r="755">
      <c r="A755" s="12"/>
      <c r="D755" s="95"/>
      <c r="E755" s="14"/>
      <c r="F755" s="96"/>
      <c r="H755" s="12"/>
      <c r="I755" s="12"/>
      <c r="J755" s="12"/>
      <c r="K755" s="12"/>
      <c r="L755" s="12"/>
      <c r="M755" s="12"/>
      <c r="N755" s="12"/>
      <c r="O755" s="12"/>
      <c r="P755" s="12"/>
    </row>
    <row r="756">
      <c r="A756" s="12"/>
      <c r="D756" s="95"/>
      <c r="E756" s="14"/>
      <c r="F756" s="96"/>
      <c r="H756" s="12"/>
      <c r="I756" s="12"/>
      <c r="J756" s="12"/>
      <c r="K756" s="12"/>
      <c r="L756" s="12"/>
      <c r="M756" s="12"/>
      <c r="N756" s="12"/>
      <c r="O756" s="12"/>
      <c r="P756" s="12"/>
    </row>
    <row r="757">
      <c r="A757" s="12"/>
      <c r="D757" s="95"/>
      <c r="E757" s="14"/>
      <c r="F757" s="96"/>
      <c r="H757" s="12"/>
      <c r="I757" s="12"/>
      <c r="J757" s="12"/>
      <c r="K757" s="12"/>
      <c r="L757" s="12"/>
      <c r="M757" s="12"/>
      <c r="N757" s="12"/>
      <c r="O757" s="12"/>
      <c r="P757" s="12"/>
    </row>
    <row r="758">
      <c r="A758" s="12"/>
      <c r="D758" s="95"/>
      <c r="E758" s="14"/>
      <c r="F758" s="96"/>
      <c r="H758" s="12"/>
      <c r="I758" s="12"/>
      <c r="J758" s="12"/>
      <c r="K758" s="12"/>
      <c r="L758" s="12"/>
      <c r="M758" s="12"/>
      <c r="N758" s="12"/>
      <c r="O758" s="12"/>
      <c r="P758" s="12"/>
    </row>
    <row r="759">
      <c r="A759" s="12"/>
      <c r="D759" s="95"/>
      <c r="E759" s="14"/>
      <c r="F759" s="96"/>
      <c r="H759" s="12"/>
      <c r="I759" s="12"/>
      <c r="J759" s="12"/>
      <c r="K759" s="12"/>
      <c r="L759" s="12"/>
      <c r="M759" s="12"/>
      <c r="N759" s="12"/>
      <c r="O759" s="12"/>
      <c r="P759" s="12"/>
    </row>
    <row r="760">
      <c r="A760" s="12"/>
      <c r="D760" s="95"/>
      <c r="E760" s="14"/>
      <c r="F760" s="96"/>
      <c r="H760" s="12"/>
      <c r="I760" s="12"/>
      <c r="J760" s="12"/>
      <c r="K760" s="12"/>
      <c r="L760" s="12"/>
      <c r="M760" s="12"/>
      <c r="N760" s="12"/>
      <c r="O760" s="12"/>
      <c r="P760" s="12"/>
    </row>
    <row r="761">
      <c r="A761" s="12"/>
      <c r="D761" s="95"/>
      <c r="E761" s="14"/>
      <c r="F761" s="96"/>
      <c r="H761" s="12"/>
      <c r="I761" s="12"/>
      <c r="J761" s="12"/>
      <c r="K761" s="12"/>
      <c r="L761" s="12"/>
      <c r="M761" s="12"/>
      <c r="N761" s="12"/>
      <c r="O761" s="12"/>
      <c r="P761" s="12"/>
    </row>
    <row r="762">
      <c r="A762" s="12"/>
      <c r="D762" s="95"/>
      <c r="E762" s="14"/>
      <c r="F762" s="96"/>
      <c r="H762" s="12"/>
      <c r="I762" s="12"/>
      <c r="J762" s="12"/>
      <c r="K762" s="12"/>
      <c r="L762" s="12"/>
      <c r="M762" s="12"/>
      <c r="N762" s="12"/>
      <c r="O762" s="12"/>
      <c r="P762" s="12"/>
    </row>
    <row r="763">
      <c r="A763" s="12"/>
      <c r="D763" s="95"/>
      <c r="E763" s="14"/>
      <c r="F763" s="96"/>
      <c r="H763" s="12"/>
      <c r="I763" s="12"/>
      <c r="J763" s="12"/>
      <c r="K763" s="12"/>
      <c r="L763" s="12"/>
      <c r="M763" s="12"/>
      <c r="N763" s="12"/>
      <c r="O763" s="12"/>
      <c r="P763" s="12"/>
    </row>
    <row r="764">
      <c r="A764" s="12"/>
      <c r="D764" s="95"/>
      <c r="E764" s="14"/>
      <c r="F764" s="96"/>
      <c r="H764" s="12"/>
      <c r="I764" s="12"/>
      <c r="J764" s="12"/>
      <c r="K764" s="12"/>
      <c r="L764" s="12"/>
      <c r="M764" s="12"/>
      <c r="N764" s="12"/>
      <c r="O764" s="12"/>
      <c r="P764" s="12"/>
    </row>
    <row r="765">
      <c r="A765" s="12"/>
      <c r="D765" s="95"/>
      <c r="E765" s="14"/>
      <c r="F765" s="96"/>
      <c r="H765" s="12"/>
      <c r="I765" s="12"/>
      <c r="J765" s="12"/>
      <c r="K765" s="12"/>
      <c r="L765" s="12"/>
      <c r="M765" s="12"/>
      <c r="N765" s="12"/>
      <c r="O765" s="12"/>
      <c r="P765" s="12"/>
    </row>
    <row r="766">
      <c r="A766" s="12"/>
      <c r="D766" s="95"/>
      <c r="E766" s="14"/>
      <c r="F766" s="96"/>
      <c r="H766" s="12"/>
      <c r="I766" s="12"/>
      <c r="J766" s="12"/>
      <c r="K766" s="12"/>
      <c r="L766" s="12"/>
      <c r="M766" s="12"/>
      <c r="N766" s="12"/>
      <c r="O766" s="12"/>
      <c r="P766" s="12"/>
    </row>
    <row r="767">
      <c r="A767" s="12"/>
      <c r="D767" s="95"/>
      <c r="E767" s="14"/>
      <c r="F767" s="96"/>
      <c r="H767" s="12"/>
      <c r="I767" s="12"/>
      <c r="J767" s="12"/>
      <c r="K767" s="12"/>
      <c r="L767" s="12"/>
      <c r="M767" s="12"/>
      <c r="N767" s="12"/>
      <c r="O767" s="12"/>
      <c r="P767" s="12"/>
    </row>
    <row r="768">
      <c r="A768" s="12"/>
      <c r="D768" s="95"/>
      <c r="E768" s="14"/>
      <c r="F768" s="96"/>
      <c r="H768" s="12"/>
      <c r="I768" s="12"/>
      <c r="J768" s="12"/>
      <c r="K768" s="12"/>
      <c r="L768" s="12"/>
      <c r="M768" s="12"/>
      <c r="N768" s="12"/>
      <c r="O768" s="12"/>
      <c r="P768" s="12"/>
    </row>
    <row r="769">
      <c r="A769" s="12"/>
      <c r="D769" s="95"/>
      <c r="E769" s="14"/>
      <c r="F769" s="96"/>
      <c r="H769" s="12"/>
      <c r="I769" s="12"/>
      <c r="J769" s="12"/>
      <c r="K769" s="12"/>
      <c r="L769" s="12"/>
      <c r="M769" s="12"/>
      <c r="N769" s="12"/>
      <c r="O769" s="12"/>
      <c r="P769" s="12"/>
    </row>
    <row r="770">
      <c r="A770" s="12"/>
      <c r="D770" s="95"/>
      <c r="E770" s="14"/>
      <c r="F770" s="96"/>
      <c r="H770" s="12"/>
      <c r="I770" s="12"/>
      <c r="J770" s="12"/>
      <c r="K770" s="12"/>
      <c r="L770" s="12"/>
      <c r="M770" s="12"/>
      <c r="N770" s="12"/>
      <c r="O770" s="12"/>
      <c r="P770" s="12"/>
    </row>
    <row r="771">
      <c r="A771" s="12"/>
      <c r="D771" s="95"/>
      <c r="E771" s="14"/>
      <c r="F771" s="96"/>
      <c r="H771" s="12"/>
      <c r="I771" s="12"/>
      <c r="J771" s="12"/>
      <c r="K771" s="12"/>
      <c r="L771" s="12"/>
      <c r="M771" s="12"/>
      <c r="N771" s="12"/>
      <c r="O771" s="12"/>
      <c r="P771" s="12"/>
    </row>
    <row r="772">
      <c r="A772" s="12"/>
      <c r="D772" s="95"/>
      <c r="E772" s="14"/>
      <c r="F772" s="96"/>
      <c r="H772" s="12"/>
      <c r="I772" s="12"/>
      <c r="J772" s="12"/>
      <c r="K772" s="12"/>
      <c r="L772" s="12"/>
      <c r="M772" s="12"/>
      <c r="N772" s="12"/>
      <c r="O772" s="12"/>
      <c r="P772" s="12"/>
    </row>
    <row r="773">
      <c r="A773" s="12"/>
      <c r="D773" s="95"/>
      <c r="E773" s="14"/>
      <c r="F773" s="96"/>
      <c r="H773" s="12"/>
      <c r="I773" s="12"/>
      <c r="J773" s="12"/>
      <c r="K773" s="12"/>
      <c r="L773" s="12"/>
      <c r="M773" s="12"/>
      <c r="N773" s="12"/>
      <c r="O773" s="12"/>
      <c r="P773" s="12"/>
    </row>
    <row r="774">
      <c r="A774" s="12"/>
      <c r="D774" s="95"/>
      <c r="E774" s="14"/>
      <c r="F774" s="96"/>
      <c r="H774" s="12"/>
      <c r="I774" s="12"/>
      <c r="J774" s="12"/>
      <c r="K774" s="12"/>
      <c r="L774" s="12"/>
      <c r="M774" s="12"/>
      <c r="N774" s="12"/>
      <c r="O774" s="12"/>
      <c r="P774" s="12"/>
    </row>
    <row r="775">
      <c r="A775" s="12"/>
      <c r="D775" s="95"/>
      <c r="E775" s="14"/>
      <c r="F775" s="96"/>
      <c r="H775" s="12"/>
      <c r="I775" s="12"/>
      <c r="J775" s="12"/>
      <c r="K775" s="12"/>
      <c r="L775" s="12"/>
      <c r="M775" s="12"/>
      <c r="N775" s="12"/>
      <c r="O775" s="12"/>
      <c r="P775" s="12"/>
    </row>
    <row r="776">
      <c r="A776" s="12"/>
      <c r="D776" s="95"/>
      <c r="E776" s="14"/>
      <c r="F776" s="96"/>
      <c r="H776" s="12"/>
      <c r="I776" s="12"/>
      <c r="J776" s="12"/>
      <c r="K776" s="12"/>
      <c r="L776" s="12"/>
      <c r="M776" s="12"/>
      <c r="N776" s="12"/>
      <c r="O776" s="12"/>
      <c r="P776" s="12"/>
    </row>
    <row r="777">
      <c r="A777" s="12"/>
      <c r="D777" s="95"/>
      <c r="E777" s="14"/>
      <c r="F777" s="96"/>
      <c r="H777" s="12"/>
      <c r="I777" s="12"/>
      <c r="J777" s="12"/>
      <c r="K777" s="12"/>
      <c r="L777" s="12"/>
      <c r="M777" s="12"/>
      <c r="N777" s="12"/>
      <c r="O777" s="12"/>
      <c r="P777" s="12"/>
    </row>
    <row r="778">
      <c r="A778" s="12"/>
      <c r="D778" s="95"/>
      <c r="E778" s="14"/>
      <c r="F778" s="96"/>
      <c r="H778" s="12"/>
      <c r="I778" s="12"/>
      <c r="J778" s="12"/>
      <c r="K778" s="12"/>
      <c r="L778" s="12"/>
      <c r="M778" s="12"/>
      <c r="N778" s="12"/>
      <c r="O778" s="12"/>
      <c r="P778" s="12"/>
    </row>
    <row r="779">
      <c r="A779" s="12"/>
      <c r="D779" s="95"/>
      <c r="E779" s="14"/>
      <c r="F779" s="96"/>
      <c r="H779" s="12"/>
      <c r="I779" s="12"/>
      <c r="J779" s="12"/>
      <c r="K779" s="12"/>
      <c r="L779" s="12"/>
      <c r="M779" s="12"/>
      <c r="N779" s="12"/>
      <c r="O779" s="12"/>
      <c r="P779" s="12"/>
    </row>
    <row r="780">
      <c r="A780" s="12"/>
      <c r="D780" s="95"/>
      <c r="E780" s="14"/>
      <c r="F780" s="96"/>
      <c r="H780" s="12"/>
      <c r="I780" s="12"/>
      <c r="J780" s="12"/>
      <c r="K780" s="12"/>
      <c r="L780" s="12"/>
      <c r="M780" s="12"/>
      <c r="N780" s="12"/>
      <c r="O780" s="12"/>
      <c r="P780" s="12"/>
    </row>
    <row r="781">
      <c r="A781" s="12"/>
      <c r="D781" s="95"/>
      <c r="E781" s="14"/>
      <c r="F781" s="96"/>
      <c r="H781" s="12"/>
      <c r="I781" s="12"/>
      <c r="J781" s="12"/>
      <c r="K781" s="12"/>
      <c r="L781" s="12"/>
      <c r="M781" s="12"/>
      <c r="N781" s="12"/>
      <c r="O781" s="12"/>
      <c r="P781" s="12"/>
    </row>
    <row r="782">
      <c r="A782" s="12"/>
      <c r="D782" s="95"/>
      <c r="E782" s="14"/>
      <c r="F782" s="96"/>
      <c r="H782" s="12"/>
      <c r="I782" s="12"/>
      <c r="J782" s="12"/>
      <c r="K782" s="12"/>
      <c r="L782" s="12"/>
      <c r="M782" s="12"/>
      <c r="N782" s="12"/>
      <c r="O782" s="12"/>
      <c r="P782" s="12"/>
    </row>
    <row r="783">
      <c r="A783" s="12"/>
      <c r="D783" s="95"/>
      <c r="E783" s="14"/>
      <c r="F783" s="96"/>
      <c r="H783" s="12"/>
      <c r="I783" s="12"/>
      <c r="J783" s="12"/>
      <c r="K783" s="12"/>
      <c r="L783" s="12"/>
      <c r="M783" s="12"/>
      <c r="N783" s="12"/>
      <c r="O783" s="12"/>
      <c r="P783" s="12"/>
    </row>
    <row r="784">
      <c r="A784" s="12"/>
      <c r="D784" s="95"/>
      <c r="E784" s="14"/>
      <c r="F784" s="96"/>
      <c r="H784" s="12"/>
      <c r="I784" s="12"/>
      <c r="J784" s="12"/>
      <c r="K784" s="12"/>
      <c r="L784" s="12"/>
      <c r="M784" s="12"/>
      <c r="N784" s="12"/>
      <c r="O784" s="12"/>
      <c r="P784" s="12"/>
    </row>
    <row r="785">
      <c r="A785" s="12"/>
      <c r="D785" s="95"/>
      <c r="E785" s="14"/>
      <c r="F785" s="96"/>
      <c r="H785" s="12"/>
      <c r="I785" s="12"/>
      <c r="J785" s="12"/>
      <c r="K785" s="12"/>
      <c r="L785" s="12"/>
      <c r="M785" s="12"/>
      <c r="N785" s="12"/>
      <c r="O785" s="12"/>
      <c r="P785" s="12"/>
    </row>
    <row r="786">
      <c r="A786" s="12"/>
      <c r="D786" s="95"/>
      <c r="E786" s="14"/>
      <c r="F786" s="96"/>
      <c r="H786" s="12"/>
      <c r="I786" s="12"/>
      <c r="J786" s="12"/>
      <c r="K786" s="12"/>
      <c r="L786" s="12"/>
      <c r="M786" s="12"/>
      <c r="N786" s="12"/>
      <c r="O786" s="12"/>
      <c r="P786" s="12"/>
    </row>
    <row r="787">
      <c r="A787" s="12"/>
      <c r="D787" s="95"/>
      <c r="E787" s="14"/>
      <c r="F787" s="96"/>
      <c r="H787" s="12"/>
      <c r="I787" s="12"/>
      <c r="J787" s="12"/>
      <c r="K787" s="12"/>
      <c r="L787" s="12"/>
      <c r="M787" s="12"/>
      <c r="N787" s="12"/>
      <c r="O787" s="12"/>
      <c r="P787" s="12"/>
    </row>
    <row r="788">
      <c r="A788" s="12"/>
      <c r="D788" s="95"/>
      <c r="E788" s="14"/>
      <c r="F788" s="96"/>
      <c r="H788" s="12"/>
      <c r="I788" s="12"/>
      <c r="J788" s="12"/>
      <c r="K788" s="12"/>
      <c r="L788" s="12"/>
      <c r="M788" s="12"/>
      <c r="N788" s="12"/>
      <c r="O788" s="12"/>
      <c r="P788" s="12"/>
    </row>
    <row r="789">
      <c r="A789" s="12"/>
      <c r="D789" s="95"/>
      <c r="E789" s="14"/>
      <c r="F789" s="96"/>
      <c r="H789" s="12"/>
      <c r="I789" s="12"/>
      <c r="J789" s="12"/>
      <c r="K789" s="12"/>
      <c r="L789" s="12"/>
      <c r="M789" s="12"/>
      <c r="N789" s="12"/>
      <c r="O789" s="12"/>
      <c r="P789" s="12"/>
    </row>
    <row r="790">
      <c r="A790" s="12"/>
      <c r="D790" s="95"/>
      <c r="E790" s="14"/>
      <c r="F790" s="96"/>
      <c r="H790" s="12"/>
      <c r="I790" s="12"/>
      <c r="J790" s="12"/>
      <c r="K790" s="12"/>
      <c r="L790" s="12"/>
      <c r="M790" s="12"/>
      <c r="N790" s="12"/>
      <c r="O790" s="12"/>
      <c r="P790" s="12"/>
    </row>
    <row r="791">
      <c r="A791" s="12"/>
      <c r="D791" s="95"/>
      <c r="E791" s="14"/>
      <c r="F791" s="96"/>
      <c r="H791" s="12"/>
      <c r="I791" s="12"/>
      <c r="J791" s="12"/>
      <c r="K791" s="12"/>
      <c r="L791" s="12"/>
      <c r="M791" s="12"/>
      <c r="N791" s="12"/>
      <c r="O791" s="12"/>
      <c r="P791" s="12"/>
    </row>
    <row r="792">
      <c r="A792" s="12"/>
      <c r="D792" s="95"/>
      <c r="E792" s="14"/>
      <c r="F792" s="96"/>
      <c r="H792" s="12"/>
      <c r="I792" s="12"/>
      <c r="J792" s="12"/>
      <c r="K792" s="12"/>
      <c r="L792" s="12"/>
      <c r="M792" s="12"/>
      <c r="N792" s="12"/>
      <c r="O792" s="12"/>
      <c r="P792" s="12"/>
    </row>
    <row r="793">
      <c r="A793" s="12"/>
      <c r="D793" s="95"/>
      <c r="E793" s="14"/>
      <c r="F793" s="96"/>
      <c r="H793" s="12"/>
      <c r="I793" s="12"/>
      <c r="J793" s="12"/>
      <c r="K793" s="12"/>
      <c r="L793" s="12"/>
      <c r="M793" s="12"/>
      <c r="N793" s="12"/>
      <c r="O793" s="12"/>
      <c r="P793" s="12"/>
    </row>
    <row r="794">
      <c r="A794" s="12"/>
      <c r="D794" s="95"/>
      <c r="E794" s="14"/>
      <c r="F794" s="96"/>
      <c r="H794" s="12"/>
      <c r="I794" s="12"/>
      <c r="J794" s="12"/>
      <c r="K794" s="12"/>
      <c r="L794" s="12"/>
      <c r="M794" s="12"/>
      <c r="N794" s="12"/>
      <c r="O794" s="12"/>
      <c r="P794" s="12"/>
    </row>
    <row r="795">
      <c r="A795" s="12"/>
      <c r="D795" s="95"/>
      <c r="E795" s="14"/>
      <c r="F795" s="96"/>
      <c r="H795" s="12"/>
      <c r="I795" s="12"/>
      <c r="J795" s="12"/>
      <c r="K795" s="12"/>
      <c r="L795" s="12"/>
      <c r="M795" s="12"/>
      <c r="N795" s="12"/>
      <c r="O795" s="12"/>
      <c r="P795" s="12"/>
    </row>
    <row r="796">
      <c r="A796" s="12"/>
      <c r="D796" s="95"/>
      <c r="E796" s="14"/>
      <c r="F796" s="96"/>
      <c r="H796" s="12"/>
      <c r="I796" s="12"/>
      <c r="J796" s="12"/>
      <c r="K796" s="12"/>
      <c r="L796" s="12"/>
      <c r="M796" s="12"/>
      <c r="N796" s="12"/>
      <c r="O796" s="12"/>
      <c r="P796" s="12"/>
    </row>
    <row r="797">
      <c r="A797" s="12"/>
      <c r="D797" s="95"/>
      <c r="E797" s="14"/>
      <c r="F797" s="96"/>
      <c r="H797" s="12"/>
      <c r="I797" s="12"/>
      <c r="J797" s="12"/>
      <c r="K797" s="12"/>
      <c r="L797" s="12"/>
      <c r="M797" s="12"/>
      <c r="N797" s="12"/>
      <c r="O797" s="12"/>
      <c r="P797" s="12"/>
    </row>
    <row r="798">
      <c r="A798" s="12"/>
      <c r="D798" s="95"/>
      <c r="E798" s="14"/>
      <c r="F798" s="96"/>
      <c r="H798" s="12"/>
      <c r="I798" s="12"/>
      <c r="J798" s="12"/>
      <c r="K798" s="12"/>
      <c r="L798" s="12"/>
      <c r="M798" s="12"/>
      <c r="N798" s="12"/>
      <c r="O798" s="12"/>
      <c r="P798" s="12"/>
    </row>
    <row r="799">
      <c r="A799" s="12"/>
      <c r="D799" s="95"/>
      <c r="E799" s="14"/>
      <c r="F799" s="96"/>
      <c r="H799" s="12"/>
      <c r="I799" s="12"/>
      <c r="J799" s="12"/>
      <c r="K799" s="12"/>
      <c r="L799" s="12"/>
      <c r="M799" s="12"/>
      <c r="N799" s="12"/>
      <c r="O799" s="12"/>
      <c r="P799" s="12"/>
    </row>
    <row r="800">
      <c r="A800" s="12"/>
      <c r="D800" s="95"/>
      <c r="E800" s="14"/>
      <c r="F800" s="96"/>
      <c r="H800" s="12"/>
      <c r="I800" s="12"/>
      <c r="J800" s="12"/>
      <c r="K800" s="12"/>
      <c r="L800" s="12"/>
      <c r="M800" s="12"/>
      <c r="N800" s="12"/>
      <c r="O800" s="12"/>
      <c r="P800" s="12"/>
    </row>
    <row r="801">
      <c r="A801" s="12"/>
      <c r="D801" s="95"/>
      <c r="E801" s="14"/>
      <c r="F801" s="96"/>
      <c r="H801" s="12"/>
      <c r="I801" s="12"/>
      <c r="J801" s="12"/>
      <c r="K801" s="12"/>
      <c r="L801" s="12"/>
      <c r="M801" s="12"/>
      <c r="N801" s="12"/>
      <c r="O801" s="12"/>
      <c r="P801" s="12"/>
    </row>
    <row r="802">
      <c r="A802" s="12"/>
      <c r="D802" s="95"/>
      <c r="E802" s="14"/>
      <c r="F802" s="96"/>
      <c r="H802" s="12"/>
      <c r="I802" s="12"/>
      <c r="J802" s="12"/>
      <c r="K802" s="12"/>
      <c r="L802" s="12"/>
      <c r="M802" s="12"/>
      <c r="N802" s="12"/>
      <c r="O802" s="12"/>
      <c r="P802" s="12"/>
    </row>
    <row r="803">
      <c r="A803" s="12"/>
      <c r="D803" s="95"/>
      <c r="E803" s="14"/>
      <c r="F803" s="96"/>
      <c r="H803" s="12"/>
      <c r="I803" s="12"/>
      <c r="J803" s="12"/>
      <c r="K803" s="12"/>
      <c r="L803" s="12"/>
      <c r="M803" s="12"/>
      <c r="N803" s="12"/>
      <c r="O803" s="12"/>
      <c r="P803" s="12"/>
    </row>
    <row r="804">
      <c r="A804" s="12"/>
      <c r="D804" s="95"/>
      <c r="E804" s="14"/>
      <c r="F804" s="96"/>
      <c r="H804" s="12"/>
      <c r="I804" s="12"/>
      <c r="J804" s="12"/>
      <c r="K804" s="12"/>
      <c r="L804" s="12"/>
      <c r="M804" s="12"/>
      <c r="N804" s="12"/>
      <c r="O804" s="12"/>
      <c r="P804" s="12"/>
    </row>
    <row r="805">
      <c r="A805" s="12"/>
      <c r="D805" s="95"/>
      <c r="E805" s="14"/>
      <c r="F805" s="96"/>
      <c r="H805" s="12"/>
      <c r="I805" s="12"/>
      <c r="J805" s="12"/>
      <c r="K805" s="12"/>
      <c r="L805" s="12"/>
      <c r="M805" s="12"/>
      <c r="N805" s="12"/>
      <c r="O805" s="12"/>
      <c r="P805" s="12"/>
    </row>
    <row r="806">
      <c r="A806" s="12"/>
      <c r="D806" s="95"/>
      <c r="E806" s="14"/>
      <c r="F806" s="96"/>
      <c r="H806" s="12"/>
      <c r="I806" s="12"/>
      <c r="J806" s="12"/>
      <c r="K806" s="12"/>
      <c r="L806" s="12"/>
      <c r="M806" s="12"/>
      <c r="N806" s="12"/>
      <c r="O806" s="12"/>
      <c r="P806" s="12"/>
    </row>
    <row r="807">
      <c r="A807" s="12"/>
      <c r="D807" s="95"/>
      <c r="E807" s="14"/>
      <c r="F807" s="96"/>
      <c r="H807" s="12"/>
      <c r="I807" s="12"/>
      <c r="J807" s="12"/>
      <c r="K807" s="12"/>
      <c r="L807" s="12"/>
      <c r="M807" s="12"/>
      <c r="N807" s="12"/>
      <c r="O807" s="12"/>
      <c r="P807" s="12"/>
    </row>
    <row r="808">
      <c r="A808" s="12"/>
      <c r="D808" s="95"/>
      <c r="E808" s="14"/>
      <c r="F808" s="96"/>
      <c r="H808" s="12"/>
      <c r="I808" s="12"/>
      <c r="J808" s="12"/>
      <c r="K808" s="12"/>
      <c r="L808" s="12"/>
      <c r="M808" s="12"/>
      <c r="N808" s="12"/>
      <c r="O808" s="12"/>
      <c r="P808" s="12"/>
    </row>
    <row r="809">
      <c r="A809" s="12"/>
      <c r="D809" s="95"/>
      <c r="E809" s="14"/>
      <c r="F809" s="96"/>
      <c r="H809" s="12"/>
      <c r="I809" s="12"/>
      <c r="J809" s="12"/>
      <c r="K809" s="12"/>
      <c r="L809" s="12"/>
      <c r="M809" s="12"/>
      <c r="N809" s="12"/>
      <c r="O809" s="12"/>
      <c r="P809" s="12"/>
    </row>
    <row r="810">
      <c r="A810" s="12"/>
      <c r="D810" s="95"/>
      <c r="E810" s="14"/>
      <c r="F810" s="96"/>
      <c r="H810" s="12"/>
      <c r="I810" s="12"/>
      <c r="J810" s="12"/>
      <c r="K810" s="12"/>
      <c r="L810" s="12"/>
      <c r="M810" s="12"/>
      <c r="N810" s="12"/>
      <c r="O810" s="12"/>
      <c r="P810" s="12"/>
    </row>
    <row r="811">
      <c r="A811" s="12"/>
      <c r="D811" s="95"/>
      <c r="E811" s="14"/>
      <c r="F811" s="96"/>
      <c r="H811" s="12"/>
      <c r="I811" s="12"/>
      <c r="J811" s="12"/>
      <c r="K811" s="12"/>
      <c r="L811" s="12"/>
      <c r="M811" s="12"/>
      <c r="N811" s="12"/>
      <c r="O811" s="12"/>
      <c r="P811" s="12"/>
    </row>
    <row r="812">
      <c r="A812" s="12"/>
      <c r="D812" s="95"/>
      <c r="E812" s="14"/>
      <c r="F812" s="96"/>
      <c r="H812" s="12"/>
      <c r="I812" s="12"/>
      <c r="J812" s="12"/>
      <c r="K812" s="12"/>
      <c r="L812" s="12"/>
      <c r="M812" s="12"/>
      <c r="N812" s="12"/>
      <c r="O812" s="12"/>
      <c r="P812" s="12"/>
    </row>
    <row r="813">
      <c r="A813" s="12"/>
      <c r="D813" s="95"/>
      <c r="E813" s="14"/>
      <c r="F813" s="96"/>
      <c r="H813" s="12"/>
      <c r="I813" s="12"/>
      <c r="J813" s="12"/>
      <c r="K813" s="12"/>
      <c r="L813" s="12"/>
      <c r="M813" s="12"/>
      <c r="N813" s="12"/>
      <c r="O813" s="12"/>
      <c r="P813" s="12"/>
    </row>
    <row r="814">
      <c r="A814" s="12"/>
      <c r="D814" s="95"/>
      <c r="E814" s="14"/>
      <c r="F814" s="96"/>
      <c r="H814" s="12"/>
      <c r="I814" s="12"/>
      <c r="J814" s="12"/>
      <c r="K814" s="12"/>
      <c r="L814" s="12"/>
      <c r="M814" s="12"/>
      <c r="N814" s="12"/>
      <c r="O814" s="12"/>
      <c r="P814" s="12"/>
    </row>
    <row r="815">
      <c r="A815" s="12"/>
      <c r="D815" s="95"/>
      <c r="E815" s="14"/>
      <c r="F815" s="96"/>
      <c r="H815" s="12"/>
      <c r="I815" s="12"/>
      <c r="J815" s="12"/>
      <c r="K815" s="12"/>
      <c r="L815" s="12"/>
      <c r="M815" s="12"/>
      <c r="N815" s="12"/>
      <c r="O815" s="12"/>
      <c r="P815" s="12"/>
    </row>
    <row r="816">
      <c r="A816" s="12"/>
      <c r="D816" s="95"/>
      <c r="E816" s="14"/>
      <c r="F816" s="96"/>
      <c r="H816" s="12"/>
      <c r="I816" s="12"/>
      <c r="J816" s="12"/>
      <c r="K816" s="12"/>
      <c r="L816" s="12"/>
      <c r="M816" s="12"/>
      <c r="N816" s="12"/>
      <c r="O816" s="12"/>
      <c r="P816" s="12"/>
    </row>
    <row r="817">
      <c r="A817" s="12"/>
      <c r="D817" s="95"/>
      <c r="E817" s="14"/>
      <c r="F817" s="96"/>
      <c r="H817" s="12"/>
      <c r="I817" s="12"/>
      <c r="J817" s="12"/>
      <c r="K817" s="12"/>
      <c r="L817" s="12"/>
      <c r="M817" s="12"/>
      <c r="N817" s="12"/>
      <c r="O817" s="12"/>
      <c r="P817" s="12"/>
    </row>
    <row r="818">
      <c r="A818" s="12"/>
      <c r="D818" s="95"/>
      <c r="E818" s="14"/>
      <c r="F818" s="96"/>
      <c r="H818" s="12"/>
      <c r="I818" s="12"/>
      <c r="J818" s="12"/>
      <c r="K818" s="12"/>
      <c r="L818" s="12"/>
      <c r="M818" s="12"/>
      <c r="N818" s="12"/>
      <c r="O818" s="12"/>
      <c r="P818" s="12"/>
    </row>
    <row r="819">
      <c r="A819" s="12"/>
      <c r="D819" s="95"/>
      <c r="E819" s="14"/>
      <c r="F819" s="96"/>
      <c r="H819" s="12"/>
      <c r="I819" s="12"/>
      <c r="J819" s="12"/>
      <c r="K819" s="12"/>
      <c r="L819" s="12"/>
      <c r="M819" s="12"/>
      <c r="N819" s="12"/>
      <c r="O819" s="12"/>
      <c r="P819" s="12"/>
    </row>
    <row r="820">
      <c r="A820" s="12"/>
      <c r="D820" s="95"/>
      <c r="E820" s="14"/>
      <c r="F820" s="96"/>
      <c r="H820" s="12"/>
      <c r="I820" s="12"/>
      <c r="J820" s="12"/>
      <c r="K820" s="12"/>
      <c r="L820" s="12"/>
      <c r="M820" s="12"/>
      <c r="N820" s="12"/>
      <c r="O820" s="12"/>
      <c r="P820" s="12"/>
    </row>
    <row r="821">
      <c r="A821" s="12"/>
      <c r="D821" s="95"/>
      <c r="E821" s="14"/>
      <c r="F821" s="96"/>
      <c r="H821" s="12"/>
      <c r="I821" s="12"/>
      <c r="J821" s="12"/>
      <c r="K821" s="12"/>
      <c r="L821" s="12"/>
      <c r="M821" s="12"/>
      <c r="N821" s="12"/>
      <c r="O821" s="12"/>
      <c r="P821" s="12"/>
    </row>
    <row r="822">
      <c r="A822" s="12"/>
      <c r="D822" s="95"/>
      <c r="E822" s="14"/>
      <c r="F822" s="96"/>
      <c r="H822" s="12"/>
      <c r="I822" s="12"/>
      <c r="J822" s="12"/>
      <c r="K822" s="12"/>
      <c r="L822" s="12"/>
      <c r="M822" s="12"/>
      <c r="N822" s="12"/>
      <c r="O822" s="12"/>
      <c r="P822" s="12"/>
    </row>
    <row r="823">
      <c r="A823" s="12"/>
      <c r="D823" s="95"/>
      <c r="E823" s="14"/>
      <c r="F823" s="96"/>
      <c r="H823" s="12"/>
      <c r="I823" s="12"/>
      <c r="J823" s="12"/>
      <c r="K823" s="12"/>
      <c r="L823" s="12"/>
      <c r="M823" s="12"/>
      <c r="N823" s="12"/>
      <c r="O823" s="12"/>
      <c r="P823" s="12"/>
    </row>
    <row r="824">
      <c r="A824" s="12"/>
      <c r="D824" s="95"/>
      <c r="E824" s="14"/>
      <c r="F824" s="96"/>
      <c r="H824" s="12"/>
      <c r="I824" s="12"/>
      <c r="J824" s="12"/>
      <c r="K824" s="12"/>
      <c r="L824" s="12"/>
      <c r="M824" s="12"/>
      <c r="N824" s="12"/>
      <c r="O824" s="12"/>
      <c r="P824" s="12"/>
    </row>
    <row r="825">
      <c r="A825" s="12"/>
      <c r="D825" s="95"/>
      <c r="E825" s="14"/>
      <c r="F825" s="96"/>
      <c r="H825" s="12"/>
      <c r="I825" s="12"/>
      <c r="J825" s="12"/>
      <c r="K825" s="12"/>
      <c r="L825" s="12"/>
      <c r="M825" s="12"/>
      <c r="N825" s="12"/>
      <c r="O825" s="12"/>
      <c r="P825" s="12"/>
    </row>
    <row r="826">
      <c r="A826" s="12"/>
      <c r="D826" s="95"/>
      <c r="E826" s="14"/>
      <c r="F826" s="96"/>
      <c r="H826" s="12"/>
      <c r="I826" s="12"/>
      <c r="J826" s="12"/>
      <c r="K826" s="12"/>
      <c r="L826" s="12"/>
      <c r="M826" s="12"/>
      <c r="N826" s="12"/>
      <c r="O826" s="12"/>
      <c r="P826" s="12"/>
    </row>
    <row r="827">
      <c r="A827" s="12"/>
      <c r="D827" s="95"/>
      <c r="E827" s="14"/>
      <c r="F827" s="96"/>
      <c r="H827" s="12"/>
      <c r="I827" s="12"/>
      <c r="J827" s="12"/>
      <c r="K827" s="12"/>
      <c r="L827" s="12"/>
      <c r="M827" s="12"/>
      <c r="N827" s="12"/>
      <c r="O827" s="12"/>
      <c r="P827" s="12"/>
    </row>
    <row r="828">
      <c r="A828" s="12"/>
      <c r="D828" s="95"/>
      <c r="E828" s="14"/>
      <c r="F828" s="96"/>
      <c r="H828" s="12"/>
      <c r="I828" s="12"/>
      <c r="J828" s="12"/>
      <c r="K828" s="12"/>
      <c r="L828" s="12"/>
      <c r="M828" s="12"/>
      <c r="N828" s="12"/>
      <c r="O828" s="12"/>
      <c r="P828" s="12"/>
    </row>
    <row r="829">
      <c r="A829" s="12"/>
      <c r="D829" s="95"/>
      <c r="E829" s="14"/>
      <c r="F829" s="96"/>
      <c r="H829" s="12"/>
      <c r="I829" s="12"/>
      <c r="J829" s="12"/>
      <c r="K829" s="12"/>
      <c r="L829" s="12"/>
      <c r="M829" s="12"/>
      <c r="N829" s="12"/>
      <c r="O829" s="12"/>
      <c r="P829" s="12"/>
    </row>
    <row r="830">
      <c r="A830" s="12"/>
      <c r="D830" s="95"/>
      <c r="E830" s="14"/>
      <c r="F830" s="96"/>
      <c r="H830" s="12"/>
      <c r="I830" s="12"/>
      <c r="J830" s="12"/>
      <c r="K830" s="12"/>
      <c r="L830" s="12"/>
      <c r="M830" s="12"/>
      <c r="N830" s="12"/>
      <c r="O830" s="12"/>
      <c r="P830" s="12"/>
    </row>
    <row r="831">
      <c r="A831" s="12"/>
      <c r="D831" s="95"/>
      <c r="E831" s="14"/>
      <c r="F831" s="96"/>
      <c r="H831" s="12"/>
      <c r="I831" s="12"/>
      <c r="J831" s="12"/>
      <c r="K831" s="12"/>
      <c r="L831" s="12"/>
      <c r="M831" s="12"/>
      <c r="N831" s="12"/>
      <c r="O831" s="12"/>
      <c r="P831" s="12"/>
    </row>
    <row r="832">
      <c r="A832" s="12"/>
      <c r="D832" s="95"/>
      <c r="E832" s="14"/>
      <c r="F832" s="96"/>
      <c r="H832" s="12"/>
      <c r="I832" s="12"/>
      <c r="J832" s="12"/>
      <c r="K832" s="12"/>
      <c r="L832" s="12"/>
      <c r="M832" s="12"/>
      <c r="N832" s="12"/>
      <c r="O832" s="12"/>
      <c r="P832" s="12"/>
    </row>
    <row r="833">
      <c r="A833" s="12"/>
      <c r="D833" s="95"/>
      <c r="E833" s="14"/>
      <c r="F833" s="96"/>
      <c r="H833" s="12"/>
      <c r="I833" s="12"/>
      <c r="J833" s="12"/>
      <c r="K833" s="12"/>
      <c r="L833" s="12"/>
      <c r="M833" s="12"/>
      <c r="N833" s="12"/>
      <c r="O833" s="12"/>
      <c r="P833" s="12"/>
    </row>
    <row r="834">
      <c r="A834" s="12"/>
      <c r="D834" s="95"/>
      <c r="E834" s="14"/>
      <c r="F834" s="96"/>
      <c r="H834" s="12"/>
      <c r="I834" s="12"/>
      <c r="J834" s="12"/>
      <c r="K834" s="12"/>
      <c r="L834" s="12"/>
      <c r="M834" s="12"/>
      <c r="N834" s="12"/>
      <c r="O834" s="12"/>
      <c r="P834" s="12"/>
    </row>
    <row r="835">
      <c r="A835" s="12"/>
      <c r="D835" s="95"/>
      <c r="E835" s="14"/>
      <c r="F835" s="96"/>
      <c r="H835" s="12"/>
      <c r="I835" s="12"/>
      <c r="J835" s="12"/>
      <c r="K835" s="12"/>
      <c r="L835" s="12"/>
      <c r="M835" s="12"/>
      <c r="N835" s="12"/>
      <c r="O835" s="12"/>
      <c r="P835" s="12"/>
    </row>
    <row r="836">
      <c r="A836" s="12"/>
      <c r="D836" s="95"/>
      <c r="E836" s="14"/>
      <c r="F836" s="96"/>
      <c r="H836" s="12"/>
      <c r="I836" s="12"/>
      <c r="J836" s="12"/>
      <c r="K836" s="12"/>
      <c r="L836" s="12"/>
      <c r="M836" s="12"/>
      <c r="N836" s="12"/>
      <c r="O836" s="12"/>
      <c r="P836" s="12"/>
    </row>
    <row r="837">
      <c r="A837" s="12"/>
      <c r="D837" s="95"/>
      <c r="E837" s="14"/>
      <c r="F837" s="96"/>
      <c r="H837" s="12"/>
      <c r="I837" s="12"/>
      <c r="J837" s="12"/>
      <c r="K837" s="12"/>
      <c r="L837" s="12"/>
      <c r="M837" s="12"/>
      <c r="N837" s="12"/>
      <c r="O837" s="12"/>
      <c r="P837" s="12"/>
    </row>
    <row r="838">
      <c r="A838" s="12"/>
      <c r="D838" s="95"/>
      <c r="E838" s="14"/>
      <c r="F838" s="96"/>
      <c r="H838" s="12"/>
      <c r="I838" s="12"/>
      <c r="J838" s="12"/>
      <c r="K838" s="12"/>
      <c r="L838" s="12"/>
      <c r="M838" s="12"/>
      <c r="N838" s="12"/>
      <c r="O838" s="12"/>
      <c r="P838" s="12"/>
    </row>
    <row r="839">
      <c r="A839" s="12"/>
      <c r="D839" s="95"/>
      <c r="E839" s="14"/>
      <c r="F839" s="96"/>
      <c r="H839" s="12"/>
      <c r="I839" s="12"/>
      <c r="J839" s="12"/>
      <c r="K839" s="12"/>
      <c r="L839" s="12"/>
      <c r="M839" s="12"/>
      <c r="N839" s="12"/>
      <c r="O839" s="12"/>
      <c r="P839" s="12"/>
    </row>
    <row r="840">
      <c r="A840" s="12"/>
      <c r="D840" s="95"/>
      <c r="E840" s="14"/>
      <c r="F840" s="96"/>
      <c r="H840" s="12"/>
      <c r="I840" s="12"/>
      <c r="J840" s="12"/>
      <c r="K840" s="12"/>
      <c r="L840" s="12"/>
      <c r="M840" s="12"/>
      <c r="N840" s="12"/>
      <c r="O840" s="12"/>
      <c r="P840" s="12"/>
    </row>
    <row r="841">
      <c r="A841" s="12"/>
      <c r="D841" s="95"/>
      <c r="E841" s="14"/>
      <c r="F841" s="96"/>
      <c r="H841" s="12"/>
      <c r="I841" s="12"/>
      <c r="J841" s="12"/>
      <c r="K841" s="12"/>
      <c r="L841" s="12"/>
      <c r="M841" s="12"/>
      <c r="N841" s="12"/>
      <c r="O841" s="12"/>
      <c r="P841" s="12"/>
    </row>
    <row r="842">
      <c r="A842" s="12"/>
      <c r="D842" s="95"/>
      <c r="E842" s="14"/>
      <c r="F842" s="96"/>
      <c r="H842" s="12"/>
      <c r="I842" s="12"/>
      <c r="J842" s="12"/>
      <c r="K842" s="12"/>
      <c r="L842" s="12"/>
      <c r="M842" s="12"/>
      <c r="N842" s="12"/>
      <c r="O842" s="12"/>
      <c r="P842" s="12"/>
    </row>
    <row r="843">
      <c r="A843" s="12"/>
      <c r="D843" s="95"/>
      <c r="E843" s="14"/>
      <c r="F843" s="96"/>
      <c r="H843" s="12"/>
      <c r="I843" s="12"/>
      <c r="J843" s="12"/>
      <c r="K843" s="12"/>
      <c r="L843" s="12"/>
      <c r="M843" s="12"/>
      <c r="N843" s="12"/>
      <c r="O843" s="12"/>
      <c r="P843" s="12"/>
    </row>
    <row r="844">
      <c r="A844" s="12"/>
      <c r="D844" s="95"/>
      <c r="E844" s="14"/>
      <c r="F844" s="96"/>
      <c r="H844" s="12"/>
      <c r="I844" s="12"/>
      <c r="J844" s="12"/>
      <c r="K844" s="12"/>
      <c r="L844" s="12"/>
      <c r="M844" s="12"/>
      <c r="N844" s="12"/>
      <c r="O844" s="12"/>
      <c r="P844" s="12"/>
    </row>
    <row r="845">
      <c r="A845" s="12"/>
      <c r="D845" s="95"/>
      <c r="E845" s="14"/>
      <c r="F845" s="96"/>
      <c r="H845" s="12"/>
      <c r="I845" s="12"/>
      <c r="J845" s="12"/>
      <c r="K845" s="12"/>
      <c r="L845" s="12"/>
      <c r="M845" s="12"/>
      <c r="N845" s="12"/>
      <c r="O845" s="12"/>
      <c r="P845" s="12"/>
    </row>
    <row r="846">
      <c r="A846" s="12"/>
      <c r="D846" s="95"/>
      <c r="E846" s="14"/>
      <c r="F846" s="96"/>
      <c r="H846" s="12"/>
      <c r="I846" s="12"/>
      <c r="J846" s="12"/>
      <c r="K846" s="12"/>
      <c r="L846" s="12"/>
      <c r="M846" s="12"/>
      <c r="N846" s="12"/>
      <c r="O846" s="12"/>
      <c r="P846" s="12"/>
    </row>
    <row r="847">
      <c r="A847" s="12"/>
      <c r="D847" s="95"/>
      <c r="E847" s="14"/>
      <c r="F847" s="96"/>
      <c r="H847" s="12"/>
      <c r="I847" s="12"/>
      <c r="J847" s="12"/>
      <c r="K847" s="12"/>
      <c r="L847" s="12"/>
      <c r="M847" s="12"/>
      <c r="N847" s="12"/>
      <c r="O847" s="12"/>
      <c r="P847" s="12"/>
    </row>
    <row r="848">
      <c r="A848" s="12"/>
      <c r="D848" s="95"/>
      <c r="E848" s="14"/>
      <c r="F848" s="96"/>
      <c r="H848" s="12"/>
      <c r="I848" s="12"/>
      <c r="J848" s="12"/>
      <c r="K848" s="12"/>
      <c r="L848" s="12"/>
      <c r="M848" s="12"/>
      <c r="N848" s="12"/>
      <c r="O848" s="12"/>
      <c r="P848" s="12"/>
    </row>
    <row r="849">
      <c r="A849" s="12"/>
      <c r="D849" s="95"/>
      <c r="E849" s="14"/>
      <c r="F849" s="96"/>
      <c r="H849" s="12"/>
      <c r="I849" s="12"/>
      <c r="J849" s="12"/>
      <c r="K849" s="12"/>
      <c r="L849" s="12"/>
      <c r="M849" s="12"/>
      <c r="N849" s="12"/>
      <c r="O849" s="12"/>
      <c r="P849" s="12"/>
    </row>
    <row r="850">
      <c r="A850" s="12"/>
      <c r="D850" s="95"/>
      <c r="E850" s="14"/>
      <c r="F850" s="96"/>
      <c r="H850" s="12"/>
      <c r="I850" s="12"/>
      <c r="J850" s="12"/>
      <c r="K850" s="12"/>
      <c r="L850" s="12"/>
      <c r="M850" s="12"/>
      <c r="N850" s="12"/>
      <c r="O850" s="12"/>
      <c r="P850" s="12"/>
    </row>
    <row r="851">
      <c r="A851" s="12"/>
      <c r="D851" s="95"/>
      <c r="E851" s="14"/>
      <c r="F851" s="96"/>
      <c r="H851" s="12"/>
      <c r="I851" s="12"/>
      <c r="J851" s="12"/>
      <c r="K851" s="12"/>
      <c r="L851" s="12"/>
      <c r="M851" s="12"/>
      <c r="N851" s="12"/>
      <c r="O851" s="12"/>
      <c r="P851" s="12"/>
    </row>
    <row r="852">
      <c r="A852" s="12"/>
      <c r="D852" s="95"/>
      <c r="E852" s="14"/>
      <c r="F852" s="96"/>
      <c r="H852" s="12"/>
      <c r="I852" s="12"/>
      <c r="J852" s="12"/>
      <c r="K852" s="12"/>
      <c r="L852" s="12"/>
      <c r="M852" s="12"/>
      <c r="N852" s="12"/>
      <c r="O852" s="12"/>
      <c r="P852" s="12"/>
    </row>
    <row r="853">
      <c r="A853" s="12"/>
      <c r="D853" s="95"/>
      <c r="E853" s="14"/>
      <c r="F853" s="96"/>
      <c r="H853" s="12"/>
      <c r="I853" s="12"/>
      <c r="J853" s="12"/>
      <c r="K853" s="12"/>
      <c r="L853" s="12"/>
      <c r="M853" s="12"/>
      <c r="N853" s="12"/>
      <c r="O853" s="12"/>
      <c r="P853" s="12"/>
    </row>
    <row r="854">
      <c r="A854" s="12"/>
      <c r="D854" s="95"/>
      <c r="E854" s="14"/>
      <c r="F854" s="96"/>
      <c r="H854" s="12"/>
      <c r="I854" s="12"/>
      <c r="J854" s="12"/>
      <c r="K854" s="12"/>
      <c r="L854" s="12"/>
      <c r="M854" s="12"/>
      <c r="N854" s="12"/>
      <c r="O854" s="12"/>
      <c r="P854" s="12"/>
    </row>
    <row r="855">
      <c r="A855" s="12"/>
      <c r="D855" s="95"/>
      <c r="E855" s="14"/>
      <c r="F855" s="96"/>
      <c r="H855" s="12"/>
      <c r="I855" s="12"/>
      <c r="J855" s="12"/>
      <c r="K855" s="12"/>
      <c r="L855" s="12"/>
      <c r="M855" s="12"/>
      <c r="N855" s="12"/>
      <c r="O855" s="12"/>
      <c r="P855" s="12"/>
    </row>
    <row r="856">
      <c r="A856" s="12"/>
      <c r="D856" s="95"/>
      <c r="E856" s="14"/>
      <c r="F856" s="96"/>
      <c r="H856" s="12"/>
      <c r="I856" s="12"/>
      <c r="J856" s="12"/>
      <c r="K856" s="12"/>
      <c r="L856" s="12"/>
      <c r="M856" s="12"/>
      <c r="N856" s="12"/>
      <c r="O856" s="12"/>
      <c r="P856" s="12"/>
    </row>
    <row r="857">
      <c r="A857" s="12"/>
      <c r="D857" s="95"/>
      <c r="E857" s="14"/>
      <c r="F857" s="96"/>
      <c r="H857" s="12"/>
      <c r="I857" s="12"/>
      <c r="J857" s="12"/>
      <c r="K857" s="12"/>
      <c r="L857" s="12"/>
      <c r="M857" s="12"/>
      <c r="N857" s="12"/>
      <c r="O857" s="12"/>
      <c r="P857" s="12"/>
    </row>
    <row r="858">
      <c r="A858" s="12"/>
      <c r="D858" s="95"/>
      <c r="E858" s="14"/>
      <c r="F858" s="96"/>
      <c r="H858" s="12"/>
      <c r="I858" s="12"/>
      <c r="J858" s="12"/>
      <c r="K858" s="12"/>
      <c r="L858" s="12"/>
      <c r="M858" s="12"/>
      <c r="N858" s="12"/>
      <c r="O858" s="12"/>
      <c r="P858" s="12"/>
    </row>
    <row r="859">
      <c r="A859" s="12"/>
      <c r="D859" s="95"/>
      <c r="E859" s="14"/>
      <c r="F859" s="96"/>
      <c r="H859" s="12"/>
      <c r="I859" s="12"/>
      <c r="J859" s="12"/>
      <c r="K859" s="12"/>
      <c r="L859" s="12"/>
      <c r="M859" s="12"/>
      <c r="N859" s="12"/>
      <c r="O859" s="12"/>
      <c r="P859" s="12"/>
    </row>
    <row r="860">
      <c r="A860" s="12"/>
      <c r="D860" s="95"/>
      <c r="E860" s="14"/>
      <c r="F860" s="96"/>
      <c r="H860" s="12"/>
      <c r="I860" s="12"/>
      <c r="J860" s="12"/>
      <c r="K860" s="12"/>
      <c r="L860" s="12"/>
      <c r="M860" s="12"/>
      <c r="N860" s="12"/>
      <c r="O860" s="12"/>
      <c r="P860" s="12"/>
    </row>
    <row r="861">
      <c r="A861" s="12"/>
      <c r="D861" s="95"/>
      <c r="E861" s="14"/>
      <c r="F861" s="96"/>
      <c r="H861" s="12"/>
      <c r="I861" s="12"/>
      <c r="J861" s="12"/>
      <c r="K861" s="12"/>
      <c r="L861" s="12"/>
      <c r="M861" s="12"/>
      <c r="N861" s="12"/>
      <c r="O861" s="12"/>
      <c r="P861" s="12"/>
    </row>
    <row r="862">
      <c r="A862" s="12"/>
      <c r="D862" s="95"/>
      <c r="E862" s="14"/>
      <c r="F862" s="96"/>
      <c r="H862" s="12"/>
      <c r="I862" s="12"/>
      <c r="J862" s="12"/>
      <c r="K862" s="12"/>
      <c r="L862" s="12"/>
      <c r="M862" s="12"/>
      <c r="N862" s="12"/>
      <c r="O862" s="12"/>
      <c r="P862" s="12"/>
    </row>
    <row r="863">
      <c r="A863" s="12"/>
      <c r="D863" s="95"/>
      <c r="E863" s="14"/>
      <c r="F863" s="96"/>
      <c r="H863" s="12"/>
      <c r="I863" s="12"/>
      <c r="J863" s="12"/>
      <c r="K863" s="12"/>
      <c r="L863" s="12"/>
      <c r="M863" s="12"/>
      <c r="N863" s="12"/>
      <c r="O863" s="12"/>
      <c r="P863" s="12"/>
    </row>
    <row r="864">
      <c r="A864" s="12"/>
      <c r="D864" s="95"/>
      <c r="E864" s="14"/>
      <c r="F864" s="96"/>
      <c r="H864" s="12"/>
      <c r="I864" s="12"/>
      <c r="J864" s="12"/>
      <c r="K864" s="12"/>
      <c r="L864" s="12"/>
      <c r="M864" s="12"/>
      <c r="N864" s="12"/>
      <c r="O864" s="12"/>
      <c r="P864" s="12"/>
    </row>
    <row r="865">
      <c r="A865" s="12"/>
      <c r="D865" s="95"/>
      <c r="E865" s="14"/>
      <c r="F865" s="96"/>
      <c r="H865" s="12"/>
      <c r="I865" s="12"/>
      <c r="J865" s="12"/>
      <c r="K865" s="12"/>
      <c r="L865" s="12"/>
      <c r="M865" s="12"/>
      <c r="N865" s="12"/>
      <c r="O865" s="12"/>
      <c r="P865" s="12"/>
    </row>
    <row r="866">
      <c r="A866" s="12"/>
      <c r="D866" s="95"/>
      <c r="E866" s="14"/>
      <c r="F866" s="96"/>
      <c r="H866" s="12"/>
      <c r="I866" s="12"/>
      <c r="J866" s="12"/>
      <c r="K866" s="12"/>
      <c r="L866" s="12"/>
      <c r="M866" s="12"/>
      <c r="N866" s="12"/>
      <c r="O866" s="12"/>
      <c r="P866" s="12"/>
    </row>
    <row r="867">
      <c r="A867" s="12"/>
      <c r="D867" s="95"/>
      <c r="E867" s="14"/>
      <c r="F867" s="96"/>
      <c r="H867" s="12"/>
      <c r="I867" s="12"/>
      <c r="J867" s="12"/>
      <c r="K867" s="12"/>
      <c r="L867" s="12"/>
      <c r="M867" s="12"/>
      <c r="N867" s="12"/>
      <c r="O867" s="12"/>
      <c r="P867" s="12"/>
    </row>
    <row r="868">
      <c r="A868" s="12"/>
      <c r="D868" s="95"/>
      <c r="E868" s="14"/>
      <c r="F868" s="96"/>
      <c r="H868" s="12"/>
      <c r="I868" s="12"/>
      <c r="J868" s="12"/>
      <c r="K868" s="12"/>
      <c r="L868" s="12"/>
      <c r="M868" s="12"/>
      <c r="N868" s="12"/>
      <c r="O868" s="12"/>
      <c r="P868" s="12"/>
    </row>
    <row r="869">
      <c r="A869" s="12"/>
      <c r="D869" s="95"/>
      <c r="E869" s="14"/>
      <c r="F869" s="96"/>
      <c r="H869" s="12"/>
      <c r="I869" s="12"/>
      <c r="J869" s="12"/>
      <c r="K869" s="12"/>
      <c r="L869" s="12"/>
      <c r="M869" s="12"/>
      <c r="N869" s="12"/>
      <c r="O869" s="12"/>
      <c r="P869" s="12"/>
    </row>
    <row r="870">
      <c r="A870" s="12"/>
      <c r="D870" s="95"/>
      <c r="E870" s="14"/>
      <c r="F870" s="96"/>
      <c r="H870" s="12"/>
      <c r="I870" s="12"/>
      <c r="J870" s="12"/>
      <c r="K870" s="12"/>
      <c r="L870" s="12"/>
      <c r="M870" s="12"/>
      <c r="N870" s="12"/>
      <c r="O870" s="12"/>
      <c r="P870" s="12"/>
    </row>
    <row r="871">
      <c r="A871" s="12"/>
      <c r="D871" s="95"/>
      <c r="E871" s="14"/>
      <c r="F871" s="96"/>
      <c r="H871" s="12"/>
      <c r="I871" s="12"/>
      <c r="J871" s="12"/>
      <c r="K871" s="12"/>
      <c r="L871" s="12"/>
      <c r="M871" s="12"/>
      <c r="N871" s="12"/>
      <c r="O871" s="12"/>
      <c r="P871" s="12"/>
    </row>
    <row r="872">
      <c r="A872" s="12"/>
      <c r="D872" s="95"/>
      <c r="E872" s="14"/>
      <c r="F872" s="96"/>
      <c r="H872" s="12"/>
      <c r="I872" s="12"/>
      <c r="J872" s="12"/>
      <c r="K872" s="12"/>
      <c r="L872" s="12"/>
      <c r="M872" s="12"/>
      <c r="N872" s="12"/>
      <c r="O872" s="12"/>
      <c r="P872" s="12"/>
    </row>
    <row r="873">
      <c r="A873" s="12"/>
      <c r="D873" s="95"/>
      <c r="E873" s="14"/>
      <c r="F873" s="96"/>
      <c r="H873" s="12"/>
      <c r="I873" s="12"/>
      <c r="J873" s="12"/>
      <c r="K873" s="12"/>
      <c r="L873" s="12"/>
      <c r="M873" s="12"/>
      <c r="N873" s="12"/>
      <c r="O873" s="12"/>
      <c r="P873" s="12"/>
    </row>
    <row r="874">
      <c r="A874" s="12"/>
      <c r="D874" s="95"/>
      <c r="E874" s="14"/>
      <c r="F874" s="96"/>
      <c r="H874" s="12"/>
      <c r="I874" s="12"/>
      <c r="J874" s="12"/>
      <c r="K874" s="12"/>
      <c r="L874" s="12"/>
      <c r="M874" s="12"/>
      <c r="N874" s="12"/>
      <c r="O874" s="12"/>
      <c r="P874" s="12"/>
    </row>
    <row r="875">
      <c r="A875" s="12"/>
      <c r="D875" s="95"/>
      <c r="E875" s="14"/>
      <c r="F875" s="96"/>
      <c r="H875" s="12"/>
      <c r="I875" s="12"/>
      <c r="J875" s="12"/>
      <c r="K875" s="12"/>
      <c r="L875" s="12"/>
      <c r="M875" s="12"/>
      <c r="N875" s="12"/>
      <c r="O875" s="12"/>
      <c r="P875" s="12"/>
    </row>
    <row r="876">
      <c r="A876" s="12"/>
      <c r="D876" s="95"/>
      <c r="E876" s="14"/>
      <c r="F876" s="96"/>
      <c r="H876" s="12"/>
      <c r="I876" s="12"/>
      <c r="J876" s="12"/>
      <c r="K876" s="12"/>
      <c r="L876" s="12"/>
      <c r="M876" s="12"/>
      <c r="N876" s="12"/>
      <c r="O876" s="12"/>
      <c r="P876" s="12"/>
    </row>
    <row r="877">
      <c r="A877" s="12"/>
      <c r="D877" s="95"/>
      <c r="E877" s="14"/>
      <c r="F877" s="96"/>
      <c r="H877" s="12"/>
      <c r="I877" s="12"/>
      <c r="J877" s="12"/>
      <c r="K877" s="12"/>
      <c r="L877" s="12"/>
      <c r="M877" s="12"/>
      <c r="N877" s="12"/>
      <c r="O877" s="12"/>
      <c r="P877" s="12"/>
    </row>
    <row r="878">
      <c r="A878" s="12"/>
      <c r="D878" s="95"/>
      <c r="E878" s="14"/>
      <c r="F878" s="96"/>
      <c r="H878" s="12"/>
      <c r="I878" s="12"/>
      <c r="J878" s="12"/>
      <c r="K878" s="12"/>
      <c r="L878" s="12"/>
      <c r="M878" s="12"/>
      <c r="N878" s="12"/>
      <c r="O878" s="12"/>
      <c r="P878" s="12"/>
    </row>
    <row r="879">
      <c r="A879" s="12"/>
      <c r="D879" s="95"/>
      <c r="E879" s="14"/>
      <c r="F879" s="96"/>
      <c r="H879" s="12"/>
      <c r="I879" s="12"/>
      <c r="J879" s="12"/>
      <c r="K879" s="12"/>
      <c r="L879" s="12"/>
      <c r="M879" s="12"/>
      <c r="N879" s="12"/>
      <c r="O879" s="12"/>
      <c r="P879" s="12"/>
    </row>
    <row r="880">
      <c r="A880" s="12"/>
      <c r="D880" s="95"/>
      <c r="E880" s="14"/>
      <c r="F880" s="96"/>
      <c r="H880" s="12"/>
      <c r="I880" s="12"/>
      <c r="J880" s="12"/>
      <c r="K880" s="12"/>
      <c r="L880" s="12"/>
      <c r="M880" s="12"/>
      <c r="N880" s="12"/>
      <c r="O880" s="12"/>
      <c r="P880" s="12"/>
    </row>
    <row r="881">
      <c r="A881" s="12"/>
      <c r="D881" s="95"/>
      <c r="E881" s="14"/>
      <c r="F881" s="96"/>
      <c r="H881" s="12"/>
      <c r="I881" s="12"/>
      <c r="J881" s="12"/>
      <c r="K881" s="12"/>
      <c r="L881" s="12"/>
      <c r="M881" s="12"/>
      <c r="N881" s="12"/>
      <c r="O881" s="12"/>
      <c r="P881" s="12"/>
    </row>
    <row r="882">
      <c r="A882" s="12"/>
      <c r="D882" s="95"/>
      <c r="E882" s="14"/>
      <c r="F882" s="96"/>
      <c r="H882" s="12"/>
      <c r="I882" s="12"/>
      <c r="J882" s="12"/>
      <c r="K882" s="12"/>
      <c r="L882" s="12"/>
      <c r="M882" s="12"/>
      <c r="N882" s="12"/>
      <c r="O882" s="12"/>
      <c r="P882" s="12"/>
    </row>
    <row r="883">
      <c r="A883" s="12"/>
      <c r="D883" s="95"/>
      <c r="E883" s="14"/>
      <c r="F883" s="96"/>
      <c r="H883" s="12"/>
      <c r="I883" s="12"/>
      <c r="J883" s="12"/>
      <c r="K883" s="12"/>
      <c r="L883" s="12"/>
      <c r="M883" s="12"/>
      <c r="N883" s="12"/>
      <c r="O883" s="12"/>
      <c r="P883" s="12"/>
    </row>
    <row r="884">
      <c r="A884" s="12"/>
      <c r="D884" s="95"/>
      <c r="E884" s="14"/>
      <c r="F884" s="96"/>
      <c r="H884" s="12"/>
      <c r="I884" s="12"/>
      <c r="J884" s="12"/>
      <c r="K884" s="12"/>
      <c r="L884" s="12"/>
      <c r="M884" s="12"/>
      <c r="N884" s="12"/>
      <c r="O884" s="12"/>
      <c r="P884" s="12"/>
    </row>
    <row r="885">
      <c r="A885" s="12"/>
      <c r="D885" s="95"/>
      <c r="E885" s="14"/>
      <c r="F885" s="96"/>
      <c r="H885" s="12"/>
      <c r="I885" s="12"/>
      <c r="J885" s="12"/>
      <c r="K885" s="12"/>
      <c r="L885" s="12"/>
      <c r="M885" s="12"/>
      <c r="N885" s="12"/>
      <c r="O885" s="12"/>
      <c r="P885" s="12"/>
    </row>
    <row r="886">
      <c r="A886" s="12"/>
      <c r="D886" s="95"/>
      <c r="E886" s="14"/>
      <c r="F886" s="96"/>
      <c r="H886" s="12"/>
      <c r="I886" s="12"/>
      <c r="J886" s="12"/>
      <c r="K886" s="12"/>
      <c r="L886" s="12"/>
      <c r="M886" s="12"/>
      <c r="N886" s="12"/>
      <c r="O886" s="12"/>
      <c r="P886" s="12"/>
    </row>
    <row r="887">
      <c r="A887" s="12"/>
      <c r="D887" s="95"/>
      <c r="E887" s="14"/>
      <c r="F887" s="96"/>
      <c r="H887" s="12"/>
      <c r="I887" s="12"/>
      <c r="J887" s="12"/>
      <c r="K887" s="12"/>
      <c r="L887" s="12"/>
      <c r="M887" s="12"/>
      <c r="N887" s="12"/>
      <c r="O887" s="12"/>
      <c r="P887" s="12"/>
    </row>
    <row r="888">
      <c r="A888" s="12"/>
      <c r="D888" s="95"/>
      <c r="E888" s="14"/>
      <c r="F888" s="96"/>
      <c r="H888" s="12"/>
      <c r="I888" s="12"/>
      <c r="J888" s="12"/>
      <c r="K888" s="12"/>
      <c r="L888" s="12"/>
      <c r="M888" s="12"/>
      <c r="N888" s="12"/>
      <c r="O888" s="12"/>
      <c r="P888" s="12"/>
    </row>
    <row r="889">
      <c r="A889" s="12"/>
      <c r="D889" s="95"/>
      <c r="E889" s="14"/>
      <c r="F889" s="96"/>
      <c r="H889" s="12"/>
      <c r="I889" s="12"/>
      <c r="J889" s="12"/>
      <c r="K889" s="12"/>
      <c r="L889" s="12"/>
      <c r="M889" s="12"/>
      <c r="N889" s="12"/>
      <c r="O889" s="12"/>
      <c r="P889" s="12"/>
    </row>
    <row r="890">
      <c r="A890" s="12"/>
      <c r="D890" s="95"/>
      <c r="E890" s="14"/>
      <c r="F890" s="96"/>
      <c r="H890" s="12"/>
      <c r="I890" s="12"/>
      <c r="J890" s="12"/>
      <c r="K890" s="12"/>
      <c r="L890" s="12"/>
      <c r="M890" s="12"/>
      <c r="N890" s="12"/>
      <c r="O890" s="12"/>
      <c r="P890" s="12"/>
    </row>
    <row r="891">
      <c r="A891" s="12"/>
      <c r="D891" s="95"/>
      <c r="E891" s="14"/>
      <c r="F891" s="96"/>
      <c r="H891" s="12"/>
      <c r="I891" s="12"/>
      <c r="J891" s="12"/>
      <c r="K891" s="12"/>
      <c r="L891" s="12"/>
      <c r="M891" s="12"/>
      <c r="N891" s="12"/>
      <c r="O891" s="12"/>
      <c r="P891" s="12"/>
    </row>
    <row r="892">
      <c r="A892" s="12"/>
      <c r="D892" s="95"/>
      <c r="E892" s="14"/>
      <c r="F892" s="96"/>
      <c r="H892" s="12"/>
      <c r="I892" s="12"/>
      <c r="J892" s="12"/>
      <c r="K892" s="12"/>
      <c r="L892" s="12"/>
      <c r="M892" s="12"/>
      <c r="N892" s="12"/>
      <c r="O892" s="12"/>
      <c r="P892" s="12"/>
    </row>
    <row r="893">
      <c r="A893" s="12"/>
      <c r="D893" s="95"/>
      <c r="E893" s="14"/>
      <c r="F893" s="96"/>
      <c r="H893" s="12"/>
      <c r="I893" s="12"/>
      <c r="J893" s="12"/>
      <c r="K893" s="12"/>
      <c r="L893" s="12"/>
      <c r="M893" s="12"/>
      <c r="N893" s="12"/>
      <c r="O893" s="12"/>
      <c r="P893" s="12"/>
    </row>
    <row r="894">
      <c r="A894" s="12"/>
      <c r="D894" s="95"/>
      <c r="E894" s="14"/>
      <c r="F894" s="96"/>
      <c r="H894" s="12"/>
      <c r="I894" s="12"/>
      <c r="J894" s="12"/>
      <c r="K894" s="12"/>
      <c r="L894" s="12"/>
      <c r="M894" s="12"/>
      <c r="N894" s="12"/>
      <c r="O894" s="12"/>
      <c r="P894" s="12"/>
    </row>
    <row r="895">
      <c r="A895" s="12"/>
      <c r="D895" s="95"/>
      <c r="E895" s="14"/>
      <c r="F895" s="96"/>
      <c r="H895" s="12"/>
      <c r="I895" s="12"/>
      <c r="J895" s="12"/>
      <c r="K895" s="12"/>
      <c r="L895" s="12"/>
      <c r="M895" s="12"/>
      <c r="N895" s="12"/>
      <c r="O895" s="12"/>
      <c r="P895" s="12"/>
    </row>
    <row r="896">
      <c r="A896" s="12"/>
      <c r="D896" s="95"/>
      <c r="E896" s="14"/>
      <c r="F896" s="96"/>
      <c r="H896" s="12"/>
      <c r="I896" s="12"/>
      <c r="J896" s="12"/>
      <c r="K896" s="12"/>
      <c r="L896" s="12"/>
      <c r="M896" s="12"/>
      <c r="N896" s="12"/>
      <c r="O896" s="12"/>
      <c r="P896" s="12"/>
    </row>
    <row r="897">
      <c r="A897" s="12"/>
      <c r="D897" s="95"/>
      <c r="E897" s="14"/>
      <c r="F897" s="96"/>
      <c r="H897" s="12"/>
      <c r="I897" s="12"/>
      <c r="J897" s="12"/>
      <c r="K897" s="12"/>
      <c r="L897" s="12"/>
      <c r="M897" s="12"/>
      <c r="N897" s="12"/>
      <c r="O897" s="12"/>
      <c r="P897" s="12"/>
    </row>
    <row r="898">
      <c r="A898" s="12"/>
      <c r="D898" s="95"/>
      <c r="E898" s="14"/>
      <c r="F898" s="96"/>
      <c r="H898" s="12"/>
      <c r="I898" s="12"/>
      <c r="J898" s="12"/>
      <c r="K898" s="12"/>
      <c r="L898" s="12"/>
      <c r="M898" s="12"/>
      <c r="N898" s="12"/>
      <c r="O898" s="12"/>
      <c r="P898" s="12"/>
    </row>
    <row r="899">
      <c r="A899" s="12"/>
      <c r="D899" s="95"/>
      <c r="E899" s="14"/>
      <c r="F899" s="96"/>
      <c r="H899" s="12"/>
      <c r="I899" s="12"/>
      <c r="J899" s="12"/>
      <c r="K899" s="12"/>
      <c r="L899" s="12"/>
      <c r="M899" s="12"/>
      <c r="N899" s="12"/>
      <c r="O899" s="12"/>
      <c r="P899" s="12"/>
    </row>
    <row r="900">
      <c r="A900" s="12"/>
      <c r="D900" s="95"/>
      <c r="E900" s="14"/>
      <c r="F900" s="96"/>
      <c r="H900" s="12"/>
      <c r="I900" s="12"/>
      <c r="J900" s="12"/>
      <c r="K900" s="12"/>
      <c r="L900" s="12"/>
      <c r="M900" s="12"/>
      <c r="N900" s="12"/>
      <c r="O900" s="12"/>
      <c r="P900" s="12"/>
    </row>
    <row r="901">
      <c r="A901" s="12"/>
      <c r="D901" s="95"/>
      <c r="E901" s="14"/>
      <c r="F901" s="96"/>
      <c r="H901" s="12"/>
      <c r="I901" s="12"/>
      <c r="J901" s="12"/>
      <c r="K901" s="12"/>
      <c r="L901" s="12"/>
      <c r="M901" s="12"/>
      <c r="N901" s="12"/>
      <c r="O901" s="12"/>
      <c r="P901" s="12"/>
    </row>
    <row r="902">
      <c r="A902" s="12"/>
      <c r="D902" s="95"/>
      <c r="E902" s="14"/>
      <c r="F902" s="96"/>
      <c r="H902" s="12"/>
      <c r="I902" s="12"/>
      <c r="J902" s="12"/>
      <c r="K902" s="12"/>
      <c r="L902" s="12"/>
      <c r="M902" s="12"/>
      <c r="N902" s="12"/>
      <c r="O902" s="12"/>
      <c r="P902" s="12"/>
    </row>
    <row r="903">
      <c r="A903" s="12"/>
      <c r="D903" s="95"/>
      <c r="E903" s="14"/>
      <c r="F903" s="96"/>
      <c r="H903" s="12"/>
      <c r="I903" s="12"/>
      <c r="J903" s="12"/>
      <c r="K903" s="12"/>
      <c r="L903" s="12"/>
      <c r="M903" s="12"/>
      <c r="N903" s="12"/>
      <c r="O903" s="12"/>
      <c r="P903" s="12"/>
    </row>
    <row r="904">
      <c r="A904" s="12"/>
      <c r="D904" s="95"/>
      <c r="E904" s="14"/>
      <c r="F904" s="96"/>
      <c r="H904" s="12"/>
      <c r="I904" s="12"/>
      <c r="J904" s="12"/>
      <c r="K904" s="12"/>
      <c r="L904" s="12"/>
      <c r="M904" s="12"/>
      <c r="N904" s="12"/>
      <c r="O904" s="12"/>
      <c r="P904" s="12"/>
    </row>
    <row r="905">
      <c r="A905" s="12"/>
      <c r="D905" s="95"/>
      <c r="E905" s="14"/>
      <c r="F905" s="96"/>
      <c r="H905" s="12"/>
      <c r="I905" s="12"/>
      <c r="J905" s="12"/>
      <c r="K905" s="12"/>
      <c r="L905" s="12"/>
      <c r="M905" s="12"/>
      <c r="N905" s="12"/>
      <c r="O905" s="12"/>
      <c r="P905" s="12"/>
    </row>
    <row r="906">
      <c r="A906" s="12"/>
      <c r="D906" s="95"/>
      <c r="E906" s="14"/>
      <c r="F906" s="96"/>
      <c r="H906" s="12"/>
      <c r="I906" s="12"/>
      <c r="J906" s="12"/>
      <c r="K906" s="12"/>
      <c r="L906" s="12"/>
      <c r="M906" s="12"/>
      <c r="N906" s="12"/>
      <c r="O906" s="12"/>
      <c r="P906" s="12"/>
    </row>
    <row r="907">
      <c r="A907" s="12"/>
      <c r="D907" s="95"/>
      <c r="E907" s="14"/>
      <c r="F907" s="96"/>
      <c r="H907" s="12"/>
      <c r="I907" s="12"/>
      <c r="J907" s="12"/>
      <c r="K907" s="12"/>
      <c r="L907" s="12"/>
      <c r="M907" s="12"/>
      <c r="N907" s="12"/>
      <c r="O907" s="12"/>
      <c r="P907" s="12"/>
    </row>
    <row r="908">
      <c r="A908" s="12"/>
      <c r="D908" s="95"/>
      <c r="E908" s="14"/>
      <c r="F908" s="96"/>
      <c r="H908" s="12"/>
      <c r="I908" s="12"/>
      <c r="J908" s="12"/>
      <c r="K908" s="12"/>
      <c r="L908" s="12"/>
      <c r="M908" s="12"/>
      <c r="N908" s="12"/>
      <c r="O908" s="12"/>
      <c r="P908" s="12"/>
    </row>
    <row r="909">
      <c r="A909" s="12"/>
      <c r="D909" s="95"/>
      <c r="E909" s="14"/>
      <c r="F909" s="96"/>
      <c r="H909" s="12"/>
      <c r="I909" s="12"/>
      <c r="J909" s="12"/>
      <c r="K909" s="12"/>
      <c r="L909" s="12"/>
      <c r="M909" s="12"/>
      <c r="N909" s="12"/>
      <c r="O909" s="12"/>
      <c r="P909" s="12"/>
    </row>
    <row r="910">
      <c r="A910" s="12"/>
      <c r="D910" s="95"/>
      <c r="E910" s="14"/>
      <c r="F910" s="96"/>
      <c r="H910" s="12"/>
      <c r="I910" s="12"/>
      <c r="J910" s="12"/>
      <c r="K910" s="12"/>
      <c r="L910" s="12"/>
      <c r="M910" s="12"/>
      <c r="N910" s="12"/>
      <c r="O910" s="12"/>
      <c r="P910" s="12"/>
    </row>
    <row r="911">
      <c r="A911" s="12"/>
      <c r="D911" s="95"/>
      <c r="E911" s="14"/>
      <c r="F911" s="96"/>
      <c r="H911" s="12"/>
      <c r="I911" s="12"/>
      <c r="J911" s="12"/>
      <c r="K911" s="12"/>
      <c r="L911" s="12"/>
      <c r="M911" s="12"/>
      <c r="N911" s="12"/>
      <c r="O911" s="12"/>
      <c r="P911" s="12"/>
    </row>
    <row r="912">
      <c r="A912" s="12"/>
      <c r="D912" s="95"/>
      <c r="E912" s="14"/>
      <c r="F912" s="96"/>
      <c r="H912" s="12"/>
      <c r="I912" s="12"/>
      <c r="J912" s="12"/>
      <c r="K912" s="12"/>
      <c r="L912" s="12"/>
      <c r="M912" s="12"/>
      <c r="N912" s="12"/>
      <c r="O912" s="12"/>
      <c r="P912" s="12"/>
    </row>
    <row r="913">
      <c r="A913" s="12"/>
      <c r="D913" s="95"/>
      <c r="E913" s="14"/>
      <c r="F913" s="96"/>
      <c r="H913" s="12"/>
      <c r="I913" s="12"/>
      <c r="J913" s="12"/>
      <c r="K913" s="12"/>
      <c r="L913" s="12"/>
      <c r="M913" s="12"/>
      <c r="N913" s="12"/>
      <c r="O913" s="12"/>
      <c r="P913" s="12"/>
    </row>
    <row r="914">
      <c r="A914" s="12"/>
      <c r="D914" s="95"/>
      <c r="E914" s="14"/>
      <c r="F914" s="96"/>
      <c r="H914" s="12"/>
      <c r="I914" s="12"/>
      <c r="J914" s="12"/>
      <c r="K914" s="12"/>
      <c r="L914" s="12"/>
      <c r="M914" s="12"/>
      <c r="N914" s="12"/>
      <c r="O914" s="12"/>
      <c r="P914" s="12"/>
    </row>
    <row r="915">
      <c r="A915" s="12"/>
      <c r="D915" s="95"/>
      <c r="E915" s="14"/>
      <c r="F915" s="96"/>
      <c r="H915" s="12"/>
      <c r="I915" s="12"/>
      <c r="J915" s="12"/>
      <c r="K915" s="12"/>
      <c r="L915" s="12"/>
      <c r="M915" s="12"/>
      <c r="N915" s="12"/>
      <c r="O915" s="12"/>
      <c r="P915" s="12"/>
    </row>
    <row r="916">
      <c r="A916" s="12"/>
      <c r="D916" s="95"/>
      <c r="E916" s="14"/>
      <c r="F916" s="96"/>
      <c r="H916" s="12"/>
      <c r="I916" s="12"/>
      <c r="J916" s="12"/>
      <c r="K916" s="12"/>
      <c r="L916" s="12"/>
      <c r="M916" s="12"/>
      <c r="N916" s="12"/>
      <c r="O916" s="12"/>
      <c r="P916" s="12"/>
    </row>
    <row r="917">
      <c r="A917" s="12"/>
      <c r="D917" s="95"/>
      <c r="E917" s="14"/>
      <c r="F917" s="96"/>
      <c r="H917" s="12"/>
      <c r="I917" s="12"/>
      <c r="J917" s="12"/>
      <c r="K917" s="12"/>
      <c r="L917" s="12"/>
      <c r="M917" s="12"/>
      <c r="N917" s="12"/>
      <c r="O917" s="12"/>
      <c r="P917" s="12"/>
    </row>
    <row r="918">
      <c r="A918" s="12"/>
      <c r="D918" s="95"/>
      <c r="E918" s="14"/>
      <c r="F918" s="96"/>
      <c r="H918" s="12"/>
      <c r="I918" s="12"/>
      <c r="J918" s="12"/>
      <c r="K918" s="12"/>
      <c r="L918" s="12"/>
      <c r="M918" s="12"/>
      <c r="N918" s="12"/>
      <c r="O918" s="12"/>
      <c r="P918" s="12"/>
    </row>
    <row r="919">
      <c r="A919" s="12"/>
      <c r="D919" s="95"/>
      <c r="E919" s="14"/>
      <c r="F919" s="96"/>
      <c r="H919" s="12"/>
      <c r="I919" s="12"/>
      <c r="J919" s="12"/>
      <c r="K919" s="12"/>
      <c r="L919" s="12"/>
      <c r="M919" s="12"/>
      <c r="N919" s="12"/>
      <c r="O919" s="12"/>
      <c r="P919" s="12"/>
    </row>
    <row r="920">
      <c r="A920" s="12"/>
      <c r="D920" s="95"/>
      <c r="E920" s="14"/>
      <c r="F920" s="96"/>
      <c r="H920" s="12"/>
      <c r="I920" s="12"/>
      <c r="J920" s="12"/>
      <c r="K920" s="12"/>
      <c r="L920" s="12"/>
      <c r="M920" s="12"/>
      <c r="N920" s="12"/>
      <c r="O920" s="12"/>
      <c r="P920" s="12"/>
    </row>
    <row r="921">
      <c r="A921" s="12"/>
      <c r="D921" s="95"/>
      <c r="E921" s="14"/>
      <c r="F921" s="96"/>
      <c r="H921" s="12"/>
      <c r="I921" s="12"/>
      <c r="J921" s="12"/>
      <c r="K921" s="12"/>
      <c r="L921" s="12"/>
      <c r="M921" s="12"/>
      <c r="N921" s="12"/>
      <c r="O921" s="12"/>
      <c r="P921" s="12"/>
    </row>
    <row r="922">
      <c r="A922" s="12"/>
      <c r="D922" s="95"/>
      <c r="E922" s="14"/>
      <c r="F922" s="96"/>
      <c r="H922" s="12"/>
      <c r="I922" s="12"/>
      <c r="J922" s="12"/>
      <c r="K922" s="12"/>
      <c r="L922" s="12"/>
      <c r="M922" s="12"/>
      <c r="N922" s="12"/>
      <c r="O922" s="12"/>
      <c r="P922" s="12"/>
    </row>
    <row r="923">
      <c r="A923" s="12"/>
      <c r="D923" s="95"/>
      <c r="E923" s="14"/>
      <c r="F923" s="96"/>
      <c r="H923" s="12"/>
      <c r="I923" s="12"/>
      <c r="J923" s="12"/>
      <c r="K923" s="12"/>
      <c r="L923" s="12"/>
      <c r="M923" s="12"/>
      <c r="N923" s="12"/>
      <c r="O923" s="12"/>
      <c r="P923" s="12"/>
    </row>
    <row r="924">
      <c r="A924" s="12"/>
      <c r="D924" s="95"/>
      <c r="E924" s="14"/>
      <c r="F924" s="96"/>
      <c r="H924" s="12"/>
      <c r="I924" s="12"/>
      <c r="J924" s="12"/>
      <c r="K924" s="12"/>
      <c r="L924" s="12"/>
      <c r="M924" s="12"/>
      <c r="N924" s="12"/>
      <c r="O924" s="12"/>
      <c r="P924" s="12"/>
    </row>
    <row r="925">
      <c r="A925" s="12"/>
      <c r="D925" s="95"/>
      <c r="E925" s="14"/>
      <c r="F925" s="96"/>
      <c r="H925" s="12"/>
      <c r="I925" s="12"/>
      <c r="J925" s="12"/>
      <c r="K925" s="12"/>
      <c r="L925" s="12"/>
      <c r="M925" s="12"/>
      <c r="N925" s="12"/>
      <c r="O925" s="12"/>
      <c r="P925" s="12"/>
    </row>
    <row r="926">
      <c r="A926" s="12"/>
      <c r="D926" s="95"/>
      <c r="E926" s="14"/>
      <c r="F926" s="96"/>
      <c r="H926" s="12"/>
      <c r="I926" s="12"/>
      <c r="J926" s="12"/>
      <c r="K926" s="12"/>
      <c r="L926" s="12"/>
      <c r="M926" s="12"/>
      <c r="N926" s="12"/>
      <c r="O926" s="12"/>
      <c r="P926" s="12"/>
    </row>
    <row r="927">
      <c r="A927" s="12"/>
      <c r="D927" s="95"/>
      <c r="E927" s="14"/>
      <c r="F927" s="96"/>
      <c r="H927" s="12"/>
      <c r="I927" s="12"/>
      <c r="J927" s="12"/>
      <c r="K927" s="12"/>
      <c r="L927" s="12"/>
      <c r="M927" s="12"/>
      <c r="N927" s="12"/>
      <c r="O927" s="12"/>
      <c r="P927" s="12"/>
    </row>
    <row r="928">
      <c r="A928" s="12"/>
      <c r="D928" s="95"/>
      <c r="E928" s="14"/>
      <c r="F928" s="96"/>
      <c r="H928" s="12"/>
      <c r="I928" s="12"/>
      <c r="J928" s="12"/>
      <c r="K928" s="12"/>
      <c r="L928" s="12"/>
      <c r="M928" s="12"/>
      <c r="N928" s="12"/>
      <c r="O928" s="12"/>
      <c r="P928" s="12"/>
    </row>
    <row r="929">
      <c r="A929" s="12"/>
      <c r="D929" s="95"/>
      <c r="E929" s="14"/>
      <c r="F929" s="96"/>
      <c r="H929" s="12"/>
      <c r="I929" s="12"/>
      <c r="J929" s="12"/>
      <c r="K929" s="12"/>
      <c r="L929" s="12"/>
      <c r="M929" s="12"/>
      <c r="N929" s="12"/>
      <c r="O929" s="12"/>
      <c r="P929" s="12"/>
    </row>
    <row r="930">
      <c r="A930" s="12"/>
      <c r="D930" s="95"/>
      <c r="E930" s="14"/>
      <c r="F930" s="96"/>
      <c r="H930" s="12"/>
      <c r="I930" s="12"/>
      <c r="J930" s="12"/>
      <c r="K930" s="12"/>
      <c r="L930" s="12"/>
      <c r="M930" s="12"/>
      <c r="N930" s="12"/>
      <c r="O930" s="12"/>
      <c r="P930" s="12"/>
    </row>
    <row r="931">
      <c r="A931" s="12"/>
      <c r="D931" s="95"/>
      <c r="E931" s="14"/>
      <c r="F931" s="96"/>
      <c r="H931" s="12"/>
      <c r="I931" s="12"/>
      <c r="J931" s="12"/>
      <c r="K931" s="12"/>
      <c r="L931" s="12"/>
      <c r="M931" s="12"/>
      <c r="N931" s="12"/>
      <c r="O931" s="12"/>
      <c r="P931" s="12"/>
    </row>
    <row r="932">
      <c r="A932" s="12"/>
      <c r="D932" s="95"/>
      <c r="E932" s="14"/>
      <c r="F932" s="96"/>
      <c r="H932" s="12"/>
      <c r="I932" s="12"/>
      <c r="J932" s="12"/>
      <c r="K932" s="12"/>
      <c r="L932" s="12"/>
      <c r="M932" s="12"/>
      <c r="N932" s="12"/>
      <c r="O932" s="12"/>
      <c r="P932" s="12"/>
    </row>
    <row r="933">
      <c r="A933" s="12"/>
      <c r="D933" s="95"/>
      <c r="E933" s="14"/>
      <c r="F933" s="96"/>
      <c r="H933" s="12"/>
      <c r="I933" s="12"/>
      <c r="J933" s="12"/>
      <c r="K933" s="12"/>
      <c r="L933" s="12"/>
      <c r="M933" s="12"/>
      <c r="N933" s="12"/>
      <c r="O933" s="12"/>
      <c r="P933" s="12"/>
    </row>
    <row r="934">
      <c r="A934" s="12"/>
      <c r="D934" s="95"/>
      <c r="E934" s="14"/>
      <c r="F934" s="96"/>
      <c r="H934" s="12"/>
      <c r="I934" s="12"/>
      <c r="J934" s="12"/>
      <c r="K934" s="12"/>
      <c r="L934" s="12"/>
      <c r="M934" s="12"/>
      <c r="N934" s="12"/>
      <c r="O934" s="12"/>
      <c r="P934" s="12"/>
    </row>
    <row r="935">
      <c r="A935" s="12"/>
      <c r="D935" s="95"/>
      <c r="E935" s="14"/>
      <c r="F935" s="96"/>
      <c r="H935" s="12"/>
      <c r="I935" s="12"/>
      <c r="J935" s="12"/>
      <c r="K935" s="12"/>
      <c r="L935" s="12"/>
      <c r="M935" s="12"/>
      <c r="N935" s="12"/>
      <c r="O935" s="12"/>
      <c r="P935" s="12"/>
    </row>
    <row r="936">
      <c r="A936" s="12"/>
      <c r="D936" s="95"/>
      <c r="E936" s="14"/>
      <c r="F936" s="96"/>
      <c r="H936" s="12"/>
      <c r="I936" s="12"/>
      <c r="J936" s="12"/>
      <c r="K936" s="12"/>
      <c r="L936" s="12"/>
      <c r="M936" s="12"/>
      <c r="N936" s="12"/>
      <c r="O936" s="12"/>
      <c r="P936" s="12"/>
    </row>
    <row r="937">
      <c r="A937" s="12"/>
      <c r="D937" s="95"/>
      <c r="E937" s="14"/>
      <c r="F937" s="96"/>
      <c r="H937" s="12"/>
      <c r="I937" s="12"/>
      <c r="J937" s="12"/>
      <c r="K937" s="12"/>
      <c r="L937" s="12"/>
      <c r="M937" s="12"/>
      <c r="N937" s="12"/>
      <c r="O937" s="12"/>
      <c r="P937" s="12"/>
    </row>
    <row r="938">
      <c r="A938" s="12"/>
      <c r="D938" s="95"/>
      <c r="E938" s="14"/>
      <c r="F938" s="96"/>
      <c r="H938" s="12"/>
      <c r="I938" s="12"/>
      <c r="J938" s="12"/>
      <c r="K938" s="12"/>
      <c r="L938" s="12"/>
      <c r="M938" s="12"/>
      <c r="N938" s="12"/>
      <c r="O938" s="12"/>
      <c r="P938" s="12"/>
    </row>
    <row r="939">
      <c r="A939" s="12"/>
      <c r="D939" s="95"/>
      <c r="E939" s="14"/>
      <c r="F939" s="96"/>
      <c r="H939" s="12"/>
      <c r="I939" s="12"/>
      <c r="J939" s="12"/>
      <c r="K939" s="12"/>
      <c r="L939" s="12"/>
      <c r="M939" s="12"/>
      <c r="N939" s="12"/>
      <c r="O939" s="12"/>
      <c r="P939" s="12"/>
    </row>
    <row r="940">
      <c r="A940" s="12"/>
      <c r="D940" s="95"/>
      <c r="E940" s="14"/>
      <c r="F940" s="96"/>
      <c r="H940" s="12"/>
      <c r="I940" s="12"/>
      <c r="J940" s="12"/>
      <c r="K940" s="12"/>
      <c r="L940" s="12"/>
      <c r="M940" s="12"/>
      <c r="N940" s="12"/>
      <c r="O940" s="12"/>
      <c r="P940" s="12"/>
    </row>
    <row r="941">
      <c r="A941" s="12"/>
      <c r="D941" s="95"/>
      <c r="E941" s="14"/>
      <c r="F941" s="96"/>
      <c r="H941" s="12"/>
      <c r="I941" s="12"/>
      <c r="J941" s="12"/>
      <c r="K941" s="12"/>
      <c r="L941" s="12"/>
      <c r="M941" s="12"/>
      <c r="N941" s="12"/>
      <c r="O941" s="12"/>
      <c r="P941" s="12"/>
    </row>
    <row r="942">
      <c r="A942" s="12"/>
      <c r="D942" s="95"/>
      <c r="E942" s="14"/>
      <c r="F942" s="96"/>
      <c r="H942" s="12"/>
      <c r="I942" s="12"/>
      <c r="J942" s="12"/>
      <c r="K942" s="12"/>
      <c r="L942" s="12"/>
      <c r="M942" s="12"/>
      <c r="N942" s="12"/>
      <c r="O942" s="12"/>
      <c r="P942" s="12"/>
    </row>
    <row r="943">
      <c r="A943" s="12"/>
      <c r="D943" s="95"/>
      <c r="E943" s="14"/>
      <c r="F943" s="96"/>
      <c r="H943" s="12"/>
      <c r="I943" s="12"/>
      <c r="J943" s="12"/>
      <c r="K943" s="12"/>
      <c r="L943" s="12"/>
      <c r="M943" s="12"/>
      <c r="N943" s="12"/>
      <c r="O943" s="12"/>
      <c r="P943" s="12"/>
    </row>
    <row r="944">
      <c r="A944" s="12"/>
      <c r="D944" s="95"/>
      <c r="E944" s="14"/>
      <c r="F944" s="96"/>
      <c r="H944" s="12"/>
      <c r="I944" s="12"/>
      <c r="J944" s="12"/>
      <c r="K944" s="12"/>
      <c r="L944" s="12"/>
      <c r="M944" s="12"/>
      <c r="N944" s="12"/>
      <c r="O944" s="12"/>
      <c r="P944" s="12"/>
    </row>
    <row r="945">
      <c r="A945" s="12"/>
      <c r="D945" s="95"/>
      <c r="E945" s="14"/>
      <c r="F945" s="96"/>
      <c r="H945" s="12"/>
      <c r="I945" s="12"/>
      <c r="J945" s="12"/>
      <c r="K945" s="12"/>
      <c r="L945" s="12"/>
      <c r="M945" s="12"/>
      <c r="N945" s="12"/>
      <c r="O945" s="12"/>
      <c r="P945" s="12"/>
    </row>
    <row r="946">
      <c r="A946" s="12"/>
      <c r="D946" s="95"/>
      <c r="E946" s="14"/>
      <c r="F946" s="96"/>
      <c r="H946" s="12"/>
      <c r="I946" s="12"/>
      <c r="J946" s="12"/>
      <c r="K946" s="12"/>
      <c r="L946" s="12"/>
      <c r="M946" s="12"/>
      <c r="N946" s="12"/>
      <c r="O946" s="12"/>
      <c r="P946" s="12"/>
    </row>
    <row r="947">
      <c r="A947" s="12"/>
      <c r="D947" s="95"/>
      <c r="E947" s="14"/>
      <c r="F947" s="96"/>
      <c r="H947" s="12"/>
      <c r="I947" s="12"/>
      <c r="J947" s="12"/>
      <c r="K947" s="12"/>
      <c r="L947" s="12"/>
      <c r="M947" s="12"/>
      <c r="N947" s="12"/>
      <c r="O947" s="12"/>
      <c r="P947" s="12"/>
    </row>
    <row r="948">
      <c r="A948" s="12"/>
      <c r="D948" s="95"/>
      <c r="E948" s="14"/>
      <c r="F948" s="96"/>
      <c r="H948" s="12"/>
      <c r="I948" s="12"/>
      <c r="J948" s="12"/>
      <c r="K948" s="12"/>
      <c r="L948" s="12"/>
      <c r="M948" s="12"/>
      <c r="N948" s="12"/>
      <c r="O948" s="12"/>
      <c r="P948" s="12"/>
    </row>
    <row r="949">
      <c r="A949" s="12"/>
      <c r="D949" s="95"/>
      <c r="E949" s="14"/>
      <c r="F949" s="96"/>
      <c r="H949" s="12"/>
      <c r="I949" s="12"/>
      <c r="J949" s="12"/>
      <c r="K949" s="12"/>
      <c r="L949" s="12"/>
      <c r="M949" s="12"/>
      <c r="N949" s="12"/>
      <c r="O949" s="12"/>
      <c r="P949" s="12"/>
    </row>
    <row r="950">
      <c r="A950" s="12"/>
      <c r="D950" s="95"/>
      <c r="E950" s="14"/>
      <c r="F950" s="96"/>
      <c r="H950" s="12"/>
      <c r="I950" s="12"/>
      <c r="J950" s="12"/>
      <c r="K950" s="12"/>
      <c r="L950" s="12"/>
      <c r="M950" s="12"/>
      <c r="N950" s="12"/>
      <c r="O950" s="12"/>
      <c r="P950" s="12"/>
    </row>
    <row r="951">
      <c r="A951" s="12"/>
      <c r="D951" s="95"/>
      <c r="E951" s="14"/>
      <c r="F951" s="96"/>
      <c r="H951" s="12"/>
      <c r="I951" s="12"/>
      <c r="J951" s="12"/>
      <c r="K951" s="12"/>
      <c r="L951" s="12"/>
      <c r="M951" s="12"/>
      <c r="N951" s="12"/>
      <c r="O951" s="12"/>
      <c r="P951" s="12"/>
    </row>
    <row r="952">
      <c r="A952" s="12"/>
      <c r="D952" s="95"/>
      <c r="E952" s="14"/>
      <c r="F952" s="96"/>
      <c r="H952" s="12"/>
      <c r="I952" s="12"/>
      <c r="J952" s="12"/>
      <c r="K952" s="12"/>
      <c r="L952" s="12"/>
      <c r="M952" s="12"/>
      <c r="N952" s="12"/>
      <c r="O952" s="12"/>
      <c r="P952" s="12"/>
    </row>
    <row r="953">
      <c r="A953" s="12"/>
      <c r="D953" s="95"/>
      <c r="E953" s="14"/>
      <c r="F953" s="96"/>
      <c r="H953" s="12"/>
      <c r="I953" s="12"/>
      <c r="J953" s="12"/>
      <c r="K953" s="12"/>
      <c r="L953" s="12"/>
      <c r="M953" s="12"/>
      <c r="N953" s="12"/>
      <c r="O953" s="12"/>
      <c r="P953" s="12"/>
    </row>
    <row r="954">
      <c r="A954" s="12"/>
      <c r="D954" s="95"/>
      <c r="E954" s="14"/>
      <c r="F954" s="96"/>
      <c r="H954" s="12"/>
      <c r="I954" s="12"/>
      <c r="J954" s="12"/>
      <c r="K954" s="12"/>
      <c r="L954" s="12"/>
      <c r="M954" s="12"/>
      <c r="N954" s="12"/>
      <c r="O954" s="12"/>
      <c r="P954" s="12"/>
    </row>
    <row r="955">
      <c r="A955" s="12"/>
      <c r="D955" s="95"/>
      <c r="E955" s="14"/>
      <c r="F955" s="96"/>
      <c r="H955" s="12"/>
      <c r="I955" s="12"/>
      <c r="J955" s="12"/>
      <c r="K955" s="12"/>
      <c r="L955" s="12"/>
      <c r="M955" s="12"/>
      <c r="N955" s="12"/>
      <c r="O955" s="12"/>
      <c r="P955" s="12"/>
    </row>
    <row r="956">
      <c r="A956" s="12"/>
      <c r="D956" s="95"/>
      <c r="E956" s="14"/>
      <c r="F956" s="96"/>
      <c r="H956" s="12"/>
      <c r="I956" s="12"/>
      <c r="J956" s="12"/>
      <c r="K956" s="12"/>
      <c r="L956" s="12"/>
      <c r="M956" s="12"/>
      <c r="N956" s="12"/>
      <c r="O956" s="12"/>
      <c r="P956" s="12"/>
    </row>
    <row r="957">
      <c r="A957" s="12"/>
      <c r="D957" s="95"/>
      <c r="E957" s="14"/>
      <c r="F957" s="96"/>
      <c r="H957" s="12"/>
      <c r="I957" s="12"/>
      <c r="J957" s="12"/>
      <c r="K957" s="12"/>
      <c r="L957" s="12"/>
      <c r="M957" s="12"/>
      <c r="N957" s="12"/>
      <c r="O957" s="12"/>
      <c r="P957" s="12"/>
    </row>
    <row r="958">
      <c r="A958" s="12"/>
      <c r="D958" s="95"/>
      <c r="E958" s="14"/>
      <c r="F958" s="96"/>
      <c r="H958" s="12"/>
      <c r="I958" s="12"/>
      <c r="J958" s="12"/>
      <c r="K958" s="12"/>
      <c r="L958" s="12"/>
      <c r="M958" s="12"/>
      <c r="N958" s="12"/>
      <c r="O958" s="12"/>
      <c r="P958" s="12"/>
    </row>
    <row r="959">
      <c r="A959" s="12"/>
      <c r="D959" s="95"/>
      <c r="E959" s="14"/>
      <c r="F959" s="96"/>
      <c r="H959" s="12"/>
      <c r="I959" s="12"/>
      <c r="J959" s="12"/>
      <c r="K959" s="12"/>
      <c r="L959" s="12"/>
      <c r="M959" s="12"/>
      <c r="N959" s="12"/>
      <c r="O959" s="12"/>
      <c r="P959" s="12"/>
    </row>
    <row r="960">
      <c r="A960" s="12"/>
      <c r="D960" s="95"/>
      <c r="E960" s="14"/>
      <c r="F960" s="96"/>
      <c r="H960" s="12"/>
      <c r="I960" s="12"/>
      <c r="J960" s="12"/>
      <c r="K960" s="12"/>
      <c r="L960" s="12"/>
      <c r="M960" s="12"/>
      <c r="N960" s="12"/>
      <c r="O960" s="12"/>
      <c r="P960" s="12"/>
    </row>
    <row r="961">
      <c r="A961" s="12"/>
      <c r="D961" s="95"/>
      <c r="E961" s="14"/>
      <c r="F961" s="96"/>
      <c r="H961" s="12"/>
      <c r="I961" s="12"/>
      <c r="J961" s="12"/>
      <c r="K961" s="12"/>
      <c r="L961" s="12"/>
      <c r="M961" s="12"/>
      <c r="N961" s="12"/>
      <c r="O961" s="12"/>
      <c r="P961" s="12"/>
    </row>
    <row r="962">
      <c r="A962" s="12"/>
      <c r="D962" s="95"/>
      <c r="E962" s="14"/>
      <c r="F962" s="96"/>
      <c r="H962" s="12"/>
      <c r="I962" s="12"/>
      <c r="J962" s="12"/>
      <c r="K962" s="12"/>
      <c r="L962" s="12"/>
      <c r="M962" s="12"/>
      <c r="N962" s="12"/>
      <c r="O962" s="12"/>
      <c r="P962" s="12"/>
    </row>
    <row r="963">
      <c r="A963" s="12"/>
      <c r="D963" s="95"/>
      <c r="E963" s="14"/>
      <c r="F963" s="96"/>
      <c r="H963" s="12"/>
      <c r="I963" s="12"/>
      <c r="J963" s="12"/>
      <c r="K963" s="12"/>
      <c r="L963" s="12"/>
      <c r="M963" s="12"/>
      <c r="N963" s="12"/>
      <c r="O963" s="12"/>
      <c r="P963" s="12"/>
    </row>
    <row r="964">
      <c r="A964" s="12"/>
      <c r="D964" s="95"/>
      <c r="E964" s="14"/>
      <c r="F964" s="96"/>
      <c r="H964" s="12"/>
      <c r="I964" s="12"/>
      <c r="J964" s="12"/>
      <c r="K964" s="12"/>
      <c r="L964" s="12"/>
      <c r="M964" s="12"/>
      <c r="N964" s="12"/>
      <c r="O964" s="12"/>
      <c r="P964" s="12"/>
    </row>
    <row r="965">
      <c r="A965" s="12"/>
      <c r="D965" s="95"/>
      <c r="E965" s="14"/>
      <c r="F965" s="96"/>
      <c r="H965" s="12"/>
      <c r="I965" s="12"/>
      <c r="J965" s="12"/>
      <c r="K965" s="12"/>
      <c r="L965" s="12"/>
      <c r="M965" s="12"/>
      <c r="N965" s="12"/>
      <c r="O965" s="12"/>
      <c r="P965" s="12"/>
    </row>
    <row r="966">
      <c r="A966" s="12"/>
      <c r="D966" s="95"/>
      <c r="E966" s="14"/>
      <c r="F966" s="96"/>
      <c r="H966" s="12"/>
      <c r="I966" s="12"/>
      <c r="J966" s="12"/>
      <c r="K966" s="12"/>
      <c r="L966" s="12"/>
      <c r="M966" s="12"/>
      <c r="N966" s="12"/>
      <c r="O966" s="12"/>
      <c r="P966" s="12"/>
    </row>
    <row r="967">
      <c r="A967" s="12"/>
      <c r="D967" s="95"/>
      <c r="E967" s="14"/>
      <c r="F967" s="96"/>
      <c r="H967" s="12"/>
      <c r="I967" s="12"/>
      <c r="J967" s="12"/>
      <c r="K967" s="12"/>
      <c r="L967" s="12"/>
      <c r="M967" s="12"/>
      <c r="N967" s="12"/>
      <c r="O967" s="12"/>
      <c r="P967" s="12"/>
    </row>
    <row r="968">
      <c r="A968" s="12"/>
      <c r="D968" s="95"/>
      <c r="E968" s="14"/>
      <c r="F968" s="96"/>
      <c r="H968" s="12"/>
      <c r="I968" s="12"/>
      <c r="J968" s="12"/>
      <c r="K968" s="12"/>
      <c r="L968" s="12"/>
      <c r="M968" s="12"/>
      <c r="N968" s="12"/>
      <c r="O968" s="12"/>
      <c r="P968" s="12"/>
    </row>
    <row r="969">
      <c r="A969" s="12"/>
      <c r="D969" s="95"/>
      <c r="E969" s="14"/>
      <c r="F969" s="96"/>
      <c r="H969" s="12"/>
      <c r="I969" s="12"/>
      <c r="J969" s="12"/>
      <c r="K969" s="12"/>
      <c r="L969" s="12"/>
      <c r="M969" s="12"/>
      <c r="N969" s="12"/>
      <c r="O969" s="12"/>
      <c r="P969" s="12"/>
    </row>
    <row r="970">
      <c r="A970" s="12"/>
      <c r="D970" s="95"/>
      <c r="E970" s="14"/>
      <c r="F970" s="96"/>
      <c r="H970" s="12"/>
      <c r="I970" s="12"/>
      <c r="J970" s="12"/>
      <c r="K970" s="12"/>
      <c r="L970" s="12"/>
      <c r="M970" s="12"/>
      <c r="N970" s="12"/>
      <c r="O970" s="12"/>
      <c r="P970" s="12"/>
    </row>
    <row r="971">
      <c r="A971" s="12"/>
      <c r="D971" s="95"/>
      <c r="E971" s="14"/>
      <c r="F971" s="96"/>
      <c r="H971" s="12"/>
      <c r="I971" s="12"/>
      <c r="J971" s="12"/>
      <c r="K971" s="12"/>
      <c r="L971" s="12"/>
      <c r="M971" s="12"/>
      <c r="N971" s="12"/>
      <c r="O971" s="12"/>
      <c r="P971" s="12"/>
    </row>
    <row r="972">
      <c r="A972" s="12"/>
      <c r="D972" s="95"/>
      <c r="E972" s="14"/>
      <c r="F972" s="96"/>
      <c r="H972" s="12"/>
      <c r="I972" s="12"/>
      <c r="J972" s="12"/>
      <c r="K972" s="12"/>
      <c r="L972" s="12"/>
      <c r="M972" s="12"/>
      <c r="N972" s="12"/>
      <c r="O972" s="12"/>
      <c r="P972" s="12"/>
    </row>
    <row r="973">
      <c r="A973" s="12"/>
      <c r="D973" s="95"/>
      <c r="E973" s="14"/>
      <c r="F973" s="96"/>
      <c r="H973" s="12"/>
      <c r="I973" s="12"/>
      <c r="J973" s="12"/>
      <c r="K973" s="12"/>
      <c r="L973" s="12"/>
      <c r="M973" s="12"/>
      <c r="N973" s="12"/>
      <c r="O973" s="12"/>
      <c r="P973" s="12"/>
    </row>
    <row r="974">
      <c r="A974" s="12"/>
      <c r="D974" s="95"/>
      <c r="E974" s="14"/>
      <c r="F974" s="96"/>
      <c r="H974" s="12"/>
      <c r="I974" s="12"/>
      <c r="J974" s="12"/>
      <c r="K974" s="12"/>
      <c r="L974" s="12"/>
      <c r="M974" s="12"/>
      <c r="N974" s="12"/>
      <c r="O974" s="12"/>
      <c r="P974" s="12"/>
    </row>
    <row r="975">
      <c r="A975" s="12"/>
      <c r="D975" s="95"/>
      <c r="E975" s="14"/>
      <c r="F975" s="96"/>
      <c r="H975" s="12"/>
      <c r="I975" s="12"/>
      <c r="J975" s="12"/>
      <c r="K975" s="12"/>
      <c r="L975" s="12"/>
      <c r="M975" s="12"/>
      <c r="N975" s="12"/>
      <c r="O975" s="12"/>
      <c r="P975" s="12"/>
    </row>
    <row r="976">
      <c r="A976" s="12"/>
      <c r="D976" s="95"/>
      <c r="E976" s="14"/>
      <c r="F976" s="96"/>
      <c r="H976" s="12"/>
      <c r="I976" s="12"/>
      <c r="J976" s="12"/>
      <c r="K976" s="12"/>
      <c r="L976" s="12"/>
      <c r="M976" s="12"/>
      <c r="N976" s="12"/>
      <c r="O976" s="12"/>
      <c r="P976" s="12"/>
    </row>
    <row r="977">
      <c r="A977" s="12"/>
      <c r="D977" s="95"/>
      <c r="E977" s="14"/>
      <c r="F977" s="96"/>
      <c r="H977" s="12"/>
      <c r="I977" s="12"/>
      <c r="J977" s="12"/>
      <c r="K977" s="12"/>
      <c r="L977" s="12"/>
      <c r="M977" s="12"/>
      <c r="N977" s="12"/>
      <c r="O977" s="12"/>
      <c r="P977" s="12"/>
    </row>
    <row r="978">
      <c r="A978" s="12"/>
      <c r="D978" s="95"/>
      <c r="E978" s="14"/>
      <c r="F978" s="96"/>
      <c r="H978" s="12"/>
      <c r="I978" s="12"/>
      <c r="J978" s="12"/>
      <c r="K978" s="12"/>
      <c r="L978" s="12"/>
      <c r="M978" s="12"/>
      <c r="N978" s="12"/>
      <c r="O978" s="12"/>
      <c r="P978" s="12"/>
    </row>
    <row r="979">
      <c r="A979" s="12"/>
      <c r="D979" s="95"/>
      <c r="E979" s="14"/>
      <c r="F979" s="96"/>
      <c r="H979" s="12"/>
      <c r="I979" s="12"/>
      <c r="J979" s="12"/>
      <c r="K979" s="12"/>
      <c r="L979" s="12"/>
      <c r="M979" s="12"/>
      <c r="N979" s="12"/>
      <c r="O979" s="12"/>
      <c r="P979" s="12"/>
    </row>
    <row r="980">
      <c r="A980" s="12"/>
      <c r="D980" s="95"/>
      <c r="E980" s="14"/>
      <c r="F980" s="96"/>
      <c r="H980" s="12"/>
      <c r="I980" s="12"/>
      <c r="J980" s="12"/>
      <c r="K980" s="12"/>
      <c r="L980" s="12"/>
      <c r="M980" s="12"/>
      <c r="N980" s="12"/>
      <c r="O980" s="12"/>
      <c r="P980" s="12"/>
    </row>
    <row r="981">
      <c r="A981" s="12"/>
      <c r="D981" s="95"/>
      <c r="E981" s="14"/>
      <c r="F981" s="96"/>
      <c r="H981" s="12"/>
      <c r="I981" s="12"/>
      <c r="J981" s="12"/>
      <c r="K981" s="12"/>
      <c r="L981" s="12"/>
      <c r="M981" s="12"/>
      <c r="N981" s="12"/>
      <c r="O981" s="12"/>
      <c r="P981" s="12"/>
    </row>
    <row r="982">
      <c r="A982" s="12"/>
      <c r="D982" s="95"/>
      <c r="E982" s="14"/>
      <c r="F982" s="96"/>
      <c r="H982" s="12"/>
      <c r="I982" s="12"/>
      <c r="J982" s="12"/>
      <c r="K982" s="12"/>
      <c r="L982" s="12"/>
      <c r="M982" s="12"/>
      <c r="N982" s="12"/>
      <c r="O982" s="12"/>
      <c r="P982" s="12"/>
    </row>
    <row r="983">
      <c r="A983" s="12"/>
      <c r="D983" s="95"/>
      <c r="E983" s="14"/>
      <c r="F983" s="96"/>
      <c r="H983" s="12"/>
      <c r="I983" s="12"/>
      <c r="J983" s="12"/>
      <c r="K983" s="12"/>
      <c r="L983" s="12"/>
      <c r="M983" s="12"/>
      <c r="N983" s="12"/>
      <c r="O983" s="12"/>
      <c r="P983" s="12"/>
    </row>
    <row r="984">
      <c r="A984" s="12"/>
      <c r="D984" s="95"/>
      <c r="E984" s="14"/>
      <c r="F984" s="96"/>
      <c r="H984" s="12"/>
      <c r="I984" s="12"/>
      <c r="J984" s="12"/>
      <c r="K984" s="12"/>
      <c r="L984" s="12"/>
      <c r="M984" s="12"/>
      <c r="N984" s="12"/>
      <c r="O984" s="12"/>
      <c r="P984" s="12"/>
    </row>
    <row r="985">
      <c r="A985" s="12"/>
      <c r="D985" s="95"/>
      <c r="E985" s="14"/>
      <c r="F985" s="96"/>
      <c r="H985" s="12"/>
      <c r="I985" s="12"/>
      <c r="J985" s="12"/>
      <c r="K985" s="12"/>
      <c r="L985" s="12"/>
      <c r="M985" s="12"/>
      <c r="N985" s="12"/>
      <c r="O985" s="12"/>
      <c r="P985" s="12"/>
    </row>
    <row r="986">
      <c r="A986" s="12"/>
      <c r="D986" s="95"/>
      <c r="E986" s="14"/>
      <c r="F986" s="96"/>
      <c r="H986" s="12"/>
      <c r="I986" s="12"/>
      <c r="J986" s="12"/>
      <c r="K986" s="12"/>
      <c r="L986" s="12"/>
      <c r="M986" s="12"/>
      <c r="N986" s="12"/>
      <c r="O986" s="12"/>
      <c r="P986" s="12"/>
    </row>
    <row r="987">
      <c r="A987" s="12"/>
      <c r="D987" s="95"/>
      <c r="E987" s="14"/>
      <c r="F987" s="96"/>
      <c r="H987" s="12"/>
      <c r="I987" s="12"/>
      <c r="J987" s="12"/>
      <c r="K987" s="12"/>
      <c r="L987" s="12"/>
      <c r="M987" s="12"/>
      <c r="N987" s="12"/>
      <c r="O987" s="12"/>
      <c r="P987" s="12"/>
    </row>
    <row r="988">
      <c r="A988" s="12"/>
      <c r="D988" s="95"/>
      <c r="E988" s="14"/>
      <c r="F988" s="96"/>
      <c r="H988" s="12"/>
      <c r="I988" s="12"/>
      <c r="J988" s="12"/>
      <c r="K988" s="12"/>
      <c r="L988" s="12"/>
      <c r="M988" s="12"/>
      <c r="N988" s="12"/>
      <c r="O988" s="12"/>
      <c r="P988" s="12"/>
    </row>
    <row r="989">
      <c r="A989" s="12"/>
      <c r="D989" s="95"/>
      <c r="E989" s="14"/>
      <c r="F989" s="96"/>
      <c r="H989" s="12"/>
      <c r="I989" s="12"/>
      <c r="J989" s="12"/>
      <c r="K989" s="12"/>
      <c r="L989" s="12"/>
      <c r="M989" s="12"/>
      <c r="N989" s="12"/>
      <c r="O989" s="12"/>
      <c r="P989" s="12"/>
    </row>
    <row r="990">
      <c r="A990" s="12"/>
      <c r="D990" s="95"/>
      <c r="E990" s="14"/>
      <c r="F990" s="96"/>
      <c r="H990" s="12"/>
      <c r="I990" s="12"/>
      <c r="J990" s="12"/>
      <c r="K990" s="12"/>
      <c r="L990" s="12"/>
      <c r="M990" s="12"/>
      <c r="N990" s="12"/>
      <c r="O990" s="12"/>
      <c r="P990" s="12"/>
    </row>
    <row r="991">
      <c r="A991" s="12"/>
      <c r="D991" s="95"/>
      <c r="E991" s="14"/>
      <c r="F991" s="96"/>
      <c r="H991" s="12"/>
      <c r="I991" s="12"/>
      <c r="J991" s="12"/>
      <c r="K991" s="12"/>
      <c r="L991" s="12"/>
      <c r="M991" s="12"/>
      <c r="N991" s="12"/>
      <c r="O991" s="12"/>
      <c r="P991" s="12"/>
    </row>
    <row r="992">
      <c r="A992" s="12"/>
      <c r="D992" s="95"/>
      <c r="E992" s="14"/>
      <c r="F992" s="96"/>
      <c r="H992" s="12"/>
      <c r="I992" s="12"/>
      <c r="J992" s="12"/>
      <c r="K992" s="12"/>
      <c r="L992" s="12"/>
      <c r="M992" s="12"/>
      <c r="N992" s="12"/>
      <c r="O992" s="12"/>
      <c r="P992" s="12"/>
    </row>
    <row r="993">
      <c r="A993" s="12"/>
      <c r="D993" s="95"/>
      <c r="E993" s="14"/>
      <c r="F993" s="96"/>
      <c r="H993" s="12"/>
      <c r="I993" s="12"/>
      <c r="J993" s="12"/>
      <c r="K993" s="12"/>
      <c r="L993" s="12"/>
      <c r="M993" s="12"/>
      <c r="N993" s="12"/>
      <c r="O993" s="12"/>
      <c r="P993" s="12"/>
    </row>
    <row r="994">
      <c r="A994" s="12"/>
      <c r="D994" s="95"/>
      <c r="E994" s="14"/>
      <c r="F994" s="96"/>
      <c r="H994" s="12"/>
      <c r="I994" s="12"/>
      <c r="J994" s="12"/>
      <c r="K994" s="12"/>
      <c r="L994" s="12"/>
      <c r="M994" s="12"/>
      <c r="N994" s="12"/>
      <c r="O994" s="12"/>
      <c r="P994" s="12"/>
    </row>
    <row r="995">
      <c r="A995" s="12"/>
      <c r="D995" s="95"/>
      <c r="E995" s="14"/>
      <c r="F995" s="96"/>
      <c r="H995" s="12"/>
      <c r="I995" s="12"/>
      <c r="J995" s="12"/>
      <c r="K995" s="12"/>
      <c r="L995" s="12"/>
      <c r="M995" s="12"/>
      <c r="N995" s="12"/>
      <c r="O995" s="12"/>
      <c r="P995" s="12"/>
    </row>
    <row r="996">
      <c r="A996" s="12"/>
      <c r="D996" s="95"/>
      <c r="E996" s="14"/>
      <c r="F996" s="96"/>
      <c r="H996" s="12"/>
      <c r="I996" s="12"/>
      <c r="J996" s="12"/>
      <c r="K996" s="12"/>
      <c r="L996" s="12"/>
      <c r="M996" s="12"/>
      <c r="N996" s="12"/>
      <c r="O996" s="12"/>
      <c r="P996" s="12"/>
    </row>
    <row r="997">
      <c r="A997" s="12"/>
      <c r="D997" s="95"/>
      <c r="E997" s="14"/>
      <c r="F997" s="96"/>
      <c r="H997" s="12"/>
      <c r="I997" s="12"/>
      <c r="J997" s="12"/>
      <c r="K997" s="12"/>
      <c r="L997" s="12"/>
      <c r="M997" s="12"/>
      <c r="N997" s="12"/>
      <c r="O997" s="12"/>
      <c r="P997" s="12"/>
    </row>
    <row r="998">
      <c r="A998" s="12"/>
      <c r="D998" s="95"/>
      <c r="E998" s="14"/>
      <c r="F998" s="96"/>
      <c r="H998" s="12"/>
      <c r="I998" s="12"/>
      <c r="J998" s="12"/>
      <c r="K998" s="12"/>
      <c r="L998" s="12"/>
      <c r="M998" s="12"/>
      <c r="N998" s="12"/>
      <c r="O998" s="12"/>
      <c r="P998" s="12"/>
    </row>
    <row r="999">
      <c r="A999" s="12"/>
      <c r="D999" s="95"/>
      <c r="E999" s="14"/>
      <c r="F999" s="96"/>
      <c r="H999" s="12"/>
      <c r="I999" s="12"/>
      <c r="J999" s="12"/>
      <c r="K999" s="12"/>
      <c r="L999" s="12"/>
      <c r="M999" s="12"/>
      <c r="N999" s="12"/>
      <c r="O999" s="12"/>
      <c r="P999" s="12"/>
    </row>
    <row r="1000">
      <c r="A1000" s="12"/>
      <c r="D1000" s="95"/>
      <c r="E1000" s="14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>
      <c r="A1001" s="12"/>
      <c r="D1001" s="95"/>
      <c r="E1001" s="14"/>
      <c r="F1001" s="96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>
      <c r="A1002" s="12"/>
      <c r="D1002" s="95"/>
      <c r="E1002" s="14"/>
      <c r="F1002" s="96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>
      <c r="A1003" s="12"/>
      <c r="D1003" s="95"/>
      <c r="E1003" s="14"/>
      <c r="F1003" s="96"/>
      <c r="H1003" s="12"/>
      <c r="I1003" s="12"/>
      <c r="J1003" s="12"/>
      <c r="K1003" s="12"/>
      <c r="L1003" s="12"/>
      <c r="M1003" s="12"/>
      <c r="N1003" s="12"/>
      <c r="O1003" s="12"/>
      <c r="P1003" s="12"/>
    </row>
  </sheetData>
  <conditionalFormatting sqref="H2:P29">
    <cfRule type="cellIs" dxfId="36" priority="1" operator="equal">
      <formula>0</formula>
    </cfRule>
  </conditionalFormatting>
  <conditionalFormatting sqref="H2:H29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29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29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29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29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29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29">
    <cfRule type="colorScale" priority="8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29">
    <cfRule type="colorScale" priority="9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35:C42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5:F42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2:F29 F32">
      <formula1>OR(NOT(ISERROR(DATEVALUE(F2))), AND(ISNUMBER(F2), LEFT(CELL("format", F2))="D"))</formula1>
    </dataValidation>
    <dataValidation type="list" allowBlank="1" showDropDown="1" sqref="C2:C29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5"/>
    <col customWidth="1" min="3" max="3" width="15.88"/>
    <col customWidth="1" min="4" max="4" width="31.75"/>
    <col customWidth="1" min="5" max="5" width="9.25"/>
    <col customWidth="1" min="6" max="6" width="29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113" t="s">
        <v>48</v>
      </c>
      <c r="B1" s="1114" t="s">
        <v>49</v>
      </c>
      <c r="C1" s="1114" t="s">
        <v>50</v>
      </c>
      <c r="D1" s="1115" t="s">
        <v>56</v>
      </c>
      <c r="E1" s="1113" t="s">
        <v>57</v>
      </c>
      <c r="F1" s="1116" t="s">
        <v>52</v>
      </c>
      <c r="G1" s="1117" t="s">
        <v>53</v>
      </c>
      <c r="H1" s="1113" t="s">
        <v>4</v>
      </c>
      <c r="I1" s="1113" t="s">
        <v>58</v>
      </c>
      <c r="J1" s="1113" t="s">
        <v>59</v>
      </c>
      <c r="K1" s="1113" t="s">
        <v>60</v>
      </c>
      <c r="L1" s="1113" t="s">
        <v>61</v>
      </c>
      <c r="M1" s="1113" t="s">
        <v>62</v>
      </c>
      <c r="N1" s="1113" t="s">
        <v>63</v>
      </c>
      <c r="O1" s="1118" t="s">
        <v>64</v>
      </c>
      <c r="P1" s="1113" t="s">
        <v>65</v>
      </c>
    </row>
    <row r="2" ht="22.5" customHeight="1">
      <c r="A2" s="1119">
        <v>1.0</v>
      </c>
      <c r="B2" s="1120" t="s">
        <v>1682</v>
      </c>
      <c r="C2" s="1121" t="s">
        <v>67</v>
      </c>
      <c r="D2" s="1122" t="s">
        <v>80</v>
      </c>
      <c r="E2" s="1119" t="str">
        <f t="shared" ref="E2:E3" si="2">IMAGE("https://flagcdn.com/w320/nl.png")
</f>
        <v/>
      </c>
      <c r="F2" s="1123">
        <v>34912.0</v>
      </c>
      <c r="G2" s="1124">
        <f t="shared" ref="G2:G56" si="3">DATEDIF(F2,TODAY(),"Y")</f>
        <v>30</v>
      </c>
      <c r="H2" s="1125">
        <f t="shared" ref="H2:I2" si="1">0</f>
        <v>0</v>
      </c>
      <c r="I2" s="1125">
        <f t="shared" si="1"/>
        <v>0</v>
      </c>
      <c r="J2" s="1125"/>
      <c r="K2" s="1125"/>
      <c r="L2" s="1125"/>
      <c r="M2" s="1125"/>
      <c r="N2" s="1125"/>
      <c r="O2" s="1125">
        <f t="shared" ref="O2:O56" si="4">J2+K2</f>
        <v>0</v>
      </c>
      <c r="P2" s="1125"/>
    </row>
    <row r="3" ht="22.5" customHeight="1">
      <c r="A3" s="1119">
        <v>2.0</v>
      </c>
      <c r="B3" s="1120" t="s">
        <v>1683</v>
      </c>
      <c r="C3" s="1121" t="s">
        <v>70</v>
      </c>
      <c r="D3" s="1122" t="s">
        <v>1684</v>
      </c>
      <c r="E3" s="1119" t="str">
        <f t="shared" si="2"/>
        <v/>
      </c>
      <c r="F3" s="1123">
        <v>37274.0</v>
      </c>
      <c r="G3" s="1124">
        <f t="shared" si="3"/>
        <v>24</v>
      </c>
      <c r="H3" s="1125">
        <f t="shared" ref="H3:H4" si="5">1+1+1+1+1+1+1</f>
        <v>7</v>
      </c>
      <c r="I3" s="1125">
        <f>45+90+83+66+90+90+44</f>
        <v>508</v>
      </c>
      <c r="J3" s="1125"/>
      <c r="K3" s="1125"/>
      <c r="L3" s="1125"/>
      <c r="M3" s="1125"/>
      <c r="N3" s="1125"/>
      <c r="O3" s="1125">
        <f t="shared" si="4"/>
        <v>0</v>
      </c>
      <c r="P3" s="1125"/>
    </row>
    <row r="4" ht="22.5" customHeight="1">
      <c r="A4" s="1119">
        <v>3.0</v>
      </c>
      <c r="B4" s="1120" t="s">
        <v>1685</v>
      </c>
      <c r="C4" s="1121" t="s">
        <v>70</v>
      </c>
      <c r="D4" s="1122" t="s">
        <v>1686</v>
      </c>
      <c r="E4" s="1119" t="str">
        <f>IMAGE("https://flagcdn.com/w320/es.png")
</f>
        <v/>
      </c>
      <c r="F4" s="1123">
        <v>38364.0</v>
      </c>
      <c r="G4" s="1124">
        <f t="shared" si="3"/>
        <v>21</v>
      </c>
      <c r="H4" s="1125">
        <f t="shared" si="5"/>
        <v>7</v>
      </c>
      <c r="I4" s="1125">
        <f>90+90+45+90+90+57+90</f>
        <v>552</v>
      </c>
      <c r="J4" s="1125"/>
      <c r="K4" s="1125"/>
      <c r="L4" s="1125">
        <f>1+1+1</f>
        <v>3</v>
      </c>
      <c r="M4" s="1125"/>
      <c r="N4" s="1125"/>
      <c r="O4" s="1125">
        <f t="shared" si="4"/>
        <v>0</v>
      </c>
      <c r="P4" s="1125"/>
    </row>
    <row r="5" ht="22.5" customHeight="1">
      <c r="A5" s="1119">
        <v>4.0</v>
      </c>
      <c r="B5" s="1120" t="s">
        <v>1687</v>
      </c>
      <c r="C5" s="1121" t="s">
        <v>70</v>
      </c>
      <c r="D5" s="1122" t="s">
        <v>1688</v>
      </c>
      <c r="E5" s="1119" t="str">
        <f>IMAGE("https://flagcdn.com/w320/cw.png")
</f>
        <v/>
      </c>
      <c r="F5" s="1123">
        <v>36224.0</v>
      </c>
      <c r="G5" s="1124">
        <f t="shared" si="3"/>
        <v>26</v>
      </c>
      <c r="H5" s="1125">
        <f>1+1+1+1+1</f>
        <v>5</v>
      </c>
      <c r="I5" s="1125">
        <f>45+65+45+33+46</f>
        <v>234</v>
      </c>
      <c r="J5" s="1125"/>
      <c r="K5" s="1125"/>
      <c r="L5" s="1125">
        <f>1</f>
        <v>1</v>
      </c>
      <c r="M5" s="1125"/>
      <c r="N5" s="1125"/>
      <c r="O5" s="1125">
        <f t="shared" si="4"/>
        <v>0</v>
      </c>
      <c r="P5" s="1125"/>
    </row>
    <row r="6" ht="22.5" customHeight="1">
      <c r="A6" s="1119">
        <v>5.0</v>
      </c>
      <c r="B6" s="1120" t="s">
        <v>1689</v>
      </c>
      <c r="C6" s="1121" t="s">
        <v>82</v>
      </c>
      <c r="D6" s="1122" t="s">
        <v>111</v>
      </c>
      <c r="E6" s="1119" t="str">
        <f>IMAGE("https://flagcdn.com/w320/hr.png")
</f>
        <v/>
      </c>
      <c r="F6" s="1123">
        <v>32541.0</v>
      </c>
      <c r="G6" s="1124">
        <f t="shared" si="3"/>
        <v>36</v>
      </c>
      <c r="H6" s="1125">
        <f>1+1+1+1+1+1+1</f>
        <v>7</v>
      </c>
      <c r="I6" s="1125">
        <f>90+72+83+67+68+10+61</f>
        <v>451</v>
      </c>
      <c r="J6" s="1125">
        <f t="shared" ref="J6:L6" si="6">1</f>
        <v>1</v>
      </c>
      <c r="K6" s="1125">
        <f t="shared" si="6"/>
        <v>1</v>
      </c>
      <c r="L6" s="1125">
        <f t="shared" si="6"/>
        <v>1</v>
      </c>
      <c r="M6" s="1125"/>
      <c r="N6" s="1125"/>
      <c r="O6" s="1125">
        <f t="shared" si="4"/>
        <v>2</v>
      </c>
      <c r="P6" s="1125"/>
    </row>
    <row r="7" ht="22.5" customHeight="1">
      <c r="A7" s="1119">
        <v>6.0</v>
      </c>
      <c r="B7" s="1120" t="s">
        <v>1690</v>
      </c>
      <c r="C7" s="1121" t="s">
        <v>70</v>
      </c>
      <c r="D7" s="1122" t="s">
        <v>1691</v>
      </c>
      <c r="E7" s="1119" t="str">
        <f t="shared" ref="E7:E8" si="7">IMAGE("https://flagcdn.com/w320/nl.png")
</f>
        <v/>
      </c>
      <c r="F7" s="1123">
        <v>37621.0</v>
      </c>
      <c r="G7" s="1124">
        <f t="shared" si="3"/>
        <v>23</v>
      </c>
      <c r="H7" s="1125">
        <f>1+1+1+1</f>
        <v>4</v>
      </c>
      <c r="I7" s="1125">
        <f>90+25+90+18</f>
        <v>223</v>
      </c>
      <c r="J7" s="1125"/>
      <c r="K7" s="1125"/>
      <c r="L7" s="1125"/>
      <c r="M7" s="1125"/>
      <c r="N7" s="1125"/>
      <c r="O7" s="1125">
        <f t="shared" si="4"/>
        <v>0</v>
      </c>
      <c r="P7" s="1125"/>
    </row>
    <row r="8" ht="22.5" customHeight="1">
      <c r="A8" s="1119">
        <v>7.0</v>
      </c>
      <c r="B8" s="1120" t="s">
        <v>1692</v>
      </c>
      <c r="C8" s="1121" t="s">
        <v>82</v>
      </c>
      <c r="D8" s="1122" t="s">
        <v>80</v>
      </c>
      <c r="E8" s="1119" t="str">
        <f t="shared" si="7"/>
        <v/>
      </c>
      <c r="F8" s="1123">
        <v>38202.0</v>
      </c>
      <c r="G8" s="1124">
        <f t="shared" si="3"/>
        <v>21</v>
      </c>
      <c r="H8" s="1125">
        <f>1</f>
        <v>1</v>
      </c>
      <c r="I8" s="1125">
        <f>90</f>
        <v>90</v>
      </c>
      <c r="J8" s="1125">
        <f>1</f>
        <v>1</v>
      </c>
      <c r="K8" s="1125"/>
      <c r="L8" s="1125"/>
      <c r="M8" s="1125"/>
      <c r="N8" s="1125"/>
      <c r="O8" s="1125">
        <f t="shared" si="4"/>
        <v>1</v>
      </c>
      <c r="P8" s="1125"/>
    </row>
    <row r="9" ht="22.5" customHeight="1">
      <c r="A9" s="1119">
        <v>8.0</v>
      </c>
      <c r="B9" s="1120" t="s">
        <v>1693</v>
      </c>
      <c r="C9" s="1121" t="s">
        <v>70</v>
      </c>
      <c r="D9" s="1122" t="s">
        <v>1694</v>
      </c>
      <c r="E9" s="1119" t="str">
        <f t="shared" ref="E9:E10" si="8">IMAGE("https://flagcdn.com/w320/us.png")
</f>
        <v/>
      </c>
      <c r="F9" s="1123">
        <v>36833.0</v>
      </c>
      <c r="G9" s="1124">
        <f t="shared" si="3"/>
        <v>25</v>
      </c>
      <c r="H9" s="1125">
        <f t="shared" ref="H9:H11" si="9">1+1+1+1+1</f>
        <v>5</v>
      </c>
      <c r="I9" s="1125">
        <f>90+7+90+90+90</f>
        <v>367</v>
      </c>
      <c r="J9" s="1125"/>
      <c r="K9" s="1125">
        <f>1</f>
        <v>1</v>
      </c>
      <c r="L9" s="1125"/>
      <c r="M9" s="1125"/>
      <c r="N9" s="1125"/>
      <c r="O9" s="1125">
        <f t="shared" si="4"/>
        <v>1</v>
      </c>
      <c r="P9" s="1125"/>
    </row>
    <row r="10" ht="22.5" customHeight="1">
      <c r="A10" s="1119">
        <v>9.0</v>
      </c>
      <c r="B10" s="1120" t="s">
        <v>1695</v>
      </c>
      <c r="C10" s="1121" t="s">
        <v>82</v>
      </c>
      <c r="D10" s="1122" t="s">
        <v>1696</v>
      </c>
      <c r="E10" s="1119" t="str">
        <f t="shared" si="8"/>
        <v/>
      </c>
      <c r="F10" s="1123">
        <v>37630.0</v>
      </c>
      <c r="G10" s="1124">
        <f t="shared" si="3"/>
        <v>23</v>
      </c>
      <c r="H10" s="1125">
        <f t="shared" si="9"/>
        <v>5</v>
      </c>
      <c r="I10" s="1125">
        <f>73+7+33+22+18</f>
        <v>153</v>
      </c>
      <c r="J10" s="1125">
        <f>1+1+1</f>
        <v>3</v>
      </c>
      <c r="K10" s="1125">
        <f>1+1</f>
        <v>2</v>
      </c>
      <c r="L10" s="1125"/>
      <c r="M10" s="1125"/>
      <c r="N10" s="1125"/>
      <c r="O10" s="1125">
        <f t="shared" si="4"/>
        <v>5</v>
      </c>
      <c r="P10" s="1125"/>
    </row>
    <row r="11" ht="22.5" customHeight="1">
      <c r="A11" s="1119">
        <v>10.0</v>
      </c>
      <c r="B11" s="1120" t="s">
        <v>1697</v>
      </c>
      <c r="C11" s="1121" t="s">
        <v>79</v>
      </c>
      <c r="D11" s="1122" t="s">
        <v>1698</v>
      </c>
      <c r="E11" s="1119" t="str">
        <f>IMAGE("https://flagcdn.com/w320/de.png")
</f>
        <v/>
      </c>
      <c r="F11" s="1123">
        <v>38709.0</v>
      </c>
      <c r="G11" s="1124">
        <f t="shared" si="3"/>
        <v>20</v>
      </c>
      <c r="H11" s="1125">
        <f t="shared" si="9"/>
        <v>5</v>
      </c>
      <c r="I11" s="1125">
        <f>17+3+24+57+90</f>
        <v>191</v>
      </c>
      <c r="J11" s="1125"/>
      <c r="K11" s="1125"/>
      <c r="L11" s="1125"/>
      <c r="M11" s="1125"/>
      <c r="N11" s="1125"/>
      <c r="O11" s="1125">
        <f t="shared" si="4"/>
        <v>0</v>
      </c>
      <c r="P11" s="1125"/>
    </row>
    <row r="12" ht="22.5" customHeight="1">
      <c r="A12" s="1119">
        <v>11.0</v>
      </c>
      <c r="B12" s="1120" t="s">
        <v>1699</v>
      </c>
      <c r="C12" s="1121" t="s">
        <v>82</v>
      </c>
      <c r="D12" s="1122" t="s">
        <v>1700</v>
      </c>
      <c r="E12" s="1119" t="str">
        <f>IMAGE("https://flagcdn.com/w320/ma.png")
</f>
        <v/>
      </c>
      <c r="F12" s="1123">
        <v>37363.0</v>
      </c>
      <c r="G12" s="1124">
        <f t="shared" si="3"/>
        <v>23</v>
      </c>
      <c r="H12" s="1125">
        <f t="shared" ref="H12:H13" si="10">1+1+1+1+1+1</f>
        <v>6</v>
      </c>
      <c r="I12" s="1125">
        <f>18+7+33+22+80+29</f>
        <v>189</v>
      </c>
      <c r="J12" s="1125">
        <f>1+2</f>
        <v>3</v>
      </c>
      <c r="K12" s="1125">
        <f t="shared" ref="K12:K13" si="11">1+1</f>
        <v>2</v>
      </c>
      <c r="L12" s="1125">
        <f t="shared" ref="L12:L13" si="12">1</f>
        <v>1</v>
      </c>
      <c r="M12" s="1125"/>
      <c r="N12" s="1125"/>
      <c r="O12" s="1125">
        <f t="shared" si="4"/>
        <v>5</v>
      </c>
      <c r="P12" s="1125"/>
    </row>
    <row r="13" ht="22.5" customHeight="1">
      <c r="A13" s="1119">
        <v>17.0</v>
      </c>
      <c r="B13" s="1126" t="s">
        <v>1701</v>
      </c>
      <c r="C13" s="1121" t="s">
        <v>82</v>
      </c>
      <c r="D13" s="1122" t="s">
        <v>182</v>
      </c>
      <c r="E13" s="1119" t="str">
        <f>IMAGE("https://flagcdn.com/w320/br.png")
</f>
        <v/>
      </c>
      <c r="F13" s="1123">
        <v>36286.0</v>
      </c>
      <c r="G13" s="1124">
        <f t="shared" si="3"/>
        <v>26</v>
      </c>
      <c r="H13" s="1125">
        <f t="shared" si="10"/>
        <v>6</v>
      </c>
      <c r="I13" s="1125">
        <f>90+90+90+90+90+90</f>
        <v>540</v>
      </c>
      <c r="J13" s="1125"/>
      <c r="K13" s="1125">
        <f t="shared" si="11"/>
        <v>2</v>
      </c>
      <c r="L13" s="1125">
        <f t="shared" si="12"/>
        <v>1</v>
      </c>
      <c r="M13" s="1125"/>
      <c r="N13" s="1125"/>
      <c r="O13" s="1125">
        <f t="shared" si="4"/>
        <v>2</v>
      </c>
      <c r="P13" s="1125"/>
    </row>
    <row r="14" ht="22.5" customHeight="1">
      <c r="A14" s="1119">
        <v>19.0</v>
      </c>
      <c r="B14" s="1120" t="s">
        <v>1702</v>
      </c>
      <c r="C14" s="1121" t="s">
        <v>82</v>
      </c>
      <c r="D14" s="1122" t="s">
        <v>1703</v>
      </c>
      <c r="E14" s="1119" t="str">
        <f>IMAGE("https://flagcdn.com/w320/ba.png")
</f>
        <v/>
      </c>
      <c r="F14" s="1123">
        <v>38421.0</v>
      </c>
      <c r="G14" s="1124">
        <f t="shared" si="3"/>
        <v>20</v>
      </c>
      <c r="H14" s="1125">
        <f>1+1+1+1</f>
        <v>4</v>
      </c>
      <c r="I14" s="1125">
        <f>18+23+2+29</f>
        <v>72</v>
      </c>
      <c r="J14" s="1125"/>
      <c r="K14" s="1125"/>
      <c r="L14" s="1125"/>
      <c r="M14" s="1125"/>
      <c r="N14" s="1125"/>
      <c r="O14" s="1125">
        <f t="shared" si="4"/>
        <v>0</v>
      </c>
      <c r="P14" s="1125"/>
    </row>
    <row r="15" ht="22.5" customHeight="1">
      <c r="A15" s="1119">
        <v>20.0</v>
      </c>
      <c r="B15" s="1120" t="s">
        <v>1704</v>
      </c>
      <c r="C15" s="1121" t="s">
        <v>79</v>
      </c>
      <c r="D15" s="1122" t="s">
        <v>80</v>
      </c>
      <c r="E15" s="1119" t="str">
        <f t="shared" ref="E15:E19" si="14">IMAGE("https://flagcdn.com/w320/nl.png")
</f>
        <v/>
      </c>
      <c r="F15" s="1123">
        <v>35786.0</v>
      </c>
      <c r="G15" s="1124">
        <f t="shared" si="3"/>
        <v>28</v>
      </c>
      <c r="H15" s="1125">
        <f>1+1+1+1+1+1+1</f>
        <v>7</v>
      </c>
      <c r="I15" s="1125">
        <f>45+90+83+57+68+72+72</f>
        <v>487</v>
      </c>
      <c r="J15" s="1125">
        <f t="shared" ref="J15:K15" si="13">1+1</f>
        <v>2</v>
      </c>
      <c r="K15" s="1125">
        <f t="shared" si="13"/>
        <v>2</v>
      </c>
      <c r="L15" s="1125">
        <f>1</f>
        <v>1</v>
      </c>
      <c r="M15" s="1125"/>
      <c r="N15" s="1125"/>
      <c r="O15" s="1125">
        <f t="shared" si="4"/>
        <v>4</v>
      </c>
      <c r="P15" s="1125"/>
    </row>
    <row r="16" ht="22.5" customHeight="1">
      <c r="A16" s="1119">
        <v>21.0</v>
      </c>
      <c r="B16" s="1120" t="s">
        <v>1705</v>
      </c>
      <c r="C16" s="1121" t="s">
        <v>82</v>
      </c>
      <c r="D16" s="1122" t="s">
        <v>1706</v>
      </c>
      <c r="E16" s="1119" t="str">
        <f t="shared" si="14"/>
        <v/>
      </c>
      <c r="F16" s="1123">
        <v>36905.0</v>
      </c>
      <c r="G16" s="1124">
        <f t="shared" si="3"/>
        <v>25</v>
      </c>
      <c r="H16" s="1125">
        <f>1+1</f>
        <v>2</v>
      </c>
      <c r="I16" s="1125">
        <f>6+7</f>
        <v>13</v>
      </c>
      <c r="J16" s="1125"/>
      <c r="K16" s="1125"/>
      <c r="L16" s="1125"/>
      <c r="M16" s="1125"/>
      <c r="N16" s="1125"/>
      <c r="O16" s="1125">
        <f t="shared" si="4"/>
        <v>0</v>
      </c>
      <c r="P16" s="1125"/>
    </row>
    <row r="17" ht="22.5" customHeight="1">
      <c r="A17" s="1119">
        <v>22.0</v>
      </c>
      <c r="B17" s="1120" t="s">
        <v>1707</v>
      </c>
      <c r="C17" s="1121" t="s">
        <v>79</v>
      </c>
      <c r="D17" s="1122" t="s">
        <v>80</v>
      </c>
      <c r="E17" s="1119" t="str">
        <f t="shared" si="14"/>
        <v/>
      </c>
      <c r="F17" s="1123">
        <v>35442.0</v>
      </c>
      <c r="G17" s="1124">
        <f t="shared" si="3"/>
        <v>29</v>
      </c>
      <c r="H17" s="1125">
        <f t="shared" ref="H17:H18" si="15">1+1+1+1+1+1+1</f>
        <v>7</v>
      </c>
      <c r="I17" s="1125">
        <f>45+90+90+90+90+90+90</f>
        <v>585</v>
      </c>
      <c r="J17" s="1125"/>
      <c r="K17" s="1125"/>
      <c r="L17" s="1125">
        <f>1</f>
        <v>1</v>
      </c>
      <c r="M17" s="1125"/>
      <c r="N17" s="1125"/>
      <c r="O17" s="1125">
        <f t="shared" si="4"/>
        <v>0</v>
      </c>
      <c r="P17" s="1125"/>
    </row>
    <row r="18" ht="22.5" customHeight="1">
      <c r="A18" s="1119">
        <v>23.0</v>
      </c>
      <c r="B18" s="1120" t="s">
        <v>1708</v>
      </c>
      <c r="C18" s="1121" t="s">
        <v>79</v>
      </c>
      <c r="D18" s="1122" t="s">
        <v>80</v>
      </c>
      <c r="E18" s="1119" t="str">
        <f t="shared" si="14"/>
        <v/>
      </c>
      <c r="F18" s="1123">
        <v>36118.0</v>
      </c>
      <c r="G18" s="1124">
        <f t="shared" si="3"/>
        <v>27</v>
      </c>
      <c r="H18" s="1125">
        <f t="shared" si="15"/>
        <v>7</v>
      </c>
      <c r="I18" s="1125">
        <f>90+90+90+90+90+90+90</f>
        <v>630</v>
      </c>
      <c r="J18" s="1125"/>
      <c r="K18" s="1125">
        <f>1</f>
        <v>1</v>
      </c>
      <c r="L18" s="1125">
        <f>1+1</f>
        <v>2</v>
      </c>
      <c r="M18" s="1125"/>
      <c r="N18" s="1125"/>
      <c r="O18" s="1125">
        <f t="shared" si="4"/>
        <v>1</v>
      </c>
      <c r="P18" s="1125"/>
    </row>
    <row r="19" ht="22.5" customHeight="1">
      <c r="A19" s="1127">
        <v>24.0</v>
      </c>
      <c r="B19" s="1128" t="s">
        <v>1709</v>
      </c>
      <c r="C19" s="1129" t="s">
        <v>67</v>
      </c>
      <c r="D19" s="1130" t="s">
        <v>80</v>
      </c>
      <c r="E19" s="1127" t="str">
        <f t="shared" si="14"/>
        <v/>
      </c>
      <c r="F19" s="1131">
        <v>38020.0</v>
      </c>
      <c r="G19" s="1132">
        <f t="shared" si="3"/>
        <v>21</v>
      </c>
      <c r="H19" s="1133">
        <f t="shared" ref="H19:I19" si="16">0</f>
        <v>0</v>
      </c>
      <c r="I19" s="1133">
        <f t="shared" si="16"/>
        <v>0</v>
      </c>
      <c r="J19" s="1133"/>
      <c r="K19" s="1133"/>
      <c r="L19" s="1133"/>
      <c r="M19" s="1133"/>
      <c r="N19" s="1133"/>
      <c r="O19" s="1133">
        <f t="shared" si="4"/>
        <v>0</v>
      </c>
      <c r="P19" s="1133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22.5" customHeight="1">
      <c r="A20" s="1119">
        <v>25.0</v>
      </c>
      <c r="B20" s="1120" t="s">
        <v>1710</v>
      </c>
      <c r="C20" s="1121" t="s">
        <v>70</v>
      </c>
      <c r="D20" s="1122" t="s">
        <v>1711</v>
      </c>
      <c r="E20" s="1119" t="str">
        <f>IMAGE("https://flagcdn.com/w320/fr.png")
</f>
        <v/>
      </c>
      <c r="F20" s="1123">
        <v>37392.0</v>
      </c>
      <c r="G20" s="1124">
        <f t="shared" si="3"/>
        <v>23</v>
      </c>
      <c r="H20" s="1134">
        <f>1</f>
        <v>1</v>
      </c>
      <c r="I20" s="1134">
        <f>90</f>
        <v>90</v>
      </c>
      <c r="J20" s="1125"/>
      <c r="K20" s="1125"/>
      <c r="L20" s="1125">
        <f>1</f>
        <v>1</v>
      </c>
      <c r="M20" s="1125"/>
      <c r="N20" s="1125"/>
      <c r="O20" s="1125">
        <f t="shared" si="4"/>
        <v>0</v>
      </c>
      <c r="P20" s="1125"/>
    </row>
    <row r="21" ht="22.5" customHeight="1">
      <c r="A21" s="1119">
        <v>27.0</v>
      </c>
      <c r="B21" s="1120" t="s">
        <v>1712</v>
      </c>
      <c r="C21" s="1121" t="s">
        <v>82</v>
      </c>
      <c r="D21" s="1122" t="s">
        <v>1040</v>
      </c>
      <c r="E21" s="1119" t="str">
        <f>IMAGE("https://flagcdn.com/w320/ro.png")
</f>
        <v/>
      </c>
      <c r="F21" s="1123">
        <v>36033.0</v>
      </c>
      <c r="G21" s="1124">
        <f t="shared" si="3"/>
        <v>27</v>
      </c>
      <c r="H21" s="1125">
        <f>1+1+1+1+1+1+1</f>
        <v>7</v>
      </c>
      <c r="I21" s="1125">
        <f>11+72+90+57+88+33+61</f>
        <v>412</v>
      </c>
      <c r="J21" s="1125">
        <f>2</f>
        <v>2</v>
      </c>
      <c r="K21" s="1125"/>
      <c r="L21" s="1125"/>
      <c r="M21" s="1125"/>
      <c r="N21" s="1125"/>
      <c r="O21" s="1125">
        <f t="shared" si="4"/>
        <v>2</v>
      </c>
      <c r="P21" s="1125"/>
    </row>
    <row r="22" ht="22.5" customHeight="1">
      <c r="A22" s="1119">
        <v>31.0</v>
      </c>
      <c r="B22" s="1120" t="s">
        <v>1713</v>
      </c>
      <c r="C22" s="1121" t="s">
        <v>79</v>
      </c>
      <c r="D22" s="1122" t="s">
        <v>1714</v>
      </c>
      <c r="E22" s="1119" t="str">
        <f>IMAGE("https://flagcdn.com/w320/be.png")
</f>
        <v/>
      </c>
      <c r="F22" s="1123">
        <v>39456.0</v>
      </c>
      <c r="G22" s="1124">
        <f t="shared" si="3"/>
        <v>18</v>
      </c>
      <c r="H22" s="1134">
        <v>0.0</v>
      </c>
      <c r="I22" s="1134">
        <v>0.0</v>
      </c>
      <c r="J22" s="1125"/>
      <c r="K22" s="1125"/>
      <c r="L22" s="1125"/>
      <c r="M22" s="1125"/>
      <c r="N22" s="1125"/>
      <c r="O22" s="1125">
        <f t="shared" si="4"/>
        <v>0</v>
      </c>
      <c r="P22" s="1125"/>
    </row>
    <row r="23" ht="22.5" customHeight="1">
      <c r="A23" s="1119">
        <v>32.0</v>
      </c>
      <c r="B23" s="1120" t="s">
        <v>1715</v>
      </c>
      <c r="C23" s="1121" t="s">
        <v>67</v>
      </c>
      <c r="D23" s="1122" t="s">
        <v>68</v>
      </c>
      <c r="E23" s="1119" t="str">
        <f>IMAGE("https://flagcdn.com/w320/cz.png")
</f>
        <v/>
      </c>
      <c r="F23" s="1123">
        <v>36663.0</v>
      </c>
      <c r="G23" s="1124">
        <f t="shared" si="3"/>
        <v>25</v>
      </c>
      <c r="H23" s="1125">
        <f>1+1+1+1+1+1+1</f>
        <v>7</v>
      </c>
      <c r="I23" s="1125">
        <f>90+90+90+90+90+90+90</f>
        <v>630</v>
      </c>
      <c r="J23" s="1125"/>
      <c r="K23" s="1125"/>
      <c r="L23" s="1125"/>
      <c r="M23" s="1125"/>
      <c r="N23" s="1125"/>
      <c r="O23" s="1125">
        <f t="shared" si="4"/>
        <v>0</v>
      </c>
      <c r="P23" s="1125"/>
    </row>
    <row r="24" ht="22.5" customHeight="1">
      <c r="A24" s="1119">
        <v>33.0</v>
      </c>
      <c r="B24" s="1120" t="s">
        <v>1716</v>
      </c>
      <c r="C24" s="1121" t="s">
        <v>70</v>
      </c>
      <c r="D24" s="1122" t="s">
        <v>80</v>
      </c>
      <c r="E24" s="1119" t="str">
        <f>IMAGE("https://flagcdn.com/w320/nl.png")
</f>
        <v/>
      </c>
      <c r="F24" s="1123">
        <v>38815.0</v>
      </c>
      <c r="G24" s="1124">
        <f t="shared" si="3"/>
        <v>19</v>
      </c>
      <c r="H24" s="1125">
        <f t="shared" ref="H24:I24" si="17">0</f>
        <v>0</v>
      </c>
      <c r="I24" s="1125">
        <f t="shared" si="17"/>
        <v>0</v>
      </c>
      <c r="J24" s="1125"/>
      <c r="K24" s="1125"/>
      <c r="L24" s="1125"/>
      <c r="M24" s="1125"/>
      <c r="N24" s="1125"/>
      <c r="O24" s="1125">
        <f t="shared" si="4"/>
        <v>0</v>
      </c>
      <c r="P24" s="1125"/>
    </row>
    <row r="25" ht="22.5" customHeight="1">
      <c r="A25" s="1119">
        <v>34.0</v>
      </c>
      <c r="B25" s="1120" t="s">
        <v>1717</v>
      </c>
      <c r="C25" s="1121" t="s">
        <v>79</v>
      </c>
      <c r="D25" s="1122" t="s">
        <v>1718</v>
      </c>
      <c r="E25" s="1119" t="str">
        <f>IMAGE("https://flagcdn.com/w320/ma.png")
</f>
        <v/>
      </c>
      <c r="F25" s="1123">
        <v>36919.0</v>
      </c>
      <c r="G25" s="1124">
        <f t="shared" si="3"/>
        <v>25</v>
      </c>
      <c r="H25" s="1125">
        <f>1+1+2+1+1</f>
        <v>6</v>
      </c>
      <c r="I25" s="1125">
        <f>73+90+87+83+90+90</f>
        <v>513</v>
      </c>
      <c r="J25" s="1125">
        <f>1+1</f>
        <v>2</v>
      </c>
      <c r="K25" s="1125"/>
      <c r="L25" s="1125">
        <f>1+1+1</f>
        <v>3</v>
      </c>
      <c r="M25" s="1125"/>
      <c r="N25" s="1125"/>
      <c r="O25" s="1125">
        <f t="shared" si="4"/>
        <v>2</v>
      </c>
      <c r="P25" s="1125"/>
    </row>
    <row r="26" ht="22.5" customHeight="1">
      <c r="A26" s="1127">
        <v>35.0</v>
      </c>
      <c r="B26" s="1128" t="s">
        <v>1719</v>
      </c>
      <c r="C26" s="1129" t="s">
        <v>79</v>
      </c>
      <c r="D26" s="1130" t="s">
        <v>80</v>
      </c>
      <c r="E26" s="1127" t="str">
        <f t="shared" ref="E26:E29" si="18">IMAGE("https://flagcdn.com/w320/nl.png")
</f>
        <v/>
      </c>
      <c r="F26" s="1131">
        <v>39124.0</v>
      </c>
      <c r="G26" s="1132">
        <f t="shared" si="3"/>
        <v>18</v>
      </c>
      <c r="H26" s="1135">
        <v>0.0</v>
      </c>
      <c r="I26" s="1135">
        <v>0.0</v>
      </c>
      <c r="J26" s="1133"/>
      <c r="K26" s="1133"/>
      <c r="L26" s="1133"/>
      <c r="M26" s="1133"/>
      <c r="N26" s="1133"/>
      <c r="O26" s="1133">
        <f t="shared" si="4"/>
        <v>0</v>
      </c>
      <c r="P26" s="113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22.5" hidden="1" customHeight="1">
      <c r="A27" s="1127">
        <v>36.0</v>
      </c>
      <c r="B27" s="1128" t="s">
        <v>1720</v>
      </c>
      <c r="C27" s="1129" t="s">
        <v>70</v>
      </c>
      <c r="D27" s="1130" t="s">
        <v>80</v>
      </c>
      <c r="E27" s="1127" t="str">
        <f t="shared" si="18"/>
        <v/>
      </c>
      <c r="F27" s="1131">
        <v>38976.0</v>
      </c>
      <c r="G27" s="1132">
        <f t="shared" si="3"/>
        <v>19</v>
      </c>
      <c r="H27" s="1133"/>
      <c r="I27" s="1133"/>
      <c r="J27" s="1133"/>
      <c r="K27" s="1133"/>
      <c r="L27" s="1133"/>
      <c r="M27" s="1133"/>
      <c r="N27" s="1133"/>
      <c r="O27" s="1133">
        <f t="shared" si="4"/>
        <v>0</v>
      </c>
      <c r="P27" s="113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hidden="1" customHeight="1">
      <c r="A28" s="1127">
        <v>37.0</v>
      </c>
      <c r="B28" s="1128" t="s">
        <v>1721</v>
      </c>
      <c r="C28" s="1129" t="s">
        <v>82</v>
      </c>
      <c r="D28" s="1130" t="s">
        <v>1722</v>
      </c>
      <c r="E28" s="1127" t="str">
        <f t="shared" si="18"/>
        <v/>
      </c>
      <c r="F28" s="1131">
        <v>39316.0</v>
      </c>
      <c r="G28" s="1132">
        <f t="shared" si="3"/>
        <v>18</v>
      </c>
      <c r="H28" s="1133"/>
      <c r="I28" s="1133"/>
      <c r="J28" s="1133"/>
      <c r="K28" s="1133"/>
      <c r="L28" s="1133"/>
      <c r="M28" s="1133"/>
      <c r="N28" s="1133"/>
      <c r="O28" s="1133">
        <f t="shared" si="4"/>
        <v>0</v>
      </c>
      <c r="P28" s="113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22.5" hidden="1" customHeight="1">
      <c r="A29" s="1127">
        <v>38.0</v>
      </c>
      <c r="B29" s="1128" t="s">
        <v>1723</v>
      </c>
      <c r="C29" s="1129" t="s">
        <v>70</v>
      </c>
      <c r="D29" s="1130" t="s">
        <v>1724</v>
      </c>
      <c r="E29" s="1127" t="str">
        <f t="shared" si="18"/>
        <v/>
      </c>
      <c r="F29" s="1131">
        <v>39717.0</v>
      </c>
      <c r="G29" s="1132">
        <f t="shared" si="3"/>
        <v>17</v>
      </c>
      <c r="H29" s="1133"/>
      <c r="I29" s="1133"/>
      <c r="J29" s="1133"/>
      <c r="K29" s="1133"/>
      <c r="L29" s="1133"/>
      <c r="M29" s="1133"/>
      <c r="N29" s="1133"/>
      <c r="O29" s="1133">
        <f t="shared" si="4"/>
        <v>0</v>
      </c>
      <c r="P29" s="113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22.5" customHeight="1">
      <c r="A30" s="1119">
        <v>39.0</v>
      </c>
      <c r="B30" s="1120" t="s">
        <v>1725</v>
      </c>
      <c r="C30" s="1121" t="s">
        <v>70</v>
      </c>
      <c r="D30" s="1122" t="s">
        <v>1726</v>
      </c>
      <c r="E30" s="1119" t="str">
        <f>IMAGE("https://flagcdn.com/w320/bf.png")
</f>
        <v/>
      </c>
      <c r="F30" s="1123">
        <v>37521.0</v>
      </c>
      <c r="G30" s="1124">
        <f t="shared" si="3"/>
        <v>23</v>
      </c>
      <c r="H30" s="1125">
        <f t="shared" ref="H30:I30" si="19">0</f>
        <v>0</v>
      </c>
      <c r="I30" s="1125">
        <f t="shared" si="19"/>
        <v>0</v>
      </c>
      <c r="J30" s="1125"/>
      <c r="K30" s="1125"/>
      <c r="L30" s="1125"/>
      <c r="M30" s="1125"/>
      <c r="N30" s="1125"/>
      <c r="O30" s="1125">
        <f t="shared" si="4"/>
        <v>0</v>
      </c>
      <c r="P30" s="1125"/>
    </row>
    <row r="31" ht="22.5" customHeight="1">
      <c r="A31" s="1127">
        <v>40.0</v>
      </c>
      <c r="B31" s="1128" t="s">
        <v>1727</v>
      </c>
      <c r="C31" s="1129" t="s">
        <v>82</v>
      </c>
      <c r="D31" s="1130" t="s">
        <v>80</v>
      </c>
      <c r="E31" s="1127" t="str">
        <f t="shared" ref="E31:E39" si="20">IMAGE("https://flagcdn.com/w320/nl.png")
</f>
        <v/>
      </c>
      <c r="F31" s="1131">
        <v>38815.0</v>
      </c>
      <c r="G31" s="1132">
        <f t="shared" si="3"/>
        <v>19</v>
      </c>
      <c r="H31" s="1135">
        <v>0.0</v>
      </c>
      <c r="I31" s="1135">
        <v>0.0</v>
      </c>
      <c r="J31" s="1133"/>
      <c r="K31" s="1133"/>
      <c r="L31" s="1133"/>
      <c r="M31" s="1133"/>
      <c r="N31" s="1133"/>
      <c r="O31" s="1133">
        <f t="shared" si="4"/>
        <v>0</v>
      </c>
      <c r="P31" s="113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ht="22.5" hidden="1" customHeight="1">
      <c r="A32" s="1127">
        <v>41.0</v>
      </c>
      <c r="B32" s="1128" t="s">
        <v>1728</v>
      </c>
      <c r="C32" s="1129" t="s">
        <v>67</v>
      </c>
      <c r="D32" s="1130" t="s">
        <v>80</v>
      </c>
      <c r="E32" s="1127" t="str">
        <f t="shared" si="20"/>
        <v/>
      </c>
      <c r="F32" s="1131">
        <v>39274.0</v>
      </c>
      <c r="G32" s="1132">
        <f t="shared" si="3"/>
        <v>18</v>
      </c>
      <c r="H32" s="1133"/>
      <c r="I32" s="1133"/>
      <c r="J32" s="1133"/>
      <c r="K32" s="1133"/>
      <c r="L32" s="1133"/>
      <c r="M32" s="1133"/>
      <c r="N32" s="1133"/>
      <c r="O32" s="1133">
        <f t="shared" si="4"/>
        <v>0</v>
      </c>
      <c r="P32" s="113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ht="22.5" hidden="1" customHeight="1">
      <c r="A33" s="1127">
        <v>42.0</v>
      </c>
      <c r="B33" s="1128" t="s">
        <v>1729</v>
      </c>
      <c r="C33" s="1129" t="s">
        <v>82</v>
      </c>
      <c r="D33" s="1130" t="s">
        <v>1730</v>
      </c>
      <c r="E33" s="1127" t="str">
        <f t="shared" si="20"/>
        <v/>
      </c>
      <c r="F33" s="1131">
        <v>39286.0</v>
      </c>
      <c r="G33" s="1132">
        <f t="shared" si="3"/>
        <v>18</v>
      </c>
      <c r="H33" s="1133"/>
      <c r="I33" s="1133"/>
      <c r="J33" s="1133"/>
      <c r="K33" s="1133"/>
      <c r="L33" s="1133"/>
      <c r="M33" s="1133"/>
      <c r="N33" s="1133"/>
      <c r="O33" s="1133">
        <f t="shared" si="4"/>
        <v>0</v>
      </c>
      <c r="P33" s="113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ht="22.5" hidden="1" customHeight="1">
      <c r="A34" s="1127">
        <v>43.0</v>
      </c>
      <c r="B34" s="1128" t="s">
        <v>1731</v>
      </c>
      <c r="C34" s="1129" t="s">
        <v>70</v>
      </c>
      <c r="D34" s="1130" t="s">
        <v>80</v>
      </c>
      <c r="E34" s="1127" t="str">
        <f t="shared" si="20"/>
        <v/>
      </c>
      <c r="F34" s="1131">
        <v>38749.0</v>
      </c>
      <c r="G34" s="1132">
        <f t="shared" si="3"/>
        <v>19</v>
      </c>
      <c r="H34" s="1133"/>
      <c r="I34" s="1133"/>
      <c r="J34" s="1133"/>
      <c r="K34" s="1133"/>
      <c r="L34" s="1133"/>
      <c r="M34" s="1133"/>
      <c r="N34" s="1133"/>
      <c r="O34" s="1133">
        <f t="shared" si="4"/>
        <v>0</v>
      </c>
      <c r="P34" s="113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ht="22.5" hidden="1" customHeight="1">
      <c r="A35" s="1127">
        <v>45.0</v>
      </c>
      <c r="B35" s="1128" t="s">
        <v>1732</v>
      </c>
      <c r="C35" s="1129" t="s">
        <v>79</v>
      </c>
      <c r="D35" s="1130" t="s">
        <v>1733</v>
      </c>
      <c r="E35" s="1127" t="str">
        <f t="shared" si="20"/>
        <v/>
      </c>
      <c r="F35" s="1131">
        <v>38923.0</v>
      </c>
      <c r="G35" s="1132">
        <f t="shared" si="3"/>
        <v>19</v>
      </c>
      <c r="H35" s="1133"/>
      <c r="I35" s="1133"/>
      <c r="J35" s="1133"/>
      <c r="K35" s="1133"/>
      <c r="L35" s="1133"/>
      <c r="M35" s="1133"/>
      <c r="N35" s="1133"/>
      <c r="O35" s="1133">
        <f t="shared" si="4"/>
        <v>0</v>
      </c>
      <c r="P35" s="113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ht="22.5" hidden="1" customHeight="1">
      <c r="A36" s="1127">
        <v>46.0</v>
      </c>
      <c r="B36" s="1128" t="s">
        <v>1734</v>
      </c>
      <c r="C36" s="1129" t="s">
        <v>70</v>
      </c>
      <c r="D36" s="1130" t="s">
        <v>1735</v>
      </c>
      <c r="E36" s="1127" t="str">
        <f t="shared" si="20"/>
        <v/>
      </c>
      <c r="F36" s="1131">
        <v>39196.0</v>
      </c>
      <c r="G36" s="1132">
        <f t="shared" si="3"/>
        <v>18</v>
      </c>
      <c r="H36" s="1133"/>
      <c r="I36" s="1133"/>
      <c r="J36" s="1133"/>
      <c r="K36" s="1133"/>
      <c r="L36" s="1133"/>
      <c r="M36" s="1133"/>
      <c r="N36" s="1133"/>
      <c r="O36" s="1133">
        <f t="shared" si="4"/>
        <v>0</v>
      </c>
      <c r="P36" s="113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ht="22.5" hidden="1" customHeight="1">
      <c r="A37" s="1127">
        <v>47.0</v>
      </c>
      <c r="B37" s="1128" t="s">
        <v>1736</v>
      </c>
      <c r="C37" s="1129" t="s">
        <v>82</v>
      </c>
      <c r="D37" s="1130" t="s">
        <v>1737</v>
      </c>
      <c r="E37" s="1127" t="str">
        <f t="shared" si="20"/>
        <v/>
      </c>
      <c r="F37" s="1131">
        <v>38202.0</v>
      </c>
      <c r="G37" s="1132">
        <f t="shared" si="3"/>
        <v>21</v>
      </c>
      <c r="H37" s="1133"/>
      <c r="I37" s="1133"/>
      <c r="J37" s="1133"/>
      <c r="K37" s="1133"/>
      <c r="L37" s="1133"/>
      <c r="M37" s="1133"/>
      <c r="N37" s="1133"/>
      <c r="O37" s="1133">
        <f t="shared" si="4"/>
        <v>0</v>
      </c>
      <c r="P37" s="113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ht="22.5" hidden="1" customHeight="1">
      <c r="A38" s="1127">
        <v>48.0</v>
      </c>
      <c r="B38" s="1128" t="s">
        <v>1738</v>
      </c>
      <c r="C38" s="1129" t="s">
        <v>70</v>
      </c>
      <c r="D38" s="1130" t="s">
        <v>80</v>
      </c>
      <c r="E38" s="1127" t="str">
        <f t="shared" si="20"/>
        <v/>
      </c>
      <c r="F38" s="1131">
        <v>38905.0</v>
      </c>
      <c r="G38" s="1132">
        <f t="shared" si="3"/>
        <v>19</v>
      </c>
      <c r="H38" s="1133"/>
      <c r="I38" s="1133"/>
      <c r="J38" s="1133"/>
      <c r="K38" s="1133"/>
      <c r="L38" s="1133"/>
      <c r="M38" s="1133"/>
      <c r="N38" s="1133"/>
      <c r="O38" s="1133">
        <f t="shared" si="4"/>
        <v>0</v>
      </c>
      <c r="P38" s="113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ht="22.5" hidden="1" customHeight="1">
      <c r="A39" s="1127">
        <v>49.0</v>
      </c>
      <c r="B39" s="1128" t="s">
        <v>1739</v>
      </c>
      <c r="C39" s="1129" t="s">
        <v>82</v>
      </c>
      <c r="D39" s="1130" t="s">
        <v>80</v>
      </c>
      <c r="E39" s="1127" t="str">
        <f t="shared" si="20"/>
        <v/>
      </c>
      <c r="F39" s="1131">
        <v>38751.0</v>
      </c>
      <c r="G39" s="1132">
        <f t="shared" si="3"/>
        <v>19</v>
      </c>
      <c r="H39" s="1133"/>
      <c r="I39" s="1133"/>
      <c r="J39" s="1133"/>
      <c r="K39" s="1133"/>
      <c r="L39" s="1133"/>
      <c r="M39" s="1133"/>
      <c r="N39" s="1133"/>
      <c r="O39" s="1133">
        <f t="shared" si="4"/>
        <v>0</v>
      </c>
      <c r="P39" s="113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ht="22.5" customHeight="1">
      <c r="A40" s="1127">
        <v>50.0</v>
      </c>
      <c r="B40" s="1128" t="s">
        <v>1740</v>
      </c>
      <c r="C40" s="1129" t="s">
        <v>79</v>
      </c>
      <c r="D40" s="1130" t="s">
        <v>89</v>
      </c>
      <c r="E40" s="1127" t="str">
        <f>IMAGE("https://flagcdn.com/w320/be.png")
</f>
        <v/>
      </c>
      <c r="F40" s="1131">
        <v>39056.0</v>
      </c>
      <c r="G40" s="1132">
        <f t="shared" si="3"/>
        <v>19</v>
      </c>
      <c r="H40" s="1135">
        <v>0.0</v>
      </c>
      <c r="I40" s="1135">
        <v>0.0</v>
      </c>
      <c r="J40" s="1133"/>
      <c r="K40" s="1133"/>
      <c r="L40" s="1133"/>
      <c r="M40" s="1133"/>
      <c r="N40" s="1133"/>
      <c r="O40" s="1133">
        <f t="shared" si="4"/>
        <v>0</v>
      </c>
      <c r="P40" s="113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ht="22.5" customHeight="1">
      <c r="A41" s="1127">
        <v>51.0</v>
      </c>
      <c r="B41" s="1128" t="s">
        <v>1741</v>
      </c>
      <c r="C41" s="1129" t="s">
        <v>67</v>
      </c>
      <c r="D41" s="1130" t="s">
        <v>80</v>
      </c>
      <c r="E41" s="1127" t="str">
        <f>IMAGE("https://flagcdn.com/w320/nl.png")
</f>
        <v/>
      </c>
      <c r="F41" s="1131">
        <v>38406.0</v>
      </c>
      <c r="G41" s="1132">
        <f t="shared" si="3"/>
        <v>20</v>
      </c>
      <c r="H41" s="1135">
        <v>0.0</v>
      </c>
      <c r="I41" s="1135">
        <v>0.0</v>
      </c>
      <c r="J41" s="1133"/>
      <c r="K41" s="1133"/>
      <c r="L41" s="1133"/>
      <c r="M41" s="1133"/>
      <c r="N41" s="1133"/>
      <c r="O41" s="1133">
        <f t="shared" si="4"/>
        <v>0</v>
      </c>
      <c r="P41" s="113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ht="22.5" hidden="1" customHeight="1">
      <c r="A42" s="1136">
        <v>52.0</v>
      </c>
      <c r="B42" s="1137" t="s">
        <v>1742</v>
      </c>
      <c r="C42" s="1138" t="s">
        <v>79</v>
      </c>
      <c r="D42" s="1139" t="s">
        <v>1743</v>
      </c>
      <c r="E42" s="1136" t="str">
        <f>IMAGE("https://flagcdn.com/w320/be.png")
</f>
        <v/>
      </c>
      <c r="F42" s="1140">
        <v>39038.0</v>
      </c>
      <c r="G42" s="1141">
        <f t="shared" si="3"/>
        <v>19</v>
      </c>
      <c r="H42" s="1142"/>
      <c r="I42" s="1142"/>
      <c r="J42" s="1142"/>
      <c r="K42" s="1142"/>
      <c r="L42" s="1142"/>
      <c r="M42" s="1142"/>
      <c r="N42" s="1142"/>
      <c r="O42" s="1142">
        <f t="shared" si="4"/>
        <v>0</v>
      </c>
      <c r="P42" s="1142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ht="22.5" hidden="1" customHeight="1">
      <c r="A43" s="1136">
        <v>53.0</v>
      </c>
      <c r="B43" s="1137" t="s">
        <v>1744</v>
      </c>
      <c r="C43" s="1138" t="s">
        <v>79</v>
      </c>
      <c r="D43" s="1139" t="s">
        <v>80</v>
      </c>
      <c r="E43" s="1136" t="str">
        <f t="shared" ref="E43:E52" si="21">IMAGE("https://flagcdn.com/w320/nl.png")
</f>
        <v/>
      </c>
      <c r="F43" s="1140">
        <v>38719.0</v>
      </c>
      <c r="G43" s="1141">
        <f t="shared" si="3"/>
        <v>20</v>
      </c>
      <c r="H43" s="1142"/>
      <c r="I43" s="1142"/>
      <c r="J43" s="1142"/>
      <c r="K43" s="1142"/>
      <c r="L43" s="1142"/>
      <c r="M43" s="1142"/>
      <c r="N43" s="1142"/>
      <c r="O43" s="1142">
        <f t="shared" si="4"/>
        <v>0</v>
      </c>
      <c r="P43" s="1142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ht="22.5" hidden="1" customHeight="1">
      <c r="A44" s="1136">
        <v>54.0</v>
      </c>
      <c r="B44" s="1137" t="s">
        <v>1745</v>
      </c>
      <c r="C44" s="1138" t="s">
        <v>70</v>
      </c>
      <c r="D44" s="1139" t="s">
        <v>1746</v>
      </c>
      <c r="E44" s="1136" t="str">
        <f t="shared" si="21"/>
        <v/>
      </c>
      <c r="F44" s="1140">
        <v>39022.0</v>
      </c>
      <c r="G44" s="1141">
        <f t="shared" si="3"/>
        <v>19</v>
      </c>
      <c r="H44" s="1142"/>
      <c r="I44" s="1142"/>
      <c r="J44" s="1142"/>
      <c r="K44" s="1142"/>
      <c r="L44" s="1142"/>
      <c r="M44" s="1142"/>
      <c r="N44" s="1142"/>
      <c r="O44" s="1142">
        <f t="shared" si="4"/>
        <v>0</v>
      </c>
      <c r="P44" s="1142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ht="22.5" hidden="1" customHeight="1">
      <c r="A45" s="1136">
        <v>57.0</v>
      </c>
      <c r="B45" s="1137" t="s">
        <v>1747</v>
      </c>
      <c r="C45" s="1138" t="s">
        <v>70</v>
      </c>
      <c r="D45" s="1139" t="s">
        <v>80</v>
      </c>
      <c r="E45" s="1136" t="str">
        <f t="shared" si="21"/>
        <v/>
      </c>
      <c r="F45" s="1140">
        <v>38940.0</v>
      </c>
      <c r="G45" s="1141">
        <f t="shared" si="3"/>
        <v>19</v>
      </c>
      <c r="H45" s="1142"/>
      <c r="I45" s="1142"/>
      <c r="J45" s="1142"/>
      <c r="K45" s="1142"/>
      <c r="L45" s="1142"/>
      <c r="M45" s="1142"/>
      <c r="N45" s="1142"/>
      <c r="O45" s="1142">
        <f t="shared" si="4"/>
        <v>0</v>
      </c>
      <c r="P45" s="1142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ht="22.5" hidden="1" customHeight="1">
      <c r="A46" s="1136">
        <v>58.0</v>
      </c>
      <c r="B46" s="1137" t="s">
        <v>1748</v>
      </c>
      <c r="C46" s="1138" t="s">
        <v>82</v>
      </c>
      <c r="D46" s="1139" t="s">
        <v>80</v>
      </c>
      <c r="E46" s="1136" t="str">
        <f t="shared" si="21"/>
        <v/>
      </c>
      <c r="F46" s="1140">
        <v>39721.0</v>
      </c>
      <c r="G46" s="1141">
        <f t="shared" si="3"/>
        <v>17</v>
      </c>
      <c r="H46" s="1142"/>
      <c r="I46" s="1142"/>
      <c r="J46" s="1142"/>
      <c r="K46" s="1142"/>
      <c r="L46" s="1142"/>
      <c r="M46" s="1142"/>
      <c r="N46" s="1142"/>
      <c r="O46" s="1142">
        <f t="shared" si="4"/>
        <v>0</v>
      </c>
      <c r="P46" s="1142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ht="22.5" hidden="1" customHeight="1">
      <c r="A47" s="1136">
        <v>59.0</v>
      </c>
      <c r="B47" s="1137" t="s">
        <v>1749</v>
      </c>
      <c r="C47" s="1138" t="s">
        <v>82</v>
      </c>
      <c r="D47" s="1139" t="s">
        <v>1750</v>
      </c>
      <c r="E47" s="1136" t="str">
        <f t="shared" si="21"/>
        <v/>
      </c>
      <c r="F47" s="1140">
        <v>39460.0</v>
      </c>
      <c r="G47" s="1141">
        <f t="shared" si="3"/>
        <v>18</v>
      </c>
      <c r="H47" s="1142"/>
      <c r="I47" s="1142"/>
      <c r="J47" s="1142"/>
      <c r="K47" s="1142"/>
      <c r="L47" s="1142"/>
      <c r="M47" s="1142"/>
      <c r="N47" s="1142"/>
      <c r="O47" s="1142">
        <f t="shared" si="4"/>
        <v>0</v>
      </c>
      <c r="P47" s="1142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ht="22.5" hidden="1" customHeight="1">
      <c r="A48" s="1136">
        <v>60.0</v>
      </c>
      <c r="B48" s="1137" t="s">
        <v>1751</v>
      </c>
      <c r="C48" s="1138" t="s">
        <v>79</v>
      </c>
      <c r="D48" s="1139" t="s">
        <v>1752</v>
      </c>
      <c r="E48" s="1136" t="str">
        <f t="shared" si="21"/>
        <v/>
      </c>
      <c r="F48" s="1140">
        <v>39419.0</v>
      </c>
      <c r="G48" s="1141">
        <f t="shared" si="3"/>
        <v>18</v>
      </c>
      <c r="H48" s="1142"/>
      <c r="I48" s="1142"/>
      <c r="J48" s="1142"/>
      <c r="K48" s="1142"/>
      <c r="L48" s="1142"/>
      <c r="M48" s="1142"/>
      <c r="N48" s="1142"/>
      <c r="O48" s="1142">
        <f t="shared" si="4"/>
        <v>0</v>
      </c>
      <c r="P48" s="1142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ht="22.5" hidden="1" customHeight="1">
      <c r="A49" s="1136">
        <v>61.0</v>
      </c>
      <c r="B49" s="1137" t="s">
        <v>1753</v>
      </c>
      <c r="C49" s="1138" t="s">
        <v>67</v>
      </c>
      <c r="D49" s="1139" t="s">
        <v>80</v>
      </c>
      <c r="E49" s="1136" t="str">
        <f t="shared" si="21"/>
        <v/>
      </c>
      <c r="F49" s="1140">
        <v>39480.0</v>
      </c>
      <c r="G49" s="1141">
        <f t="shared" si="3"/>
        <v>17</v>
      </c>
      <c r="H49" s="1142"/>
      <c r="I49" s="1142"/>
      <c r="J49" s="1142"/>
      <c r="K49" s="1142"/>
      <c r="L49" s="1142"/>
      <c r="M49" s="1142"/>
      <c r="N49" s="1142"/>
      <c r="O49" s="1142">
        <f t="shared" si="4"/>
        <v>0</v>
      </c>
      <c r="P49" s="1142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ht="22.5" hidden="1" customHeight="1">
      <c r="A50" s="1136">
        <v>62.0</v>
      </c>
      <c r="B50" s="1137" t="s">
        <v>1754</v>
      </c>
      <c r="C50" s="1138" t="s">
        <v>79</v>
      </c>
      <c r="D50" s="1139" t="s">
        <v>1755</v>
      </c>
      <c r="E50" s="1136" t="str">
        <f t="shared" si="21"/>
        <v/>
      </c>
      <c r="F50" s="1140">
        <v>39686.0</v>
      </c>
      <c r="G50" s="1141">
        <f t="shared" si="3"/>
        <v>17</v>
      </c>
      <c r="H50" s="1142"/>
      <c r="I50" s="1142"/>
      <c r="J50" s="1142"/>
      <c r="K50" s="1142"/>
      <c r="L50" s="1142"/>
      <c r="M50" s="1142"/>
      <c r="N50" s="1142"/>
      <c r="O50" s="1142">
        <f t="shared" si="4"/>
        <v>0</v>
      </c>
      <c r="P50" s="1142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ht="22.5" hidden="1" customHeight="1">
      <c r="A51" s="1136">
        <v>63.0</v>
      </c>
      <c r="B51" s="1137" t="s">
        <v>1756</v>
      </c>
      <c r="C51" s="1138" t="s">
        <v>79</v>
      </c>
      <c r="D51" s="1139" t="s">
        <v>1757</v>
      </c>
      <c r="E51" s="1136" t="str">
        <f t="shared" si="21"/>
        <v/>
      </c>
      <c r="F51" s="1140">
        <v>39100.0</v>
      </c>
      <c r="G51" s="1141">
        <f t="shared" si="3"/>
        <v>19</v>
      </c>
      <c r="H51" s="1142"/>
      <c r="I51" s="1142"/>
      <c r="J51" s="1142"/>
      <c r="K51" s="1142"/>
      <c r="L51" s="1142"/>
      <c r="M51" s="1142"/>
      <c r="N51" s="1142"/>
      <c r="O51" s="1142">
        <f t="shared" si="4"/>
        <v>0</v>
      </c>
      <c r="P51" s="1142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ht="22.5" hidden="1" customHeight="1">
      <c r="A52" s="1136">
        <v>64.0</v>
      </c>
      <c r="B52" s="1137" t="s">
        <v>1758</v>
      </c>
      <c r="C52" s="1138" t="s">
        <v>82</v>
      </c>
      <c r="D52" s="1139" t="s">
        <v>1759</v>
      </c>
      <c r="E52" s="1136" t="str">
        <f t="shared" si="21"/>
        <v/>
      </c>
      <c r="F52" s="1140">
        <v>39554.0</v>
      </c>
      <c r="G52" s="1141">
        <f t="shared" si="3"/>
        <v>17</v>
      </c>
      <c r="H52" s="1142"/>
      <c r="I52" s="1142"/>
      <c r="J52" s="1142"/>
      <c r="K52" s="1142"/>
      <c r="L52" s="1142"/>
      <c r="M52" s="1142"/>
      <c r="N52" s="1142"/>
      <c r="O52" s="1142">
        <f t="shared" si="4"/>
        <v>0</v>
      </c>
      <c r="P52" s="1142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ht="22.5" hidden="1" customHeight="1">
      <c r="A53" s="1136">
        <v>65.0</v>
      </c>
      <c r="B53" s="1137" t="s">
        <v>1760</v>
      </c>
      <c r="C53" s="1138" t="s">
        <v>70</v>
      </c>
      <c r="D53" s="1139" t="s">
        <v>89</v>
      </c>
      <c r="E53" s="1136" t="str">
        <f>IMAGE("https://flagcdn.com/w320/be.png")
</f>
        <v/>
      </c>
      <c r="F53" s="1140">
        <v>39518.0</v>
      </c>
      <c r="G53" s="1141">
        <f t="shared" si="3"/>
        <v>17</v>
      </c>
      <c r="H53" s="1142"/>
      <c r="I53" s="1142"/>
      <c r="J53" s="1142"/>
      <c r="K53" s="1142"/>
      <c r="L53" s="1142"/>
      <c r="M53" s="1142"/>
      <c r="N53" s="1142"/>
      <c r="O53" s="1142">
        <f t="shared" si="4"/>
        <v>0</v>
      </c>
      <c r="P53" s="1142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ht="22.5" hidden="1" customHeight="1">
      <c r="A54" s="1136">
        <v>66.0</v>
      </c>
      <c r="B54" s="1137" t="s">
        <v>1761</v>
      </c>
      <c r="C54" s="1138" t="s">
        <v>79</v>
      </c>
      <c r="D54" s="1139" t="s">
        <v>1762</v>
      </c>
      <c r="E54" s="1136" t="str">
        <f t="shared" ref="E54:E56" si="22">IMAGE("https://flagcdn.com/w320/nl.png")
</f>
        <v/>
      </c>
      <c r="F54" s="1140">
        <v>39295.0</v>
      </c>
      <c r="G54" s="1141">
        <f t="shared" si="3"/>
        <v>18</v>
      </c>
      <c r="H54" s="1142"/>
      <c r="I54" s="1142"/>
      <c r="J54" s="1142"/>
      <c r="K54" s="1142"/>
      <c r="L54" s="1142"/>
      <c r="M54" s="1142"/>
      <c r="N54" s="1142"/>
      <c r="O54" s="1142">
        <f t="shared" si="4"/>
        <v>0</v>
      </c>
      <c r="P54" s="1142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ht="22.5" hidden="1" customHeight="1">
      <c r="A55" s="1136">
        <v>67.0</v>
      </c>
      <c r="B55" s="1137" t="s">
        <v>1763</v>
      </c>
      <c r="C55" s="1138" t="s">
        <v>70</v>
      </c>
      <c r="D55" s="1139" t="s">
        <v>80</v>
      </c>
      <c r="E55" s="1136" t="str">
        <f t="shared" si="22"/>
        <v/>
      </c>
      <c r="F55" s="1140">
        <v>39265.0</v>
      </c>
      <c r="G55" s="1141">
        <f t="shared" si="3"/>
        <v>18</v>
      </c>
      <c r="H55" s="1142"/>
      <c r="I55" s="1142"/>
      <c r="J55" s="1142"/>
      <c r="K55" s="1142"/>
      <c r="L55" s="1142"/>
      <c r="M55" s="1142"/>
      <c r="N55" s="1142"/>
      <c r="O55" s="1142">
        <f t="shared" si="4"/>
        <v>0</v>
      </c>
      <c r="P55" s="1142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ht="22.5" hidden="1" customHeight="1">
      <c r="A56" s="1136">
        <v>68.0</v>
      </c>
      <c r="B56" s="1137" t="s">
        <v>1764</v>
      </c>
      <c r="C56" s="1138" t="s">
        <v>79</v>
      </c>
      <c r="D56" s="1139" t="s">
        <v>80</v>
      </c>
      <c r="E56" s="1136" t="str">
        <f t="shared" si="22"/>
        <v/>
      </c>
      <c r="F56" s="1140">
        <v>39209.0</v>
      </c>
      <c r="G56" s="1141">
        <f t="shared" si="3"/>
        <v>18</v>
      </c>
      <c r="H56" s="1142"/>
      <c r="I56" s="1142"/>
      <c r="J56" s="1142"/>
      <c r="K56" s="1142"/>
      <c r="L56" s="1142"/>
      <c r="M56" s="1142"/>
      <c r="N56" s="1142"/>
      <c r="O56" s="1142">
        <f t="shared" si="4"/>
        <v>0</v>
      </c>
      <c r="P56" s="1142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11"/>
      <c r="B57" s="18"/>
      <c r="C57" s="18"/>
      <c r="D57" s="64"/>
      <c r="E57" s="65"/>
      <c r="F57" s="66"/>
      <c r="G57" s="18"/>
      <c r="H57" s="73">
        <f t="shared" ref="H57:P57" si="23">SUM(H2:H56)</f>
        <v>106</v>
      </c>
      <c r="I57" s="73">
        <f t="shared" si="23"/>
        <v>6930</v>
      </c>
      <c r="J57" s="73">
        <f t="shared" si="23"/>
        <v>14</v>
      </c>
      <c r="K57" s="73">
        <f t="shared" si="23"/>
        <v>11</v>
      </c>
      <c r="L57" s="73">
        <f t="shared" si="23"/>
        <v>15</v>
      </c>
      <c r="M57" s="73">
        <f t="shared" si="23"/>
        <v>0</v>
      </c>
      <c r="N57" s="73">
        <f t="shared" si="23"/>
        <v>0</v>
      </c>
      <c r="O57" s="73">
        <f t="shared" si="23"/>
        <v>25</v>
      </c>
      <c r="P57" s="73">
        <f t="shared" si="23"/>
        <v>0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22.5" customHeight="1">
      <c r="A58" s="1113" t="s">
        <v>150</v>
      </c>
      <c r="B58" s="1114" t="s">
        <v>49</v>
      </c>
      <c r="C58" s="1114" t="s">
        <v>265</v>
      </c>
      <c r="D58" s="1143" t="s">
        <v>56</v>
      </c>
      <c r="E58" s="1144" t="s">
        <v>57</v>
      </c>
      <c r="F58" s="1114" t="s">
        <v>52</v>
      </c>
      <c r="G58" s="1114" t="s">
        <v>53</v>
      </c>
      <c r="H58" s="1144" t="s">
        <v>4</v>
      </c>
      <c r="I58" s="1144" t="s">
        <v>5</v>
      </c>
      <c r="J58" s="1144" t="s">
        <v>6</v>
      </c>
      <c r="K58" s="1144" t="s">
        <v>7</v>
      </c>
      <c r="L58" s="1144" t="s">
        <v>8</v>
      </c>
      <c r="M58" s="1144" t="s">
        <v>9</v>
      </c>
      <c r="N58" s="1144" t="s">
        <v>10</v>
      </c>
    </row>
    <row r="59" ht="22.5" customHeight="1">
      <c r="A59" s="1145"/>
      <c r="B59" s="1120" t="s">
        <v>1765</v>
      </c>
      <c r="C59" s="1120" t="s">
        <v>153</v>
      </c>
      <c r="D59" s="1122" t="s">
        <v>80</v>
      </c>
      <c r="E59" s="1146" t="str">
        <f>IMAGE("https://flagcdn.com/w320/nl.png")
</f>
        <v/>
      </c>
      <c r="F59" s="1123">
        <v>23336.0</v>
      </c>
      <c r="G59" s="1124">
        <f>DATEDIF(F59,TODAY(),"Y")</f>
        <v>62</v>
      </c>
      <c r="H59" s="157">
        <f>L59+M59+N59</f>
        <v>7</v>
      </c>
      <c r="I59" s="157">
        <f>(3*L59)+M59</f>
        <v>8</v>
      </c>
      <c r="J59" s="157">
        <f>1+1+6+1+4+2</f>
        <v>15</v>
      </c>
      <c r="K59" s="157">
        <f>3+1+2+1+1+3+3</f>
        <v>14</v>
      </c>
      <c r="L59" s="158">
        <f t="shared" ref="L59:M59" si="24">1+1</f>
        <v>2</v>
      </c>
      <c r="M59" s="159">
        <f t="shared" si="24"/>
        <v>2</v>
      </c>
      <c r="N59" s="487">
        <f>1+1+1</f>
        <v>3</v>
      </c>
    </row>
    <row r="60">
      <c r="A60" s="11"/>
      <c r="B60" s="18"/>
      <c r="C60" s="18"/>
      <c r="D60" s="64"/>
      <c r="E60" s="65"/>
      <c r="F60" s="66"/>
      <c r="G60" s="18"/>
      <c r="H60" s="11">
        <f>SUM(trenerPSV[mecze])</f>
        <v>7</v>
      </c>
      <c r="I60" s="11">
        <f>SUM(trenerPSV[punkty])</f>
        <v>8</v>
      </c>
      <c r="J60" s="11">
        <f>SUM(trenerPSV[strzelone])</f>
        <v>15</v>
      </c>
      <c r="K60" s="11">
        <f>SUM(trenerPSV[stracone])</f>
        <v>14</v>
      </c>
      <c r="L60" s="11">
        <f>SUM(trenerPSV[wygrane])</f>
        <v>2</v>
      </c>
      <c r="M60" s="11">
        <f>SUM(trenerPSV[remisy])</f>
        <v>2</v>
      </c>
      <c r="N60" s="11">
        <f>SUM(trenerPSV[porażki])</f>
        <v>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22.5" customHeight="1">
      <c r="A61" s="1113" t="s">
        <v>156</v>
      </c>
      <c r="B61" s="1113" t="s">
        <v>157</v>
      </c>
      <c r="C61" s="1113" t="s">
        <v>158</v>
      </c>
      <c r="D61" s="1117" t="s">
        <v>1766</v>
      </c>
      <c r="E61" s="1113" t="s">
        <v>160</v>
      </c>
      <c r="F61" s="1113" t="s">
        <v>161</v>
      </c>
      <c r="H61" s="14"/>
      <c r="I61" s="14"/>
      <c r="J61" s="14"/>
      <c r="K61" s="14"/>
      <c r="L61" s="14"/>
      <c r="M61" s="14"/>
      <c r="N61" s="14"/>
    </row>
    <row r="62" ht="22.5" customHeight="1">
      <c r="A62" s="77">
        <v>1.0</v>
      </c>
      <c r="B62" s="78" t="s">
        <v>30</v>
      </c>
      <c r="C62" s="78" t="s">
        <v>37</v>
      </c>
      <c r="D62" s="83" t="s">
        <v>1767</v>
      </c>
      <c r="E62" s="84">
        <v>45660.0</v>
      </c>
      <c r="F62" s="78" t="s">
        <v>451</v>
      </c>
      <c r="H62" s="14"/>
      <c r="I62" s="14"/>
      <c r="J62" s="14"/>
      <c r="K62" s="14"/>
      <c r="L62" s="14"/>
      <c r="M62" s="14"/>
      <c r="N62" s="14"/>
    </row>
    <row r="63" ht="22.5" customHeight="1">
      <c r="A63" s="197">
        <v>2.0</v>
      </c>
      <c r="B63" s="727" t="s">
        <v>31</v>
      </c>
      <c r="C63" s="198" t="s">
        <v>30</v>
      </c>
      <c r="D63" s="264" t="s">
        <v>1768</v>
      </c>
      <c r="E63" s="265">
        <v>45658.0</v>
      </c>
      <c r="F63" s="198" t="s">
        <v>1204</v>
      </c>
      <c r="H63" s="14"/>
      <c r="I63" s="14"/>
      <c r="J63" s="14"/>
      <c r="K63" s="14"/>
      <c r="L63" s="14"/>
      <c r="M63" s="14"/>
      <c r="N63" s="14"/>
    </row>
    <row r="64" ht="22.5" customHeight="1">
      <c r="A64" s="86">
        <v>3.0</v>
      </c>
      <c r="B64" s="847" t="s">
        <v>30</v>
      </c>
      <c r="C64" s="847" t="s">
        <v>33</v>
      </c>
      <c r="D64" s="88" t="s">
        <v>1769</v>
      </c>
      <c r="E64" s="89">
        <v>45810.0</v>
      </c>
      <c r="F64" s="87" t="s">
        <v>451</v>
      </c>
      <c r="H64" s="14"/>
      <c r="I64" s="14"/>
      <c r="J64" s="14"/>
      <c r="K64" s="14"/>
      <c r="L64" s="14"/>
      <c r="M64" s="14"/>
      <c r="N64" s="14"/>
    </row>
    <row r="65" ht="22.5" customHeight="1">
      <c r="A65" s="197">
        <v>4.0</v>
      </c>
      <c r="B65" s="727" t="s">
        <v>38</v>
      </c>
      <c r="C65" s="727" t="s">
        <v>30</v>
      </c>
      <c r="D65" s="264" t="s">
        <v>1770</v>
      </c>
      <c r="E65" s="265">
        <v>45658.0</v>
      </c>
      <c r="F65" s="198" t="s">
        <v>1209</v>
      </c>
      <c r="H65" s="14"/>
      <c r="I65" s="14"/>
      <c r="J65" s="14"/>
      <c r="K65" s="14"/>
      <c r="L65" s="14"/>
      <c r="M65" s="14"/>
      <c r="N65" s="14"/>
    </row>
    <row r="66" ht="22.5" customHeight="1">
      <c r="A66" s="86">
        <v>5.0</v>
      </c>
      <c r="B66" s="87" t="s">
        <v>18</v>
      </c>
      <c r="C66" s="847" t="s">
        <v>30</v>
      </c>
      <c r="D66" s="88" t="s">
        <v>1771</v>
      </c>
      <c r="E66" s="89">
        <v>45661.0</v>
      </c>
      <c r="F66" s="87" t="s">
        <v>445</v>
      </c>
      <c r="H66" s="14"/>
      <c r="I66" s="14"/>
      <c r="J66" s="14"/>
      <c r="K66" s="14"/>
      <c r="L66" s="14"/>
      <c r="M66" s="14"/>
      <c r="N66" s="14"/>
    </row>
    <row r="67" ht="22.5" customHeight="1">
      <c r="A67" s="77">
        <v>6.0</v>
      </c>
      <c r="B67" s="697" t="s">
        <v>30</v>
      </c>
      <c r="C67" s="78" t="s">
        <v>273</v>
      </c>
      <c r="D67" s="83" t="s">
        <v>1772</v>
      </c>
      <c r="E67" s="84">
        <v>45691.0</v>
      </c>
      <c r="F67" s="78" t="s">
        <v>451</v>
      </c>
      <c r="H67" s="14"/>
      <c r="I67" s="14"/>
      <c r="J67" s="14"/>
      <c r="K67" s="14"/>
      <c r="L67" s="14"/>
      <c r="M67" s="14"/>
      <c r="N67" s="14"/>
    </row>
    <row r="68" ht="22.5" customHeight="1">
      <c r="A68" s="77">
        <v>7.0</v>
      </c>
      <c r="B68" s="78" t="s">
        <v>26</v>
      </c>
      <c r="C68" s="697" t="s">
        <v>30</v>
      </c>
      <c r="D68" s="79"/>
      <c r="E68" s="80" t="s">
        <v>560</v>
      </c>
      <c r="F68" s="78" t="s">
        <v>385</v>
      </c>
      <c r="H68" s="14"/>
      <c r="I68" s="14"/>
      <c r="J68" s="14"/>
      <c r="K68" s="14"/>
      <c r="L68" s="14"/>
      <c r="M68" s="14"/>
      <c r="N68" s="14"/>
    </row>
    <row r="69" ht="22.5" customHeight="1">
      <c r="A69" s="90">
        <v>8.0</v>
      </c>
      <c r="B69" s="925" t="s">
        <v>30</v>
      </c>
      <c r="C69" s="91" t="s">
        <v>13</v>
      </c>
      <c r="D69" s="92"/>
      <c r="E69" s="93"/>
      <c r="F69" s="94" t="s">
        <v>451</v>
      </c>
      <c r="H69" s="14"/>
      <c r="I69" s="14"/>
      <c r="J69" s="14"/>
      <c r="K69" s="14"/>
      <c r="L69" s="14"/>
      <c r="M69" s="14"/>
      <c r="N69" s="14"/>
    </row>
    <row r="70">
      <c r="A70" s="12"/>
      <c r="D70" s="95"/>
      <c r="E70" s="14"/>
      <c r="F70" s="96"/>
      <c r="H70" s="14"/>
      <c r="I70" s="14"/>
      <c r="J70" s="14"/>
      <c r="K70" s="14"/>
      <c r="L70" s="14"/>
      <c r="M70" s="14"/>
      <c r="N70" s="14"/>
    </row>
    <row r="71">
      <c r="A71" s="12"/>
      <c r="D71" s="95"/>
      <c r="E71" s="14"/>
      <c r="F71" s="96"/>
      <c r="H71" s="14"/>
      <c r="I71" s="14"/>
      <c r="J71" s="14"/>
      <c r="K71" s="14"/>
      <c r="L71" s="14"/>
      <c r="M71" s="14"/>
      <c r="N71" s="14"/>
    </row>
    <row r="72">
      <c r="A72" s="12"/>
      <c r="D72" s="95"/>
      <c r="E72" s="14"/>
      <c r="F72" s="96"/>
      <c r="H72" s="14"/>
      <c r="I72" s="14"/>
      <c r="J72" s="14"/>
      <c r="K72" s="14"/>
      <c r="L72" s="14"/>
      <c r="M72" s="14"/>
      <c r="N72" s="14"/>
    </row>
    <row r="73">
      <c r="A73" s="12"/>
      <c r="D73" s="95"/>
      <c r="E73" s="14"/>
      <c r="F73" s="96"/>
      <c r="H73" s="14"/>
      <c r="I73" s="14"/>
      <c r="J73" s="14"/>
      <c r="K73" s="14"/>
      <c r="L73" s="14"/>
      <c r="M73" s="14"/>
      <c r="N73" s="14"/>
    </row>
    <row r="74">
      <c r="A74" s="12"/>
      <c r="D74" s="95"/>
      <c r="E74" s="14"/>
      <c r="F74" s="96"/>
      <c r="H74" s="14"/>
      <c r="I74" s="14"/>
      <c r="J74" s="14"/>
      <c r="K74" s="14"/>
      <c r="L74" s="14"/>
      <c r="M74" s="14"/>
      <c r="N74" s="14"/>
    </row>
    <row r="75">
      <c r="A75" s="12"/>
      <c r="D75" s="95"/>
      <c r="E75" s="14"/>
      <c r="F75" s="96"/>
      <c r="H75" s="14"/>
      <c r="I75" s="14"/>
      <c r="J75" s="14"/>
      <c r="K75" s="14"/>
      <c r="L75" s="14"/>
      <c r="M75" s="14"/>
      <c r="N75" s="14"/>
    </row>
    <row r="76">
      <c r="A76" s="12"/>
      <c r="D76" s="95"/>
      <c r="E76" s="14"/>
      <c r="F76" s="96"/>
      <c r="H76" s="14"/>
      <c r="I76" s="14"/>
      <c r="J76" s="14"/>
      <c r="K76" s="14"/>
      <c r="L76" s="14"/>
      <c r="M76" s="14"/>
      <c r="N76" s="14"/>
    </row>
    <row r="77">
      <c r="A77" s="12"/>
      <c r="D77" s="95"/>
      <c r="E77" s="14"/>
      <c r="F77" s="96"/>
      <c r="H77" s="14"/>
      <c r="I77" s="14"/>
      <c r="J77" s="14"/>
      <c r="K77" s="14"/>
      <c r="L77" s="14"/>
      <c r="M77" s="14"/>
      <c r="N77" s="14"/>
    </row>
    <row r="78">
      <c r="A78" s="12"/>
      <c r="D78" s="95"/>
      <c r="E78" s="14"/>
      <c r="F78" s="96"/>
      <c r="H78" s="14"/>
      <c r="I78" s="14"/>
      <c r="J78" s="14"/>
      <c r="K78" s="14"/>
      <c r="L78" s="14"/>
      <c r="M78" s="14"/>
      <c r="N78" s="14"/>
    </row>
    <row r="79">
      <c r="A79" s="12"/>
      <c r="D79" s="95"/>
      <c r="E79" s="14"/>
      <c r="F79" s="96"/>
      <c r="H79" s="14"/>
      <c r="I79" s="14"/>
      <c r="J79" s="14"/>
      <c r="K79" s="14"/>
      <c r="L79" s="14"/>
      <c r="M79" s="14"/>
      <c r="N79" s="14"/>
    </row>
    <row r="80">
      <c r="A80" s="12"/>
      <c r="D80" s="95"/>
      <c r="E80" s="14"/>
      <c r="F80" s="96"/>
      <c r="H80" s="14"/>
      <c r="I80" s="14"/>
      <c r="J80" s="14"/>
      <c r="K80" s="14"/>
      <c r="L80" s="14"/>
      <c r="M80" s="14"/>
      <c r="N80" s="14"/>
    </row>
    <row r="81">
      <c r="A81" s="12"/>
      <c r="D81" s="95"/>
      <c r="E81" s="14"/>
      <c r="F81" s="96"/>
      <c r="H81" s="14"/>
      <c r="I81" s="14"/>
      <c r="J81" s="14"/>
      <c r="K81" s="14"/>
      <c r="L81" s="14"/>
      <c r="M81" s="14"/>
      <c r="N81" s="14"/>
    </row>
    <row r="82">
      <c r="A82" s="12"/>
      <c r="D82" s="95"/>
      <c r="E82" s="14"/>
      <c r="F82" s="96"/>
      <c r="H82" s="14"/>
      <c r="I82" s="14"/>
      <c r="J82" s="14"/>
      <c r="K82" s="14"/>
      <c r="L82" s="14"/>
      <c r="M82" s="14"/>
      <c r="N82" s="14"/>
    </row>
    <row r="83">
      <c r="A83" s="12"/>
      <c r="D83" s="95"/>
      <c r="E83" s="14"/>
      <c r="F83" s="96"/>
      <c r="H83" s="14"/>
      <c r="I83" s="14"/>
      <c r="J83" s="14"/>
      <c r="K83" s="14"/>
      <c r="L83" s="14"/>
      <c r="M83" s="14"/>
      <c r="N83" s="14"/>
    </row>
    <row r="84">
      <c r="A84" s="12"/>
      <c r="D84" s="95"/>
      <c r="E84" s="14"/>
      <c r="F84" s="96"/>
      <c r="H84" s="14"/>
      <c r="I84" s="14"/>
      <c r="J84" s="14"/>
      <c r="K84" s="14"/>
      <c r="L84" s="14"/>
      <c r="M84" s="14"/>
      <c r="N84" s="14"/>
    </row>
    <row r="85">
      <c r="A85" s="12"/>
      <c r="D85" s="95"/>
      <c r="E85" s="14"/>
      <c r="F85" s="96"/>
      <c r="H85" s="14"/>
      <c r="I85" s="14"/>
      <c r="J85" s="14"/>
      <c r="K85" s="14"/>
      <c r="L85" s="14"/>
      <c r="M85" s="14"/>
      <c r="N85" s="14"/>
    </row>
    <row r="86">
      <c r="A86" s="12"/>
      <c r="D86" s="95"/>
      <c r="E86" s="14"/>
      <c r="F86" s="96"/>
      <c r="H86" s="14"/>
      <c r="I86" s="14"/>
      <c r="J86" s="14"/>
      <c r="K86" s="14"/>
      <c r="L86" s="14"/>
      <c r="M86" s="14"/>
      <c r="N86" s="14"/>
    </row>
    <row r="87">
      <c r="A87" s="12"/>
      <c r="D87" s="95"/>
      <c r="E87" s="14"/>
      <c r="F87" s="96"/>
      <c r="H87" s="14"/>
      <c r="I87" s="14"/>
      <c r="J87" s="14"/>
      <c r="K87" s="14"/>
      <c r="L87" s="14"/>
      <c r="M87" s="14"/>
      <c r="N87" s="14"/>
    </row>
    <row r="88">
      <c r="A88" s="12"/>
      <c r="D88" s="95"/>
      <c r="E88" s="14"/>
      <c r="F88" s="96"/>
      <c r="H88" s="14"/>
      <c r="I88" s="14"/>
      <c r="J88" s="14"/>
      <c r="K88" s="14"/>
      <c r="L88" s="14"/>
      <c r="M88" s="14"/>
      <c r="N88" s="14"/>
    </row>
    <row r="89">
      <c r="A89" s="12"/>
      <c r="D89" s="95"/>
      <c r="E89" s="14"/>
      <c r="F89" s="96"/>
      <c r="H89" s="14"/>
      <c r="I89" s="14"/>
      <c r="J89" s="14"/>
      <c r="K89" s="14"/>
      <c r="L89" s="14"/>
      <c r="M89" s="14"/>
      <c r="N89" s="14"/>
    </row>
    <row r="90">
      <c r="A90" s="12"/>
      <c r="D90" s="95"/>
      <c r="E90" s="14"/>
      <c r="F90" s="96"/>
      <c r="H90" s="14"/>
      <c r="I90" s="14"/>
      <c r="J90" s="14"/>
      <c r="K90" s="14"/>
      <c r="L90" s="14"/>
      <c r="M90" s="14"/>
      <c r="N90" s="14"/>
    </row>
    <row r="91">
      <c r="A91" s="12"/>
      <c r="D91" s="95"/>
      <c r="E91" s="14"/>
      <c r="F91" s="96"/>
      <c r="H91" s="14"/>
      <c r="I91" s="14"/>
      <c r="J91" s="14"/>
      <c r="K91" s="14"/>
      <c r="L91" s="14"/>
      <c r="M91" s="14"/>
      <c r="N91" s="14"/>
    </row>
    <row r="92">
      <c r="A92" s="12"/>
      <c r="D92" s="95"/>
      <c r="E92" s="14"/>
      <c r="F92" s="96"/>
      <c r="H92" s="14"/>
      <c r="I92" s="14"/>
      <c r="J92" s="14"/>
      <c r="K92" s="14"/>
      <c r="L92" s="14"/>
      <c r="M92" s="14"/>
      <c r="N92" s="14"/>
    </row>
    <row r="93">
      <c r="A93" s="12"/>
      <c r="D93" s="95"/>
      <c r="E93" s="14"/>
      <c r="F93" s="96"/>
      <c r="H93" s="14"/>
      <c r="I93" s="14"/>
      <c r="J93" s="14"/>
      <c r="K93" s="14"/>
      <c r="L93" s="14"/>
      <c r="M93" s="14"/>
      <c r="N93" s="14"/>
    </row>
    <row r="94">
      <c r="A94" s="12"/>
      <c r="D94" s="95"/>
      <c r="E94" s="14"/>
      <c r="F94" s="96"/>
      <c r="H94" s="14"/>
      <c r="I94" s="14"/>
      <c r="J94" s="14"/>
      <c r="K94" s="14"/>
      <c r="L94" s="14"/>
      <c r="M94" s="14"/>
      <c r="N94" s="14"/>
    </row>
    <row r="95">
      <c r="A95" s="12"/>
      <c r="D95" s="95"/>
      <c r="E95" s="14"/>
      <c r="F95" s="96"/>
      <c r="H95" s="14"/>
      <c r="I95" s="14"/>
      <c r="J95" s="14"/>
      <c r="K95" s="14"/>
      <c r="L95" s="14"/>
      <c r="M95" s="14"/>
      <c r="N95" s="14"/>
    </row>
    <row r="96">
      <c r="A96" s="12"/>
      <c r="D96" s="95"/>
      <c r="E96" s="14"/>
      <c r="F96" s="96"/>
      <c r="H96" s="14"/>
      <c r="I96" s="14"/>
      <c r="J96" s="14"/>
      <c r="K96" s="14"/>
      <c r="L96" s="14"/>
      <c r="M96" s="14"/>
      <c r="N96" s="14"/>
    </row>
    <row r="97">
      <c r="A97" s="12"/>
      <c r="D97" s="95"/>
      <c r="E97" s="14"/>
      <c r="F97" s="96"/>
      <c r="H97" s="14"/>
      <c r="I97" s="14"/>
      <c r="J97" s="14"/>
      <c r="K97" s="14"/>
      <c r="L97" s="14"/>
      <c r="M97" s="14"/>
      <c r="N97" s="14"/>
    </row>
    <row r="98">
      <c r="A98" s="12"/>
      <c r="D98" s="95"/>
      <c r="E98" s="14"/>
      <c r="F98" s="96"/>
      <c r="H98" s="14"/>
      <c r="I98" s="14"/>
      <c r="J98" s="14"/>
      <c r="K98" s="14"/>
      <c r="L98" s="14"/>
      <c r="M98" s="14"/>
      <c r="N98" s="14"/>
    </row>
    <row r="99">
      <c r="A99" s="12"/>
      <c r="D99" s="95"/>
      <c r="E99" s="14"/>
      <c r="F99" s="96"/>
      <c r="H99" s="14"/>
      <c r="I99" s="14"/>
      <c r="J99" s="14"/>
      <c r="K99" s="14"/>
      <c r="L99" s="14"/>
      <c r="M99" s="14"/>
      <c r="N99" s="14"/>
    </row>
    <row r="100">
      <c r="A100" s="12"/>
      <c r="D100" s="95"/>
      <c r="E100" s="14"/>
      <c r="F100" s="96"/>
      <c r="H100" s="14"/>
      <c r="I100" s="14"/>
      <c r="J100" s="14"/>
      <c r="K100" s="14"/>
      <c r="L100" s="14"/>
      <c r="M100" s="14"/>
      <c r="N100" s="14"/>
    </row>
    <row r="101">
      <c r="A101" s="12"/>
      <c r="D101" s="95"/>
      <c r="E101" s="14"/>
      <c r="F101" s="96"/>
      <c r="H101" s="14"/>
      <c r="I101" s="14"/>
      <c r="J101" s="14"/>
      <c r="K101" s="14"/>
      <c r="L101" s="14"/>
      <c r="M101" s="14"/>
      <c r="N101" s="14"/>
    </row>
    <row r="102">
      <c r="A102" s="12"/>
      <c r="D102" s="95"/>
      <c r="E102" s="14"/>
      <c r="F102" s="96"/>
      <c r="H102" s="14"/>
      <c r="I102" s="14"/>
      <c r="J102" s="14"/>
      <c r="K102" s="14"/>
      <c r="L102" s="14"/>
      <c r="M102" s="14"/>
      <c r="N102" s="14"/>
    </row>
    <row r="103">
      <c r="A103" s="12"/>
      <c r="D103" s="95"/>
      <c r="E103" s="14"/>
      <c r="F103" s="96"/>
      <c r="H103" s="14"/>
      <c r="I103" s="14"/>
      <c r="J103" s="14"/>
      <c r="K103" s="14"/>
      <c r="L103" s="14"/>
      <c r="M103" s="14"/>
      <c r="N103" s="14"/>
    </row>
    <row r="104">
      <c r="A104" s="12"/>
      <c r="D104" s="95"/>
      <c r="E104" s="14"/>
      <c r="F104" s="96"/>
      <c r="H104" s="14"/>
      <c r="I104" s="14"/>
      <c r="J104" s="14"/>
      <c r="K104" s="14"/>
      <c r="L104" s="14"/>
      <c r="M104" s="14"/>
      <c r="N104" s="14"/>
    </row>
    <row r="105">
      <c r="A105" s="12"/>
      <c r="D105" s="95"/>
      <c r="E105" s="14"/>
      <c r="F105" s="96"/>
      <c r="H105" s="14"/>
      <c r="I105" s="14"/>
      <c r="J105" s="14"/>
      <c r="K105" s="14"/>
      <c r="L105" s="14"/>
      <c r="M105" s="14"/>
      <c r="N105" s="14"/>
    </row>
    <row r="106">
      <c r="A106" s="12"/>
      <c r="D106" s="95"/>
      <c r="E106" s="14"/>
      <c r="F106" s="96"/>
      <c r="H106" s="14"/>
      <c r="I106" s="14"/>
      <c r="J106" s="14"/>
      <c r="K106" s="14"/>
      <c r="L106" s="14"/>
      <c r="M106" s="14"/>
      <c r="N106" s="14"/>
    </row>
    <row r="107">
      <c r="A107" s="12"/>
      <c r="D107" s="95"/>
      <c r="E107" s="14"/>
      <c r="F107" s="96"/>
      <c r="H107" s="14"/>
      <c r="I107" s="14"/>
      <c r="J107" s="14"/>
      <c r="K107" s="14"/>
      <c r="L107" s="14"/>
      <c r="M107" s="14"/>
      <c r="N107" s="14"/>
    </row>
    <row r="108">
      <c r="A108" s="12"/>
      <c r="D108" s="95"/>
      <c r="E108" s="14"/>
      <c r="F108" s="96"/>
      <c r="H108" s="14"/>
      <c r="I108" s="14"/>
      <c r="J108" s="14"/>
      <c r="K108" s="14"/>
      <c r="L108" s="14"/>
      <c r="M108" s="14"/>
      <c r="N108" s="14"/>
    </row>
    <row r="109">
      <c r="A109" s="12"/>
      <c r="D109" s="95"/>
      <c r="E109" s="14"/>
      <c r="F109" s="96"/>
      <c r="H109" s="14"/>
      <c r="I109" s="14"/>
      <c r="J109" s="14"/>
      <c r="K109" s="14"/>
      <c r="L109" s="14"/>
      <c r="M109" s="14"/>
      <c r="N109" s="14"/>
    </row>
    <row r="110">
      <c r="A110" s="12"/>
      <c r="D110" s="95"/>
      <c r="E110" s="14"/>
      <c r="F110" s="96"/>
      <c r="H110" s="14"/>
      <c r="I110" s="14"/>
      <c r="J110" s="14"/>
      <c r="K110" s="14"/>
      <c r="L110" s="14"/>
      <c r="M110" s="14"/>
      <c r="N110" s="14"/>
    </row>
    <row r="111">
      <c r="A111" s="12"/>
      <c r="D111" s="95"/>
      <c r="E111" s="14"/>
      <c r="F111" s="96"/>
      <c r="H111" s="14"/>
      <c r="I111" s="14"/>
      <c r="J111" s="14"/>
      <c r="K111" s="14"/>
      <c r="L111" s="14"/>
      <c r="M111" s="14"/>
      <c r="N111" s="14"/>
    </row>
    <row r="112">
      <c r="A112" s="12"/>
      <c r="D112" s="95"/>
      <c r="E112" s="14"/>
      <c r="F112" s="96"/>
      <c r="H112" s="14"/>
      <c r="I112" s="14"/>
      <c r="J112" s="14"/>
      <c r="K112" s="14"/>
      <c r="L112" s="14"/>
      <c r="M112" s="14"/>
      <c r="N112" s="14"/>
    </row>
    <row r="113">
      <c r="A113" s="12"/>
      <c r="D113" s="95"/>
      <c r="E113" s="14"/>
      <c r="F113" s="96"/>
      <c r="H113" s="14"/>
      <c r="I113" s="14"/>
      <c r="J113" s="14"/>
      <c r="K113" s="14"/>
      <c r="L113" s="14"/>
      <c r="M113" s="14"/>
      <c r="N113" s="14"/>
    </row>
    <row r="114">
      <c r="A114" s="12"/>
      <c r="D114" s="95"/>
      <c r="E114" s="14"/>
      <c r="F114" s="96"/>
      <c r="H114" s="14"/>
      <c r="I114" s="14"/>
      <c r="J114" s="14"/>
      <c r="K114" s="14"/>
      <c r="L114" s="14"/>
      <c r="M114" s="14"/>
      <c r="N114" s="14"/>
    </row>
    <row r="115">
      <c r="A115" s="12"/>
      <c r="D115" s="95"/>
      <c r="E115" s="14"/>
      <c r="F115" s="96"/>
      <c r="H115" s="14"/>
      <c r="I115" s="14"/>
      <c r="J115" s="14"/>
      <c r="K115" s="14"/>
      <c r="L115" s="14"/>
      <c r="M115" s="14"/>
      <c r="N115" s="14"/>
    </row>
    <row r="116">
      <c r="A116" s="12"/>
      <c r="D116" s="95"/>
      <c r="E116" s="14"/>
      <c r="F116" s="96"/>
      <c r="H116" s="14"/>
      <c r="I116" s="14"/>
      <c r="J116" s="14"/>
      <c r="K116" s="14"/>
      <c r="L116" s="14"/>
      <c r="M116" s="14"/>
      <c r="N116" s="14"/>
    </row>
    <row r="117">
      <c r="A117" s="12"/>
      <c r="D117" s="95"/>
      <c r="E117" s="14"/>
      <c r="F117" s="96"/>
      <c r="H117" s="14"/>
      <c r="I117" s="14"/>
      <c r="J117" s="14"/>
      <c r="K117" s="14"/>
      <c r="L117" s="14"/>
      <c r="M117" s="14"/>
      <c r="N117" s="14"/>
    </row>
    <row r="118">
      <c r="A118" s="12"/>
      <c r="D118" s="95"/>
      <c r="E118" s="14"/>
      <c r="F118" s="96"/>
      <c r="H118" s="14"/>
      <c r="I118" s="14"/>
      <c r="J118" s="14"/>
      <c r="K118" s="14"/>
      <c r="L118" s="14"/>
      <c r="M118" s="14"/>
      <c r="N118" s="14"/>
    </row>
    <row r="119">
      <c r="A119" s="12"/>
      <c r="D119" s="95"/>
      <c r="E119" s="14"/>
      <c r="F119" s="96"/>
      <c r="H119" s="14"/>
      <c r="I119" s="14"/>
      <c r="J119" s="14"/>
      <c r="K119" s="14"/>
      <c r="L119" s="14"/>
      <c r="M119" s="14"/>
      <c r="N119" s="14"/>
    </row>
    <row r="120">
      <c r="A120" s="12"/>
      <c r="D120" s="95"/>
      <c r="E120" s="14"/>
      <c r="F120" s="96"/>
      <c r="H120" s="14"/>
      <c r="I120" s="14"/>
      <c r="J120" s="14"/>
      <c r="K120" s="14"/>
      <c r="L120" s="14"/>
      <c r="M120" s="14"/>
      <c r="N120" s="14"/>
    </row>
    <row r="121">
      <c r="A121" s="12"/>
      <c r="D121" s="95"/>
      <c r="E121" s="14"/>
      <c r="F121" s="96"/>
      <c r="H121" s="14"/>
      <c r="I121" s="14"/>
      <c r="J121" s="14"/>
      <c r="K121" s="14"/>
      <c r="L121" s="14"/>
      <c r="M121" s="14"/>
      <c r="N121" s="14"/>
    </row>
    <row r="122">
      <c r="A122" s="12"/>
      <c r="D122" s="95"/>
      <c r="E122" s="14"/>
      <c r="F122" s="96"/>
      <c r="H122" s="14"/>
      <c r="I122" s="14"/>
      <c r="J122" s="14"/>
      <c r="K122" s="14"/>
      <c r="L122" s="14"/>
      <c r="M122" s="14"/>
      <c r="N122" s="14"/>
    </row>
    <row r="123">
      <c r="A123" s="12"/>
      <c r="D123" s="95"/>
      <c r="E123" s="14"/>
      <c r="F123" s="96"/>
      <c r="H123" s="14"/>
      <c r="I123" s="14"/>
      <c r="J123" s="14"/>
      <c r="K123" s="14"/>
      <c r="L123" s="14"/>
      <c r="M123" s="14"/>
      <c r="N123" s="14"/>
    </row>
    <row r="124">
      <c r="A124" s="12"/>
      <c r="D124" s="95"/>
      <c r="E124" s="14"/>
      <c r="F124" s="96"/>
      <c r="H124" s="14"/>
      <c r="I124" s="14"/>
      <c r="J124" s="14"/>
      <c r="K124" s="14"/>
      <c r="L124" s="14"/>
      <c r="M124" s="14"/>
      <c r="N124" s="14"/>
    </row>
    <row r="125">
      <c r="A125" s="12"/>
      <c r="D125" s="95"/>
      <c r="E125" s="14"/>
      <c r="F125" s="96"/>
      <c r="H125" s="14"/>
      <c r="I125" s="14"/>
      <c r="J125" s="14"/>
      <c r="K125" s="14"/>
      <c r="L125" s="14"/>
      <c r="M125" s="14"/>
      <c r="N125" s="14"/>
    </row>
    <row r="126">
      <c r="A126" s="12"/>
      <c r="D126" s="95"/>
      <c r="E126" s="14"/>
      <c r="F126" s="96"/>
      <c r="H126" s="14"/>
      <c r="I126" s="14"/>
      <c r="J126" s="14"/>
      <c r="K126" s="14"/>
      <c r="L126" s="14"/>
      <c r="M126" s="14"/>
      <c r="N126" s="14"/>
    </row>
    <row r="127">
      <c r="A127" s="12"/>
      <c r="D127" s="95"/>
      <c r="E127" s="14"/>
      <c r="F127" s="96"/>
      <c r="H127" s="14"/>
      <c r="I127" s="14"/>
      <c r="J127" s="14"/>
      <c r="K127" s="14"/>
      <c r="L127" s="14"/>
      <c r="M127" s="14"/>
      <c r="N127" s="14"/>
    </row>
    <row r="128">
      <c r="A128" s="12"/>
      <c r="D128" s="95"/>
      <c r="E128" s="14"/>
      <c r="F128" s="96"/>
      <c r="H128" s="14"/>
      <c r="I128" s="14"/>
      <c r="J128" s="14"/>
      <c r="K128" s="14"/>
      <c r="L128" s="14"/>
      <c r="M128" s="14"/>
      <c r="N128" s="14"/>
    </row>
    <row r="129">
      <c r="A129" s="12"/>
      <c r="D129" s="95"/>
      <c r="E129" s="14"/>
      <c r="F129" s="96"/>
      <c r="H129" s="14"/>
      <c r="I129" s="14"/>
      <c r="J129" s="14"/>
      <c r="K129" s="14"/>
      <c r="L129" s="14"/>
      <c r="M129" s="14"/>
      <c r="N129" s="14"/>
    </row>
    <row r="130">
      <c r="A130" s="12"/>
      <c r="D130" s="95"/>
      <c r="E130" s="14"/>
      <c r="F130" s="96"/>
      <c r="H130" s="14"/>
      <c r="I130" s="14"/>
      <c r="J130" s="14"/>
      <c r="K130" s="14"/>
      <c r="L130" s="14"/>
      <c r="M130" s="14"/>
      <c r="N130" s="14"/>
    </row>
    <row r="131">
      <c r="A131" s="12"/>
      <c r="D131" s="95"/>
      <c r="E131" s="14"/>
      <c r="F131" s="96"/>
      <c r="H131" s="14"/>
      <c r="I131" s="14"/>
      <c r="J131" s="14"/>
      <c r="K131" s="14"/>
      <c r="L131" s="14"/>
      <c r="M131" s="14"/>
      <c r="N131" s="14"/>
    </row>
    <row r="132">
      <c r="A132" s="12"/>
      <c r="D132" s="95"/>
      <c r="E132" s="14"/>
      <c r="F132" s="96"/>
      <c r="H132" s="14"/>
      <c r="I132" s="14"/>
      <c r="J132" s="14"/>
      <c r="K132" s="14"/>
      <c r="L132" s="14"/>
      <c r="M132" s="14"/>
      <c r="N132" s="14"/>
    </row>
    <row r="133">
      <c r="A133" s="12"/>
      <c r="D133" s="95"/>
      <c r="E133" s="14"/>
      <c r="F133" s="96"/>
      <c r="H133" s="14"/>
      <c r="I133" s="14"/>
      <c r="J133" s="14"/>
      <c r="K133" s="14"/>
      <c r="L133" s="14"/>
      <c r="M133" s="14"/>
      <c r="N133" s="14"/>
    </row>
    <row r="134">
      <c r="A134" s="12"/>
      <c r="D134" s="95"/>
      <c r="E134" s="14"/>
      <c r="F134" s="96"/>
      <c r="H134" s="14"/>
      <c r="I134" s="14"/>
      <c r="J134" s="14"/>
      <c r="K134" s="14"/>
      <c r="L134" s="14"/>
      <c r="M134" s="14"/>
      <c r="N134" s="14"/>
    </row>
    <row r="135">
      <c r="A135" s="12"/>
      <c r="D135" s="95"/>
      <c r="E135" s="14"/>
      <c r="F135" s="96"/>
      <c r="H135" s="14"/>
      <c r="I135" s="14"/>
      <c r="J135" s="14"/>
      <c r="K135" s="14"/>
      <c r="L135" s="14"/>
      <c r="M135" s="14"/>
      <c r="N135" s="14"/>
    </row>
    <row r="136">
      <c r="A136" s="12"/>
      <c r="D136" s="95"/>
      <c r="E136" s="14"/>
      <c r="F136" s="96"/>
      <c r="H136" s="14"/>
      <c r="I136" s="14"/>
      <c r="J136" s="14"/>
      <c r="K136" s="14"/>
      <c r="L136" s="14"/>
      <c r="M136" s="14"/>
      <c r="N136" s="14"/>
    </row>
    <row r="137">
      <c r="A137" s="12"/>
      <c r="D137" s="95"/>
      <c r="E137" s="14"/>
      <c r="F137" s="96"/>
      <c r="H137" s="14"/>
      <c r="I137" s="14"/>
      <c r="J137" s="14"/>
      <c r="K137" s="14"/>
      <c r="L137" s="14"/>
      <c r="M137" s="14"/>
      <c r="N137" s="14"/>
    </row>
    <row r="138">
      <c r="A138" s="12"/>
      <c r="D138" s="95"/>
      <c r="E138" s="14"/>
      <c r="F138" s="96"/>
      <c r="H138" s="14"/>
      <c r="I138" s="14"/>
      <c r="J138" s="14"/>
      <c r="K138" s="14"/>
      <c r="L138" s="14"/>
      <c r="M138" s="14"/>
      <c r="N138" s="14"/>
    </row>
    <row r="139">
      <c r="A139" s="12"/>
      <c r="D139" s="95"/>
      <c r="E139" s="14"/>
      <c r="F139" s="96"/>
      <c r="H139" s="14"/>
      <c r="I139" s="14"/>
      <c r="J139" s="14"/>
      <c r="K139" s="14"/>
      <c r="L139" s="14"/>
      <c r="M139" s="14"/>
      <c r="N139" s="14"/>
    </row>
    <row r="140">
      <c r="A140" s="12"/>
      <c r="D140" s="95"/>
      <c r="E140" s="14"/>
      <c r="F140" s="96"/>
      <c r="H140" s="14"/>
      <c r="I140" s="14"/>
      <c r="J140" s="14"/>
      <c r="K140" s="14"/>
      <c r="L140" s="14"/>
      <c r="M140" s="14"/>
      <c r="N140" s="14"/>
    </row>
    <row r="141">
      <c r="A141" s="12"/>
      <c r="D141" s="95"/>
      <c r="E141" s="14"/>
      <c r="F141" s="96"/>
      <c r="H141" s="14"/>
      <c r="I141" s="14"/>
      <c r="J141" s="14"/>
      <c r="K141" s="14"/>
      <c r="L141" s="14"/>
      <c r="M141" s="14"/>
      <c r="N141" s="14"/>
    </row>
    <row r="142">
      <c r="A142" s="12"/>
      <c r="D142" s="95"/>
      <c r="E142" s="14"/>
      <c r="F142" s="96"/>
      <c r="H142" s="14"/>
      <c r="I142" s="14"/>
      <c r="J142" s="14"/>
      <c r="K142" s="14"/>
      <c r="L142" s="14"/>
      <c r="M142" s="14"/>
      <c r="N142" s="14"/>
    </row>
    <row r="143">
      <c r="A143" s="12"/>
      <c r="D143" s="95"/>
      <c r="E143" s="14"/>
      <c r="F143" s="96"/>
      <c r="H143" s="14"/>
      <c r="I143" s="14"/>
      <c r="J143" s="14"/>
      <c r="K143" s="14"/>
      <c r="L143" s="14"/>
      <c r="M143" s="14"/>
      <c r="N143" s="14"/>
    </row>
    <row r="144">
      <c r="A144" s="12"/>
      <c r="D144" s="95"/>
      <c r="E144" s="14"/>
      <c r="F144" s="96"/>
      <c r="H144" s="14"/>
      <c r="I144" s="14"/>
      <c r="J144" s="14"/>
      <c r="K144" s="14"/>
      <c r="L144" s="14"/>
      <c r="M144" s="14"/>
      <c r="N144" s="14"/>
    </row>
    <row r="145">
      <c r="A145" s="12"/>
      <c r="D145" s="95"/>
      <c r="E145" s="14"/>
      <c r="F145" s="96"/>
      <c r="H145" s="14"/>
      <c r="I145" s="14"/>
      <c r="J145" s="14"/>
      <c r="K145" s="14"/>
      <c r="L145" s="14"/>
      <c r="M145" s="14"/>
      <c r="N145" s="14"/>
    </row>
    <row r="146">
      <c r="A146" s="12"/>
      <c r="D146" s="95"/>
      <c r="E146" s="14"/>
      <c r="F146" s="96"/>
      <c r="H146" s="14"/>
      <c r="I146" s="14"/>
      <c r="J146" s="14"/>
      <c r="K146" s="14"/>
      <c r="L146" s="14"/>
      <c r="M146" s="14"/>
      <c r="N146" s="14"/>
    </row>
    <row r="147">
      <c r="A147" s="12"/>
      <c r="D147" s="95"/>
      <c r="E147" s="14"/>
      <c r="F147" s="96"/>
      <c r="H147" s="14"/>
      <c r="I147" s="14"/>
      <c r="J147" s="14"/>
      <c r="K147" s="14"/>
      <c r="L147" s="14"/>
      <c r="M147" s="14"/>
      <c r="N147" s="14"/>
    </row>
    <row r="148">
      <c r="A148" s="12"/>
      <c r="D148" s="95"/>
      <c r="E148" s="14"/>
      <c r="F148" s="96"/>
      <c r="H148" s="14"/>
      <c r="I148" s="14"/>
      <c r="J148" s="14"/>
      <c r="K148" s="14"/>
      <c r="L148" s="14"/>
      <c r="M148" s="14"/>
      <c r="N148" s="14"/>
    </row>
    <row r="149">
      <c r="A149" s="12"/>
      <c r="D149" s="95"/>
      <c r="E149" s="14"/>
      <c r="F149" s="96"/>
      <c r="H149" s="14"/>
      <c r="I149" s="14"/>
      <c r="J149" s="14"/>
      <c r="K149" s="14"/>
      <c r="L149" s="14"/>
      <c r="M149" s="14"/>
      <c r="N149" s="14"/>
    </row>
    <row r="150">
      <c r="A150" s="12"/>
      <c r="D150" s="95"/>
      <c r="E150" s="14"/>
      <c r="F150" s="96"/>
      <c r="H150" s="14"/>
      <c r="I150" s="14"/>
      <c r="J150" s="14"/>
      <c r="K150" s="14"/>
      <c r="L150" s="14"/>
      <c r="M150" s="14"/>
      <c r="N150" s="14"/>
    </row>
    <row r="151">
      <c r="A151" s="12"/>
      <c r="D151" s="95"/>
      <c r="E151" s="14"/>
      <c r="F151" s="96"/>
      <c r="H151" s="14"/>
      <c r="I151" s="14"/>
      <c r="J151" s="14"/>
      <c r="K151" s="14"/>
      <c r="L151" s="14"/>
      <c r="M151" s="14"/>
      <c r="N151" s="14"/>
    </row>
    <row r="152">
      <c r="A152" s="12"/>
      <c r="D152" s="95"/>
      <c r="E152" s="14"/>
      <c r="F152" s="96"/>
      <c r="H152" s="14"/>
      <c r="I152" s="14"/>
      <c r="J152" s="14"/>
      <c r="K152" s="14"/>
      <c r="L152" s="14"/>
      <c r="M152" s="14"/>
      <c r="N152" s="14"/>
    </row>
    <row r="153">
      <c r="A153" s="12"/>
      <c r="D153" s="95"/>
      <c r="E153" s="14"/>
      <c r="F153" s="96"/>
      <c r="H153" s="14"/>
      <c r="I153" s="14"/>
      <c r="J153" s="14"/>
      <c r="K153" s="14"/>
      <c r="L153" s="14"/>
      <c r="M153" s="14"/>
      <c r="N153" s="14"/>
    </row>
    <row r="154">
      <c r="A154" s="12"/>
      <c r="D154" s="95"/>
      <c r="E154" s="14"/>
      <c r="F154" s="96"/>
      <c r="H154" s="14"/>
      <c r="I154" s="14"/>
      <c r="J154" s="14"/>
      <c r="K154" s="14"/>
      <c r="L154" s="14"/>
      <c r="M154" s="14"/>
      <c r="N154" s="14"/>
    </row>
    <row r="155">
      <c r="A155" s="12"/>
      <c r="D155" s="95"/>
      <c r="E155" s="14"/>
      <c r="F155" s="96"/>
      <c r="H155" s="14"/>
      <c r="I155" s="14"/>
      <c r="J155" s="14"/>
      <c r="K155" s="14"/>
      <c r="L155" s="14"/>
      <c r="M155" s="14"/>
      <c r="N155" s="14"/>
    </row>
    <row r="156">
      <c r="A156" s="12"/>
      <c r="D156" s="95"/>
      <c r="E156" s="14"/>
      <c r="F156" s="96"/>
      <c r="H156" s="14"/>
      <c r="I156" s="14"/>
      <c r="J156" s="14"/>
      <c r="K156" s="14"/>
      <c r="L156" s="14"/>
      <c r="M156" s="14"/>
      <c r="N156" s="14"/>
    </row>
    <row r="157">
      <c r="A157" s="12"/>
      <c r="D157" s="95"/>
      <c r="E157" s="14"/>
      <c r="F157" s="96"/>
      <c r="H157" s="14"/>
      <c r="I157" s="14"/>
      <c r="J157" s="14"/>
      <c r="K157" s="14"/>
      <c r="L157" s="14"/>
      <c r="M157" s="14"/>
      <c r="N157" s="14"/>
    </row>
    <row r="158">
      <c r="A158" s="12"/>
      <c r="D158" s="95"/>
      <c r="E158" s="14"/>
      <c r="F158" s="96"/>
      <c r="H158" s="14"/>
      <c r="I158" s="14"/>
      <c r="J158" s="14"/>
      <c r="K158" s="14"/>
      <c r="L158" s="14"/>
      <c r="M158" s="14"/>
      <c r="N158" s="14"/>
    </row>
    <row r="159">
      <c r="A159" s="12"/>
      <c r="D159" s="95"/>
      <c r="E159" s="14"/>
      <c r="F159" s="96"/>
      <c r="H159" s="14"/>
      <c r="I159" s="14"/>
      <c r="J159" s="14"/>
      <c r="K159" s="14"/>
      <c r="L159" s="14"/>
      <c r="M159" s="14"/>
      <c r="N159" s="14"/>
    </row>
    <row r="160">
      <c r="A160" s="12"/>
      <c r="D160" s="95"/>
      <c r="E160" s="14"/>
      <c r="F160" s="96"/>
      <c r="H160" s="14"/>
      <c r="I160" s="14"/>
      <c r="J160" s="14"/>
      <c r="K160" s="14"/>
      <c r="L160" s="14"/>
      <c r="M160" s="14"/>
      <c r="N160" s="14"/>
    </row>
    <row r="161">
      <c r="A161" s="12"/>
      <c r="D161" s="95"/>
      <c r="E161" s="14"/>
      <c r="F161" s="96"/>
      <c r="H161" s="14"/>
      <c r="I161" s="14"/>
      <c r="J161" s="14"/>
      <c r="K161" s="14"/>
      <c r="L161" s="14"/>
      <c r="M161" s="14"/>
      <c r="N161" s="14"/>
    </row>
    <row r="162">
      <c r="A162" s="12"/>
      <c r="D162" s="95"/>
      <c r="E162" s="14"/>
      <c r="F162" s="96"/>
      <c r="H162" s="14"/>
      <c r="I162" s="14"/>
      <c r="J162" s="14"/>
      <c r="K162" s="14"/>
      <c r="L162" s="14"/>
      <c r="M162" s="14"/>
      <c r="N162" s="14"/>
    </row>
    <row r="163">
      <c r="A163" s="12"/>
      <c r="D163" s="95"/>
      <c r="E163" s="14"/>
      <c r="F163" s="96"/>
      <c r="H163" s="14"/>
      <c r="I163" s="14"/>
      <c r="J163" s="14"/>
      <c r="K163" s="14"/>
      <c r="L163" s="14"/>
      <c r="M163" s="14"/>
      <c r="N163" s="14"/>
    </row>
    <row r="164">
      <c r="A164" s="12"/>
      <c r="D164" s="95"/>
      <c r="E164" s="14"/>
      <c r="F164" s="96"/>
      <c r="H164" s="14"/>
      <c r="I164" s="14"/>
      <c r="J164" s="14"/>
      <c r="K164" s="14"/>
      <c r="L164" s="14"/>
      <c r="M164" s="14"/>
      <c r="N164" s="14"/>
    </row>
    <row r="165">
      <c r="A165" s="12"/>
      <c r="D165" s="95"/>
      <c r="E165" s="14"/>
      <c r="F165" s="96"/>
      <c r="H165" s="14"/>
      <c r="I165" s="14"/>
      <c r="J165" s="14"/>
      <c r="K165" s="14"/>
      <c r="L165" s="14"/>
      <c r="M165" s="14"/>
      <c r="N165" s="14"/>
    </row>
    <row r="166">
      <c r="A166" s="12"/>
      <c r="D166" s="95"/>
      <c r="E166" s="14"/>
      <c r="F166" s="96"/>
      <c r="H166" s="14"/>
      <c r="I166" s="14"/>
      <c r="J166" s="14"/>
      <c r="K166" s="14"/>
      <c r="L166" s="14"/>
      <c r="M166" s="14"/>
      <c r="N166" s="14"/>
    </row>
    <row r="167">
      <c r="A167" s="12"/>
      <c r="D167" s="95"/>
      <c r="E167" s="14"/>
      <c r="F167" s="96"/>
      <c r="H167" s="14"/>
      <c r="I167" s="14"/>
      <c r="J167" s="14"/>
      <c r="K167" s="14"/>
      <c r="L167" s="14"/>
      <c r="M167" s="14"/>
      <c r="N167" s="14"/>
    </row>
    <row r="168">
      <c r="A168" s="12"/>
      <c r="D168" s="95"/>
      <c r="E168" s="14"/>
      <c r="F168" s="96"/>
      <c r="H168" s="14"/>
      <c r="I168" s="14"/>
      <c r="J168" s="14"/>
      <c r="K168" s="14"/>
      <c r="L168" s="14"/>
      <c r="M168" s="14"/>
      <c r="N168" s="14"/>
    </row>
    <row r="169">
      <c r="A169" s="12"/>
      <c r="D169" s="95"/>
      <c r="E169" s="14"/>
      <c r="F169" s="96"/>
      <c r="H169" s="14"/>
      <c r="I169" s="14"/>
      <c r="J169" s="14"/>
      <c r="K169" s="14"/>
      <c r="L169" s="14"/>
      <c r="M169" s="14"/>
      <c r="N169" s="14"/>
    </row>
    <row r="170">
      <c r="A170" s="12"/>
      <c r="D170" s="95"/>
      <c r="E170" s="14"/>
      <c r="F170" s="96"/>
      <c r="H170" s="14"/>
      <c r="I170" s="14"/>
      <c r="J170" s="14"/>
      <c r="K170" s="14"/>
      <c r="L170" s="14"/>
      <c r="M170" s="14"/>
      <c r="N170" s="14"/>
    </row>
    <row r="171">
      <c r="A171" s="12"/>
      <c r="D171" s="95"/>
      <c r="E171" s="14"/>
      <c r="F171" s="96"/>
      <c r="H171" s="14"/>
      <c r="I171" s="14"/>
      <c r="J171" s="14"/>
      <c r="K171" s="14"/>
      <c r="L171" s="14"/>
      <c r="M171" s="14"/>
      <c r="N171" s="14"/>
    </row>
    <row r="172">
      <c r="A172" s="12"/>
      <c r="D172" s="95"/>
      <c r="E172" s="14"/>
      <c r="F172" s="96"/>
      <c r="H172" s="14"/>
      <c r="I172" s="14"/>
      <c r="J172" s="14"/>
      <c r="K172" s="14"/>
      <c r="L172" s="14"/>
      <c r="M172" s="14"/>
      <c r="N172" s="14"/>
    </row>
    <row r="173">
      <c r="A173" s="12"/>
      <c r="D173" s="95"/>
      <c r="E173" s="14"/>
      <c r="F173" s="96"/>
      <c r="H173" s="14"/>
      <c r="I173" s="14"/>
      <c r="J173" s="14"/>
      <c r="K173" s="14"/>
      <c r="L173" s="14"/>
      <c r="M173" s="14"/>
      <c r="N173" s="14"/>
    </row>
    <row r="174">
      <c r="A174" s="12"/>
      <c r="D174" s="95"/>
      <c r="E174" s="14"/>
      <c r="F174" s="96"/>
      <c r="H174" s="14"/>
      <c r="I174" s="14"/>
      <c r="J174" s="14"/>
      <c r="K174" s="14"/>
      <c r="L174" s="14"/>
      <c r="M174" s="14"/>
      <c r="N174" s="14"/>
    </row>
    <row r="175">
      <c r="A175" s="12"/>
      <c r="D175" s="95"/>
      <c r="E175" s="14"/>
      <c r="F175" s="96"/>
      <c r="H175" s="14"/>
      <c r="I175" s="14"/>
      <c r="J175" s="14"/>
      <c r="K175" s="14"/>
      <c r="L175" s="14"/>
      <c r="M175" s="14"/>
      <c r="N175" s="14"/>
    </row>
    <row r="176">
      <c r="A176" s="12"/>
      <c r="D176" s="95"/>
      <c r="E176" s="14"/>
      <c r="F176" s="96"/>
      <c r="H176" s="14"/>
      <c r="I176" s="14"/>
      <c r="J176" s="14"/>
      <c r="K176" s="14"/>
      <c r="L176" s="14"/>
      <c r="M176" s="14"/>
      <c r="N176" s="14"/>
    </row>
    <row r="177">
      <c r="A177" s="12"/>
      <c r="D177" s="95"/>
      <c r="E177" s="14"/>
      <c r="F177" s="96"/>
      <c r="H177" s="14"/>
      <c r="I177" s="14"/>
      <c r="J177" s="14"/>
      <c r="K177" s="14"/>
      <c r="L177" s="14"/>
      <c r="M177" s="14"/>
      <c r="N177" s="14"/>
    </row>
    <row r="178">
      <c r="A178" s="12"/>
      <c r="D178" s="95"/>
      <c r="E178" s="14"/>
      <c r="F178" s="96"/>
      <c r="H178" s="14"/>
      <c r="I178" s="14"/>
      <c r="J178" s="14"/>
      <c r="K178" s="14"/>
      <c r="L178" s="14"/>
      <c r="M178" s="14"/>
      <c r="N178" s="14"/>
    </row>
    <row r="179">
      <c r="A179" s="12"/>
      <c r="D179" s="95"/>
      <c r="E179" s="14"/>
      <c r="F179" s="96"/>
      <c r="H179" s="14"/>
      <c r="I179" s="14"/>
      <c r="J179" s="14"/>
      <c r="K179" s="14"/>
      <c r="L179" s="14"/>
      <c r="M179" s="14"/>
      <c r="N179" s="14"/>
    </row>
    <row r="180">
      <c r="A180" s="12"/>
      <c r="D180" s="95"/>
      <c r="E180" s="14"/>
      <c r="F180" s="96"/>
      <c r="H180" s="14"/>
      <c r="I180" s="14"/>
      <c r="J180" s="14"/>
      <c r="K180" s="14"/>
      <c r="L180" s="14"/>
      <c r="M180" s="14"/>
      <c r="N180" s="14"/>
    </row>
    <row r="181">
      <c r="A181" s="12"/>
      <c r="D181" s="95"/>
      <c r="E181" s="14"/>
      <c r="F181" s="96"/>
      <c r="H181" s="14"/>
      <c r="I181" s="14"/>
      <c r="J181" s="14"/>
      <c r="K181" s="14"/>
      <c r="L181" s="14"/>
      <c r="M181" s="14"/>
      <c r="N181" s="14"/>
    </row>
    <row r="182">
      <c r="A182" s="12"/>
      <c r="D182" s="95"/>
      <c r="E182" s="14"/>
      <c r="F182" s="96"/>
      <c r="H182" s="14"/>
      <c r="I182" s="14"/>
      <c r="J182" s="14"/>
      <c r="K182" s="14"/>
      <c r="L182" s="14"/>
      <c r="M182" s="14"/>
      <c r="N182" s="14"/>
    </row>
    <row r="183">
      <c r="A183" s="12"/>
      <c r="D183" s="95"/>
      <c r="E183" s="14"/>
      <c r="F183" s="96"/>
      <c r="H183" s="14"/>
      <c r="I183" s="14"/>
      <c r="J183" s="14"/>
      <c r="K183" s="14"/>
      <c r="L183" s="14"/>
      <c r="M183" s="14"/>
      <c r="N183" s="14"/>
    </row>
    <row r="184">
      <c r="A184" s="12"/>
      <c r="D184" s="95"/>
      <c r="E184" s="14"/>
      <c r="F184" s="96"/>
      <c r="H184" s="14"/>
      <c r="I184" s="14"/>
      <c r="J184" s="14"/>
      <c r="K184" s="14"/>
      <c r="L184" s="14"/>
      <c r="M184" s="14"/>
      <c r="N184" s="14"/>
    </row>
    <row r="185">
      <c r="A185" s="12"/>
      <c r="D185" s="95"/>
      <c r="E185" s="14"/>
      <c r="F185" s="96"/>
      <c r="H185" s="14"/>
      <c r="I185" s="14"/>
      <c r="J185" s="14"/>
      <c r="K185" s="14"/>
      <c r="L185" s="14"/>
      <c r="M185" s="14"/>
      <c r="N185" s="14"/>
    </row>
    <row r="186">
      <c r="A186" s="12"/>
      <c r="D186" s="95"/>
      <c r="E186" s="14"/>
      <c r="F186" s="96"/>
      <c r="H186" s="14"/>
      <c r="I186" s="14"/>
      <c r="J186" s="14"/>
      <c r="K186" s="14"/>
      <c r="L186" s="14"/>
      <c r="M186" s="14"/>
      <c r="N186" s="14"/>
    </row>
    <row r="187">
      <c r="A187" s="12"/>
      <c r="D187" s="95"/>
      <c r="E187" s="14"/>
      <c r="F187" s="96"/>
      <c r="H187" s="14"/>
      <c r="I187" s="14"/>
      <c r="J187" s="14"/>
      <c r="K187" s="14"/>
      <c r="L187" s="14"/>
      <c r="M187" s="14"/>
      <c r="N187" s="14"/>
    </row>
    <row r="188">
      <c r="A188" s="12"/>
      <c r="D188" s="95"/>
      <c r="E188" s="14"/>
      <c r="F188" s="96"/>
      <c r="H188" s="14"/>
      <c r="I188" s="14"/>
      <c r="J188" s="14"/>
      <c r="K188" s="14"/>
      <c r="L188" s="14"/>
      <c r="M188" s="14"/>
      <c r="N188" s="14"/>
    </row>
    <row r="189">
      <c r="A189" s="12"/>
      <c r="D189" s="95"/>
      <c r="E189" s="14"/>
      <c r="F189" s="96"/>
      <c r="H189" s="14"/>
      <c r="I189" s="14"/>
      <c r="J189" s="14"/>
      <c r="K189" s="14"/>
      <c r="L189" s="14"/>
      <c r="M189" s="14"/>
      <c r="N189" s="14"/>
    </row>
    <row r="190">
      <c r="A190" s="12"/>
      <c r="D190" s="95"/>
      <c r="E190" s="14"/>
      <c r="F190" s="96"/>
      <c r="H190" s="14"/>
      <c r="I190" s="14"/>
      <c r="J190" s="14"/>
      <c r="K190" s="14"/>
      <c r="L190" s="14"/>
      <c r="M190" s="14"/>
      <c r="N190" s="14"/>
    </row>
    <row r="191">
      <c r="A191" s="12"/>
      <c r="D191" s="95"/>
      <c r="E191" s="14"/>
      <c r="F191" s="96"/>
      <c r="H191" s="14"/>
      <c r="I191" s="14"/>
      <c r="J191" s="14"/>
      <c r="K191" s="14"/>
      <c r="L191" s="14"/>
      <c r="M191" s="14"/>
      <c r="N191" s="14"/>
    </row>
    <row r="192">
      <c r="A192" s="12"/>
      <c r="D192" s="95"/>
      <c r="E192" s="14"/>
      <c r="F192" s="96"/>
      <c r="H192" s="14"/>
      <c r="I192" s="14"/>
      <c r="J192" s="14"/>
      <c r="K192" s="14"/>
      <c r="L192" s="14"/>
      <c r="M192" s="14"/>
      <c r="N192" s="14"/>
    </row>
    <row r="193">
      <c r="A193" s="12"/>
      <c r="D193" s="95"/>
      <c r="E193" s="14"/>
      <c r="F193" s="96"/>
      <c r="H193" s="14"/>
      <c r="I193" s="14"/>
      <c r="J193" s="14"/>
      <c r="K193" s="14"/>
      <c r="L193" s="14"/>
      <c r="M193" s="14"/>
      <c r="N193" s="14"/>
    </row>
    <row r="194">
      <c r="A194" s="12"/>
      <c r="D194" s="95"/>
      <c r="E194" s="14"/>
      <c r="F194" s="96"/>
      <c r="H194" s="14"/>
      <c r="I194" s="14"/>
      <c r="J194" s="14"/>
      <c r="K194" s="14"/>
      <c r="L194" s="14"/>
      <c r="M194" s="14"/>
      <c r="N194" s="14"/>
    </row>
    <row r="195">
      <c r="A195" s="12"/>
      <c r="D195" s="95"/>
      <c r="E195" s="14"/>
      <c r="F195" s="96"/>
      <c r="H195" s="14"/>
      <c r="I195" s="14"/>
      <c r="J195" s="14"/>
      <c r="K195" s="14"/>
      <c r="L195" s="14"/>
      <c r="M195" s="14"/>
      <c r="N195" s="14"/>
    </row>
    <row r="196">
      <c r="A196" s="12"/>
      <c r="D196" s="95"/>
      <c r="E196" s="14"/>
      <c r="F196" s="96"/>
      <c r="H196" s="14"/>
      <c r="I196" s="14"/>
      <c r="J196" s="14"/>
      <c r="K196" s="14"/>
      <c r="L196" s="14"/>
      <c r="M196" s="14"/>
      <c r="N196" s="14"/>
    </row>
    <row r="197">
      <c r="A197" s="12"/>
      <c r="D197" s="95"/>
      <c r="E197" s="14"/>
      <c r="F197" s="96"/>
      <c r="H197" s="14"/>
      <c r="I197" s="14"/>
      <c r="J197" s="14"/>
      <c r="K197" s="14"/>
      <c r="L197" s="14"/>
      <c r="M197" s="14"/>
      <c r="N197" s="14"/>
    </row>
    <row r="198">
      <c r="A198" s="12"/>
      <c r="D198" s="95"/>
      <c r="E198" s="14"/>
      <c r="F198" s="96"/>
      <c r="H198" s="14"/>
      <c r="I198" s="14"/>
      <c r="J198" s="14"/>
      <c r="K198" s="14"/>
      <c r="L198" s="14"/>
      <c r="M198" s="14"/>
      <c r="N198" s="14"/>
    </row>
    <row r="199">
      <c r="A199" s="12"/>
      <c r="D199" s="95"/>
      <c r="E199" s="14"/>
      <c r="F199" s="96"/>
      <c r="H199" s="14"/>
      <c r="I199" s="14"/>
      <c r="J199" s="14"/>
      <c r="K199" s="14"/>
      <c r="L199" s="14"/>
      <c r="M199" s="14"/>
      <c r="N199" s="14"/>
    </row>
    <row r="200">
      <c r="A200" s="12"/>
      <c r="D200" s="95"/>
      <c r="E200" s="14"/>
      <c r="F200" s="96"/>
      <c r="H200" s="14"/>
      <c r="I200" s="14"/>
      <c r="J200" s="14"/>
      <c r="K200" s="14"/>
      <c r="L200" s="14"/>
      <c r="M200" s="14"/>
      <c r="N200" s="14"/>
    </row>
    <row r="201">
      <c r="A201" s="12"/>
      <c r="D201" s="95"/>
      <c r="E201" s="14"/>
      <c r="F201" s="96"/>
      <c r="H201" s="14"/>
      <c r="I201" s="14"/>
      <c r="J201" s="14"/>
      <c r="K201" s="14"/>
      <c r="L201" s="14"/>
      <c r="M201" s="14"/>
      <c r="N201" s="14"/>
    </row>
    <row r="202">
      <c r="A202" s="12"/>
      <c r="D202" s="95"/>
      <c r="E202" s="14"/>
      <c r="F202" s="96"/>
      <c r="H202" s="14"/>
      <c r="I202" s="14"/>
      <c r="J202" s="14"/>
      <c r="K202" s="14"/>
      <c r="L202" s="14"/>
      <c r="M202" s="14"/>
      <c r="N202" s="14"/>
    </row>
    <row r="203">
      <c r="A203" s="12"/>
      <c r="D203" s="95"/>
      <c r="E203" s="14"/>
      <c r="F203" s="96"/>
      <c r="H203" s="14"/>
      <c r="I203" s="14"/>
      <c r="J203" s="14"/>
      <c r="K203" s="14"/>
      <c r="L203" s="14"/>
      <c r="M203" s="14"/>
      <c r="N203" s="14"/>
    </row>
    <row r="204">
      <c r="A204" s="12"/>
      <c r="D204" s="95"/>
      <c r="E204" s="14"/>
      <c r="F204" s="96"/>
      <c r="H204" s="14"/>
      <c r="I204" s="14"/>
      <c r="J204" s="14"/>
      <c r="K204" s="14"/>
      <c r="L204" s="14"/>
      <c r="M204" s="14"/>
      <c r="N204" s="14"/>
    </row>
    <row r="205">
      <c r="A205" s="12"/>
      <c r="D205" s="95"/>
      <c r="E205" s="14"/>
      <c r="F205" s="96"/>
      <c r="H205" s="14"/>
      <c r="I205" s="14"/>
      <c r="J205" s="14"/>
      <c r="K205" s="14"/>
      <c r="L205" s="14"/>
      <c r="M205" s="14"/>
      <c r="N205" s="14"/>
    </row>
    <row r="206">
      <c r="A206" s="12"/>
      <c r="D206" s="95"/>
      <c r="E206" s="14"/>
      <c r="F206" s="96"/>
      <c r="H206" s="14"/>
      <c r="I206" s="14"/>
      <c r="J206" s="14"/>
      <c r="K206" s="14"/>
      <c r="L206" s="14"/>
      <c r="M206" s="14"/>
      <c r="N206" s="14"/>
    </row>
    <row r="207">
      <c r="A207" s="12"/>
      <c r="D207" s="95"/>
      <c r="E207" s="14"/>
      <c r="F207" s="96"/>
      <c r="H207" s="14"/>
      <c r="I207" s="14"/>
      <c r="J207" s="14"/>
      <c r="K207" s="14"/>
      <c r="L207" s="14"/>
      <c r="M207" s="14"/>
      <c r="N207" s="14"/>
    </row>
    <row r="208">
      <c r="A208" s="12"/>
      <c r="D208" s="95"/>
      <c r="E208" s="14"/>
      <c r="F208" s="96"/>
      <c r="H208" s="14"/>
      <c r="I208" s="14"/>
      <c r="J208" s="14"/>
      <c r="K208" s="14"/>
      <c r="L208" s="14"/>
      <c r="M208" s="14"/>
      <c r="N208" s="14"/>
    </row>
    <row r="209">
      <c r="A209" s="12"/>
      <c r="D209" s="95"/>
      <c r="E209" s="14"/>
      <c r="F209" s="96"/>
      <c r="H209" s="14"/>
      <c r="I209" s="14"/>
      <c r="J209" s="14"/>
      <c r="K209" s="14"/>
      <c r="L209" s="14"/>
      <c r="M209" s="14"/>
      <c r="N209" s="14"/>
    </row>
    <row r="210">
      <c r="A210" s="12"/>
      <c r="D210" s="95"/>
      <c r="E210" s="14"/>
      <c r="F210" s="96"/>
      <c r="H210" s="14"/>
      <c r="I210" s="14"/>
      <c r="J210" s="14"/>
      <c r="K210" s="14"/>
      <c r="L210" s="14"/>
      <c r="M210" s="14"/>
      <c r="N210" s="14"/>
    </row>
    <row r="211">
      <c r="A211" s="12"/>
      <c r="D211" s="95"/>
      <c r="E211" s="14"/>
      <c r="F211" s="96"/>
      <c r="H211" s="14"/>
      <c r="I211" s="14"/>
      <c r="J211" s="14"/>
      <c r="K211" s="14"/>
      <c r="L211" s="14"/>
      <c r="M211" s="14"/>
      <c r="N211" s="14"/>
    </row>
    <row r="212">
      <c r="A212" s="12"/>
      <c r="D212" s="95"/>
      <c r="E212" s="14"/>
      <c r="F212" s="96"/>
      <c r="H212" s="14"/>
      <c r="I212" s="14"/>
      <c r="J212" s="14"/>
      <c r="K212" s="14"/>
      <c r="L212" s="14"/>
      <c r="M212" s="14"/>
      <c r="N212" s="14"/>
    </row>
    <row r="213">
      <c r="A213" s="12"/>
      <c r="D213" s="95"/>
      <c r="E213" s="14"/>
      <c r="F213" s="96"/>
      <c r="H213" s="14"/>
      <c r="I213" s="14"/>
      <c r="J213" s="14"/>
      <c r="K213" s="14"/>
      <c r="L213" s="14"/>
      <c r="M213" s="14"/>
      <c r="N213" s="14"/>
    </row>
    <row r="214">
      <c r="A214" s="12"/>
      <c r="D214" s="95"/>
      <c r="E214" s="14"/>
      <c r="F214" s="96"/>
      <c r="H214" s="14"/>
      <c r="I214" s="14"/>
      <c r="J214" s="14"/>
      <c r="K214" s="14"/>
      <c r="L214" s="14"/>
      <c r="M214" s="14"/>
      <c r="N214" s="14"/>
    </row>
    <row r="215">
      <c r="A215" s="12"/>
      <c r="D215" s="95"/>
      <c r="E215" s="14"/>
      <c r="F215" s="96"/>
      <c r="H215" s="14"/>
      <c r="I215" s="14"/>
      <c r="J215" s="14"/>
      <c r="K215" s="14"/>
      <c r="L215" s="14"/>
      <c r="M215" s="14"/>
      <c r="N215" s="14"/>
    </row>
    <row r="216">
      <c r="A216" s="12"/>
      <c r="D216" s="95"/>
      <c r="E216" s="14"/>
      <c r="F216" s="96"/>
      <c r="H216" s="14"/>
      <c r="I216" s="14"/>
      <c r="J216" s="14"/>
      <c r="K216" s="14"/>
      <c r="L216" s="14"/>
      <c r="M216" s="14"/>
      <c r="N216" s="14"/>
    </row>
    <row r="217">
      <c r="A217" s="12"/>
      <c r="D217" s="95"/>
      <c r="E217" s="14"/>
      <c r="F217" s="96"/>
      <c r="H217" s="14"/>
      <c r="I217" s="14"/>
      <c r="J217" s="14"/>
      <c r="K217" s="14"/>
      <c r="L217" s="14"/>
      <c r="M217" s="14"/>
      <c r="N217" s="14"/>
    </row>
    <row r="218">
      <c r="A218" s="12"/>
      <c r="D218" s="95"/>
      <c r="E218" s="14"/>
      <c r="F218" s="96"/>
      <c r="H218" s="14"/>
      <c r="I218" s="14"/>
      <c r="J218" s="14"/>
      <c r="K218" s="14"/>
      <c r="L218" s="14"/>
      <c r="M218" s="14"/>
      <c r="N218" s="14"/>
    </row>
    <row r="219">
      <c r="A219" s="12"/>
      <c r="D219" s="95"/>
      <c r="E219" s="14"/>
      <c r="F219" s="96"/>
      <c r="H219" s="14"/>
      <c r="I219" s="14"/>
      <c r="J219" s="14"/>
      <c r="K219" s="14"/>
      <c r="L219" s="14"/>
      <c r="M219" s="14"/>
      <c r="N219" s="14"/>
    </row>
    <row r="220">
      <c r="A220" s="12"/>
      <c r="D220" s="95"/>
      <c r="E220" s="14"/>
      <c r="F220" s="96"/>
      <c r="H220" s="14"/>
      <c r="I220" s="14"/>
      <c r="J220" s="14"/>
      <c r="K220" s="14"/>
      <c r="L220" s="14"/>
      <c r="M220" s="14"/>
      <c r="N220" s="14"/>
    </row>
    <row r="221">
      <c r="A221" s="12"/>
      <c r="D221" s="95"/>
      <c r="E221" s="14"/>
      <c r="F221" s="96"/>
      <c r="H221" s="14"/>
      <c r="I221" s="14"/>
      <c r="J221" s="14"/>
      <c r="K221" s="14"/>
      <c r="L221" s="14"/>
      <c r="M221" s="14"/>
      <c r="N221" s="14"/>
    </row>
    <row r="222">
      <c r="A222" s="12"/>
      <c r="D222" s="95"/>
      <c r="E222" s="14"/>
      <c r="F222" s="96"/>
      <c r="H222" s="14"/>
      <c r="I222" s="14"/>
      <c r="J222" s="14"/>
      <c r="K222" s="14"/>
      <c r="L222" s="14"/>
      <c r="M222" s="14"/>
      <c r="N222" s="14"/>
    </row>
    <row r="223">
      <c r="A223" s="12"/>
      <c r="D223" s="95"/>
      <c r="E223" s="14"/>
      <c r="F223" s="96"/>
      <c r="H223" s="14"/>
      <c r="I223" s="14"/>
      <c r="J223" s="14"/>
      <c r="K223" s="14"/>
      <c r="L223" s="14"/>
      <c r="M223" s="14"/>
      <c r="N223" s="14"/>
    </row>
    <row r="224">
      <c r="A224" s="12"/>
      <c r="D224" s="95"/>
      <c r="E224" s="14"/>
      <c r="F224" s="96"/>
      <c r="H224" s="14"/>
      <c r="I224" s="14"/>
      <c r="J224" s="14"/>
      <c r="K224" s="14"/>
      <c r="L224" s="14"/>
      <c r="M224" s="14"/>
      <c r="N224" s="14"/>
    </row>
    <row r="225">
      <c r="A225" s="12"/>
      <c r="D225" s="95"/>
      <c r="E225" s="14"/>
      <c r="F225" s="96"/>
      <c r="H225" s="14"/>
      <c r="I225" s="14"/>
      <c r="J225" s="14"/>
      <c r="K225" s="14"/>
      <c r="L225" s="14"/>
      <c r="M225" s="14"/>
      <c r="N225" s="14"/>
    </row>
    <row r="226">
      <c r="A226" s="12"/>
      <c r="D226" s="95"/>
      <c r="E226" s="14"/>
      <c r="F226" s="96"/>
      <c r="H226" s="14"/>
      <c r="I226" s="14"/>
      <c r="J226" s="14"/>
      <c r="K226" s="14"/>
      <c r="L226" s="14"/>
      <c r="M226" s="14"/>
      <c r="N226" s="14"/>
    </row>
    <row r="227">
      <c r="A227" s="12"/>
      <c r="D227" s="95"/>
      <c r="E227" s="14"/>
      <c r="F227" s="96"/>
      <c r="H227" s="14"/>
      <c r="I227" s="14"/>
      <c r="J227" s="14"/>
      <c r="K227" s="14"/>
      <c r="L227" s="14"/>
      <c r="M227" s="14"/>
      <c r="N227" s="14"/>
    </row>
    <row r="228">
      <c r="A228" s="12"/>
      <c r="D228" s="95"/>
      <c r="E228" s="14"/>
      <c r="F228" s="96"/>
      <c r="H228" s="14"/>
      <c r="I228" s="14"/>
      <c r="J228" s="14"/>
      <c r="K228" s="14"/>
      <c r="L228" s="14"/>
      <c r="M228" s="14"/>
      <c r="N228" s="14"/>
    </row>
    <row r="229">
      <c r="A229" s="12"/>
      <c r="D229" s="95"/>
      <c r="E229" s="14"/>
      <c r="F229" s="96"/>
      <c r="H229" s="14"/>
      <c r="I229" s="14"/>
      <c r="J229" s="14"/>
      <c r="K229" s="14"/>
      <c r="L229" s="14"/>
      <c r="M229" s="14"/>
      <c r="N229" s="14"/>
    </row>
    <row r="230">
      <c r="A230" s="12"/>
      <c r="D230" s="95"/>
      <c r="E230" s="14"/>
      <c r="F230" s="96"/>
      <c r="H230" s="14"/>
      <c r="I230" s="14"/>
      <c r="J230" s="14"/>
      <c r="K230" s="14"/>
      <c r="L230" s="14"/>
      <c r="M230" s="14"/>
      <c r="N230" s="14"/>
    </row>
    <row r="231">
      <c r="A231" s="12"/>
      <c r="D231" s="95"/>
      <c r="E231" s="14"/>
      <c r="F231" s="96"/>
      <c r="H231" s="14"/>
      <c r="I231" s="14"/>
      <c r="J231" s="14"/>
      <c r="K231" s="14"/>
      <c r="L231" s="14"/>
      <c r="M231" s="14"/>
      <c r="N231" s="14"/>
    </row>
    <row r="232">
      <c r="A232" s="12"/>
      <c r="D232" s="95"/>
      <c r="E232" s="14"/>
      <c r="F232" s="96"/>
      <c r="H232" s="14"/>
      <c r="I232" s="14"/>
      <c r="J232" s="14"/>
      <c r="K232" s="14"/>
      <c r="L232" s="14"/>
      <c r="M232" s="14"/>
      <c r="N232" s="14"/>
    </row>
    <row r="233">
      <c r="A233" s="12"/>
      <c r="D233" s="95"/>
      <c r="E233" s="14"/>
      <c r="F233" s="96"/>
      <c r="H233" s="14"/>
      <c r="I233" s="14"/>
      <c r="J233" s="14"/>
      <c r="K233" s="14"/>
      <c r="L233" s="14"/>
      <c r="M233" s="14"/>
      <c r="N233" s="14"/>
    </row>
    <row r="234">
      <c r="A234" s="12"/>
      <c r="D234" s="95"/>
      <c r="E234" s="14"/>
      <c r="F234" s="96"/>
      <c r="H234" s="14"/>
      <c r="I234" s="14"/>
      <c r="J234" s="14"/>
      <c r="K234" s="14"/>
      <c r="L234" s="14"/>
      <c r="M234" s="14"/>
      <c r="N234" s="14"/>
    </row>
    <row r="235">
      <c r="A235" s="12"/>
      <c r="D235" s="95"/>
      <c r="E235" s="14"/>
      <c r="F235" s="96"/>
      <c r="H235" s="14"/>
      <c r="I235" s="14"/>
      <c r="J235" s="14"/>
      <c r="K235" s="14"/>
      <c r="L235" s="14"/>
      <c r="M235" s="14"/>
      <c r="N235" s="14"/>
    </row>
    <row r="236">
      <c r="A236" s="12"/>
      <c r="D236" s="95"/>
      <c r="E236" s="14"/>
      <c r="F236" s="96"/>
      <c r="H236" s="14"/>
      <c r="I236" s="14"/>
      <c r="J236" s="14"/>
      <c r="K236" s="14"/>
      <c r="L236" s="14"/>
      <c r="M236" s="14"/>
      <c r="N236" s="14"/>
    </row>
    <row r="237">
      <c r="A237" s="12"/>
      <c r="D237" s="95"/>
      <c r="E237" s="14"/>
      <c r="F237" s="96"/>
      <c r="H237" s="14"/>
      <c r="I237" s="14"/>
      <c r="J237" s="14"/>
      <c r="K237" s="14"/>
      <c r="L237" s="14"/>
      <c r="M237" s="14"/>
      <c r="N237" s="14"/>
    </row>
    <row r="238">
      <c r="A238" s="12"/>
      <c r="D238" s="95"/>
      <c r="E238" s="14"/>
      <c r="F238" s="96"/>
      <c r="H238" s="14"/>
      <c r="I238" s="14"/>
      <c r="J238" s="14"/>
      <c r="K238" s="14"/>
      <c r="L238" s="14"/>
      <c r="M238" s="14"/>
      <c r="N238" s="14"/>
    </row>
    <row r="239">
      <c r="A239" s="12"/>
      <c r="D239" s="95"/>
      <c r="E239" s="14"/>
      <c r="F239" s="96"/>
      <c r="H239" s="14"/>
      <c r="I239" s="14"/>
      <c r="J239" s="14"/>
      <c r="K239" s="14"/>
      <c r="L239" s="14"/>
      <c r="M239" s="14"/>
      <c r="N239" s="14"/>
    </row>
    <row r="240">
      <c r="A240" s="12"/>
      <c r="D240" s="95"/>
      <c r="E240" s="14"/>
      <c r="F240" s="96"/>
      <c r="H240" s="14"/>
      <c r="I240" s="14"/>
      <c r="J240" s="14"/>
      <c r="K240" s="14"/>
      <c r="L240" s="14"/>
      <c r="M240" s="14"/>
      <c r="N240" s="14"/>
    </row>
    <row r="241">
      <c r="A241" s="12"/>
      <c r="D241" s="95"/>
      <c r="E241" s="14"/>
      <c r="F241" s="96"/>
      <c r="H241" s="14"/>
      <c r="I241" s="14"/>
      <c r="J241" s="14"/>
      <c r="K241" s="14"/>
      <c r="L241" s="14"/>
      <c r="M241" s="14"/>
      <c r="N241" s="14"/>
    </row>
    <row r="242">
      <c r="A242" s="12"/>
      <c r="D242" s="95"/>
      <c r="E242" s="14"/>
      <c r="F242" s="96"/>
      <c r="H242" s="14"/>
      <c r="I242" s="14"/>
      <c r="J242" s="14"/>
      <c r="K242" s="14"/>
      <c r="L242" s="14"/>
      <c r="M242" s="14"/>
      <c r="N242" s="14"/>
    </row>
    <row r="243">
      <c r="A243" s="12"/>
      <c r="D243" s="95"/>
      <c r="E243" s="14"/>
      <c r="F243" s="96"/>
      <c r="H243" s="14"/>
      <c r="I243" s="14"/>
      <c r="J243" s="14"/>
      <c r="K243" s="14"/>
      <c r="L243" s="14"/>
      <c r="M243" s="14"/>
      <c r="N243" s="14"/>
    </row>
    <row r="244">
      <c r="A244" s="12"/>
      <c r="D244" s="95"/>
      <c r="E244" s="14"/>
      <c r="F244" s="96"/>
      <c r="H244" s="14"/>
      <c r="I244" s="14"/>
      <c r="J244" s="14"/>
      <c r="K244" s="14"/>
      <c r="L244" s="14"/>
      <c r="M244" s="14"/>
      <c r="N244" s="14"/>
    </row>
    <row r="245">
      <c r="A245" s="12"/>
      <c r="D245" s="95"/>
      <c r="E245" s="14"/>
      <c r="F245" s="96"/>
      <c r="H245" s="14"/>
      <c r="I245" s="14"/>
      <c r="J245" s="14"/>
      <c r="K245" s="14"/>
      <c r="L245" s="14"/>
      <c r="M245" s="14"/>
      <c r="N245" s="14"/>
    </row>
    <row r="246">
      <c r="A246" s="12"/>
      <c r="D246" s="95"/>
      <c r="E246" s="14"/>
      <c r="F246" s="96"/>
      <c r="H246" s="14"/>
      <c r="I246" s="14"/>
      <c r="J246" s="14"/>
      <c r="K246" s="14"/>
      <c r="L246" s="14"/>
      <c r="M246" s="14"/>
      <c r="N246" s="14"/>
    </row>
    <row r="247">
      <c r="A247" s="12"/>
      <c r="D247" s="95"/>
      <c r="E247" s="14"/>
      <c r="F247" s="96"/>
      <c r="H247" s="14"/>
      <c r="I247" s="14"/>
      <c r="J247" s="14"/>
      <c r="K247" s="14"/>
      <c r="L247" s="14"/>
      <c r="M247" s="14"/>
      <c r="N247" s="14"/>
    </row>
    <row r="248">
      <c r="A248" s="12"/>
      <c r="D248" s="95"/>
      <c r="E248" s="14"/>
      <c r="F248" s="96"/>
      <c r="H248" s="14"/>
      <c r="I248" s="14"/>
      <c r="J248" s="14"/>
      <c r="K248" s="14"/>
      <c r="L248" s="14"/>
      <c r="M248" s="14"/>
      <c r="N248" s="14"/>
    </row>
    <row r="249">
      <c r="A249" s="12"/>
      <c r="D249" s="95"/>
      <c r="E249" s="14"/>
      <c r="F249" s="96"/>
      <c r="H249" s="14"/>
      <c r="I249" s="14"/>
      <c r="J249" s="14"/>
      <c r="K249" s="14"/>
      <c r="L249" s="14"/>
      <c r="M249" s="14"/>
      <c r="N249" s="14"/>
    </row>
    <row r="250">
      <c r="A250" s="12"/>
      <c r="D250" s="95"/>
      <c r="E250" s="14"/>
      <c r="F250" s="96"/>
      <c r="H250" s="14"/>
      <c r="I250" s="14"/>
      <c r="J250" s="14"/>
      <c r="K250" s="14"/>
      <c r="L250" s="14"/>
      <c r="M250" s="14"/>
      <c r="N250" s="14"/>
    </row>
    <row r="251">
      <c r="A251" s="12"/>
      <c r="D251" s="95"/>
      <c r="E251" s="14"/>
      <c r="F251" s="96"/>
      <c r="H251" s="14"/>
      <c r="I251" s="14"/>
      <c r="J251" s="14"/>
      <c r="K251" s="14"/>
      <c r="L251" s="14"/>
      <c r="M251" s="14"/>
      <c r="N251" s="14"/>
    </row>
    <row r="252">
      <c r="A252" s="12"/>
      <c r="D252" s="95"/>
      <c r="E252" s="14"/>
      <c r="F252" s="96"/>
      <c r="H252" s="14"/>
      <c r="I252" s="14"/>
      <c r="J252" s="14"/>
      <c r="K252" s="14"/>
      <c r="L252" s="14"/>
      <c r="M252" s="14"/>
      <c r="N252" s="14"/>
    </row>
    <row r="253">
      <c r="A253" s="12"/>
      <c r="D253" s="95"/>
      <c r="E253" s="14"/>
      <c r="F253" s="96"/>
      <c r="H253" s="14"/>
      <c r="I253" s="14"/>
      <c r="J253" s="14"/>
      <c r="K253" s="14"/>
      <c r="L253" s="14"/>
      <c r="M253" s="14"/>
      <c r="N253" s="14"/>
    </row>
    <row r="254">
      <c r="A254" s="12"/>
      <c r="D254" s="95"/>
      <c r="E254" s="14"/>
      <c r="F254" s="96"/>
      <c r="H254" s="14"/>
      <c r="I254" s="14"/>
      <c r="J254" s="14"/>
      <c r="K254" s="14"/>
      <c r="L254" s="14"/>
      <c r="M254" s="14"/>
      <c r="N254" s="14"/>
    </row>
    <row r="255">
      <c r="A255" s="12"/>
      <c r="D255" s="95"/>
      <c r="E255" s="14"/>
      <c r="F255" s="96"/>
      <c r="H255" s="14"/>
      <c r="I255" s="14"/>
      <c r="J255" s="14"/>
      <c r="K255" s="14"/>
      <c r="L255" s="14"/>
      <c r="M255" s="14"/>
      <c r="N255" s="14"/>
    </row>
    <row r="256">
      <c r="A256" s="12"/>
      <c r="D256" s="95"/>
      <c r="E256" s="14"/>
      <c r="F256" s="96"/>
      <c r="H256" s="14"/>
      <c r="I256" s="14"/>
      <c r="J256" s="14"/>
      <c r="K256" s="14"/>
      <c r="L256" s="14"/>
      <c r="M256" s="14"/>
      <c r="N256" s="14"/>
    </row>
    <row r="257">
      <c r="A257" s="12"/>
      <c r="D257" s="95"/>
      <c r="E257" s="14"/>
      <c r="F257" s="96"/>
      <c r="H257" s="14"/>
      <c r="I257" s="14"/>
      <c r="J257" s="14"/>
      <c r="K257" s="14"/>
      <c r="L257" s="14"/>
      <c r="M257" s="14"/>
      <c r="N257" s="14"/>
    </row>
    <row r="258">
      <c r="A258" s="12"/>
      <c r="D258" s="95"/>
      <c r="E258" s="14"/>
      <c r="F258" s="96"/>
      <c r="H258" s="14"/>
      <c r="I258" s="14"/>
      <c r="J258" s="14"/>
      <c r="K258" s="14"/>
      <c r="L258" s="14"/>
      <c r="M258" s="14"/>
      <c r="N258" s="14"/>
    </row>
    <row r="259">
      <c r="A259" s="12"/>
      <c r="D259" s="95"/>
      <c r="E259" s="14"/>
      <c r="F259" s="96"/>
      <c r="H259" s="14"/>
      <c r="I259" s="14"/>
      <c r="J259" s="14"/>
      <c r="K259" s="14"/>
      <c r="L259" s="14"/>
      <c r="M259" s="14"/>
      <c r="N259" s="14"/>
    </row>
    <row r="260">
      <c r="A260" s="12"/>
      <c r="D260" s="95"/>
      <c r="E260" s="14"/>
      <c r="F260" s="96"/>
      <c r="H260" s="14"/>
      <c r="I260" s="14"/>
      <c r="J260" s="14"/>
      <c r="K260" s="14"/>
      <c r="L260" s="14"/>
      <c r="M260" s="14"/>
      <c r="N260" s="14"/>
    </row>
    <row r="261">
      <c r="A261" s="12"/>
      <c r="D261" s="95"/>
      <c r="E261" s="14"/>
      <c r="F261" s="96"/>
      <c r="H261" s="14"/>
      <c r="I261" s="14"/>
      <c r="J261" s="14"/>
      <c r="K261" s="14"/>
      <c r="L261" s="14"/>
      <c r="M261" s="14"/>
      <c r="N261" s="14"/>
    </row>
    <row r="262">
      <c r="A262" s="12"/>
      <c r="D262" s="95"/>
      <c r="E262" s="14"/>
      <c r="F262" s="96"/>
      <c r="H262" s="14"/>
      <c r="I262" s="14"/>
      <c r="J262" s="14"/>
      <c r="K262" s="14"/>
      <c r="L262" s="14"/>
      <c r="M262" s="14"/>
      <c r="N262" s="14"/>
    </row>
    <row r="263">
      <c r="A263" s="12"/>
      <c r="D263" s="95"/>
      <c r="E263" s="14"/>
      <c r="F263" s="96"/>
      <c r="H263" s="14"/>
      <c r="I263" s="14"/>
      <c r="J263" s="14"/>
      <c r="K263" s="14"/>
      <c r="L263" s="14"/>
      <c r="M263" s="14"/>
      <c r="N263" s="14"/>
    </row>
    <row r="264">
      <c r="A264" s="12"/>
      <c r="D264" s="95"/>
      <c r="E264" s="14"/>
      <c r="F264" s="96"/>
      <c r="H264" s="14"/>
      <c r="I264" s="14"/>
      <c r="J264" s="14"/>
      <c r="K264" s="14"/>
      <c r="L264" s="14"/>
      <c r="M264" s="14"/>
      <c r="N264" s="14"/>
    </row>
    <row r="265">
      <c r="A265" s="12"/>
      <c r="D265" s="95"/>
      <c r="E265" s="14"/>
      <c r="F265" s="96"/>
      <c r="H265" s="14"/>
      <c r="I265" s="14"/>
      <c r="J265" s="14"/>
      <c r="K265" s="14"/>
      <c r="L265" s="14"/>
      <c r="M265" s="14"/>
      <c r="N265" s="14"/>
    </row>
    <row r="266">
      <c r="A266" s="12"/>
      <c r="D266" s="95"/>
      <c r="E266" s="14"/>
      <c r="F266" s="96"/>
      <c r="H266" s="14"/>
      <c r="I266" s="14"/>
      <c r="J266" s="14"/>
      <c r="K266" s="14"/>
      <c r="L266" s="14"/>
      <c r="M266" s="14"/>
      <c r="N266" s="14"/>
    </row>
    <row r="267">
      <c r="A267" s="12"/>
      <c r="D267" s="95"/>
      <c r="E267" s="14"/>
      <c r="F267" s="96"/>
      <c r="H267" s="14"/>
      <c r="I267" s="14"/>
      <c r="J267" s="14"/>
      <c r="K267" s="14"/>
      <c r="L267" s="14"/>
      <c r="M267" s="14"/>
      <c r="N267" s="14"/>
    </row>
    <row r="268">
      <c r="A268" s="12"/>
      <c r="D268" s="95"/>
      <c r="E268" s="14"/>
      <c r="F268" s="96"/>
      <c r="H268" s="14"/>
      <c r="I268" s="14"/>
      <c r="J268" s="14"/>
      <c r="K268" s="14"/>
      <c r="L268" s="14"/>
      <c r="M268" s="14"/>
      <c r="N268" s="14"/>
    </row>
    <row r="269">
      <c r="A269" s="12"/>
      <c r="D269" s="95"/>
      <c r="E269" s="14"/>
      <c r="F269" s="96"/>
      <c r="H269" s="14"/>
      <c r="I269" s="14"/>
      <c r="J269" s="14"/>
      <c r="K269" s="14"/>
      <c r="L269" s="14"/>
      <c r="M269" s="14"/>
      <c r="N269" s="14"/>
    </row>
    <row r="270">
      <c r="A270" s="12"/>
      <c r="D270" s="95"/>
      <c r="E270" s="14"/>
      <c r="F270" s="96"/>
      <c r="H270" s="14"/>
      <c r="I270" s="14"/>
      <c r="J270" s="14"/>
      <c r="K270" s="14"/>
      <c r="L270" s="14"/>
      <c r="M270" s="14"/>
      <c r="N270" s="14"/>
    </row>
    <row r="271">
      <c r="A271" s="12"/>
      <c r="D271" s="95"/>
      <c r="E271" s="14"/>
      <c r="F271" s="96"/>
      <c r="H271" s="14"/>
      <c r="I271" s="14"/>
      <c r="J271" s="14"/>
      <c r="K271" s="14"/>
      <c r="L271" s="14"/>
      <c r="M271" s="14"/>
      <c r="N271" s="14"/>
    </row>
    <row r="272">
      <c r="A272" s="12"/>
      <c r="D272" s="95"/>
      <c r="E272" s="14"/>
      <c r="F272" s="96"/>
      <c r="H272" s="14"/>
      <c r="I272" s="14"/>
      <c r="J272" s="14"/>
      <c r="K272" s="14"/>
      <c r="L272" s="14"/>
      <c r="M272" s="14"/>
      <c r="N272" s="14"/>
    </row>
    <row r="273">
      <c r="A273" s="12"/>
      <c r="D273" s="95"/>
      <c r="E273" s="14"/>
      <c r="F273" s="96"/>
      <c r="H273" s="14"/>
      <c r="I273" s="14"/>
      <c r="J273" s="14"/>
      <c r="K273" s="14"/>
      <c r="L273" s="14"/>
      <c r="M273" s="14"/>
      <c r="N273" s="14"/>
    </row>
    <row r="274">
      <c r="A274" s="12"/>
      <c r="D274" s="95"/>
      <c r="E274" s="14"/>
      <c r="F274" s="96"/>
      <c r="H274" s="14"/>
      <c r="I274" s="14"/>
      <c r="J274" s="14"/>
      <c r="K274" s="14"/>
      <c r="L274" s="14"/>
      <c r="M274" s="14"/>
      <c r="N274" s="14"/>
    </row>
    <row r="275">
      <c r="A275" s="12"/>
      <c r="D275" s="95"/>
      <c r="E275" s="14"/>
      <c r="F275" s="96"/>
      <c r="H275" s="14"/>
      <c r="I275" s="14"/>
      <c r="J275" s="14"/>
      <c r="K275" s="14"/>
      <c r="L275" s="14"/>
      <c r="M275" s="14"/>
      <c r="N275" s="14"/>
    </row>
    <row r="276">
      <c r="A276" s="12"/>
      <c r="D276" s="95"/>
      <c r="E276" s="14"/>
      <c r="F276" s="96"/>
      <c r="H276" s="14"/>
      <c r="I276" s="14"/>
      <c r="J276" s="14"/>
      <c r="K276" s="14"/>
      <c r="L276" s="14"/>
      <c r="M276" s="14"/>
      <c r="N276" s="14"/>
    </row>
    <row r="277">
      <c r="A277" s="12"/>
      <c r="D277" s="95"/>
      <c r="E277" s="14"/>
      <c r="F277" s="96"/>
      <c r="H277" s="14"/>
      <c r="I277" s="14"/>
      <c r="J277" s="14"/>
      <c r="K277" s="14"/>
      <c r="L277" s="14"/>
      <c r="M277" s="14"/>
      <c r="N277" s="14"/>
    </row>
    <row r="278">
      <c r="A278" s="12"/>
      <c r="D278" s="95"/>
      <c r="E278" s="14"/>
      <c r="F278" s="96"/>
      <c r="H278" s="14"/>
      <c r="I278" s="14"/>
      <c r="J278" s="14"/>
      <c r="K278" s="14"/>
      <c r="L278" s="14"/>
      <c r="M278" s="14"/>
      <c r="N278" s="14"/>
    </row>
    <row r="279">
      <c r="A279" s="12"/>
      <c r="D279" s="95"/>
      <c r="E279" s="14"/>
      <c r="F279" s="96"/>
      <c r="H279" s="14"/>
      <c r="I279" s="14"/>
      <c r="J279" s="14"/>
      <c r="K279" s="14"/>
      <c r="L279" s="14"/>
      <c r="M279" s="14"/>
      <c r="N279" s="14"/>
    </row>
    <row r="280">
      <c r="A280" s="12"/>
      <c r="D280" s="95"/>
      <c r="E280" s="14"/>
      <c r="F280" s="96"/>
      <c r="H280" s="14"/>
      <c r="I280" s="14"/>
      <c r="J280" s="14"/>
      <c r="K280" s="14"/>
      <c r="L280" s="14"/>
      <c r="M280" s="14"/>
      <c r="N280" s="14"/>
    </row>
    <row r="281">
      <c r="A281" s="12"/>
      <c r="D281" s="95"/>
      <c r="E281" s="14"/>
      <c r="F281" s="96"/>
      <c r="H281" s="14"/>
      <c r="I281" s="14"/>
      <c r="J281" s="14"/>
      <c r="K281" s="14"/>
      <c r="L281" s="14"/>
      <c r="M281" s="14"/>
      <c r="N281" s="14"/>
    </row>
    <row r="282">
      <c r="A282" s="12"/>
      <c r="D282" s="95"/>
      <c r="E282" s="14"/>
      <c r="F282" s="96"/>
      <c r="H282" s="14"/>
      <c r="I282" s="14"/>
      <c r="J282" s="14"/>
      <c r="K282" s="14"/>
      <c r="L282" s="14"/>
      <c r="M282" s="14"/>
      <c r="N282" s="14"/>
    </row>
    <row r="283">
      <c r="A283" s="12"/>
      <c r="D283" s="95"/>
      <c r="E283" s="14"/>
      <c r="F283" s="96"/>
      <c r="H283" s="14"/>
      <c r="I283" s="14"/>
      <c r="J283" s="14"/>
      <c r="K283" s="14"/>
      <c r="L283" s="14"/>
      <c r="M283" s="14"/>
      <c r="N283" s="14"/>
    </row>
    <row r="284">
      <c r="A284" s="12"/>
      <c r="D284" s="95"/>
      <c r="E284" s="14"/>
      <c r="F284" s="96"/>
      <c r="H284" s="14"/>
      <c r="I284" s="14"/>
      <c r="J284" s="14"/>
      <c r="K284" s="14"/>
      <c r="L284" s="14"/>
      <c r="M284" s="14"/>
      <c r="N284" s="14"/>
    </row>
    <row r="285">
      <c r="A285" s="12"/>
      <c r="D285" s="95"/>
      <c r="E285" s="14"/>
      <c r="F285" s="96"/>
      <c r="H285" s="14"/>
      <c r="I285" s="14"/>
      <c r="J285" s="14"/>
      <c r="K285" s="14"/>
      <c r="L285" s="14"/>
      <c r="M285" s="14"/>
      <c r="N285" s="14"/>
    </row>
    <row r="286">
      <c r="A286" s="12"/>
      <c r="D286" s="95"/>
      <c r="E286" s="14"/>
      <c r="F286" s="96"/>
      <c r="H286" s="14"/>
      <c r="I286" s="14"/>
      <c r="J286" s="14"/>
      <c r="K286" s="14"/>
      <c r="L286" s="14"/>
      <c r="M286" s="14"/>
      <c r="N286" s="14"/>
    </row>
    <row r="287">
      <c r="A287" s="12"/>
      <c r="D287" s="95"/>
      <c r="E287" s="14"/>
      <c r="F287" s="96"/>
      <c r="H287" s="14"/>
      <c r="I287" s="14"/>
      <c r="J287" s="14"/>
      <c r="K287" s="14"/>
      <c r="L287" s="14"/>
      <c r="M287" s="14"/>
      <c r="N287" s="14"/>
    </row>
    <row r="288">
      <c r="A288" s="12"/>
      <c r="D288" s="95"/>
      <c r="E288" s="14"/>
      <c r="F288" s="96"/>
      <c r="H288" s="14"/>
      <c r="I288" s="14"/>
      <c r="J288" s="14"/>
      <c r="K288" s="14"/>
      <c r="L288" s="14"/>
      <c r="M288" s="14"/>
      <c r="N288" s="14"/>
    </row>
    <row r="289">
      <c r="A289" s="12"/>
      <c r="D289" s="95"/>
      <c r="E289" s="14"/>
      <c r="F289" s="96"/>
      <c r="H289" s="14"/>
      <c r="I289" s="14"/>
      <c r="J289" s="14"/>
      <c r="K289" s="14"/>
      <c r="L289" s="14"/>
      <c r="M289" s="14"/>
      <c r="N289" s="14"/>
    </row>
    <row r="290">
      <c r="A290" s="12"/>
      <c r="D290" s="95"/>
      <c r="E290" s="14"/>
      <c r="F290" s="96"/>
      <c r="H290" s="14"/>
      <c r="I290" s="14"/>
      <c r="J290" s="14"/>
      <c r="K290" s="14"/>
      <c r="L290" s="14"/>
      <c r="M290" s="14"/>
      <c r="N290" s="14"/>
    </row>
    <row r="291">
      <c r="A291" s="12"/>
      <c r="D291" s="95"/>
      <c r="E291" s="14"/>
      <c r="F291" s="96"/>
      <c r="H291" s="14"/>
      <c r="I291" s="14"/>
      <c r="J291" s="14"/>
      <c r="K291" s="14"/>
      <c r="L291" s="14"/>
      <c r="M291" s="14"/>
      <c r="N291" s="14"/>
    </row>
    <row r="292">
      <c r="A292" s="12"/>
      <c r="D292" s="95"/>
      <c r="E292" s="14"/>
      <c r="F292" s="96"/>
      <c r="H292" s="14"/>
      <c r="I292" s="14"/>
      <c r="J292" s="14"/>
      <c r="K292" s="14"/>
      <c r="L292" s="14"/>
      <c r="M292" s="14"/>
      <c r="N292" s="14"/>
    </row>
    <row r="293">
      <c r="A293" s="12"/>
      <c r="D293" s="95"/>
      <c r="E293" s="14"/>
      <c r="F293" s="96"/>
      <c r="H293" s="14"/>
      <c r="I293" s="14"/>
      <c r="J293" s="14"/>
      <c r="K293" s="14"/>
      <c r="L293" s="14"/>
      <c r="M293" s="14"/>
      <c r="N293" s="14"/>
    </row>
    <row r="294">
      <c r="A294" s="12"/>
      <c r="D294" s="95"/>
      <c r="E294" s="14"/>
      <c r="F294" s="96"/>
      <c r="H294" s="14"/>
      <c r="I294" s="14"/>
      <c r="J294" s="14"/>
      <c r="K294" s="14"/>
      <c r="L294" s="14"/>
      <c r="M294" s="14"/>
      <c r="N294" s="14"/>
    </row>
    <row r="295">
      <c r="A295" s="12"/>
      <c r="D295" s="95"/>
      <c r="E295" s="14"/>
      <c r="F295" s="96"/>
      <c r="H295" s="14"/>
      <c r="I295" s="14"/>
      <c r="J295" s="14"/>
      <c r="K295" s="14"/>
      <c r="L295" s="14"/>
      <c r="M295" s="14"/>
      <c r="N295" s="14"/>
    </row>
    <row r="296">
      <c r="A296" s="12"/>
      <c r="D296" s="95"/>
      <c r="E296" s="14"/>
      <c r="F296" s="96"/>
      <c r="H296" s="14"/>
      <c r="I296" s="14"/>
      <c r="J296" s="14"/>
      <c r="K296" s="14"/>
      <c r="L296" s="14"/>
      <c r="M296" s="14"/>
      <c r="N296" s="14"/>
    </row>
    <row r="297">
      <c r="A297" s="12"/>
      <c r="D297" s="95"/>
      <c r="E297" s="14"/>
      <c r="F297" s="96"/>
      <c r="H297" s="14"/>
      <c r="I297" s="14"/>
      <c r="J297" s="14"/>
      <c r="K297" s="14"/>
      <c r="L297" s="14"/>
      <c r="M297" s="14"/>
      <c r="N297" s="14"/>
    </row>
    <row r="298">
      <c r="A298" s="12"/>
      <c r="D298" s="95"/>
      <c r="E298" s="14"/>
      <c r="F298" s="96"/>
      <c r="H298" s="14"/>
      <c r="I298" s="14"/>
      <c r="J298" s="14"/>
      <c r="K298" s="14"/>
      <c r="L298" s="14"/>
      <c r="M298" s="14"/>
      <c r="N298" s="14"/>
    </row>
    <row r="299">
      <c r="A299" s="12"/>
      <c r="D299" s="95"/>
      <c r="E299" s="14"/>
      <c r="F299" s="96"/>
      <c r="H299" s="14"/>
      <c r="I299" s="14"/>
      <c r="J299" s="14"/>
      <c r="K299" s="14"/>
      <c r="L299" s="14"/>
      <c r="M299" s="14"/>
      <c r="N299" s="14"/>
    </row>
    <row r="300">
      <c r="A300" s="12"/>
      <c r="D300" s="95"/>
      <c r="E300" s="14"/>
      <c r="F300" s="96"/>
      <c r="H300" s="14"/>
      <c r="I300" s="14"/>
      <c r="J300" s="14"/>
      <c r="K300" s="14"/>
      <c r="L300" s="14"/>
      <c r="M300" s="14"/>
      <c r="N300" s="14"/>
    </row>
    <row r="301">
      <c r="A301" s="12"/>
      <c r="D301" s="95"/>
      <c r="E301" s="14"/>
      <c r="F301" s="96"/>
      <c r="H301" s="14"/>
      <c r="I301" s="14"/>
      <c r="J301" s="14"/>
      <c r="K301" s="14"/>
      <c r="L301" s="14"/>
      <c r="M301" s="14"/>
      <c r="N301" s="14"/>
    </row>
    <row r="302">
      <c r="A302" s="12"/>
      <c r="D302" s="95"/>
      <c r="E302" s="14"/>
      <c r="F302" s="96"/>
      <c r="H302" s="14"/>
      <c r="I302" s="14"/>
      <c r="J302" s="14"/>
      <c r="K302" s="14"/>
      <c r="L302" s="14"/>
      <c r="M302" s="14"/>
      <c r="N302" s="14"/>
    </row>
    <row r="303">
      <c r="A303" s="12"/>
      <c r="D303" s="95"/>
      <c r="E303" s="14"/>
      <c r="F303" s="96"/>
      <c r="H303" s="14"/>
      <c r="I303" s="14"/>
      <c r="J303" s="14"/>
      <c r="K303" s="14"/>
      <c r="L303" s="14"/>
      <c r="M303" s="14"/>
      <c r="N303" s="14"/>
    </row>
    <row r="304">
      <c r="A304" s="12"/>
      <c r="D304" s="95"/>
      <c r="E304" s="14"/>
      <c r="F304" s="96"/>
      <c r="H304" s="14"/>
      <c r="I304" s="14"/>
      <c r="J304" s="14"/>
      <c r="K304" s="14"/>
      <c r="L304" s="14"/>
      <c r="M304" s="14"/>
      <c r="N304" s="14"/>
    </row>
    <row r="305">
      <c r="A305" s="12"/>
      <c r="D305" s="95"/>
      <c r="E305" s="14"/>
      <c r="F305" s="96"/>
      <c r="H305" s="14"/>
      <c r="I305" s="14"/>
      <c r="J305" s="14"/>
      <c r="K305" s="14"/>
      <c r="L305" s="14"/>
      <c r="M305" s="14"/>
      <c r="N305" s="14"/>
    </row>
    <row r="306">
      <c r="A306" s="12"/>
      <c r="D306" s="95"/>
      <c r="E306" s="14"/>
      <c r="F306" s="96"/>
      <c r="H306" s="14"/>
      <c r="I306" s="14"/>
      <c r="J306" s="14"/>
      <c r="K306" s="14"/>
      <c r="L306" s="14"/>
      <c r="M306" s="14"/>
      <c r="N306" s="14"/>
    </row>
    <row r="307">
      <c r="A307" s="12"/>
      <c r="D307" s="95"/>
      <c r="E307" s="14"/>
      <c r="F307" s="96"/>
      <c r="H307" s="14"/>
      <c r="I307" s="14"/>
      <c r="J307" s="14"/>
      <c r="K307" s="14"/>
      <c r="L307" s="14"/>
      <c r="M307" s="14"/>
      <c r="N307" s="14"/>
    </row>
    <row r="308">
      <c r="A308" s="12"/>
      <c r="D308" s="95"/>
      <c r="E308" s="14"/>
      <c r="F308" s="96"/>
      <c r="H308" s="14"/>
      <c r="I308" s="14"/>
      <c r="J308" s="14"/>
      <c r="K308" s="14"/>
      <c r="L308" s="14"/>
      <c r="M308" s="14"/>
      <c r="N308" s="14"/>
    </row>
    <row r="309">
      <c r="A309" s="12"/>
      <c r="D309" s="95"/>
      <c r="E309" s="14"/>
      <c r="F309" s="96"/>
      <c r="H309" s="14"/>
      <c r="I309" s="14"/>
      <c r="J309" s="14"/>
      <c r="K309" s="14"/>
      <c r="L309" s="14"/>
      <c r="M309" s="14"/>
      <c r="N309" s="14"/>
    </row>
    <row r="310">
      <c r="A310" s="12"/>
      <c r="D310" s="95"/>
      <c r="E310" s="14"/>
      <c r="F310" s="96"/>
      <c r="H310" s="14"/>
      <c r="I310" s="14"/>
      <c r="J310" s="14"/>
      <c r="K310" s="14"/>
      <c r="L310" s="14"/>
      <c r="M310" s="14"/>
      <c r="N310" s="14"/>
    </row>
    <row r="311">
      <c r="A311" s="12"/>
      <c r="D311" s="95"/>
      <c r="E311" s="14"/>
      <c r="F311" s="96"/>
      <c r="H311" s="14"/>
      <c r="I311" s="14"/>
      <c r="J311" s="14"/>
      <c r="K311" s="14"/>
      <c r="L311" s="14"/>
      <c r="M311" s="14"/>
      <c r="N311" s="14"/>
    </row>
    <row r="312">
      <c r="A312" s="12"/>
      <c r="D312" s="95"/>
      <c r="E312" s="14"/>
      <c r="F312" s="96"/>
      <c r="H312" s="14"/>
      <c r="I312" s="14"/>
      <c r="J312" s="14"/>
      <c r="K312" s="14"/>
      <c r="L312" s="14"/>
      <c r="M312" s="14"/>
      <c r="N312" s="14"/>
    </row>
    <row r="313">
      <c r="A313" s="12"/>
      <c r="D313" s="95"/>
      <c r="E313" s="14"/>
      <c r="F313" s="96"/>
      <c r="H313" s="14"/>
      <c r="I313" s="14"/>
      <c r="J313" s="14"/>
      <c r="K313" s="14"/>
      <c r="L313" s="14"/>
      <c r="M313" s="14"/>
      <c r="N313" s="14"/>
    </row>
    <row r="314">
      <c r="A314" s="12"/>
      <c r="D314" s="95"/>
      <c r="E314" s="14"/>
      <c r="F314" s="96"/>
      <c r="H314" s="14"/>
      <c r="I314" s="14"/>
      <c r="J314" s="14"/>
      <c r="K314" s="14"/>
      <c r="L314" s="14"/>
      <c r="M314" s="14"/>
      <c r="N314" s="14"/>
    </row>
    <row r="315">
      <c r="A315" s="12"/>
      <c r="D315" s="95"/>
      <c r="E315" s="14"/>
      <c r="F315" s="96"/>
      <c r="H315" s="14"/>
      <c r="I315" s="14"/>
      <c r="J315" s="14"/>
      <c r="K315" s="14"/>
      <c r="L315" s="14"/>
      <c r="M315" s="14"/>
      <c r="N315" s="14"/>
    </row>
    <row r="316">
      <c r="A316" s="12"/>
      <c r="D316" s="95"/>
      <c r="E316" s="14"/>
      <c r="F316" s="96"/>
      <c r="H316" s="14"/>
      <c r="I316" s="14"/>
      <c r="J316" s="14"/>
      <c r="K316" s="14"/>
      <c r="L316" s="14"/>
      <c r="M316" s="14"/>
      <c r="N316" s="14"/>
    </row>
    <row r="317">
      <c r="A317" s="12"/>
      <c r="D317" s="95"/>
      <c r="E317" s="14"/>
      <c r="F317" s="96"/>
      <c r="H317" s="14"/>
      <c r="I317" s="14"/>
      <c r="J317" s="14"/>
      <c r="K317" s="14"/>
      <c r="L317" s="14"/>
      <c r="M317" s="14"/>
      <c r="N317" s="14"/>
    </row>
    <row r="318">
      <c r="A318" s="12"/>
      <c r="D318" s="95"/>
      <c r="E318" s="14"/>
      <c r="F318" s="96"/>
      <c r="H318" s="14"/>
      <c r="I318" s="14"/>
      <c r="J318" s="14"/>
      <c r="K318" s="14"/>
      <c r="L318" s="14"/>
      <c r="M318" s="14"/>
      <c r="N318" s="14"/>
    </row>
    <row r="319">
      <c r="A319" s="12"/>
      <c r="D319" s="95"/>
      <c r="E319" s="14"/>
      <c r="F319" s="96"/>
      <c r="H319" s="14"/>
      <c r="I319" s="14"/>
      <c r="J319" s="14"/>
      <c r="K319" s="14"/>
      <c r="L319" s="14"/>
      <c r="M319" s="14"/>
      <c r="N319" s="14"/>
    </row>
    <row r="320">
      <c r="A320" s="12"/>
      <c r="D320" s="95"/>
      <c r="E320" s="14"/>
      <c r="F320" s="96"/>
      <c r="H320" s="14"/>
      <c r="I320" s="14"/>
      <c r="J320" s="14"/>
      <c r="K320" s="14"/>
      <c r="L320" s="14"/>
      <c r="M320" s="14"/>
      <c r="N320" s="14"/>
    </row>
    <row r="321">
      <c r="A321" s="12"/>
      <c r="D321" s="95"/>
      <c r="E321" s="14"/>
      <c r="F321" s="96"/>
      <c r="H321" s="14"/>
      <c r="I321" s="14"/>
      <c r="J321" s="14"/>
      <c r="K321" s="14"/>
      <c r="L321" s="14"/>
      <c r="M321" s="14"/>
      <c r="N321" s="14"/>
    </row>
    <row r="322">
      <c r="A322" s="12"/>
      <c r="D322" s="95"/>
      <c r="E322" s="14"/>
      <c r="F322" s="96"/>
      <c r="H322" s="14"/>
      <c r="I322" s="14"/>
      <c r="J322" s="14"/>
      <c r="K322" s="14"/>
      <c r="L322" s="14"/>
      <c r="M322" s="14"/>
      <c r="N322" s="14"/>
    </row>
    <row r="323">
      <c r="A323" s="12"/>
      <c r="D323" s="95"/>
      <c r="E323" s="14"/>
      <c r="F323" s="96"/>
      <c r="H323" s="14"/>
      <c r="I323" s="14"/>
      <c r="J323" s="14"/>
      <c r="K323" s="14"/>
      <c r="L323" s="14"/>
      <c r="M323" s="14"/>
      <c r="N323" s="14"/>
    </row>
    <row r="324">
      <c r="A324" s="12"/>
      <c r="D324" s="95"/>
      <c r="E324" s="14"/>
      <c r="F324" s="96"/>
      <c r="H324" s="14"/>
      <c r="I324" s="14"/>
      <c r="J324" s="14"/>
      <c r="K324" s="14"/>
      <c r="L324" s="14"/>
      <c r="M324" s="14"/>
      <c r="N324" s="14"/>
    </row>
    <row r="325">
      <c r="A325" s="12"/>
      <c r="D325" s="95"/>
      <c r="E325" s="14"/>
      <c r="F325" s="96"/>
      <c r="H325" s="14"/>
      <c r="I325" s="14"/>
      <c r="J325" s="14"/>
      <c r="K325" s="14"/>
      <c r="L325" s="14"/>
      <c r="M325" s="14"/>
      <c r="N325" s="14"/>
    </row>
    <row r="326">
      <c r="A326" s="12"/>
      <c r="D326" s="95"/>
      <c r="E326" s="14"/>
      <c r="F326" s="96"/>
      <c r="H326" s="14"/>
      <c r="I326" s="14"/>
      <c r="J326" s="14"/>
      <c r="K326" s="14"/>
      <c r="L326" s="14"/>
      <c r="M326" s="14"/>
      <c r="N326" s="14"/>
    </row>
    <row r="327">
      <c r="A327" s="12"/>
      <c r="D327" s="95"/>
      <c r="E327" s="14"/>
      <c r="F327" s="96"/>
      <c r="H327" s="14"/>
      <c r="I327" s="14"/>
      <c r="J327" s="14"/>
      <c r="K327" s="14"/>
      <c r="L327" s="14"/>
      <c r="M327" s="14"/>
      <c r="N327" s="14"/>
    </row>
    <row r="328">
      <c r="A328" s="12"/>
      <c r="D328" s="95"/>
      <c r="E328" s="14"/>
      <c r="F328" s="96"/>
      <c r="H328" s="14"/>
      <c r="I328" s="14"/>
      <c r="J328" s="14"/>
      <c r="K328" s="14"/>
      <c r="L328" s="14"/>
      <c r="M328" s="14"/>
      <c r="N328" s="14"/>
    </row>
    <row r="329">
      <c r="A329" s="12"/>
      <c r="D329" s="95"/>
      <c r="E329" s="14"/>
      <c r="F329" s="96"/>
      <c r="H329" s="14"/>
      <c r="I329" s="14"/>
      <c r="J329" s="14"/>
      <c r="K329" s="14"/>
      <c r="L329" s="14"/>
      <c r="M329" s="14"/>
      <c r="N329" s="14"/>
    </row>
    <row r="330">
      <c r="A330" s="12"/>
      <c r="D330" s="95"/>
      <c r="E330" s="14"/>
      <c r="F330" s="96"/>
      <c r="H330" s="14"/>
      <c r="I330" s="14"/>
      <c r="J330" s="14"/>
      <c r="K330" s="14"/>
      <c r="L330" s="14"/>
      <c r="M330" s="14"/>
      <c r="N330" s="14"/>
    </row>
    <row r="331">
      <c r="A331" s="12"/>
      <c r="D331" s="95"/>
      <c r="E331" s="14"/>
      <c r="F331" s="96"/>
      <c r="H331" s="14"/>
      <c r="I331" s="14"/>
      <c r="J331" s="14"/>
      <c r="K331" s="14"/>
      <c r="L331" s="14"/>
      <c r="M331" s="14"/>
      <c r="N331" s="14"/>
    </row>
    <row r="332">
      <c r="A332" s="12"/>
      <c r="D332" s="95"/>
      <c r="E332" s="14"/>
      <c r="F332" s="96"/>
      <c r="H332" s="14"/>
      <c r="I332" s="14"/>
      <c r="J332" s="14"/>
      <c r="K332" s="14"/>
      <c r="L332" s="14"/>
      <c r="M332" s="14"/>
      <c r="N332" s="14"/>
    </row>
    <row r="333">
      <c r="A333" s="12"/>
      <c r="D333" s="95"/>
      <c r="E333" s="14"/>
      <c r="F333" s="96"/>
      <c r="H333" s="14"/>
      <c r="I333" s="14"/>
      <c r="J333" s="14"/>
      <c r="K333" s="14"/>
      <c r="L333" s="14"/>
      <c r="M333" s="14"/>
      <c r="N333" s="14"/>
    </row>
    <row r="334">
      <c r="A334" s="12"/>
      <c r="D334" s="95"/>
      <c r="E334" s="14"/>
      <c r="F334" s="96"/>
      <c r="H334" s="14"/>
      <c r="I334" s="14"/>
      <c r="J334" s="14"/>
      <c r="K334" s="14"/>
      <c r="L334" s="14"/>
      <c r="M334" s="14"/>
      <c r="N334" s="14"/>
    </row>
    <row r="335">
      <c r="A335" s="12"/>
      <c r="D335" s="95"/>
      <c r="E335" s="14"/>
      <c r="F335" s="96"/>
      <c r="H335" s="14"/>
      <c r="I335" s="14"/>
      <c r="J335" s="14"/>
      <c r="K335" s="14"/>
      <c r="L335" s="14"/>
      <c r="M335" s="14"/>
      <c r="N335" s="14"/>
    </row>
    <row r="336">
      <c r="A336" s="12"/>
      <c r="D336" s="95"/>
      <c r="E336" s="14"/>
      <c r="F336" s="96"/>
      <c r="H336" s="14"/>
      <c r="I336" s="14"/>
      <c r="J336" s="14"/>
      <c r="K336" s="14"/>
      <c r="L336" s="14"/>
      <c r="M336" s="14"/>
      <c r="N336" s="14"/>
    </row>
    <row r="337">
      <c r="A337" s="12"/>
      <c r="D337" s="95"/>
      <c r="E337" s="14"/>
      <c r="F337" s="96"/>
      <c r="H337" s="14"/>
      <c r="I337" s="14"/>
      <c r="J337" s="14"/>
      <c r="K337" s="14"/>
      <c r="L337" s="14"/>
      <c r="M337" s="14"/>
      <c r="N337" s="14"/>
    </row>
    <row r="338">
      <c r="A338" s="12"/>
      <c r="D338" s="95"/>
      <c r="E338" s="14"/>
      <c r="F338" s="96"/>
      <c r="H338" s="14"/>
      <c r="I338" s="14"/>
      <c r="J338" s="14"/>
      <c r="K338" s="14"/>
      <c r="L338" s="14"/>
      <c r="M338" s="14"/>
      <c r="N338" s="14"/>
    </row>
    <row r="339">
      <c r="A339" s="12"/>
      <c r="D339" s="95"/>
      <c r="E339" s="14"/>
      <c r="F339" s="96"/>
      <c r="H339" s="14"/>
      <c r="I339" s="14"/>
      <c r="J339" s="14"/>
      <c r="K339" s="14"/>
      <c r="L339" s="14"/>
      <c r="M339" s="14"/>
      <c r="N339" s="14"/>
    </row>
    <row r="340">
      <c r="A340" s="12"/>
      <c r="D340" s="95"/>
      <c r="E340" s="14"/>
      <c r="F340" s="96"/>
      <c r="H340" s="14"/>
      <c r="I340" s="14"/>
      <c r="J340" s="14"/>
      <c r="K340" s="14"/>
      <c r="L340" s="14"/>
      <c r="M340" s="14"/>
      <c r="N340" s="14"/>
    </row>
    <row r="341">
      <c r="A341" s="12"/>
      <c r="D341" s="95"/>
      <c r="E341" s="14"/>
      <c r="F341" s="96"/>
      <c r="H341" s="14"/>
      <c r="I341" s="14"/>
      <c r="J341" s="14"/>
      <c r="K341" s="14"/>
      <c r="L341" s="14"/>
      <c r="M341" s="14"/>
      <c r="N341" s="14"/>
    </row>
    <row r="342">
      <c r="A342" s="12"/>
      <c r="D342" s="95"/>
      <c r="E342" s="14"/>
      <c r="F342" s="96"/>
      <c r="H342" s="14"/>
      <c r="I342" s="14"/>
      <c r="J342" s="14"/>
      <c r="K342" s="14"/>
      <c r="L342" s="14"/>
      <c r="M342" s="14"/>
      <c r="N342" s="14"/>
    </row>
    <row r="343">
      <c r="A343" s="12"/>
      <c r="D343" s="95"/>
      <c r="E343" s="14"/>
      <c r="F343" s="96"/>
      <c r="H343" s="14"/>
      <c r="I343" s="14"/>
      <c r="J343" s="14"/>
      <c r="K343" s="14"/>
      <c r="L343" s="14"/>
      <c r="M343" s="14"/>
      <c r="N343" s="14"/>
    </row>
    <row r="344">
      <c r="A344" s="12"/>
      <c r="D344" s="95"/>
      <c r="E344" s="14"/>
      <c r="F344" s="96"/>
      <c r="H344" s="14"/>
      <c r="I344" s="14"/>
      <c r="J344" s="14"/>
      <c r="K344" s="14"/>
      <c r="L344" s="14"/>
      <c r="M344" s="14"/>
      <c r="N344" s="14"/>
    </row>
    <row r="345">
      <c r="A345" s="12"/>
      <c r="D345" s="95"/>
      <c r="E345" s="14"/>
      <c r="F345" s="96"/>
      <c r="H345" s="14"/>
      <c r="I345" s="14"/>
      <c r="J345" s="14"/>
      <c r="K345" s="14"/>
      <c r="L345" s="14"/>
      <c r="M345" s="14"/>
      <c r="N345" s="14"/>
    </row>
    <row r="346">
      <c r="A346" s="12"/>
      <c r="D346" s="95"/>
      <c r="E346" s="14"/>
      <c r="F346" s="96"/>
      <c r="H346" s="14"/>
      <c r="I346" s="14"/>
      <c r="J346" s="14"/>
      <c r="K346" s="14"/>
      <c r="L346" s="14"/>
      <c r="M346" s="14"/>
      <c r="N346" s="14"/>
    </row>
    <row r="347">
      <c r="A347" s="12"/>
      <c r="D347" s="95"/>
      <c r="E347" s="14"/>
      <c r="F347" s="96"/>
      <c r="H347" s="14"/>
      <c r="I347" s="14"/>
      <c r="J347" s="14"/>
      <c r="K347" s="14"/>
      <c r="L347" s="14"/>
      <c r="M347" s="14"/>
      <c r="N347" s="14"/>
    </row>
    <row r="348">
      <c r="A348" s="12"/>
      <c r="D348" s="95"/>
      <c r="E348" s="14"/>
      <c r="F348" s="96"/>
      <c r="H348" s="14"/>
      <c r="I348" s="14"/>
      <c r="J348" s="14"/>
      <c r="K348" s="14"/>
      <c r="L348" s="14"/>
      <c r="M348" s="14"/>
      <c r="N348" s="14"/>
    </row>
    <row r="349">
      <c r="A349" s="12"/>
      <c r="D349" s="95"/>
      <c r="E349" s="14"/>
      <c r="F349" s="96"/>
      <c r="H349" s="14"/>
      <c r="I349" s="14"/>
      <c r="J349" s="14"/>
      <c r="K349" s="14"/>
      <c r="L349" s="14"/>
      <c r="M349" s="14"/>
      <c r="N349" s="14"/>
    </row>
    <row r="350">
      <c r="A350" s="12"/>
      <c r="D350" s="95"/>
      <c r="E350" s="14"/>
      <c r="F350" s="96"/>
      <c r="H350" s="14"/>
      <c r="I350" s="14"/>
      <c r="J350" s="14"/>
      <c r="K350" s="14"/>
      <c r="L350" s="14"/>
      <c r="M350" s="14"/>
      <c r="N350" s="14"/>
    </row>
    <row r="351">
      <c r="A351" s="12"/>
      <c r="D351" s="95"/>
      <c r="E351" s="14"/>
      <c r="F351" s="96"/>
      <c r="H351" s="14"/>
      <c r="I351" s="14"/>
      <c r="J351" s="14"/>
      <c r="K351" s="14"/>
      <c r="L351" s="14"/>
      <c r="M351" s="14"/>
      <c r="N351" s="14"/>
    </row>
    <row r="352">
      <c r="A352" s="12"/>
      <c r="D352" s="95"/>
      <c r="E352" s="14"/>
      <c r="F352" s="96"/>
      <c r="H352" s="14"/>
      <c r="I352" s="14"/>
      <c r="J352" s="14"/>
      <c r="K352" s="14"/>
      <c r="L352" s="14"/>
      <c r="M352" s="14"/>
      <c r="N352" s="14"/>
    </row>
    <row r="353">
      <c r="A353" s="12"/>
      <c r="D353" s="95"/>
      <c r="E353" s="14"/>
      <c r="F353" s="96"/>
      <c r="H353" s="14"/>
      <c r="I353" s="14"/>
      <c r="J353" s="14"/>
      <c r="K353" s="14"/>
      <c r="L353" s="14"/>
      <c r="M353" s="14"/>
      <c r="N353" s="14"/>
    </row>
    <row r="354">
      <c r="A354" s="12"/>
      <c r="D354" s="95"/>
      <c r="E354" s="14"/>
      <c r="F354" s="96"/>
      <c r="H354" s="14"/>
      <c r="I354" s="14"/>
      <c r="J354" s="14"/>
      <c r="K354" s="14"/>
      <c r="L354" s="14"/>
      <c r="M354" s="14"/>
      <c r="N354" s="14"/>
    </row>
    <row r="355">
      <c r="A355" s="12"/>
      <c r="D355" s="95"/>
      <c r="E355" s="14"/>
      <c r="F355" s="96"/>
      <c r="H355" s="14"/>
      <c r="I355" s="14"/>
      <c r="J355" s="14"/>
      <c r="K355" s="14"/>
      <c r="L355" s="14"/>
      <c r="M355" s="14"/>
      <c r="N355" s="14"/>
    </row>
    <row r="356">
      <c r="A356" s="12"/>
      <c r="D356" s="95"/>
      <c r="E356" s="14"/>
      <c r="F356" s="96"/>
      <c r="H356" s="14"/>
      <c r="I356" s="14"/>
      <c r="J356" s="14"/>
      <c r="K356" s="14"/>
      <c r="L356" s="14"/>
      <c r="M356" s="14"/>
      <c r="N356" s="14"/>
    </row>
    <row r="357">
      <c r="A357" s="12"/>
      <c r="D357" s="95"/>
      <c r="E357" s="14"/>
      <c r="F357" s="96"/>
      <c r="H357" s="14"/>
      <c r="I357" s="14"/>
      <c r="J357" s="14"/>
      <c r="K357" s="14"/>
      <c r="L357" s="14"/>
      <c r="M357" s="14"/>
      <c r="N357" s="14"/>
    </row>
    <row r="358">
      <c r="A358" s="12"/>
      <c r="D358" s="95"/>
      <c r="E358" s="14"/>
      <c r="F358" s="96"/>
      <c r="H358" s="14"/>
      <c r="I358" s="14"/>
      <c r="J358" s="14"/>
      <c r="K358" s="14"/>
      <c r="L358" s="14"/>
      <c r="M358" s="14"/>
      <c r="N358" s="14"/>
    </row>
    <row r="359">
      <c r="A359" s="12"/>
      <c r="D359" s="95"/>
      <c r="E359" s="14"/>
      <c r="F359" s="96"/>
      <c r="H359" s="14"/>
      <c r="I359" s="14"/>
      <c r="J359" s="14"/>
      <c r="K359" s="14"/>
      <c r="L359" s="14"/>
      <c r="M359" s="14"/>
      <c r="N359" s="14"/>
    </row>
    <row r="360">
      <c r="A360" s="12"/>
      <c r="D360" s="95"/>
      <c r="E360" s="14"/>
      <c r="F360" s="96"/>
      <c r="H360" s="14"/>
      <c r="I360" s="14"/>
      <c r="J360" s="14"/>
      <c r="K360" s="14"/>
      <c r="L360" s="14"/>
      <c r="M360" s="14"/>
      <c r="N360" s="14"/>
    </row>
    <row r="361">
      <c r="A361" s="12"/>
      <c r="D361" s="95"/>
      <c r="E361" s="14"/>
      <c r="F361" s="96"/>
      <c r="H361" s="14"/>
      <c r="I361" s="14"/>
      <c r="J361" s="14"/>
      <c r="K361" s="14"/>
      <c r="L361" s="14"/>
      <c r="M361" s="14"/>
      <c r="N361" s="14"/>
    </row>
    <row r="362">
      <c r="A362" s="12"/>
      <c r="D362" s="95"/>
      <c r="E362" s="14"/>
      <c r="F362" s="96"/>
      <c r="H362" s="14"/>
      <c r="I362" s="14"/>
      <c r="J362" s="14"/>
      <c r="K362" s="14"/>
      <c r="L362" s="14"/>
      <c r="M362" s="14"/>
      <c r="N362" s="14"/>
    </row>
    <row r="363">
      <c r="A363" s="12"/>
      <c r="D363" s="95"/>
      <c r="E363" s="14"/>
      <c r="F363" s="96"/>
      <c r="H363" s="14"/>
      <c r="I363" s="14"/>
      <c r="J363" s="14"/>
      <c r="K363" s="14"/>
      <c r="L363" s="14"/>
      <c r="M363" s="14"/>
      <c r="N363" s="14"/>
    </row>
    <row r="364">
      <c r="A364" s="12"/>
      <c r="D364" s="95"/>
      <c r="E364" s="14"/>
      <c r="F364" s="96"/>
      <c r="H364" s="14"/>
      <c r="I364" s="14"/>
      <c r="J364" s="14"/>
      <c r="K364" s="14"/>
      <c r="L364" s="14"/>
      <c r="M364" s="14"/>
      <c r="N364" s="14"/>
    </row>
    <row r="365">
      <c r="A365" s="12"/>
      <c r="D365" s="95"/>
      <c r="E365" s="14"/>
      <c r="F365" s="96"/>
      <c r="H365" s="14"/>
      <c r="I365" s="14"/>
      <c r="J365" s="14"/>
      <c r="K365" s="14"/>
      <c r="L365" s="14"/>
      <c r="M365" s="14"/>
      <c r="N365" s="14"/>
    </row>
    <row r="366">
      <c r="A366" s="12"/>
      <c r="D366" s="95"/>
      <c r="E366" s="14"/>
      <c r="F366" s="96"/>
      <c r="H366" s="14"/>
      <c r="I366" s="14"/>
      <c r="J366" s="14"/>
      <c r="K366" s="14"/>
      <c r="L366" s="14"/>
      <c r="M366" s="14"/>
      <c r="N366" s="14"/>
    </row>
    <row r="367">
      <c r="A367" s="12"/>
      <c r="D367" s="95"/>
      <c r="E367" s="14"/>
      <c r="F367" s="96"/>
      <c r="H367" s="14"/>
      <c r="I367" s="14"/>
      <c r="J367" s="14"/>
      <c r="K367" s="14"/>
      <c r="L367" s="14"/>
      <c r="M367" s="14"/>
      <c r="N367" s="14"/>
    </row>
    <row r="368">
      <c r="A368" s="12"/>
      <c r="D368" s="95"/>
      <c r="E368" s="14"/>
      <c r="F368" s="96"/>
      <c r="H368" s="14"/>
      <c r="I368" s="14"/>
      <c r="J368" s="14"/>
      <c r="K368" s="14"/>
      <c r="L368" s="14"/>
      <c r="M368" s="14"/>
      <c r="N368" s="14"/>
    </row>
    <row r="369">
      <c r="A369" s="12"/>
      <c r="D369" s="95"/>
      <c r="E369" s="14"/>
      <c r="F369" s="96"/>
      <c r="H369" s="14"/>
      <c r="I369" s="14"/>
      <c r="J369" s="14"/>
      <c r="K369" s="14"/>
      <c r="L369" s="14"/>
      <c r="M369" s="14"/>
      <c r="N369" s="14"/>
    </row>
    <row r="370">
      <c r="A370" s="12"/>
      <c r="D370" s="95"/>
      <c r="E370" s="14"/>
      <c r="F370" s="96"/>
      <c r="H370" s="14"/>
      <c r="I370" s="14"/>
      <c r="J370" s="14"/>
      <c r="K370" s="14"/>
      <c r="L370" s="14"/>
      <c r="M370" s="14"/>
      <c r="N370" s="14"/>
    </row>
    <row r="371">
      <c r="A371" s="12"/>
      <c r="D371" s="95"/>
      <c r="E371" s="14"/>
      <c r="F371" s="96"/>
      <c r="H371" s="14"/>
      <c r="I371" s="14"/>
      <c r="J371" s="14"/>
      <c r="K371" s="14"/>
      <c r="L371" s="14"/>
      <c r="M371" s="14"/>
      <c r="N371" s="14"/>
    </row>
    <row r="372">
      <c r="A372" s="12"/>
      <c r="D372" s="95"/>
      <c r="E372" s="14"/>
      <c r="F372" s="96"/>
      <c r="H372" s="14"/>
      <c r="I372" s="14"/>
      <c r="J372" s="14"/>
      <c r="K372" s="14"/>
      <c r="L372" s="14"/>
      <c r="M372" s="14"/>
      <c r="N372" s="14"/>
    </row>
    <row r="373">
      <c r="A373" s="12"/>
      <c r="D373" s="95"/>
      <c r="E373" s="14"/>
      <c r="F373" s="96"/>
      <c r="H373" s="14"/>
      <c r="I373" s="14"/>
      <c r="J373" s="14"/>
      <c r="K373" s="14"/>
      <c r="L373" s="14"/>
      <c r="M373" s="14"/>
      <c r="N373" s="14"/>
    </row>
    <row r="374">
      <c r="A374" s="12"/>
      <c r="D374" s="95"/>
      <c r="E374" s="14"/>
      <c r="F374" s="96"/>
      <c r="H374" s="14"/>
      <c r="I374" s="14"/>
      <c r="J374" s="14"/>
      <c r="K374" s="14"/>
      <c r="L374" s="14"/>
      <c r="M374" s="14"/>
      <c r="N374" s="14"/>
    </row>
    <row r="375">
      <c r="A375" s="12"/>
      <c r="D375" s="95"/>
      <c r="E375" s="14"/>
      <c r="F375" s="96"/>
      <c r="H375" s="14"/>
      <c r="I375" s="14"/>
      <c r="J375" s="14"/>
      <c r="K375" s="14"/>
      <c r="L375" s="14"/>
      <c r="M375" s="14"/>
      <c r="N375" s="14"/>
    </row>
    <row r="376">
      <c r="A376" s="12"/>
      <c r="D376" s="95"/>
      <c r="E376" s="14"/>
      <c r="F376" s="96"/>
      <c r="H376" s="14"/>
      <c r="I376" s="14"/>
      <c r="J376" s="14"/>
      <c r="K376" s="14"/>
      <c r="L376" s="14"/>
      <c r="M376" s="14"/>
      <c r="N376" s="14"/>
    </row>
    <row r="377">
      <c r="A377" s="12"/>
      <c r="D377" s="95"/>
      <c r="E377" s="14"/>
      <c r="F377" s="96"/>
      <c r="H377" s="14"/>
      <c r="I377" s="14"/>
      <c r="J377" s="14"/>
      <c r="K377" s="14"/>
      <c r="L377" s="14"/>
      <c r="M377" s="14"/>
      <c r="N377" s="14"/>
    </row>
    <row r="378">
      <c r="A378" s="12"/>
      <c r="D378" s="95"/>
      <c r="E378" s="14"/>
      <c r="F378" s="96"/>
      <c r="H378" s="14"/>
      <c r="I378" s="14"/>
      <c r="J378" s="14"/>
      <c r="K378" s="14"/>
      <c r="L378" s="14"/>
      <c r="M378" s="14"/>
      <c r="N378" s="14"/>
    </row>
    <row r="379">
      <c r="A379" s="12"/>
      <c r="D379" s="95"/>
      <c r="E379" s="14"/>
      <c r="F379" s="96"/>
      <c r="H379" s="14"/>
      <c r="I379" s="14"/>
      <c r="J379" s="14"/>
      <c r="K379" s="14"/>
      <c r="L379" s="14"/>
      <c r="M379" s="14"/>
      <c r="N379" s="14"/>
    </row>
    <row r="380">
      <c r="A380" s="12"/>
      <c r="D380" s="95"/>
      <c r="E380" s="14"/>
      <c r="F380" s="96"/>
      <c r="H380" s="14"/>
      <c r="I380" s="14"/>
      <c r="J380" s="14"/>
      <c r="K380" s="14"/>
      <c r="L380" s="14"/>
      <c r="M380" s="14"/>
      <c r="N380" s="14"/>
    </row>
    <row r="381">
      <c r="A381" s="12"/>
      <c r="D381" s="95"/>
      <c r="E381" s="14"/>
      <c r="F381" s="96"/>
      <c r="H381" s="14"/>
      <c r="I381" s="14"/>
      <c r="J381" s="14"/>
      <c r="K381" s="14"/>
      <c r="L381" s="14"/>
      <c r="M381" s="14"/>
      <c r="N381" s="14"/>
    </row>
    <row r="382">
      <c r="A382" s="12"/>
      <c r="D382" s="95"/>
      <c r="E382" s="14"/>
      <c r="F382" s="96"/>
      <c r="H382" s="14"/>
      <c r="I382" s="14"/>
      <c r="J382" s="14"/>
      <c r="K382" s="14"/>
      <c r="L382" s="14"/>
      <c r="M382" s="14"/>
      <c r="N382" s="14"/>
    </row>
    <row r="383">
      <c r="A383" s="12"/>
      <c r="D383" s="95"/>
      <c r="E383" s="14"/>
      <c r="F383" s="96"/>
      <c r="H383" s="14"/>
      <c r="I383" s="14"/>
      <c r="J383" s="14"/>
      <c r="K383" s="14"/>
      <c r="L383" s="14"/>
      <c r="M383" s="14"/>
      <c r="N383" s="14"/>
    </row>
    <row r="384">
      <c r="A384" s="12"/>
      <c r="D384" s="95"/>
      <c r="E384" s="14"/>
      <c r="F384" s="96"/>
      <c r="H384" s="14"/>
      <c r="I384" s="14"/>
      <c r="J384" s="14"/>
      <c r="K384" s="14"/>
      <c r="L384" s="14"/>
      <c r="M384" s="14"/>
      <c r="N384" s="14"/>
    </row>
    <row r="385">
      <c r="A385" s="12"/>
      <c r="D385" s="95"/>
      <c r="E385" s="14"/>
      <c r="F385" s="96"/>
      <c r="H385" s="14"/>
      <c r="I385" s="14"/>
      <c r="J385" s="14"/>
      <c r="K385" s="14"/>
      <c r="L385" s="14"/>
      <c r="M385" s="14"/>
      <c r="N385" s="14"/>
    </row>
    <row r="386">
      <c r="A386" s="12"/>
      <c r="D386" s="95"/>
      <c r="E386" s="14"/>
      <c r="F386" s="96"/>
      <c r="H386" s="14"/>
      <c r="I386" s="14"/>
      <c r="J386" s="14"/>
      <c r="K386" s="14"/>
      <c r="L386" s="14"/>
      <c r="M386" s="14"/>
      <c r="N386" s="14"/>
    </row>
    <row r="387">
      <c r="A387" s="12"/>
      <c r="D387" s="95"/>
      <c r="E387" s="14"/>
      <c r="F387" s="96"/>
      <c r="H387" s="14"/>
      <c r="I387" s="14"/>
      <c r="J387" s="14"/>
      <c r="K387" s="14"/>
      <c r="L387" s="14"/>
      <c r="M387" s="14"/>
      <c r="N387" s="14"/>
    </row>
    <row r="388">
      <c r="A388" s="12"/>
      <c r="D388" s="95"/>
      <c r="E388" s="14"/>
      <c r="F388" s="96"/>
      <c r="H388" s="14"/>
      <c r="I388" s="14"/>
      <c r="J388" s="14"/>
      <c r="K388" s="14"/>
      <c r="L388" s="14"/>
      <c r="M388" s="14"/>
      <c r="N388" s="14"/>
    </row>
    <row r="389">
      <c r="A389" s="12"/>
      <c r="D389" s="95"/>
      <c r="E389" s="14"/>
      <c r="F389" s="96"/>
      <c r="H389" s="14"/>
      <c r="I389" s="14"/>
      <c r="J389" s="14"/>
      <c r="K389" s="14"/>
      <c r="L389" s="14"/>
      <c r="M389" s="14"/>
      <c r="N389" s="14"/>
    </row>
    <row r="390">
      <c r="A390" s="12"/>
      <c r="D390" s="95"/>
      <c r="E390" s="14"/>
      <c r="F390" s="96"/>
      <c r="H390" s="14"/>
      <c r="I390" s="14"/>
      <c r="J390" s="14"/>
      <c r="K390" s="14"/>
      <c r="L390" s="14"/>
      <c r="M390" s="14"/>
      <c r="N390" s="14"/>
    </row>
    <row r="391">
      <c r="A391" s="12"/>
      <c r="D391" s="95"/>
      <c r="E391" s="14"/>
      <c r="F391" s="96"/>
      <c r="H391" s="14"/>
      <c r="I391" s="14"/>
      <c r="J391" s="14"/>
      <c r="K391" s="14"/>
      <c r="L391" s="14"/>
      <c r="M391" s="14"/>
      <c r="N391" s="14"/>
    </row>
    <row r="392">
      <c r="A392" s="12"/>
      <c r="D392" s="95"/>
      <c r="E392" s="14"/>
      <c r="F392" s="96"/>
      <c r="H392" s="14"/>
      <c r="I392" s="14"/>
      <c r="J392" s="14"/>
      <c r="K392" s="14"/>
      <c r="L392" s="14"/>
      <c r="M392" s="14"/>
      <c r="N392" s="14"/>
    </row>
    <row r="393">
      <c r="A393" s="12"/>
      <c r="D393" s="95"/>
      <c r="E393" s="14"/>
      <c r="F393" s="96"/>
      <c r="H393" s="14"/>
      <c r="I393" s="14"/>
      <c r="J393" s="14"/>
      <c r="K393" s="14"/>
      <c r="L393" s="14"/>
      <c r="M393" s="14"/>
      <c r="N393" s="14"/>
    </row>
    <row r="394">
      <c r="A394" s="12"/>
      <c r="D394" s="95"/>
      <c r="E394" s="14"/>
      <c r="F394" s="96"/>
      <c r="H394" s="14"/>
      <c r="I394" s="14"/>
      <c r="J394" s="14"/>
      <c r="K394" s="14"/>
      <c r="L394" s="14"/>
      <c r="M394" s="14"/>
      <c r="N394" s="14"/>
    </row>
    <row r="395">
      <c r="A395" s="12"/>
      <c r="D395" s="95"/>
      <c r="E395" s="14"/>
      <c r="F395" s="96"/>
      <c r="H395" s="14"/>
      <c r="I395" s="14"/>
      <c r="J395" s="14"/>
      <c r="K395" s="14"/>
      <c r="L395" s="14"/>
      <c r="M395" s="14"/>
      <c r="N395" s="14"/>
    </row>
    <row r="396">
      <c r="A396" s="12"/>
      <c r="D396" s="95"/>
      <c r="E396" s="14"/>
      <c r="F396" s="96"/>
      <c r="H396" s="14"/>
      <c r="I396" s="14"/>
      <c r="J396" s="14"/>
      <c r="K396" s="14"/>
      <c r="L396" s="14"/>
      <c r="M396" s="14"/>
      <c r="N396" s="14"/>
    </row>
    <row r="397">
      <c r="A397" s="12"/>
      <c r="D397" s="95"/>
      <c r="E397" s="14"/>
      <c r="F397" s="96"/>
      <c r="H397" s="14"/>
      <c r="I397" s="14"/>
      <c r="J397" s="14"/>
      <c r="K397" s="14"/>
      <c r="L397" s="14"/>
      <c r="M397" s="14"/>
      <c r="N397" s="14"/>
    </row>
    <row r="398">
      <c r="A398" s="12"/>
      <c r="D398" s="95"/>
      <c r="E398" s="14"/>
      <c r="F398" s="96"/>
      <c r="H398" s="14"/>
      <c r="I398" s="14"/>
      <c r="J398" s="14"/>
      <c r="K398" s="14"/>
      <c r="L398" s="14"/>
      <c r="M398" s="14"/>
      <c r="N398" s="14"/>
    </row>
    <row r="399">
      <c r="A399" s="12"/>
      <c r="D399" s="95"/>
      <c r="E399" s="14"/>
      <c r="F399" s="96"/>
      <c r="H399" s="14"/>
      <c r="I399" s="14"/>
      <c r="J399" s="14"/>
      <c r="K399" s="14"/>
      <c r="L399" s="14"/>
      <c r="M399" s="14"/>
      <c r="N399" s="14"/>
    </row>
    <row r="400">
      <c r="A400" s="12"/>
      <c r="D400" s="95"/>
      <c r="E400" s="14"/>
      <c r="F400" s="96"/>
      <c r="H400" s="14"/>
      <c r="I400" s="14"/>
      <c r="J400" s="14"/>
      <c r="K400" s="14"/>
      <c r="L400" s="14"/>
      <c r="M400" s="14"/>
      <c r="N400" s="14"/>
    </row>
    <row r="401">
      <c r="A401" s="12"/>
      <c r="D401" s="95"/>
      <c r="E401" s="14"/>
      <c r="F401" s="96"/>
      <c r="H401" s="14"/>
      <c r="I401" s="14"/>
      <c r="J401" s="14"/>
      <c r="K401" s="14"/>
      <c r="L401" s="14"/>
      <c r="M401" s="14"/>
      <c r="N401" s="14"/>
    </row>
    <row r="402">
      <c r="A402" s="12"/>
      <c r="D402" s="95"/>
      <c r="E402" s="14"/>
      <c r="F402" s="96"/>
      <c r="H402" s="14"/>
      <c r="I402" s="14"/>
      <c r="J402" s="14"/>
      <c r="K402" s="14"/>
      <c r="L402" s="14"/>
      <c r="M402" s="14"/>
      <c r="N402" s="14"/>
    </row>
    <row r="403">
      <c r="A403" s="12"/>
      <c r="D403" s="95"/>
      <c r="E403" s="14"/>
      <c r="F403" s="96"/>
      <c r="H403" s="14"/>
      <c r="I403" s="14"/>
      <c r="J403" s="14"/>
      <c r="K403" s="14"/>
      <c r="L403" s="14"/>
      <c r="M403" s="14"/>
      <c r="N403" s="14"/>
    </row>
    <row r="404">
      <c r="A404" s="12"/>
      <c r="D404" s="95"/>
      <c r="E404" s="14"/>
      <c r="F404" s="96"/>
      <c r="H404" s="14"/>
      <c r="I404" s="14"/>
      <c r="J404" s="14"/>
      <c r="K404" s="14"/>
      <c r="L404" s="14"/>
      <c r="M404" s="14"/>
      <c r="N404" s="14"/>
    </row>
    <row r="405">
      <c r="A405" s="12"/>
      <c r="D405" s="95"/>
      <c r="E405" s="14"/>
      <c r="F405" s="96"/>
      <c r="H405" s="14"/>
      <c r="I405" s="14"/>
      <c r="J405" s="14"/>
      <c r="K405" s="14"/>
      <c r="L405" s="14"/>
      <c r="M405" s="14"/>
      <c r="N405" s="14"/>
    </row>
    <row r="406">
      <c r="A406" s="12"/>
      <c r="D406" s="95"/>
      <c r="E406" s="14"/>
      <c r="F406" s="96"/>
      <c r="H406" s="14"/>
      <c r="I406" s="14"/>
      <c r="J406" s="14"/>
      <c r="K406" s="14"/>
      <c r="L406" s="14"/>
      <c r="M406" s="14"/>
      <c r="N406" s="14"/>
    </row>
    <row r="407">
      <c r="A407" s="12"/>
      <c r="D407" s="95"/>
      <c r="E407" s="14"/>
      <c r="F407" s="96"/>
      <c r="H407" s="14"/>
      <c r="I407" s="14"/>
      <c r="J407" s="14"/>
      <c r="K407" s="14"/>
      <c r="L407" s="14"/>
      <c r="M407" s="14"/>
      <c r="N407" s="14"/>
    </row>
    <row r="408">
      <c r="A408" s="12"/>
      <c r="D408" s="95"/>
      <c r="E408" s="14"/>
      <c r="F408" s="96"/>
      <c r="H408" s="14"/>
      <c r="I408" s="14"/>
      <c r="J408" s="14"/>
      <c r="K408" s="14"/>
      <c r="L408" s="14"/>
      <c r="M408" s="14"/>
      <c r="N408" s="14"/>
    </row>
    <row r="409">
      <c r="A409" s="12"/>
      <c r="D409" s="95"/>
      <c r="E409" s="14"/>
      <c r="F409" s="96"/>
      <c r="H409" s="14"/>
      <c r="I409" s="14"/>
      <c r="J409" s="14"/>
      <c r="K409" s="14"/>
      <c r="L409" s="14"/>
      <c r="M409" s="14"/>
      <c r="N409" s="14"/>
    </row>
    <row r="410">
      <c r="A410" s="12"/>
      <c r="D410" s="95"/>
      <c r="E410" s="14"/>
      <c r="F410" s="96"/>
      <c r="H410" s="14"/>
      <c r="I410" s="14"/>
      <c r="J410" s="14"/>
      <c r="K410" s="14"/>
      <c r="L410" s="14"/>
      <c r="M410" s="14"/>
      <c r="N410" s="14"/>
    </row>
    <row r="411">
      <c r="A411" s="12"/>
      <c r="D411" s="95"/>
      <c r="E411" s="14"/>
      <c r="F411" s="96"/>
      <c r="H411" s="14"/>
      <c r="I411" s="14"/>
      <c r="J411" s="14"/>
      <c r="K411" s="14"/>
      <c r="L411" s="14"/>
      <c r="M411" s="14"/>
      <c r="N411" s="14"/>
    </row>
    <row r="412">
      <c r="A412" s="12"/>
      <c r="D412" s="95"/>
      <c r="E412" s="14"/>
      <c r="F412" s="96"/>
      <c r="H412" s="14"/>
      <c r="I412" s="14"/>
      <c r="J412" s="14"/>
      <c r="K412" s="14"/>
      <c r="L412" s="14"/>
      <c r="M412" s="14"/>
      <c r="N412" s="14"/>
    </row>
    <row r="413">
      <c r="A413" s="12"/>
      <c r="D413" s="95"/>
      <c r="E413" s="14"/>
      <c r="F413" s="96"/>
      <c r="H413" s="14"/>
      <c r="I413" s="14"/>
      <c r="J413" s="14"/>
      <c r="K413" s="14"/>
      <c r="L413" s="14"/>
      <c r="M413" s="14"/>
      <c r="N413" s="14"/>
    </row>
    <row r="414">
      <c r="A414" s="12"/>
      <c r="D414" s="95"/>
      <c r="E414" s="14"/>
      <c r="F414" s="96"/>
      <c r="H414" s="14"/>
      <c r="I414" s="14"/>
      <c r="J414" s="14"/>
      <c r="K414" s="14"/>
      <c r="L414" s="14"/>
      <c r="M414" s="14"/>
      <c r="N414" s="14"/>
    </row>
    <row r="415">
      <c r="A415" s="12"/>
      <c r="D415" s="95"/>
      <c r="E415" s="14"/>
      <c r="F415" s="96"/>
      <c r="H415" s="14"/>
      <c r="I415" s="14"/>
      <c r="J415" s="14"/>
      <c r="K415" s="14"/>
      <c r="L415" s="14"/>
      <c r="M415" s="14"/>
      <c r="N415" s="14"/>
    </row>
    <row r="416">
      <c r="A416" s="12"/>
      <c r="D416" s="95"/>
      <c r="E416" s="14"/>
      <c r="F416" s="96"/>
      <c r="H416" s="14"/>
      <c r="I416" s="14"/>
      <c r="J416" s="14"/>
      <c r="K416" s="14"/>
      <c r="L416" s="14"/>
      <c r="M416" s="14"/>
      <c r="N416" s="14"/>
    </row>
    <row r="417">
      <c r="A417" s="12"/>
      <c r="D417" s="95"/>
      <c r="E417" s="14"/>
      <c r="F417" s="96"/>
      <c r="H417" s="14"/>
      <c r="I417" s="14"/>
      <c r="J417" s="14"/>
      <c r="K417" s="14"/>
      <c r="L417" s="14"/>
      <c r="M417" s="14"/>
      <c r="N417" s="14"/>
    </row>
    <row r="418">
      <c r="A418" s="12"/>
      <c r="D418" s="95"/>
      <c r="E418" s="14"/>
      <c r="F418" s="96"/>
      <c r="H418" s="14"/>
      <c r="I418" s="14"/>
      <c r="J418" s="14"/>
      <c r="K418" s="14"/>
      <c r="L418" s="14"/>
      <c r="M418" s="14"/>
      <c r="N418" s="14"/>
    </row>
    <row r="419">
      <c r="A419" s="12"/>
      <c r="D419" s="95"/>
      <c r="E419" s="14"/>
      <c r="F419" s="96"/>
      <c r="H419" s="14"/>
      <c r="I419" s="14"/>
      <c r="J419" s="14"/>
      <c r="K419" s="14"/>
      <c r="L419" s="14"/>
      <c r="M419" s="14"/>
      <c r="N419" s="14"/>
    </row>
    <row r="420">
      <c r="A420" s="12"/>
      <c r="D420" s="95"/>
      <c r="E420" s="14"/>
      <c r="F420" s="96"/>
      <c r="H420" s="14"/>
      <c r="I420" s="14"/>
      <c r="J420" s="14"/>
      <c r="K420" s="14"/>
      <c r="L420" s="14"/>
      <c r="M420" s="14"/>
      <c r="N420" s="14"/>
    </row>
    <row r="421">
      <c r="A421" s="12"/>
      <c r="D421" s="95"/>
      <c r="E421" s="14"/>
      <c r="F421" s="96"/>
      <c r="H421" s="14"/>
      <c r="I421" s="14"/>
      <c r="J421" s="14"/>
      <c r="K421" s="14"/>
      <c r="L421" s="14"/>
      <c r="M421" s="14"/>
      <c r="N421" s="14"/>
    </row>
    <row r="422">
      <c r="A422" s="12"/>
      <c r="D422" s="95"/>
      <c r="E422" s="14"/>
      <c r="F422" s="96"/>
      <c r="H422" s="14"/>
      <c r="I422" s="14"/>
      <c r="J422" s="14"/>
      <c r="K422" s="14"/>
      <c r="L422" s="14"/>
      <c r="M422" s="14"/>
      <c r="N422" s="14"/>
    </row>
    <row r="423">
      <c r="A423" s="12"/>
      <c r="D423" s="95"/>
      <c r="E423" s="14"/>
      <c r="F423" s="96"/>
      <c r="H423" s="14"/>
      <c r="I423" s="14"/>
      <c r="J423" s="14"/>
      <c r="K423" s="14"/>
      <c r="L423" s="14"/>
      <c r="M423" s="14"/>
      <c r="N423" s="14"/>
    </row>
    <row r="424">
      <c r="A424" s="12"/>
      <c r="D424" s="95"/>
      <c r="E424" s="14"/>
      <c r="F424" s="96"/>
      <c r="H424" s="14"/>
      <c r="I424" s="14"/>
      <c r="J424" s="14"/>
      <c r="K424" s="14"/>
      <c r="L424" s="14"/>
      <c r="M424" s="14"/>
      <c r="N424" s="14"/>
    </row>
    <row r="425">
      <c r="A425" s="12"/>
      <c r="D425" s="95"/>
      <c r="E425" s="14"/>
      <c r="F425" s="96"/>
      <c r="H425" s="14"/>
      <c r="I425" s="14"/>
      <c r="J425" s="14"/>
      <c r="K425" s="14"/>
      <c r="L425" s="14"/>
      <c r="M425" s="14"/>
      <c r="N425" s="14"/>
    </row>
    <row r="426">
      <c r="A426" s="12"/>
      <c r="D426" s="95"/>
      <c r="E426" s="14"/>
      <c r="F426" s="96"/>
      <c r="H426" s="14"/>
      <c r="I426" s="14"/>
      <c r="J426" s="14"/>
      <c r="K426" s="14"/>
      <c r="L426" s="14"/>
      <c r="M426" s="14"/>
      <c r="N426" s="14"/>
    </row>
    <row r="427">
      <c r="A427" s="12"/>
      <c r="D427" s="95"/>
      <c r="E427" s="14"/>
      <c r="F427" s="96"/>
      <c r="H427" s="14"/>
      <c r="I427" s="14"/>
      <c r="J427" s="14"/>
      <c r="K427" s="14"/>
      <c r="L427" s="14"/>
      <c r="M427" s="14"/>
      <c r="N427" s="14"/>
    </row>
    <row r="428">
      <c r="A428" s="12"/>
      <c r="D428" s="95"/>
      <c r="E428" s="14"/>
      <c r="F428" s="96"/>
      <c r="H428" s="14"/>
      <c r="I428" s="14"/>
      <c r="J428" s="14"/>
      <c r="K428" s="14"/>
      <c r="L428" s="14"/>
      <c r="M428" s="14"/>
      <c r="N428" s="14"/>
    </row>
    <row r="429">
      <c r="A429" s="12"/>
      <c r="D429" s="95"/>
      <c r="E429" s="14"/>
      <c r="F429" s="96"/>
      <c r="H429" s="14"/>
      <c r="I429" s="14"/>
      <c r="J429" s="14"/>
      <c r="K429" s="14"/>
      <c r="L429" s="14"/>
      <c r="M429" s="14"/>
      <c r="N429" s="14"/>
    </row>
    <row r="430">
      <c r="A430" s="12"/>
      <c r="D430" s="95"/>
      <c r="E430" s="14"/>
      <c r="F430" s="96"/>
      <c r="H430" s="14"/>
      <c r="I430" s="14"/>
      <c r="J430" s="14"/>
      <c r="K430" s="14"/>
      <c r="L430" s="14"/>
      <c r="M430" s="14"/>
      <c r="N430" s="14"/>
    </row>
    <row r="431">
      <c r="A431" s="12"/>
      <c r="D431" s="95"/>
      <c r="E431" s="14"/>
      <c r="F431" s="96"/>
      <c r="H431" s="14"/>
      <c r="I431" s="14"/>
      <c r="J431" s="14"/>
      <c r="K431" s="14"/>
      <c r="L431" s="14"/>
      <c r="M431" s="14"/>
      <c r="N431" s="14"/>
    </row>
    <row r="432">
      <c r="A432" s="12"/>
      <c r="D432" s="95"/>
      <c r="E432" s="14"/>
      <c r="F432" s="96"/>
      <c r="H432" s="14"/>
      <c r="I432" s="14"/>
      <c r="J432" s="14"/>
      <c r="K432" s="14"/>
      <c r="L432" s="14"/>
      <c r="M432" s="14"/>
      <c r="N432" s="14"/>
    </row>
    <row r="433">
      <c r="A433" s="12"/>
      <c r="D433" s="95"/>
      <c r="E433" s="14"/>
      <c r="F433" s="96"/>
      <c r="H433" s="14"/>
      <c r="I433" s="14"/>
      <c r="J433" s="14"/>
      <c r="K433" s="14"/>
      <c r="L433" s="14"/>
      <c r="M433" s="14"/>
      <c r="N433" s="14"/>
    </row>
    <row r="434">
      <c r="A434" s="12"/>
      <c r="D434" s="95"/>
      <c r="E434" s="14"/>
      <c r="F434" s="96"/>
      <c r="H434" s="14"/>
      <c r="I434" s="14"/>
      <c r="J434" s="14"/>
      <c r="K434" s="14"/>
      <c r="L434" s="14"/>
      <c r="M434" s="14"/>
      <c r="N434" s="14"/>
    </row>
    <row r="435">
      <c r="A435" s="12"/>
      <c r="D435" s="95"/>
      <c r="E435" s="14"/>
      <c r="F435" s="96"/>
      <c r="H435" s="14"/>
      <c r="I435" s="14"/>
      <c r="J435" s="14"/>
      <c r="K435" s="14"/>
      <c r="L435" s="14"/>
      <c r="M435" s="14"/>
      <c r="N435" s="14"/>
    </row>
    <row r="436">
      <c r="A436" s="12"/>
      <c r="D436" s="95"/>
      <c r="E436" s="14"/>
      <c r="F436" s="96"/>
      <c r="H436" s="14"/>
      <c r="I436" s="14"/>
      <c r="J436" s="14"/>
      <c r="K436" s="14"/>
      <c r="L436" s="14"/>
      <c r="M436" s="14"/>
      <c r="N436" s="14"/>
    </row>
    <row r="437">
      <c r="A437" s="12"/>
      <c r="D437" s="95"/>
      <c r="E437" s="14"/>
      <c r="F437" s="96"/>
      <c r="H437" s="14"/>
      <c r="I437" s="14"/>
      <c r="J437" s="14"/>
      <c r="K437" s="14"/>
      <c r="L437" s="14"/>
      <c r="M437" s="14"/>
      <c r="N437" s="14"/>
    </row>
    <row r="438">
      <c r="A438" s="12"/>
      <c r="D438" s="95"/>
      <c r="E438" s="14"/>
      <c r="F438" s="96"/>
      <c r="H438" s="14"/>
      <c r="I438" s="14"/>
      <c r="J438" s="14"/>
      <c r="K438" s="14"/>
      <c r="L438" s="14"/>
      <c r="M438" s="14"/>
      <c r="N438" s="14"/>
    </row>
    <row r="439">
      <c r="A439" s="12"/>
      <c r="D439" s="95"/>
      <c r="E439" s="14"/>
      <c r="F439" s="96"/>
      <c r="H439" s="14"/>
      <c r="I439" s="14"/>
      <c r="J439" s="14"/>
      <c r="K439" s="14"/>
      <c r="L439" s="14"/>
      <c r="M439" s="14"/>
      <c r="N439" s="14"/>
    </row>
    <row r="440">
      <c r="A440" s="12"/>
      <c r="D440" s="95"/>
      <c r="E440" s="14"/>
      <c r="F440" s="96"/>
      <c r="H440" s="14"/>
      <c r="I440" s="14"/>
      <c r="J440" s="14"/>
      <c r="K440" s="14"/>
      <c r="L440" s="14"/>
      <c r="M440" s="14"/>
      <c r="N440" s="14"/>
    </row>
    <row r="441">
      <c r="A441" s="12"/>
      <c r="D441" s="95"/>
      <c r="E441" s="14"/>
      <c r="F441" s="96"/>
      <c r="H441" s="14"/>
      <c r="I441" s="14"/>
      <c r="J441" s="14"/>
      <c r="K441" s="14"/>
      <c r="L441" s="14"/>
      <c r="M441" s="14"/>
      <c r="N441" s="14"/>
    </row>
    <row r="442">
      <c r="A442" s="12"/>
      <c r="D442" s="95"/>
      <c r="E442" s="14"/>
      <c r="F442" s="96"/>
      <c r="H442" s="14"/>
      <c r="I442" s="14"/>
      <c r="J442" s="14"/>
      <c r="K442" s="14"/>
      <c r="L442" s="14"/>
      <c r="M442" s="14"/>
      <c r="N442" s="14"/>
    </row>
    <row r="443">
      <c r="A443" s="12"/>
      <c r="D443" s="95"/>
      <c r="E443" s="14"/>
      <c r="F443" s="96"/>
      <c r="H443" s="14"/>
      <c r="I443" s="14"/>
      <c r="J443" s="14"/>
      <c r="K443" s="14"/>
      <c r="L443" s="14"/>
      <c r="M443" s="14"/>
      <c r="N443" s="14"/>
    </row>
    <row r="444">
      <c r="A444" s="12"/>
      <c r="D444" s="95"/>
      <c r="E444" s="14"/>
      <c r="F444" s="96"/>
      <c r="H444" s="14"/>
      <c r="I444" s="14"/>
      <c r="J444" s="14"/>
      <c r="K444" s="14"/>
      <c r="L444" s="14"/>
      <c r="M444" s="14"/>
      <c r="N444" s="14"/>
    </row>
    <row r="445">
      <c r="A445" s="12"/>
      <c r="D445" s="95"/>
      <c r="E445" s="14"/>
      <c r="F445" s="96"/>
      <c r="H445" s="14"/>
      <c r="I445" s="14"/>
      <c r="J445" s="14"/>
      <c r="K445" s="14"/>
      <c r="L445" s="14"/>
      <c r="M445" s="14"/>
      <c r="N445" s="14"/>
    </row>
    <row r="446">
      <c r="A446" s="12"/>
      <c r="D446" s="95"/>
      <c r="E446" s="14"/>
      <c r="F446" s="96"/>
      <c r="H446" s="14"/>
      <c r="I446" s="14"/>
      <c r="J446" s="14"/>
      <c r="K446" s="14"/>
      <c r="L446" s="14"/>
      <c r="M446" s="14"/>
      <c r="N446" s="14"/>
    </row>
    <row r="447">
      <c r="A447" s="12"/>
      <c r="D447" s="95"/>
      <c r="E447" s="14"/>
      <c r="F447" s="96"/>
      <c r="H447" s="14"/>
      <c r="I447" s="14"/>
      <c r="J447" s="14"/>
      <c r="K447" s="14"/>
      <c r="L447" s="14"/>
      <c r="M447" s="14"/>
      <c r="N447" s="14"/>
    </row>
    <row r="448">
      <c r="A448" s="12"/>
      <c r="D448" s="95"/>
      <c r="E448" s="14"/>
      <c r="F448" s="96"/>
      <c r="H448" s="14"/>
      <c r="I448" s="14"/>
      <c r="J448" s="14"/>
      <c r="K448" s="14"/>
      <c r="L448" s="14"/>
      <c r="M448" s="14"/>
      <c r="N448" s="14"/>
    </row>
    <row r="449">
      <c r="A449" s="12"/>
      <c r="D449" s="95"/>
      <c r="E449" s="14"/>
      <c r="F449" s="96"/>
      <c r="H449" s="14"/>
      <c r="I449" s="14"/>
      <c r="J449" s="14"/>
      <c r="K449" s="14"/>
      <c r="L449" s="14"/>
      <c r="M449" s="14"/>
      <c r="N449" s="14"/>
    </row>
    <row r="450">
      <c r="A450" s="12"/>
      <c r="D450" s="95"/>
      <c r="E450" s="14"/>
      <c r="F450" s="96"/>
      <c r="H450" s="14"/>
      <c r="I450" s="14"/>
      <c r="J450" s="14"/>
      <c r="K450" s="14"/>
      <c r="L450" s="14"/>
      <c r="M450" s="14"/>
      <c r="N450" s="14"/>
    </row>
    <row r="451">
      <c r="A451" s="12"/>
      <c r="D451" s="95"/>
      <c r="E451" s="14"/>
      <c r="F451" s="96"/>
      <c r="H451" s="14"/>
      <c r="I451" s="14"/>
      <c r="J451" s="14"/>
      <c r="K451" s="14"/>
      <c r="L451" s="14"/>
      <c r="M451" s="14"/>
      <c r="N451" s="14"/>
    </row>
    <row r="452">
      <c r="A452" s="12"/>
      <c r="D452" s="95"/>
      <c r="E452" s="14"/>
      <c r="F452" s="96"/>
      <c r="H452" s="14"/>
      <c r="I452" s="14"/>
      <c r="J452" s="14"/>
      <c r="K452" s="14"/>
      <c r="L452" s="14"/>
      <c r="M452" s="14"/>
      <c r="N452" s="14"/>
    </row>
    <row r="453">
      <c r="A453" s="12"/>
      <c r="D453" s="95"/>
      <c r="E453" s="14"/>
      <c r="F453" s="96"/>
      <c r="H453" s="14"/>
      <c r="I453" s="14"/>
      <c r="J453" s="14"/>
      <c r="K453" s="14"/>
      <c r="L453" s="14"/>
      <c r="M453" s="14"/>
      <c r="N453" s="14"/>
    </row>
    <row r="454">
      <c r="A454" s="12"/>
      <c r="D454" s="95"/>
      <c r="E454" s="14"/>
      <c r="F454" s="96"/>
      <c r="H454" s="14"/>
      <c r="I454" s="14"/>
      <c r="J454" s="14"/>
      <c r="K454" s="14"/>
      <c r="L454" s="14"/>
      <c r="M454" s="14"/>
      <c r="N454" s="14"/>
    </row>
    <row r="455">
      <c r="A455" s="12"/>
      <c r="D455" s="95"/>
      <c r="E455" s="14"/>
      <c r="F455" s="96"/>
      <c r="H455" s="14"/>
      <c r="I455" s="14"/>
      <c r="J455" s="14"/>
      <c r="K455" s="14"/>
      <c r="L455" s="14"/>
      <c r="M455" s="14"/>
      <c r="N455" s="14"/>
    </row>
    <row r="456">
      <c r="A456" s="12"/>
      <c r="D456" s="95"/>
      <c r="E456" s="14"/>
      <c r="F456" s="96"/>
      <c r="H456" s="14"/>
      <c r="I456" s="14"/>
      <c r="J456" s="14"/>
      <c r="K456" s="14"/>
      <c r="L456" s="14"/>
      <c r="M456" s="14"/>
      <c r="N456" s="14"/>
    </row>
    <row r="457">
      <c r="A457" s="12"/>
      <c r="D457" s="95"/>
      <c r="E457" s="14"/>
      <c r="F457" s="96"/>
      <c r="H457" s="14"/>
      <c r="I457" s="14"/>
      <c r="J457" s="14"/>
      <c r="K457" s="14"/>
      <c r="L457" s="14"/>
      <c r="M457" s="14"/>
      <c r="N457" s="14"/>
    </row>
    <row r="458">
      <c r="A458" s="12"/>
      <c r="D458" s="95"/>
      <c r="E458" s="14"/>
      <c r="F458" s="96"/>
      <c r="H458" s="14"/>
      <c r="I458" s="14"/>
      <c r="J458" s="14"/>
      <c r="K458" s="14"/>
      <c r="L458" s="14"/>
      <c r="M458" s="14"/>
      <c r="N458" s="14"/>
    </row>
    <row r="459">
      <c r="A459" s="12"/>
      <c r="D459" s="95"/>
      <c r="E459" s="14"/>
      <c r="F459" s="96"/>
      <c r="H459" s="14"/>
      <c r="I459" s="14"/>
      <c r="J459" s="14"/>
      <c r="K459" s="14"/>
      <c r="L459" s="14"/>
      <c r="M459" s="14"/>
      <c r="N459" s="14"/>
    </row>
    <row r="460">
      <c r="A460" s="12"/>
      <c r="D460" s="95"/>
      <c r="E460" s="14"/>
      <c r="F460" s="96"/>
      <c r="H460" s="14"/>
      <c r="I460" s="14"/>
      <c r="J460" s="14"/>
      <c r="K460" s="14"/>
      <c r="L460" s="14"/>
      <c r="M460" s="14"/>
      <c r="N460" s="14"/>
    </row>
    <row r="461">
      <c r="A461" s="12"/>
      <c r="D461" s="95"/>
      <c r="E461" s="14"/>
      <c r="F461" s="96"/>
      <c r="H461" s="14"/>
      <c r="I461" s="14"/>
      <c r="J461" s="14"/>
      <c r="K461" s="14"/>
      <c r="L461" s="14"/>
      <c r="M461" s="14"/>
      <c r="N461" s="14"/>
    </row>
    <row r="462">
      <c r="A462" s="12"/>
      <c r="D462" s="95"/>
      <c r="E462" s="14"/>
      <c r="F462" s="96"/>
      <c r="H462" s="14"/>
      <c r="I462" s="14"/>
      <c r="J462" s="14"/>
      <c r="K462" s="14"/>
      <c r="L462" s="14"/>
      <c r="M462" s="14"/>
      <c r="N462" s="14"/>
    </row>
    <row r="463">
      <c r="A463" s="12"/>
      <c r="D463" s="95"/>
      <c r="E463" s="14"/>
      <c r="F463" s="96"/>
      <c r="H463" s="14"/>
      <c r="I463" s="14"/>
      <c r="J463" s="14"/>
      <c r="K463" s="14"/>
      <c r="L463" s="14"/>
      <c r="M463" s="14"/>
      <c r="N463" s="14"/>
    </row>
    <row r="464">
      <c r="A464" s="12"/>
      <c r="D464" s="95"/>
      <c r="E464" s="14"/>
      <c r="F464" s="96"/>
      <c r="H464" s="14"/>
      <c r="I464" s="14"/>
      <c r="J464" s="14"/>
      <c r="K464" s="14"/>
      <c r="L464" s="14"/>
      <c r="M464" s="14"/>
      <c r="N464" s="14"/>
    </row>
    <row r="465">
      <c r="A465" s="12"/>
      <c r="D465" s="95"/>
      <c r="E465" s="14"/>
      <c r="F465" s="96"/>
      <c r="H465" s="14"/>
      <c r="I465" s="14"/>
      <c r="J465" s="14"/>
      <c r="K465" s="14"/>
      <c r="L465" s="14"/>
      <c r="M465" s="14"/>
      <c r="N465" s="14"/>
    </row>
    <row r="466">
      <c r="A466" s="12"/>
      <c r="D466" s="95"/>
      <c r="E466" s="14"/>
      <c r="F466" s="96"/>
      <c r="H466" s="14"/>
      <c r="I466" s="14"/>
      <c r="J466" s="14"/>
      <c r="K466" s="14"/>
      <c r="L466" s="14"/>
      <c r="M466" s="14"/>
      <c r="N466" s="14"/>
    </row>
    <row r="467">
      <c r="A467" s="12"/>
      <c r="D467" s="95"/>
      <c r="E467" s="14"/>
      <c r="F467" s="96"/>
      <c r="H467" s="14"/>
      <c r="I467" s="14"/>
      <c r="J467" s="14"/>
      <c r="K467" s="14"/>
      <c r="L467" s="14"/>
      <c r="M467" s="14"/>
      <c r="N467" s="14"/>
    </row>
    <row r="468">
      <c r="A468" s="12"/>
      <c r="D468" s="95"/>
      <c r="E468" s="14"/>
      <c r="F468" s="96"/>
      <c r="H468" s="14"/>
      <c r="I468" s="14"/>
      <c r="J468" s="14"/>
      <c r="K468" s="14"/>
      <c r="L468" s="14"/>
      <c r="M468" s="14"/>
      <c r="N468" s="14"/>
    </row>
    <row r="469">
      <c r="A469" s="12"/>
      <c r="D469" s="95"/>
      <c r="E469" s="14"/>
      <c r="F469" s="96"/>
      <c r="H469" s="14"/>
      <c r="I469" s="14"/>
      <c r="J469" s="14"/>
      <c r="K469" s="14"/>
      <c r="L469" s="14"/>
      <c r="M469" s="14"/>
      <c r="N469" s="14"/>
    </row>
    <row r="470">
      <c r="A470" s="12"/>
      <c r="D470" s="95"/>
      <c r="E470" s="14"/>
      <c r="F470" s="96"/>
      <c r="H470" s="14"/>
      <c r="I470" s="14"/>
      <c r="J470" s="14"/>
      <c r="K470" s="14"/>
      <c r="L470" s="14"/>
      <c r="M470" s="14"/>
      <c r="N470" s="14"/>
    </row>
    <row r="471">
      <c r="A471" s="12"/>
      <c r="D471" s="95"/>
      <c r="E471" s="14"/>
      <c r="F471" s="96"/>
      <c r="H471" s="14"/>
      <c r="I471" s="14"/>
      <c r="J471" s="14"/>
      <c r="K471" s="14"/>
      <c r="L471" s="14"/>
      <c r="M471" s="14"/>
      <c r="N471" s="14"/>
    </row>
    <row r="472">
      <c r="A472" s="12"/>
      <c r="D472" s="95"/>
      <c r="E472" s="14"/>
      <c r="F472" s="96"/>
      <c r="H472" s="14"/>
      <c r="I472" s="14"/>
      <c r="J472" s="14"/>
      <c r="K472" s="14"/>
      <c r="L472" s="14"/>
      <c r="M472" s="14"/>
      <c r="N472" s="14"/>
    </row>
    <row r="473">
      <c r="A473" s="12"/>
      <c r="D473" s="95"/>
      <c r="E473" s="14"/>
      <c r="F473" s="96"/>
      <c r="H473" s="14"/>
      <c r="I473" s="14"/>
      <c r="J473" s="14"/>
      <c r="K473" s="14"/>
      <c r="L473" s="14"/>
      <c r="M473" s="14"/>
      <c r="N473" s="14"/>
    </row>
    <row r="474">
      <c r="A474" s="12"/>
      <c r="D474" s="95"/>
      <c r="E474" s="14"/>
      <c r="F474" s="96"/>
      <c r="H474" s="14"/>
      <c r="I474" s="14"/>
      <c r="J474" s="14"/>
      <c r="K474" s="14"/>
      <c r="L474" s="14"/>
      <c r="M474" s="14"/>
      <c r="N474" s="14"/>
    </row>
    <row r="475">
      <c r="A475" s="12"/>
      <c r="D475" s="95"/>
      <c r="E475" s="14"/>
      <c r="F475" s="96"/>
      <c r="H475" s="14"/>
      <c r="I475" s="14"/>
      <c r="J475" s="14"/>
      <c r="K475" s="14"/>
      <c r="L475" s="14"/>
      <c r="M475" s="14"/>
      <c r="N475" s="14"/>
    </row>
    <row r="476">
      <c r="A476" s="12"/>
      <c r="D476" s="95"/>
      <c r="E476" s="14"/>
      <c r="F476" s="96"/>
      <c r="H476" s="14"/>
      <c r="I476" s="14"/>
      <c r="J476" s="14"/>
      <c r="K476" s="14"/>
      <c r="L476" s="14"/>
      <c r="M476" s="14"/>
      <c r="N476" s="14"/>
    </row>
    <row r="477">
      <c r="A477" s="12"/>
      <c r="D477" s="95"/>
      <c r="E477" s="14"/>
      <c r="F477" s="96"/>
      <c r="H477" s="14"/>
      <c r="I477" s="14"/>
      <c r="J477" s="14"/>
      <c r="K477" s="14"/>
      <c r="L477" s="14"/>
      <c r="M477" s="14"/>
      <c r="N477" s="14"/>
    </row>
    <row r="478">
      <c r="A478" s="12"/>
      <c r="D478" s="95"/>
      <c r="E478" s="14"/>
      <c r="F478" s="96"/>
      <c r="H478" s="14"/>
      <c r="I478" s="14"/>
      <c r="J478" s="14"/>
      <c r="K478" s="14"/>
      <c r="L478" s="14"/>
      <c r="M478" s="14"/>
      <c r="N478" s="14"/>
    </row>
    <row r="479">
      <c r="A479" s="12"/>
      <c r="D479" s="95"/>
      <c r="E479" s="14"/>
      <c r="F479" s="96"/>
      <c r="H479" s="14"/>
      <c r="I479" s="14"/>
      <c r="J479" s="14"/>
      <c r="K479" s="14"/>
      <c r="L479" s="14"/>
      <c r="M479" s="14"/>
      <c r="N479" s="14"/>
    </row>
    <row r="480">
      <c r="A480" s="12"/>
      <c r="D480" s="95"/>
      <c r="E480" s="14"/>
      <c r="F480" s="96"/>
      <c r="H480" s="14"/>
      <c r="I480" s="14"/>
      <c r="J480" s="14"/>
      <c r="K480" s="14"/>
      <c r="L480" s="14"/>
      <c r="M480" s="14"/>
      <c r="N480" s="14"/>
    </row>
    <row r="481">
      <c r="A481" s="12"/>
      <c r="D481" s="95"/>
      <c r="E481" s="14"/>
      <c r="F481" s="96"/>
      <c r="H481" s="14"/>
      <c r="I481" s="14"/>
      <c r="J481" s="14"/>
      <c r="K481" s="14"/>
      <c r="L481" s="14"/>
      <c r="M481" s="14"/>
      <c r="N481" s="14"/>
    </row>
    <row r="482">
      <c r="A482" s="12"/>
      <c r="D482" s="95"/>
      <c r="E482" s="14"/>
      <c r="F482" s="96"/>
      <c r="H482" s="14"/>
      <c r="I482" s="14"/>
      <c r="J482" s="14"/>
      <c r="K482" s="14"/>
      <c r="L482" s="14"/>
      <c r="M482" s="14"/>
      <c r="N482" s="14"/>
    </row>
    <row r="483">
      <c r="A483" s="12"/>
      <c r="D483" s="95"/>
      <c r="E483" s="14"/>
      <c r="F483" s="96"/>
      <c r="H483" s="14"/>
      <c r="I483" s="14"/>
      <c r="J483" s="14"/>
      <c r="K483" s="14"/>
      <c r="L483" s="14"/>
      <c r="M483" s="14"/>
      <c r="N483" s="14"/>
    </row>
    <row r="484">
      <c r="A484" s="12"/>
      <c r="D484" s="95"/>
      <c r="E484" s="14"/>
      <c r="F484" s="96"/>
      <c r="H484" s="14"/>
      <c r="I484" s="14"/>
      <c r="J484" s="14"/>
      <c r="K484" s="14"/>
      <c r="L484" s="14"/>
      <c r="M484" s="14"/>
      <c r="N484" s="14"/>
    </row>
    <row r="485">
      <c r="A485" s="12"/>
      <c r="D485" s="95"/>
      <c r="E485" s="14"/>
      <c r="F485" s="96"/>
      <c r="H485" s="14"/>
      <c r="I485" s="14"/>
      <c r="J485" s="14"/>
      <c r="K485" s="14"/>
      <c r="L485" s="14"/>
      <c r="M485" s="14"/>
      <c r="N485" s="14"/>
    </row>
    <row r="486">
      <c r="A486" s="12"/>
      <c r="D486" s="95"/>
      <c r="E486" s="14"/>
      <c r="F486" s="96"/>
      <c r="H486" s="14"/>
      <c r="I486" s="14"/>
      <c r="J486" s="14"/>
      <c r="K486" s="14"/>
      <c r="L486" s="14"/>
      <c r="M486" s="14"/>
      <c r="N486" s="14"/>
    </row>
    <row r="487">
      <c r="A487" s="12"/>
      <c r="D487" s="95"/>
      <c r="E487" s="14"/>
      <c r="F487" s="96"/>
      <c r="H487" s="14"/>
      <c r="I487" s="14"/>
      <c r="J487" s="14"/>
      <c r="K487" s="14"/>
      <c r="L487" s="14"/>
      <c r="M487" s="14"/>
      <c r="N487" s="14"/>
    </row>
    <row r="488">
      <c r="A488" s="12"/>
      <c r="D488" s="95"/>
      <c r="E488" s="14"/>
      <c r="F488" s="96"/>
      <c r="H488" s="14"/>
      <c r="I488" s="14"/>
      <c r="J488" s="14"/>
      <c r="K488" s="14"/>
      <c r="L488" s="14"/>
      <c r="M488" s="14"/>
      <c r="N488" s="14"/>
    </row>
    <row r="489">
      <c r="A489" s="12"/>
      <c r="D489" s="95"/>
      <c r="E489" s="14"/>
      <c r="F489" s="96"/>
      <c r="H489" s="14"/>
      <c r="I489" s="14"/>
      <c r="J489" s="14"/>
      <c r="K489" s="14"/>
      <c r="L489" s="14"/>
      <c r="M489" s="14"/>
      <c r="N489" s="14"/>
    </row>
    <row r="490">
      <c r="A490" s="12"/>
      <c r="D490" s="95"/>
      <c r="E490" s="14"/>
      <c r="F490" s="96"/>
      <c r="H490" s="14"/>
      <c r="I490" s="14"/>
      <c r="J490" s="14"/>
      <c r="K490" s="14"/>
      <c r="L490" s="14"/>
      <c r="M490" s="14"/>
      <c r="N490" s="14"/>
    </row>
    <row r="491">
      <c r="A491" s="12"/>
      <c r="D491" s="95"/>
      <c r="E491" s="14"/>
      <c r="F491" s="96"/>
      <c r="H491" s="14"/>
      <c r="I491" s="14"/>
      <c r="J491" s="14"/>
      <c r="K491" s="14"/>
      <c r="L491" s="14"/>
      <c r="M491" s="14"/>
      <c r="N491" s="14"/>
    </row>
    <row r="492">
      <c r="A492" s="12"/>
      <c r="D492" s="95"/>
      <c r="E492" s="14"/>
      <c r="F492" s="96"/>
      <c r="H492" s="14"/>
      <c r="I492" s="14"/>
      <c r="J492" s="14"/>
      <c r="K492" s="14"/>
      <c r="L492" s="14"/>
      <c r="M492" s="14"/>
      <c r="N492" s="14"/>
    </row>
    <row r="493">
      <c r="A493" s="12"/>
      <c r="D493" s="95"/>
      <c r="E493" s="14"/>
      <c r="F493" s="96"/>
      <c r="H493" s="14"/>
      <c r="I493" s="14"/>
      <c r="J493" s="14"/>
      <c r="K493" s="14"/>
      <c r="L493" s="14"/>
      <c r="M493" s="14"/>
      <c r="N493" s="14"/>
    </row>
    <row r="494">
      <c r="A494" s="12"/>
      <c r="D494" s="95"/>
      <c r="E494" s="14"/>
      <c r="F494" s="96"/>
      <c r="H494" s="14"/>
      <c r="I494" s="14"/>
      <c r="J494" s="14"/>
      <c r="K494" s="14"/>
      <c r="L494" s="14"/>
      <c r="M494" s="14"/>
      <c r="N494" s="14"/>
    </row>
    <row r="495">
      <c r="A495" s="12"/>
      <c r="D495" s="95"/>
      <c r="E495" s="14"/>
      <c r="F495" s="96"/>
      <c r="H495" s="14"/>
      <c r="I495" s="14"/>
      <c r="J495" s="14"/>
      <c r="K495" s="14"/>
      <c r="L495" s="14"/>
      <c r="M495" s="14"/>
      <c r="N495" s="14"/>
    </row>
    <row r="496">
      <c r="A496" s="12"/>
      <c r="D496" s="95"/>
      <c r="E496" s="14"/>
      <c r="F496" s="96"/>
      <c r="H496" s="14"/>
      <c r="I496" s="14"/>
      <c r="J496" s="14"/>
      <c r="K496" s="14"/>
      <c r="L496" s="14"/>
      <c r="M496" s="14"/>
      <c r="N496" s="14"/>
    </row>
    <row r="497">
      <c r="A497" s="12"/>
      <c r="D497" s="95"/>
      <c r="E497" s="14"/>
      <c r="F497" s="96"/>
      <c r="H497" s="14"/>
      <c r="I497" s="14"/>
      <c r="J497" s="14"/>
      <c r="K497" s="14"/>
      <c r="L497" s="14"/>
      <c r="M497" s="14"/>
      <c r="N497" s="14"/>
    </row>
    <row r="498">
      <c r="A498" s="12"/>
      <c r="D498" s="95"/>
      <c r="E498" s="14"/>
      <c r="F498" s="96"/>
      <c r="H498" s="14"/>
      <c r="I498" s="14"/>
      <c r="J498" s="14"/>
      <c r="K498" s="14"/>
      <c r="L498" s="14"/>
      <c r="M498" s="14"/>
      <c r="N498" s="14"/>
    </row>
    <row r="499">
      <c r="A499" s="12"/>
      <c r="D499" s="95"/>
      <c r="E499" s="14"/>
      <c r="F499" s="96"/>
      <c r="H499" s="14"/>
      <c r="I499" s="14"/>
      <c r="J499" s="14"/>
      <c r="K499" s="14"/>
      <c r="L499" s="14"/>
      <c r="M499" s="14"/>
      <c r="N499" s="14"/>
    </row>
    <row r="500">
      <c r="A500" s="12"/>
      <c r="D500" s="95"/>
      <c r="E500" s="14"/>
      <c r="F500" s="96"/>
      <c r="H500" s="14"/>
      <c r="I500" s="14"/>
      <c r="J500" s="14"/>
      <c r="K500" s="14"/>
      <c r="L500" s="14"/>
      <c r="M500" s="14"/>
      <c r="N500" s="14"/>
    </row>
    <row r="501">
      <c r="A501" s="12"/>
      <c r="D501" s="95"/>
      <c r="E501" s="14"/>
      <c r="F501" s="96"/>
      <c r="H501" s="14"/>
      <c r="I501" s="14"/>
      <c r="J501" s="14"/>
      <c r="K501" s="14"/>
      <c r="L501" s="14"/>
      <c r="M501" s="14"/>
      <c r="N501" s="14"/>
    </row>
    <row r="502">
      <c r="A502" s="12"/>
      <c r="D502" s="95"/>
      <c r="E502" s="14"/>
      <c r="F502" s="96"/>
      <c r="H502" s="14"/>
      <c r="I502" s="14"/>
      <c r="J502" s="14"/>
      <c r="K502" s="14"/>
      <c r="L502" s="14"/>
      <c r="M502" s="14"/>
      <c r="N502" s="14"/>
    </row>
    <row r="503">
      <c r="A503" s="12"/>
      <c r="D503" s="95"/>
      <c r="E503" s="14"/>
      <c r="F503" s="96"/>
      <c r="H503" s="14"/>
      <c r="I503" s="14"/>
      <c r="J503" s="14"/>
      <c r="K503" s="14"/>
      <c r="L503" s="14"/>
      <c r="M503" s="14"/>
      <c r="N503" s="14"/>
    </row>
    <row r="504">
      <c r="A504" s="12"/>
      <c r="D504" s="95"/>
      <c r="E504" s="14"/>
      <c r="F504" s="96"/>
      <c r="H504" s="14"/>
      <c r="I504" s="14"/>
      <c r="J504" s="14"/>
      <c r="K504" s="14"/>
      <c r="L504" s="14"/>
      <c r="M504" s="14"/>
      <c r="N504" s="14"/>
    </row>
    <row r="505">
      <c r="A505" s="12"/>
      <c r="D505" s="95"/>
      <c r="E505" s="14"/>
      <c r="F505" s="96"/>
      <c r="H505" s="14"/>
      <c r="I505" s="14"/>
      <c r="J505" s="14"/>
      <c r="K505" s="14"/>
      <c r="L505" s="14"/>
      <c r="M505" s="14"/>
      <c r="N505" s="14"/>
    </row>
    <row r="506">
      <c r="A506" s="12"/>
      <c r="D506" s="95"/>
      <c r="E506" s="14"/>
      <c r="F506" s="96"/>
      <c r="H506" s="14"/>
      <c r="I506" s="14"/>
      <c r="J506" s="14"/>
      <c r="K506" s="14"/>
      <c r="L506" s="14"/>
      <c r="M506" s="14"/>
      <c r="N506" s="14"/>
    </row>
    <row r="507">
      <c r="A507" s="12"/>
      <c r="D507" s="95"/>
      <c r="E507" s="14"/>
      <c r="F507" s="96"/>
      <c r="H507" s="14"/>
      <c r="I507" s="14"/>
      <c r="J507" s="14"/>
      <c r="K507" s="14"/>
      <c r="L507" s="14"/>
      <c r="M507" s="14"/>
      <c r="N507" s="14"/>
    </row>
    <row r="508">
      <c r="A508" s="12"/>
      <c r="D508" s="95"/>
      <c r="E508" s="14"/>
      <c r="F508" s="96"/>
      <c r="H508" s="14"/>
      <c r="I508" s="14"/>
      <c r="J508" s="14"/>
      <c r="K508" s="14"/>
      <c r="L508" s="14"/>
      <c r="M508" s="14"/>
      <c r="N508" s="14"/>
    </row>
    <row r="509">
      <c r="A509" s="12"/>
      <c r="D509" s="95"/>
      <c r="E509" s="14"/>
      <c r="F509" s="96"/>
      <c r="H509" s="14"/>
      <c r="I509" s="14"/>
      <c r="J509" s="14"/>
      <c r="K509" s="14"/>
      <c r="L509" s="14"/>
      <c r="M509" s="14"/>
      <c r="N509" s="14"/>
    </row>
    <row r="510">
      <c r="A510" s="12"/>
      <c r="D510" s="95"/>
      <c r="E510" s="14"/>
      <c r="F510" s="96"/>
      <c r="H510" s="14"/>
      <c r="I510" s="14"/>
      <c r="J510" s="14"/>
      <c r="K510" s="14"/>
      <c r="L510" s="14"/>
      <c r="M510" s="14"/>
      <c r="N510" s="14"/>
    </row>
    <row r="511">
      <c r="A511" s="12"/>
      <c r="D511" s="95"/>
      <c r="E511" s="14"/>
      <c r="F511" s="96"/>
      <c r="H511" s="14"/>
      <c r="I511" s="14"/>
      <c r="J511" s="14"/>
      <c r="K511" s="14"/>
      <c r="L511" s="14"/>
      <c r="M511" s="14"/>
      <c r="N511" s="14"/>
    </row>
    <row r="512">
      <c r="A512" s="12"/>
      <c r="D512" s="95"/>
      <c r="E512" s="14"/>
      <c r="F512" s="96"/>
      <c r="H512" s="14"/>
      <c r="I512" s="14"/>
      <c r="J512" s="14"/>
      <c r="K512" s="14"/>
      <c r="L512" s="14"/>
      <c r="M512" s="14"/>
      <c r="N512" s="14"/>
    </row>
    <row r="513">
      <c r="A513" s="12"/>
      <c r="D513" s="95"/>
      <c r="E513" s="14"/>
      <c r="F513" s="96"/>
      <c r="H513" s="14"/>
      <c r="I513" s="14"/>
      <c r="J513" s="14"/>
      <c r="K513" s="14"/>
      <c r="L513" s="14"/>
      <c r="M513" s="14"/>
      <c r="N513" s="14"/>
    </row>
    <row r="514">
      <c r="A514" s="12"/>
      <c r="D514" s="95"/>
      <c r="E514" s="14"/>
      <c r="F514" s="96"/>
      <c r="H514" s="14"/>
      <c r="I514" s="14"/>
      <c r="J514" s="14"/>
      <c r="K514" s="14"/>
      <c r="L514" s="14"/>
      <c r="M514" s="14"/>
      <c r="N514" s="14"/>
    </row>
    <row r="515">
      <c r="A515" s="12"/>
      <c r="D515" s="95"/>
      <c r="E515" s="14"/>
      <c r="F515" s="96"/>
      <c r="H515" s="14"/>
      <c r="I515" s="14"/>
      <c r="J515" s="14"/>
      <c r="K515" s="14"/>
      <c r="L515" s="14"/>
      <c r="M515" s="14"/>
      <c r="N515" s="14"/>
    </row>
    <row r="516">
      <c r="A516" s="12"/>
      <c r="D516" s="95"/>
      <c r="E516" s="14"/>
      <c r="F516" s="96"/>
      <c r="H516" s="14"/>
      <c r="I516" s="14"/>
      <c r="J516" s="14"/>
      <c r="K516" s="14"/>
      <c r="L516" s="14"/>
      <c r="M516" s="14"/>
      <c r="N516" s="14"/>
    </row>
    <row r="517">
      <c r="A517" s="12"/>
      <c r="D517" s="95"/>
      <c r="E517" s="14"/>
      <c r="F517" s="96"/>
      <c r="H517" s="14"/>
      <c r="I517" s="14"/>
      <c r="J517" s="14"/>
      <c r="K517" s="14"/>
      <c r="L517" s="14"/>
      <c r="M517" s="14"/>
      <c r="N517" s="14"/>
    </row>
    <row r="518">
      <c r="A518" s="12"/>
      <c r="D518" s="95"/>
      <c r="E518" s="14"/>
      <c r="F518" s="96"/>
      <c r="H518" s="14"/>
      <c r="I518" s="14"/>
      <c r="J518" s="14"/>
      <c r="K518" s="14"/>
      <c r="L518" s="14"/>
      <c r="M518" s="14"/>
      <c r="N518" s="14"/>
    </row>
    <row r="519">
      <c r="A519" s="12"/>
      <c r="D519" s="95"/>
      <c r="E519" s="14"/>
      <c r="F519" s="96"/>
      <c r="H519" s="14"/>
      <c r="I519" s="14"/>
      <c r="J519" s="14"/>
      <c r="K519" s="14"/>
      <c r="L519" s="14"/>
      <c r="M519" s="14"/>
      <c r="N519" s="14"/>
    </row>
    <row r="520">
      <c r="A520" s="12"/>
      <c r="D520" s="95"/>
      <c r="E520" s="14"/>
      <c r="F520" s="96"/>
      <c r="H520" s="14"/>
      <c r="I520" s="14"/>
      <c r="J520" s="14"/>
      <c r="K520" s="14"/>
      <c r="L520" s="14"/>
      <c r="M520" s="14"/>
      <c r="N520" s="14"/>
    </row>
    <row r="521">
      <c r="A521" s="12"/>
      <c r="D521" s="95"/>
      <c r="E521" s="14"/>
      <c r="F521" s="96"/>
      <c r="H521" s="14"/>
      <c r="I521" s="14"/>
      <c r="J521" s="14"/>
      <c r="K521" s="14"/>
      <c r="L521" s="14"/>
      <c r="M521" s="14"/>
      <c r="N521" s="14"/>
    </row>
    <row r="522">
      <c r="A522" s="12"/>
      <c r="D522" s="95"/>
      <c r="E522" s="14"/>
      <c r="F522" s="96"/>
      <c r="H522" s="14"/>
      <c r="I522" s="14"/>
      <c r="J522" s="14"/>
      <c r="K522" s="14"/>
      <c r="L522" s="14"/>
      <c r="M522" s="14"/>
      <c r="N522" s="14"/>
    </row>
    <row r="523">
      <c r="A523" s="12"/>
      <c r="D523" s="95"/>
      <c r="E523" s="14"/>
      <c r="F523" s="96"/>
      <c r="H523" s="14"/>
      <c r="I523" s="14"/>
      <c r="J523" s="14"/>
      <c r="K523" s="14"/>
      <c r="L523" s="14"/>
      <c r="M523" s="14"/>
      <c r="N523" s="14"/>
    </row>
    <row r="524">
      <c r="A524" s="12"/>
      <c r="D524" s="95"/>
      <c r="E524" s="14"/>
      <c r="F524" s="96"/>
      <c r="H524" s="14"/>
      <c r="I524" s="14"/>
      <c r="J524" s="14"/>
      <c r="K524" s="14"/>
      <c r="L524" s="14"/>
      <c r="M524" s="14"/>
      <c r="N524" s="14"/>
    </row>
    <row r="525">
      <c r="A525" s="12"/>
      <c r="D525" s="95"/>
      <c r="E525" s="14"/>
      <c r="F525" s="96"/>
      <c r="H525" s="14"/>
      <c r="I525" s="14"/>
      <c r="J525" s="14"/>
      <c r="K525" s="14"/>
      <c r="L525" s="14"/>
      <c r="M525" s="14"/>
      <c r="N525" s="14"/>
    </row>
    <row r="526">
      <c r="A526" s="12"/>
      <c r="D526" s="95"/>
      <c r="E526" s="14"/>
      <c r="F526" s="96"/>
      <c r="H526" s="14"/>
      <c r="I526" s="14"/>
      <c r="J526" s="14"/>
      <c r="K526" s="14"/>
      <c r="L526" s="14"/>
      <c r="M526" s="14"/>
      <c r="N526" s="14"/>
    </row>
    <row r="527">
      <c r="A527" s="12"/>
      <c r="D527" s="95"/>
      <c r="E527" s="14"/>
      <c r="F527" s="96"/>
      <c r="H527" s="14"/>
      <c r="I527" s="14"/>
      <c r="J527" s="14"/>
      <c r="K527" s="14"/>
      <c r="L527" s="14"/>
      <c r="M527" s="14"/>
      <c r="N527" s="14"/>
    </row>
    <row r="528">
      <c r="A528" s="12"/>
      <c r="D528" s="95"/>
      <c r="E528" s="14"/>
      <c r="F528" s="96"/>
      <c r="H528" s="14"/>
      <c r="I528" s="14"/>
      <c r="J528" s="14"/>
      <c r="K528" s="14"/>
      <c r="L528" s="14"/>
      <c r="M528" s="14"/>
      <c r="N528" s="14"/>
    </row>
    <row r="529">
      <c r="A529" s="12"/>
      <c r="D529" s="95"/>
      <c r="E529" s="14"/>
      <c r="F529" s="96"/>
      <c r="H529" s="14"/>
      <c r="I529" s="14"/>
      <c r="J529" s="14"/>
      <c r="K529" s="14"/>
      <c r="L529" s="14"/>
      <c r="M529" s="14"/>
      <c r="N529" s="14"/>
    </row>
    <row r="530">
      <c r="A530" s="12"/>
      <c r="D530" s="95"/>
      <c r="E530" s="14"/>
      <c r="F530" s="96"/>
      <c r="H530" s="14"/>
      <c r="I530" s="14"/>
      <c r="J530" s="14"/>
      <c r="K530" s="14"/>
      <c r="L530" s="14"/>
      <c r="M530" s="14"/>
      <c r="N530" s="14"/>
    </row>
    <row r="531">
      <c r="A531" s="12"/>
      <c r="D531" s="95"/>
      <c r="E531" s="14"/>
      <c r="F531" s="96"/>
      <c r="H531" s="14"/>
      <c r="I531" s="14"/>
      <c r="J531" s="14"/>
      <c r="K531" s="14"/>
      <c r="L531" s="14"/>
      <c r="M531" s="14"/>
      <c r="N531" s="14"/>
    </row>
    <row r="532">
      <c r="A532" s="12"/>
      <c r="D532" s="95"/>
      <c r="E532" s="14"/>
      <c r="F532" s="96"/>
      <c r="H532" s="14"/>
      <c r="I532" s="14"/>
      <c r="J532" s="14"/>
      <c r="K532" s="14"/>
      <c r="L532" s="14"/>
      <c r="M532" s="14"/>
      <c r="N532" s="14"/>
    </row>
    <row r="533">
      <c r="A533" s="12"/>
      <c r="D533" s="95"/>
      <c r="E533" s="14"/>
      <c r="F533" s="96"/>
      <c r="H533" s="14"/>
      <c r="I533" s="14"/>
      <c r="J533" s="14"/>
      <c r="K533" s="14"/>
      <c r="L533" s="14"/>
      <c r="M533" s="14"/>
      <c r="N533" s="14"/>
    </row>
    <row r="534">
      <c r="A534" s="12"/>
      <c r="D534" s="95"/>
      <c r="E534" s="14"/>
      <c r="F534" s="96"/>
      <c r="H534" s="14"/>
      <c r="I534" s="14"/>
      <c r="J534" s="14"/>
      <c r="K534" s="14"/>
      <c r="L534" s="14"/>
      <c r="M534" s="14"/>
      <c r="N534" s="14"/>
    </row>
    <row r="535">
      <c r="A535" s="12"/>
      <c r="D535" s="95"/>
      <c r="E535" s="14"/>
      <c r="F535" s="96"/>
      <c r="H535" s="14"/>
      <c r="I535" s="14"/>
      <c r="J535" s="14"/>
      <c r="K535" s="14"/>
      <c r="L535" s="14"/>
      <c r="M535" s="14"/>
      <c r="N535" s="14"/>
    </row>
    <row r="536">
      <c r="A536" s="12"/>
      <c r="D536" s="95"/>
      <c r="E536" s="14"/>
      <c r="F536" s="96"/>
      <c r="H536" s="14"/>
      <c r="I536" s="14"/>
      <c r="J536" s="14"/>
      <c r="K536" s="14"/>
      <c r="L536" s="14"/>
      <c r="M536" s="14"/>
      <c r="N536" s="14"/>
    </row>
    <row r="537">
      <c r="A537" s="12"/>
      <c r="D537" s="95"/>
      <c r="E537" s="14"/>
      <c r="F537" s="96"/>
      <c r="H537" s="14"/>
      <c r="I537" s="14"/>
      <c r="J537" s="14"/>
      <c r="K537" s="14"/>
      <c r="L537" s="14"/>
      <c r="M537" s="14"/>
      <c r="N537" s="14"/>
    </row>
    <row r="538">
      <c r="A538" s="12"/>
      <c r="D538" s="95"/>
      <c r="E538" s="14"/>
      <c r="F538" s="96"/>
      <c r="H538" s="14"/>
      <c r="I538" s="14"/>
      <c r="J538" s="14"/>
      <c r="K538" s="14"/>
      <c r="L538" s="14"/>
      <c r="M538" s="14"/>
      <c r="N538" s="14"/>
    </row>
    <row r="539">
      <c r="A539" s="12"/>
      <c r="D539" s="95"/>
      <c r="E539" s="14"/>
      <c r="F539" s="96"/>
      <c r="H539" s="14"/>
      <c r="I539" s="14"/>
      <c r="J539" s="14"/>
      <c r="K539" s="14"/>
      <c r="L539" s="14"/>
      <c r="M539" s="14"/>
      <c r="N539" s="14"/>
    </row>
    <row r="540">
      <c r="A540" s="12"/>
      <c r="D540" s="95"/>
      <c r="E540" s="14"/>
      <c r="F540" s="96"/>
      <c r="H540" s="14"/>
      <c r="I540" s="14"/>
      <c r="J540" s="14"/>
      <c r="K540" s="14"/>
      <c r="L540" s="14"/>
      <c r="M540" s="14"/>
      <c r="N540" s="14"/>
    </row>
    <row r="541">
      <c r="A541" s="12"/>
      <c r="D541" s="95"/>
      <c r="E541" s="14"/>
      <c r="F541" s="96"/>
      <c r="H541" s="14"/>
      <c r="I541" s="14"/>
      <c r="J541" s="14"/>
      <c r="K541" s="14"/>
      <c r="L541" s="14"/>
      <c r="M541" s="14"/>
      <c r="N541" s="14"/>
    </row>
    <row r="542">
      <c r="A542" s="12"/>
      <c r="D542" s="95"/>
      <c r="E542" s="14"/>
      <c r="F542" s="96"/>
      <c r="H542" s="14"/>
      <c r="I542" s="14"/>
      <c r="J542" s="14"/>
      <c r="K542" s="14"/>
      <c r="L542" s="14"/>
      <c r="M542" s="14"/>
      <c r="N542" s="14"/>
    </row>
    <row r="543">
      <c r="A543" s="12"/>
      <c r="D543" s="95"/>
      <c r="E543" s="14"/>
      <c r="F543" s="96"/>
      <c r="H543" s="14"/>
      <c r="I543" s="14"/>
      <c r="J543" s="14"/>
      <c r="K543" s="14"/>
      <c r="L543" s="14"/>
      <c r="M543" s="14"/>
      <c r="N543" s="14"/>
    </row>
    <row r="544">
      <c r="A544" s="12"/>
      <c r="D544" s="95"/>
      <c r="E544" s="14"/>
      <c r="F544" s="96"/>
      <c r="H544" s="14"/>
      <c r="I544" s="14"/>
      <c r="J544" s="14"/>
      <c r="K544" s="14"/>
      <c r="L544" s="14"/>
      <c r="M544" s="14"/>
      <c r="N544" s="14"/>
    </row>
    <row r="545">
      <c r="A545" s="12"/>
      <c r="D545" s="95"/>
      <c r="E545" s="14"/>
      <c r="F545" s="96"/>
      <c r="H545" s="14"/>
      <c r="I545" s="14"/>
      <c r="J545" s="14"/>
      <c r="K545" s="14"/>
      <c r="L545" s="14"/>
      <c r="M545" s="14"/>
      <c r="N545" s="14"/>
    </row>
    <row r="546">
      <c r="A546" s="12"/>
      <c r="D546" s="95"/>
      <c r="E546" s="14"/>
      <c r="F546" s="96"/>
      <c r="H546" s="14"/>
      <c r="I546" s="14"/>
      <c r="J546" s="14"/>
      <c r="K546" s="14"/>
      <c r="L546" s="14"/>
      <c r="M546" s="14"/>
      <c r="N546" s="14"/>
    </row>
    <row r="547">
      <c r="A547" s="12"/>
      <c r="D547" s="95"/>
      <c r="E547" s="14"/>
      <c r="F547" s="96"/>
      <c r="H547" s="14"/>
      <c r="I547" s="14"/>
      <c r="J547" s="14"/>
      <c r="K547" s="14"/>
      <c r="L547" s="14"/>
      <c r="M547" s="14"/>
      <c r="N547" s="14"/>
    </row>
    <row r="548">
      <c r="A548" s="12"/>
      <c r="D548" s="95"/>
      <c r="E548" s="14"/>
      <c r="F548" s="96"/>
      <c r="H548" s="14"/>
      <c r="I548" s="14"/>
      <c r="J548" s="14"/>
      <c r="K548" s="14"/>
      <c r="L548" s="14"/>
      <c r="M548" s="14"/>
      <c r="N548" s="14"/>
    </row>
    <row r="549">
      <c r="A549" s="12"/>
      <c r="D549" s="95"/>
      <c r="E549" s="14"/>
      <c r="F549" s="96"/>
      <c r="H549" s="14"/>
      <c r="I549" s="14"/>
      <c r="J549" s="14"/>
      <c r="K549" s="14"/>
      <c r="L549" s="14"/>
      <c r="M549" s="14"/>
      <c r="N549" s="14"/>
    </row>
    <row r="550">
      <c r="A550" s="12"/>
      <c r="D550" s="95"/>
      <c r="E550" s="14"/>
      <c r="F550" s="96"/>
      <c r="H550" s="14"/>
      <c r="I550" s="14"/>
      <c r="J550" s="14"/>
      <c r="K550" s="14"/>
      <c r="L550" s="14"/>
      <c r="M550" s="14"/>
      <c r="N550" s="14"/>
    </row>
    <row r="551">
      <c r="A551" s="12"/>
      <c r="D551" s="95"/>
      <c r="E551" s="14"/>
      <c r="F551" s="96"/>
      <c r="H551" s="14"/>
      <c r="I551" s="14"/>
      <c r="J551" s="14"/>
      <c r="K551" s="14"/>
      <c r="L551" s="14"/>
      <c r="M551" s="14"/>
      <c r="N551" s="14"/>
    </row>
    <row r="552">
      <c r="A552" s="12"/>
      <c r="D552" s="95"/>
      <c r="E552" s="14"/>
      <c r="F552" s="96"/>
      <c r="H552" s="14"/>
      <c r="I552" s="14"/>
      <c r="J552" s="14"/>
      <c r="K552" s="14"/>
      <c r="L552" s="14"/>
      <c r="M552" s="14"/>
      <c r="N552" s="14"/>
    </row>
    <row r="553">
      <c r="A553" s="12"/>
      <c r="D553" s="95"/>
      <c r="E553" s="14"/>
      <c r="F553" s="96"/>
      <c r="H553" s="14"/>
      <c r="I553" s="14"/>
      <c r="J553" s="14"/>
      <c r="K553" s="14"/>
      <c r="L553" s="14"/>
      <c r="M553" s="14"/>
      <c r="N553" s="14"/>
    </row>
    <row r="554">
      <c r="A554" s="12"/>
      <c r="D554" s="95"/>
      <c r="E554" s="14"/>
      <c r="F554" s="96"/>
      <c r="H554" s="14"/>
      <c r="I554" s="14"/>
      <c r="J554" s="14"/>
      <c r="K554" s="14"/>
      <c r="L554" s="14"/>
      <c r="M554" s="14"/>
      <c r="N554" s="14"/>
    </row>
    <row r="555">
      <c r="A555" s="12"/>
      <c r="D555" s="95"/>
      <c r="E555" s="14"/>
      <c r="F555" s="96"/>
      <c r="H555" s="14"/>
      <c r="I555" s="14"/>
      <c r="J555" s="14"/>
      <c r="K555" s="14"/>
      <c r="L555" s="14"/>
      <c r="M555" s="14"/>
      <c r="N555" s="14"/>
    </row>
    <row r="556">
      <c r="A556" s="12"/>
      <c r="D556" s="95"/>
      <c r="E556" s="14"/>
      <c r="F556" s="96"/>
      <c r="H556" s="14"/>
      <c r="I556" s="14"/>
      <c r="J556" s="14"/>
      <c r="K556" s="14"/>
      <c r="L556" s="14"/>
      <c r="M556" s="14"/>
      <c r="N556" s="14"/>
    </row>
    <row r="557">
      <c r="A557" s="12"/>
      <c r="D557" s="95"/>
      <c r="E557" s="14"/>
      <c r="F557" s="96"/>
      <c r="H557" s="14"/>
      <c r="I557" s="14"/>
      <c r="J557" s="14"/>
      <c r="K557" s="14"/>
      <c r="L557" s="14"/>
      <c r="M557" s="14"/>
      <c r="N557" s="14"/>
    </row>
    <row r="558">
      <c r="A558" s="12"/>
      <c r="D558" s="95"/>
      <c r="E558" s="14"/>
      <c r="F558" s="96"/>
      <c r="H558" s="14"/>
      <c r="I558" s="14"/>
      <c r="J558" s="14"/>
      <c r="K558" s="14"/>
      <c r="L558" s="14"/>
      <c r="M558" s="14"/>
      <c r="N558" s="14"/>
    </row>
    <row r="559">
      <c r="A559" s="12"/>
      <c r="D559" s="95"/>
      <c r="E559" s="14"/>
      <c r="F559" s="96"/>
      <c r="H559" s="14"/>
      <c r="I559" s="14"/>
      <c r="J559" s="14"/>
      <c r="K559" s="14"/>
      <c r="L559" s="14"/>
      <c r="M559" s="14"/>
      <c r="N559" s="14"/>
    </row>
    <row r="560">
      <c r="A560" s="12"/>
      <c r="D560" s="95"/>
      <c r="E560" s="14"/>
      <c r="F560" s="96"/>
      <c r="H560" s="14"/>
      <c r="I560" s="14"/>
      <c r="J560" s="14"/>
      <c r="K560" s="14"/>
      <c r="L560" s="14"/>
      <c r="M560" s="14"/>
      <c r="N560" s="14"/>
    </row>
    <row r="561">
      <c r="A561" s="12"/>
      <c r="D561" s="95"/>
      <c r="E561" s="14"/>
      <c r="F561" s="96"/>
      <c r="H561" s="14"/>
      <c r="I561" s="14"/>
      <c r="J561" s="14"/>
      <c r="K561" s="14"/>
      <c r="L561" s="14"/>
      <c r="M561" s="14"/>
      <c r="N561" s="14"/>
    </row>
    <row r="562">
      <c r="A562" s="12"/>
      <c r="D562" s="95"/>
      <c r="E562" s="14"/>
      <c r="F562" s="96"/>
      <c r="H562" s="14"/>
      <c r="I562" s="14"/>
      <c r="J562" s="14"/>
      <c r="K562" s="14"/>
      <c r="L562" s="14"/>
      <c r="M562" s="14"/>
      <c r="N562" s="14"/>
    </row>
    <row r="563">
      <c r="A563" s="12"/>
      <c r="D563" s="95"/>
      <c r="E563" s="14"/>
      <c r="F563" s="96"/>
      <c r="H563" s="14"/>
      <c r="I563" s="14"/>
      <c r="J563" s="14"/>
      <c r="K563" s="14"/>
      <c r="L563" s="14"/>
      <c r="M563" s="14"/>
      <c r="N563" s="14"/>
    </row>
    <row r="564">
      <c r="A564" s="12"/>
      <c r="D564" s="95"/>
      <c r="E564" s="14"/>
      <c r="F564" s="96"/>
      <c r="H564" s="14"/>
      <c r="I564" s="14"/>
      <c r="J564" s="14"/>
      <c r="K564" s="14"/>
      <c r="L564" s="14"/>
      <c r="M564" s="14"/>
      <c r="N564" s="14"/>
    </row>
    <row r="565">
      <c r="A565" s="12"/>
      <c r="D565" s="95"/>
      <c r="E565" s="14"/>
      <c r="F565" s="96"/>
      <c r="H565" s="14"/>
      <c r="I565" s="14"/>
      <c r="J565" s="14"/>
      <c r="K565" s="14"/>
      <c r="L565" s="14"/>
      <c r="M565" s="14"/>
      <c r="N565" s="14"/>
    </row>
    <row r="566">
      <c r="A566" s="12"/>
      <c r="D566" s="95"/>
      <c r="E566" s="14"/>
      <c r="F566" s="96"/>
      <c r="H566" s="14"/>
      <c r="I566" s="14"/>
      <c r="J566" s="14"/>
      <c r="K566" s="14"/>
      <c r="L566" s="14"/>
      <c r="M566" s="14"/>
      <c r="N566" s="14"/>
    </row>
    <row r="567">
      <c r="A567" s="12"/>
      <c r="D567" s="95"/>
      <c r="E567" s="14"/>
      <c r="F567" s="96"/>
      <c r="H567" s="14"/>
      <c r="I567" s="14"/>
      <c r="J567" s="14"/>
      <c r="K567" s="14"/>
      <c r="L567" s="14"/>
      <c r="M567" s="14"/>
      <c r="N567" s="14"/>
    </row>
    <row r="568">
      <c r="A568" s="12"/>
      <c r="D568" s="95"/>
      <c r="E568" s="14"/>
      <c r="F568" s="96"/>
      <c r="H568" s="14"/>
      <c r="I568" s="14"/>
      <c r="J568" s="14"/>
      <c r="K568" s="14"/>
      <c r="L568" s="14"/>
      <c r="M568" s="14"/>
      <c r="N568" s="14"/>
    </row>
    <row r="569">
      <c r="A569" s="12"/>
      <c r="D569" s="95"/>
      <c r="E569" s="14"/>
      <c r="F569" s="96"/>
      <c r="H569" s="14"/>
      <c r="I569" s="14"/>
      <c r="J569" s="14"/>
      <c r="K569" s="14"/>
      <c r="L569" s="14"/>
      <c r="M569" s="14"/>
      <c r="N569" s="14"/>
    </row>
    <row r="570">
      <c r="A570" s="12"/>
      <c r="D570" s="95"/>
      <c r="E570" s="14"/>
      <c r="F570" s="96"/>
      <c r="H570" s="14"/>
      <c r="I570" s="14"/>
      <c r="J570" s="14"/>
      <c r="K570" s="14"/>
      <c r="L570" s="14"/>
      <c r="M570" s="14"/>
      <c r="N570" s="14"/>
    </row>
    <row r="571">
      <c r="A571" s="12"/>
      <c r="D571" s="95"/>
      <c r="E571" s="14"/>
      <c r="F571" s="96"/>
      <c r="H571" s="14"/>
      <c r="I571" s="14"/>
      <c r="J571" s="14"/>
      <c r="K571" s="14"/>
      <c r="L571" s="14"/>
      <c r="M571" s="14"/>
      <c r="N571" s="14"/>
    </row>
    <row r="572">
      <c r="A572" s="12"/>
      <c r="D572" s="95"/>
      <c r="E572" s="14"/>
      <c r="F572" s="96"/>
      <c r="H572" s="14"/>
      <c r="I572" s="14"/>
      <c r="J572" s="14"/>
      <c r="K572" s="14"/>
      <c r="L572" s="14"/>
      <c r="M572" s="14"/>
      <c r="N572" s="14"/>
    </row>
    <row r="573">
      <c r="A573" s="12"/>
      <c r="D573" s="95"/>
      <c r="E573" s="14"/>
      <c r="F573" s="96"/>
      <c r="H573" s="14"/>
      <c r="I573" s="14"/>
      <c r="J573" s="14"/>
      <c r="K573" s="14"/>
      <c r="L573" s="14"/>
      <c r="M573" s="14"/>
      <c r="N573" s="14"/>
    </row>
    <row r="574">
      <c r="A574" s="12"/>
      <c r="D574" s="95"/>
      <c r="E574" s="14"/>
      <c r="F574" s="96"/>
      <c r="H574" s="14"/>
      <c r="I574" s="14"/>
      <c r="J574" s="14"/>
      <c r="K574" s="14"/>
      <c r="L574" s="14"/>
      <c r="M574" s="14"/>
      <c r="N574" s="14"/>
    </row>
    <row r="575">
      <c r="A575" s="12"/>
      <c r="D575" s="95"/>
      <c r="E575" s="14"/>
      <c r="F575" s="96"/>
      <c r="H575" s="14"/>
      <c r="I575" s="14"/>
      <c r="J575" s="14"/>
      <c r="K575" s="14"/>
      <c r="L575" s="14"/>
      <c r="M575" s="14"/>
      <c r="N575" s="14"/>
    </row>
    <row r="576">
      <c r="A576" s="12"/>
      <c r="D576" s="95"/>
      <c r="E576" s="14"/>
      <c r="F576" s="96"/>
      <c r="H576" s="14"/>
      <c r="I576" s="14"/>
      <c r="J576" s="14"/>
      <c r="K576" s="14"/>
      <c r="L576" s="14"/>
      <c r="M576" s="14"/>
      <c r="N576" s="14"/>
    </row>
    <row r="577">
      <c r="A577" s="12"/>
      <c r="D577" s="95"/>
      <c r="E577" s="14"/>
      <c r="F577" s="96"/>
      <c r="H577" s="14"/>
      <c r="I577" s="14"/>
      <c r="J577" s="14"/>
      <c r="K577" s="14"/>
      <c r="L577" s="14"/>
      <c r="M577" s="14"/>
      <c r="N577" s="14"/>
    </row>
    <row r="578">
      <c r="A578" s="12"/>
      <c r="D578" s="95"/>
      <c r="E578" s="14"/>
      <c r="F578" s="96"/>
      <c r="H578" s="14"/>
      <c r="I578" s="14"/>
      <c r="J578" s="14"/>
      <c r="K578" s="14"/>
      <c r="L578" s="14"/>
      <c r="M578" s="14"/>
      <c r="N578" s="14"/>
    </row>
    <row r="579">
      <c r="A579" s="12"/>
      <c r="D579" s="95"/>
      <c r="E579" s="14"/>
      <c r="F579" s="96"/>
      <c r="H579" s="14"/>
      <c r="I579" s="14"/>
      <c r="J579" s="14"/>
      <c r="K579" s="14"/>
      <c r="L579" s="14"/>
      <c r="M579" s="14"/>
      <c r="N579" s="14"/>
    </row>
    <row r="580">
      <c r="A580" s="12"/>
      <c r="D580" s="95"/>
      <c r="E580" s="14"/>
      <c r="F580" s="96"/>
      <c r="H580" s="14"/>
      <c r="I580" s="14"/>
      <c r="J580" s="14"/>
      <c r="K580" s="14"/>
      <c r="L580" s="14"/>
      <c r="M580" s="14"/>
      <c r="N580" s="14"/>
    </row>
    <row r="581">
      <c r="A581" s="12"/>
      <c r="D581" s="95"/>
      <c r="E581" s="14"/>
      <c r="F581" s="96"/>
      <c r="H581" s="14"/>
      <c r="I581" s="14"/>
      <c r="J581" s="14"/>
      <c r="K581" s="14"/>
      <c r="L581" s="14"/>
      <c r="M581" s="14"/>
      <c r="N581" s="14"/>
    </row>
    <row r="582">
      <c r="A582" s="12"/>
      <c r="D582" s="95"/>
      <c r="E582" s="14"/>
      <c r="F582" s="96"/>
      <c r="H582" s="14"/>
      <c r="I582" s="14"/>
      <c r="J582" s="14"/>
      <c r="K582" s="14"/>
      <c r="L582" s="14"/>
      <c r="M582" s="14"/>
      <c r="N582" s="14"/>
    </row>
    <row r="583">
      <c r="A583" s="12"/>
      <c r="D583" s="95"/>
      <c r="E583" s="14"/>
      <c r="F583" s="96"/>
      <c r="H583" s="14"/>
      <c r="I583" s="14"/>
      <c r="J583" s="14"/>
      <c r="K583" s="14"/>
      <c r="L583" s="14"/>
      <c r="M583" s="14"/>
      <c r="N583" s="14"/>
    </row>
    <row r="584">
      <c r="A584" s="12"/>
      <c r="D584" s="95"/>
      <c r="E584" s="14"/>
      <c r="F584" s="96"/>
      <c r="H584" s="14"/>
      <c r="I584" s="14"/>
      <c r="J584" s="14"/>
      <c r="K584" s="14"/>
      <c r="L584" s="14"/>
      <c r="M584" s="14"/>
      <c r="N584" s="14"/>
    </row>
    <row r="585">
      <c r="A585" s="12"/>
      <c r="D585" s="95"/>
      <c r="E585" s="14"/>
      <c r="F585" s="96"/>
      <c r="H585" s="14"/>
      <c r="I585" s="14"/>
      <c r="J585" s="14"/>
      <c r="K585" s="14"/>
      <c r="L585" s="14"/>
      <c r="M585" s="14"/>
      <c r="N585" s="14"/>
    </row>
    <row r="586">
      <c r="A586" s="12"/>
      <c r="D586" s="95"/>
      <c r="E586" s="14"/>
      <c r="F586" s="96"/>
      <c r="H586" s="14"/>
      <c r="I586" s="14"/>
      <c r="J586" s="14"/>
      <c r="K586" s="14"/>
      <c r="L586" s="14"/>
      <c r="M586" s="14"/>
      <c r="N586" s="14"/>
    </row>
    <row r="587">
      <c r="A587" s="12"/>
      <c r="D587" s="95"/>
      <c r="E587" s="14"/>
      <c r="F587" s="96"/>
      <c r="H587" s="14"/>
      <c r="I587" s="14"/>
      <c r="J587" s="14"/>
      <c r="K587" s="14"/>
      <c r="L587" s="14"/>
      <c r="M587" s="14"/>
      <c r="N587" s="14"/>
    </row>
    <row r="588">
      <c r="A588" s="12"/>
      <c r="D588" s="95"/>
      <c r="E588" s="14"/>
      <c r="F588" s="96"/>
      <c r="H588" s="14"/>
      <c r="I588" s="14"/>
      <c r="J588" s="14"/>
      <c r="K588" s="14"/>
      <c r="L588" s="14"/>
      <c r="M588" s="14"/>
      <c r="N588" s="14"/>
    </row>
    <row r="589">
      <c r="A589" s="12"/>
      <c r="D589" s="95"/>
      <c r="E589" s="14"/>
      <c r="F589" s="96"/>
      <c r="H589" s="14"/>
      <c r="I589" s="14"/>
      <c r="J589" s="14"/>
      <c r="K589" s="14"/>
      <c r="L589" s="14"/>
      <c r="M589" s="14"/>
      <c r="N589" s="14"/>
    </row>
    <row r="590">
      <c r="A590" s="12"/>
      <c r="D590" s="95"/>
      <c r="E590" s="14"/>
      <c r="F590" s="96"/>
      <c r="H590" s="14"/>
      <c r="I590" s="14"/>
      <c r="J590" s="14"/>
      <c r="K590" s="14"/>
      <c r="L590" s="14"/>
      <c r="M590" s="14"/>
      <c r="N590" s="14"/>
    </row>
    <row r="591">
      <c r="A591" s="12"/>
      <c r="D591" s="95"/>
      <c r="E591" s="14"/>
      <c r="F591" s="96"/>
      <c r="H591" s="14"/>
      <c r="I591" s="14"/>
      <c r="J591" s="14"/>
      <c r="K591" s="14"/>
      <c r="L591" s="14"/>
      <c r="M591" s="14"/>
      <c r="N591" s="14"/>
    </row>
    <row r="592">
      <c r="A592" s="12"/>
      <c r="D592" s="95"/>
      <c r="E592" s="14"/>
      <c r="F592" s="96"/>
      <c r="H592" s="14"/>
      <c r="I592" s="14"/>
      <c r="J592" s="14"/>
      <c r="K592" s="14"/>
      <c r="L592" s="14"/>
      <c r="M592" s="14"/>
      <c r="N592" s="14"/>
    </row>
    <row r="593">
      <c r="A593" s="12"/>
      <c r="D593" s="95"/>
      <c r="E593" s="14"/>
      <c r="F593" s="96"/>
      <c r="H593" s="14"/>
      <c r="I593" s="14"/>
      <c r="J593" s="14"/>
      <c r="K593" s="14"/>
      <c r="L593" s="14"/>
      <c r="M593" s="14"/>
      <c r="N593" s="14"/>
    </row>
    <row r="594">
      <c r="A594" s="12"/>
      <c r="D594" s="95"/>
      <c r="E594" s="14"/>
      <c r="F594" s="96"/>
      <c r="H594" s="14"/>
      <c r="I594" s="14"/>
      <c r="J594" s="14"/>
      <c r="K594" s="14"/>
      <c r="L594" s="14"/>
      <c r="M594" s="14"/>
      <c r="N594" s="14"/>
    </row>
    <row r="595">
      <c r="A595" s="12"/>
      <c r="D595" s="95"/>
      <c r="E595" s="14"/>
      <c r="F595" s="96"/>
      <c r="H595" s="14"/>
      <c r="I595" s="14"/>
      <c r="J595" s="14"/>
      <c r="K595" s="14"/>
      <c r="L595" s="14"/>
      <c r="M595" s="14"/>
      <c r="N595" s="14"/>
    </row>
    <row r="596">
      <c r="A596" s="12"/>
      <c r="D596" s="95"/>
      <c r="E596" s="14"/>
      <c r="F596" s="96"/>
      <c r="H596" s="14"/>
      <c r="I596" s="14"/>
      <c r="J596" s="14"/>
      <c r="K596" s="14"/>
      <c r="L596" s="14"/>
      <c r="M596" s="14"/>
      <c r="N596" s="14"/>
    </row>
    <row r="597">
      <c r="A597" s="12"/>
      <c r="D597" s="95"/>
      <c r="E597" s="14"/>
      <c r="F597" s="96"/>
      <c r="H597" s="14"/>
      <c r="I597" s="14"/>
      <c r="J597" s="14"/>
      <c r="K597" s="14"/>
      <c r="L597" s="14"/>
      <c r="M597" s="14"/>
      <c r="N597" s="14"/>
    </row>
    <row r="598">
      <c r="A598" s="12"/>
      <c r="D598" s="95"/>
      <c r="E598" s="14"/>
      <c r="F598" s="96"/>
      <c r="H598" s="14"/>
      <c r="I598" s="14"/>
      <c r="J598" s="14"/>
      <c r="K598" s="14"/>
      <c r="L598" s="14"/>
      <c r="M598" s="14"/>
      <c r="N598" s="14"/>
    </row>
    <row r="599">
      <c r="A599" s="12"/>
      <c r="D599" s="95"/>
      <c r="E599" s="14"/>
      <c r="F599" s="96"/>
      <c r="H599" s="14"/>
      <c r="I599" s="14"/>
      <c r="J599" s="14"/>
      <c r="K599" s="14"/>
      <c r="L599" s="14"/>
      <c r="M599" s="14"/>
      <c r="N599" s="14"/>
    </row>
    <row r="600">
      <c r="A600" s="12"/>
      <c r="D600" s="95"/>
      <c r="E600" s="14"/>
      <c r="F600" s="96"/>
      <c r="H600" s="14"/>
      <c r="I600" s="14"/>
      <c r="J600" s="14"/>
      <c r="K600" s="14"/>
      <c r="L600" s="14"/>
      <c r="M600" s="14"/>
      <c r="N600" s="14"/>
    </row>
    <row r="601">
      <c r="A601" s="12"/>
      <c r="D601" s="95"/>
      <c r="E601" s="14"/>
      <c r="F601" s="96"/>
      <c r="H601" s="14"/>
      <c r="I601" s="14"/>
      <c r="J601" s="14"/>
      <c r="K601" s="14"/>
      <c r="L601" s="14"/>
      <c r="M601" s="14"/>
      <c r="N601" s="14"/>
    </row>
    <row r="602">
      <c r="A602" s="12"/>
      <c r="D602" s="95"/>
      <c r="E602" s="14"/>
      <c r="F602" s="96"/>
      <c r="H602" s="14"/>
      <c r="I602" s="14"/>
      <c r="J602" s="14"/>
      <c r="K602" s="14"/>
      <c r="L602" s="14"/>
      <c r="M602" s="14"/>
      <c r="N602" s="14"/>
    </row>
    <row r="603">
      <c r="A603" s="12"/>
      <c r="D603" s="95"/>
      <c r="E603" s="14"/>
      <c r="F603" s="96"/>
      <c r="H603" s="14"/>
      <c r="I603" s="14"/>
      <c r="J603" s="14"/>
      <c r="K603" s="14"/>
      <c r="L603" s="14"/>
      <c r="M603" s="14"/>
      <c r="N603" s="14"/>
    </row>
    <row r="604">
      <c r="A604" s="12"/>
      <c r="D604" s="95"/>
      <c r="E604" s="14"/>
      <c r="F604" s="96"/>
      <c r="H604" s="14"/>
      <c r="I604" s="14"/>
      <c r="J604" s="14"/>
      <c r="K604" s="14"/>
      <c r="L604" s="14"/>
      <c r="M604" s="14"/>
      <c r="N604" s="14"/>
    </row>
    <row r="605">
      <c r="A605" s="12"/>
      <c r="D605" s="95"/>
      <c r="E605" s="14"/>
      <c r="F605" s="96"/>
      <c r="H605" s="14"/>
      <c r="I605" s="14"/>
      <c r="J605" s="14"/>
      <c r="K605" s="14"/>
      <c r="L605" s="14"/>
      <c r="M605" s="14"/>
      <c r="N605" s="14"/>
    </row>
    <row r="606">
      <c r="A606" s="12"/>
      <c r="D606" s="95"/>
      <c r="E606" s="14"/>
      <c r="F606" s="96"/>
      <c r="H606" s="14"/>
      <c r="I606" s="14"/>
      <c r="J606" s="14"/>
      <c r="K606" s="14"/>
      <c r="L606" s="14"/>
      <c r="M606" s="14"/>
      <c r="N606" s="14"/>
    </row>
    <row r="607">
      <c r="A607" s="12"/>
      <c r="D607" s="95"/>
      <c r="E607" s="14"/>
      <c r="F607" s="96"/>
      <c r="H607" s="14"/>
      <c r="I607" s="14"/>
      <c r="J607" s="14"/>
      <c r="K607" s="14"/>
      <c r="L607" s="14"/>
      <c r="M607" s="14"/>
      <c r="N607" s="14"/>
    </row>
    <row r="608">
      <c r="A608" s="12"/>
      <c r="D608" s="95"/>
      <c r="E608" s="14"/>
      <c r="F608" s="96"/>
      <c r="H608" s="14"/>
      <c r="I608" s="14"/>
      <c r="J608" s="14"/>
      <c r="K608" s="14"/>
      <c r="L608" s="14"/>
      <c r="M608" s="14"/>
      <c r="N608" s="14"/>
    </row>
    <row r="609">
      <c r="A609" s="12"/>
      <c r="D609" s="95"/>
      <c r="E609" s="14"/>
      <c r="F609" s="96"/>
      <c r="H609" s="14"/>
      <c r="I609" s="14"/>
      <c r="J609" s="14"/>
      <c r="K609" s="14"/>
      <c r="L609" s="14"/>
      <c r="M609" s="14"/>
      <c r="N609" s="14"/>
    </row>
    <row r="610">
      <c r="A610" s="12"/>
      <c r="D610" s="95"/>
      <c r="E610" s="14"/>
      <c r="F610" s="96"/>
      <c r="H610" s="14"/>
      <c r="I610" s="14"/>
      <c r="J610" s="14"/>
      <c r="K610" s="14"/>
      <c r="L610" s="14"/>
      <c r="M610" s="14"/>
      <c r="N610" s="14"/>
    </row>
    <row r="611">
      <c r="A611" s="12"/>
      <c r="D611" s="95"/>
      <c r="E611" s="14"/>
      <c r="F611" s="96"/>
      <c r="H611" s="14"/>
      <c r="I611" s="14"/>
      <c r="J611" s="14"/>
      <c r="K611" s="14"/>
      <c r="L611" s="14"/>
      <c r="M611" s="14"/>
      <c r="N611" s="14"/>
    </row>
    <row r="612">
      <c r="A612" s="12"/>
      <c r="D612" s="95"/>
      <c r="E612" s="14"/>
      <c r="F612" s="96"/>
      <c r="H612" s="14"/>
      <c r="I612" s="14"/>
      <c r="J612" s="14"/>
      <c r="K612" s="14"/>
      <c r="L612" s="14"/>
      <c r="M612" s="14"/>
      <c r="N612" s="14"/>
    </row>
    <row r="613">
      <c r="A613" s="12"/>
      <c r="D613" s="95"/>
      <c r="E613" s="14"/>
      <c r="F613" s="96"/>
      <c r="H613" s="14"/>
      <c r="I613" s="14"/>
      <c r="J613" s="14"/>
      <c r="K613" s="14"/>
      <c r="L613" s="14"/>
      <c r="M613" s="14"/>
      <c r="N613" s="14"/>
    </row>
    <row r="614">
      <c r="A614" s="12"/>
      <c r="D614" s="95"/>
      <c r="E614" s="14"/>
      <c r="F614" s="96"/>
      <c r="H614" s="14"/>
      <c r="I614" s="14"/>
      <c r="J614" s="14"/>
      <c r="K614" s="14"/>
      <c r="L614" s="14"/>
      <c r="M614" s="14"/>
      <c r="N614" s="14"/>
    </row>
    <row r="615">
      <c r="A615" s="12"/>
      <c r="D615" s="95"/>
      <c r="E615" s="14"/>
      <c r="F615" s="96"/>
      <c r="H615" s="14"/>
      <c r="I615" s="14"/>
      <c r="J615" s="14"/>
      <c r="K615" s="14"/>
      <c r="L615" s="14"/>
      <c r="M615" s="14"/>
      <c r="N615" s="14"/>
    </row>
    <row r="616">
      <c r="A616" s="12"/>
      <c r="D616" s="95"/>
      <c r="E616" s="14"/>
      <c r="F616" s="96"/>
      <c r="H616" s="14"/>
      <c r="I616" s="14"/>
      <c r="J616" s="14"/>
      <c r="K616" s="14"/>
      <c r="L616" s="14"/>
      <c r="M616" s="14"/>
      <c r="N616" s="14"/>
    </row>
    <row r="617">
      <c r="A617" s="12"/>
      <c r="D617" s="95"/>
      <c r="E617" s="14"/>
      <c r="F617" s="96"/>
      <c r="H617" s="14"/>
      <c r="I617" s="14"/>
      <c r="J617" s="14"/>
      <c r="K617" s="14"/>
      <c r="L617" s="14"/>
      <c r="M617" s="14"/>
      <c r="N617" s="14"/>
    </row>
    <row r="618">
      <c r="A618" s="12"/>
      <c r="D618" s="95"/>
      <c r="E618" s="14"/>
      <c r="F618" s="96"/>
      <c r="H618" s="14"/>
      <c r="I618" s="14"/>
      <c r="J618" s="14"/>
      <c r="K618" s="14"/>
      <c r="L618" s="14"/>
      <c r="M618" s="14"/>
      <c r="N618" s="14"/>
    </row>
    <row r="619">
      <c r="A619" s="12"/>
      <c r="D619" s="95"/>
      <c r="E619" s="14"/>
      <c r="F619" s="96"/>
      <c r="H619" s="14"/>
      <c r="I619" s="14"/>
      <c r="J619" s="14"/>
      <c r="K619" s="14"/>
      <c r="L619" s="14"/>
      <c r="M619" s="14"/>
      <c r="N619" s="14"/>
    </row>
    <row r="620">
      <c r="A620" s="12"/>
      <c r="D620" s="95"/>
      <c r="E620" s="14"/>
      <c r="F620" s="96"/>
      <c r="H620" s="14"/>
      <c r="I620" s="14"/>
      <c r="J620" s="14"/>
      <c r="K620" s="14"/>
      <c r="L620" s="14"/>
      <c r="M620" s="14"/>
      <c r="N620" s="14"/>
    </row>
    <row r="621">
      <c r="A621" s="12"/>
      <c r="D621" s="95"/>
      <c r="E621" s="14"/>
      <c r="F621" s="96"/>
      <c r="H621" s="14"/>
      <c r="I621" s="14"/>
      <c r="J621" s="14"/>
      <c r="K621" s="14"/>
      <c r="L621" s="14"/>
      <c r="M621" s="14"/>
      <c r="N621" s="14"/>
    </row>
    <row r="622">
      <c r="A622" s="12"/>
      <c r="D622" s="95"/>
      <c r="E622" s="14"/>
      <c r="F622" s="96"/>
      <c r="H622" s="14"/>
      <c r="I622" s="14"/>
      <c r="J622" s="14"/>
      <c r="K622" s="14"/>
      <c r="L622" s="14"/>
      <c r="M622" s="14"/>
      <c r="N622" s="14"/>
    </row>
    <row r="623">
      <c r="A623" s="12"/>
      <c r="D623" s="95"/>
      <c r="E623" s="14"/>
      <c r="F623" s="96"/>
      <c r="H623" s="14"/>
      <c r="I623" s="14"/>
      <c r="J623" s="14"/>
      <c r="K623" s="14"/>
      <c r="L623" s="14"/>
      <c r="M623" s="14"/>
      <c r="N623" s="14"/>
    </row>
    <row r="624">
      <c r="A624" s="12"/>
      <c r="D624" s="95"/>
      <c r="E624" s="14"/>
      <c r="F624" s="96"/>
      <c r="H624" s="14"/>
      <c r="I624" s="14"/>
      <c r="J624" s="14"/>
      <c r="K624" s="14"/>
      <c r="L624" s="14"/>
      <c r="M624" s="14"/>
      <c r="N624" s="14"/>
    </row>
    <row r="625">
      <c r="A625" s="12"/>
      <c r="D625" s="95"/>
      <c r="E625" s="14"/>
      <c r="F625" s="96"/>
      <c r="H625" s="14"/>
      <c r="I625" s="14"/>
      <c r="J625" s="14"/>
      <c r="K625" s="14"/>
      <c r="L625" s="14"/>
      <c r="M625" s="14"/>
      <c r="N625" s="14"/>
    </row>
    <row r="626">
      <c r="A626" s="12"/>
      <c r="D626" s="95"/>
      <c r="E626" s="14"/>
      <c r="F626" s="96"/>
      <c r="H626" s="14"/>
      <c r="I626" s="14"/>
      <c r="J626" s="14"/>
      <c r="K626" s="14"/>
      <c r="L626" s="14"/>
      <c r="M626" s="14"/>
      <c r="N626" s="14"/>
    </row>
    <row r="627">
      <c r="A627" s="12"/>
      <c r="D627" s="95"/>
      <c r="E627" s="14"/>
      <c r="F627" s="96"/>
      <c r="H627" s="14"/>
      <c r="I627" s="14"/>
      <c r="J627" s="14"/>
      <c r="K627" s="14"/>
      <c r="L627" s="14"/>
      <c r="M627" s="14"/>
      <c r="N627" s="14"/>
    </row>
    <row r="628">
      <c r="A628" s="12"/>
      <c r="D628" s="95"/>
      <c r="E628" s="14"/>
      <c r="F628" s="96"/>
      <c r="H628" s="14"/>
      <c r="I628" s="14"/>
      <c r="J628" s="14"/>
      <c r="K628" s="14"/>
      <c r="L628" s="14"/>
      <c r="M628" s="14"/>
      <c r="N628" s="14"/>
    </row>
    <row r="629">
      <c r="A629" s="12"/>
      <c r="D629" s="95"/>
      <c r="E629" s="14"/>
      <c r="F629" s="96"/>
      <c r="H629" s="14"/>
      <c r="I629" s="14"/>
      <c r="J629" s="14"/>
      <c r="K629" s="14"/>
      <c r="L629" s="14"/>
      <c r="M629" s="14"/>
      <c r="N629" s="14"/>
    </row>
    <row r="630">
      <c r="A630" s="12"/>
      <c r="D630" s="95"/>
      <c r="E630" s="14"/>
      <c r="F630" s="96"/>
      <c r="H630" s="14"/>
      <c r="I630" s="14"/>
      <c r="J630" s="14"/>
      <c r="K630" s="14"/>
      <c r="L630" s="14"/>
      <c r="M630" s="14"/>
      <c r="N630" s="14"/>
    </row>
    <row r="631">
      <c r="A631" s="12"/>
      <c r="D631" s="95"/>
      <c r="E631" s="14"/>
      <c r="F631" s="96"/>
      <c r="H631" s="14"/>
      <c r="I631" s="14"/>
      <c r="J631" s="14"/>
      <c r="K631" s="14"/>
      <c r="L631" s="14"/>
      <c r="M631" s="14"/>
      <c r="N631" s="14"/>
    </row>
    <row r="632">
      <c r="A632" s="12"/>
      <c r="D632" s="95"/>
      <c r="E632" s="14"/>
      <c r="F632" s="96"/>
      <c r="H632" s="14"/>
      <c r="I632" s="14"/>
      <c r="J632" s="14"/>
      <c r="K632" s="14"/>
      <c r="L632" s="14"/>
      <c r="M632" s="14"/>
      <c r="N632" s="14"/>
    </row>
    <row r="633">
      <c r="A633" s="12"/>
      <c r="D633" s="95"/>
      <c r="E633" s="14"/>
      <c r="F633" s="96"/>
      <c r="H633" s="14"/>
      <c r="I633" s="14"/>
      <c r="J633" s="14"/>
      <c r="K633" s="14"/>
      <c r="L633" s="14"/>
      <c r="M633" s="14"/>
      <c r="N633" s="14"/>
    </row>
    <row r="634">
      <c r="A634" s="12"/>
      <c r="D634" s="95"/>
      <c r="E634" s="14"/>
      <c r="F634" s="96"/>
      <c r="H634" s="14"/>
      <c r="I634" s="14"/>
      <c r="J634" s="14"/>
      <c r="K634" s="14"/>
      <c r="L634" s="14"/>
      <c r="M634" s="14"/>
      <c r="N634" s="14"/>
    </row>
    <row r="635">
      <c r="A635" s="12"/>
      <c r="D635" s="95"/>
      <c r="E635" s="14"/>
      <c r="F635" s="96"/>
      <c r="H635" s="14"/>
      <c r="I635" s="14"/>
      <c r="J635" s="14"/>
      <c r="K635" s="14"/>
      <c r="L635" s="14"/>
      <c r="M635" s="14"/>
      <c r="N635" s="14"/>
    </row>
    <row r="636">
      <c r="A636" s="12"/>
      <c r="D636" s="95"/>
      <c r="E636" s="14"/>
      <c r="F636" s="96"/>
      <c r="H636" s="14"/>
      <c r="I636" s="14"/>
      <c r="J636" s="14"/>
      <c r="K636" s="14"/>
      <c r="L636" s="14"/>
      <c r="M636" s="14"/>
      <c r="N636" s="14"/>
    </row>
    <row r="637">
      <c r="A637" s="12"/>
      <c r="D637" s="95"/>
      <c r="E637" s="14"/>
      <c r="F637" s="96"/>
      <c r="H637" s="14"/>
      <c r="I637" s="14"/>
      <c r="J637" s="14"/>
      <c r="K637" s="14"/>
      <c r="L637" s="14"/>
      <c r="M637" s="14"/>
      <c r="N637" s="14"/>
    </row>
    <row r="638">
      <c r="A638" s="12"/>
      <c r="D638" s="95"/>
      <c r="E638" s="14"/>
      <c r="F638" s="96"/>
      <c r="H638" s="14"/>
      <c r="I638" s="14"/>
      <c r="J638" s="14"/>
      <c r="K638" s="14"/>
      <c r="L638" s="14"/>
      <c r="M638" s="14"/>
      <c r="N638" s="14"/>
    </row>
    <row r="639">
      <c r="A639" s="12"/>
      <c r="D639" s="95"/>
      <c r="E639" s="14"/>
      <c r="F639" s="96"/>
      <c r="H639" s="14"/>
      <c r="I639" s="14"/>
      <c r="J639" s="14"/>
      <c r="K639" s="14"/>
      <c r="L639" s="14"/>
      <c r="M639" s="14"/>
      <c r="N639" s="14"/>
    </row>
    <row r="640">
      <c r="A640" s="12"/>
      <c r="D640" s="95"/>
      <c r="E640" s="14"/>
      <c r="F640" s="96"/>
      <c r="H640" s="14"/>
      <c r="I640" s="14"/>
      <c r="J640" s="14"/>
      <c r="K640" s="14"/>
      <c r="L640" s="14"/>
      <c r="M640" s="14"/>
      <c r="N640" s="14"/>
    </row>
    <row r="641">
      <c r="A641" s="12"/>
      <c r="D641" s="95"/>
      <c r="E641" s="14"/>
      <c r="F641" s="96"/>
      <c r="H641" s="14"/>
      <c r="I641" s="14"/>
      <c r="J641" s="14"/>
      <c r="K641" s="14"/>
      <c r="L641" s="14"/>
      <c r="M641" s="14"/>
      <c r="N641" s="14"/>
    </row>
    <row r="642">
      <c r="A642" s="12"/>
      <c r="D642" s="95"/>
      <c r="E642" s="14"/>
      <c r="F642" s="96"/>
      <c r="H642" s="14"/>
      <c r="I642" s="14"/>
      <c r="J642" s="14"/>
      <c r="K642" s="14"/>
      <c r="L642" s="14"/>
      <c r="M642" s="14"/>
      <c r="N642" s="14"/>
    </row>
    <row r="643">
      <c r="A643" s="12"/>
      <c r="D643" s="95"/>
      <c r="E643" s="14"/>
      <c r="F643" s="96"/>
      <c r="H643" s="14"/>
      <c r="I643" s="14"/>
      <c r="J643" s="14"/>
      <c r="K643" s="14"/>
      <c r="L643" s="14"/>
      <c r="M643" s="14"/>
      <c r="N643" s="14"/>
    </row>
    <row r="644">
      <c r="A644" s="12"/>
      <c r="D644" s="95"/>
      <c r="E644" s="14"/>
      <c r="F644" s="96"/>
      <c r="H644" s="14"/>
      <c r="I644" s="14"/>
      <c r="J644" s="14"/>
      <c r="K644" s="14"/>
      <c r="L644" s="14"/>
      <c r="M644" s="14"/>
      <c r="N644" s="14"/>
    </row>
    <row r="645">
      <c r="A645" s="12"/>
      <c r="D645" s="95"/>
      <c r="E645" s="14"/>
      <c r="F645" s="96"/>
      <c r="H645" s="14"/>
      <c r="I645" s="14"/>
      <c r="J645" s="14"/>
      <c r="K645" s="14"/>
      <c r="L645" s="14"/>
      <c r="M645" s="14"/>
      <c r="N645" s="14"/>
    </row>
    <row r="646">
      <c r="A646" s="12"/>
      <c r="D646" s="95"/>
      <c r="E646" s="14"/>
      <c r="F646" s="96"/>
      <c r="H646" s="14"/>
      <c r="I646" s="14"/>
      <c r="J646" s="14"/>
      <c r="K646" s="14"/>
      <c r="L646" s="14"/>
      <c r="M646" s="14"/>
      <c r="N646" s="14"/>
    </row>
    <row r="647">
      <c r="A647" s="12"/>
      <c r="D647" s="95"/>
      <c r="E647" s="14"/>
      <c r="F647" s="96"/>
      <c r="H647" s="14"/>
      <c r="I647" s="14"/>
      <c r="J647" s="14"/>
      <c r="K647" s="14"/>
      <c r="L647" s="14"/>
      <c r="M647" s="14"/>
      <c r="N647" s="14"/>
    </row>
    <row r="648">
      <c r="A648" s="12"/>
      <c r="D648" s="95"/>
      <c r="E648" s="14"/>
      <c r="F648" s="96"/>
      <c r="H648" s="14"/>
      <c r="I648" s="14"/>
      <c r="J648" s="14"/>
      <c r="K648" s="14"/>
      <c r="L648" s="14"/>
      <c r="M648" s="14"/>
      <c r="N648" s="14"/>
    </row>
    <row r="649">
      <c r="A649" s="12"/>
      <c r="D649" s="95"/>
      <c r="E649" s="14"/>
      <c r="F649" s="96"/>
      <c r="H649" s="14"/>
      <c r="I649" s="14"/>
      <c r="J649" s="14"/>
      <c r="K649" s="14"/>
      <c r="L649" s="14"/>
      <c r="M649" s="14"/>
      <c r="N649" s="14"/>
    </row>
    <row r="650">
      <c r="A650" s="12"/>
      <c r="D650" s="95"/>
      <c r="E650" s="14"/>
      <c r="F650" s="96"/>
      <c r="H650" s="14"/>
      <c r="I650" s="14"/>
      <c r="J650" s="14"/>
      <c r="K650" s="14"/>
      <c r="L650" s="14"/>
      <c r="M650" s="14"/>
      <c r="N650" s="14"/>
    </row>
    <row r="651">
      <c r="A651" s="12"/>
      <c r="D651" s="95"/>
      <c r="E651" s="14"/>
      <c r="F651" s="96"/>
      <c r="H651" s="14"/>
      <c r="I651" s="14"/>
      <c r="J651" s="14"/>
      <c r="K651" s="14"/>
      <c r="L651" s="14"/>
      <c r="M651" s="14"/>
      <c r="N651" s="14"/>
    </row>
    <row r="652">
      <c r="A652" s="12"/>
      <c r="D652" s="95"/>
      <c r="E652" s="14"/>
      <c r="F652" s="96"/>
      <c r="H652" s="14"/>
      <c r="I652" s="14"/>
      <c r="J652" s="14"/>
      <c r="K652" s="14"/>
      <c r="L652" s="14"/>
      <c r="M652" s="14"/>
      <c r="N652" s="14"/>
    </row>
    <row r="653">
      <c r="A653" s="12"/>
      <c r="D653" s="95"/>
      <c r="E653" s="14"/>
      <c r="F653" s="96"/>
      <c r="H653" s="14"/>
      <c r="I653" s="14"/>
      <c r="J653" s="14"/>
      <c r="K653" s="14"/>
      <c r="L653" s="14"/>
      <c r="M653" s="14"/>
      <c r="N653" s="14"/>
    </row>
    <row r="654">
      <c r="A654" s="12"/>
      <c r="D654" s="95"/>
      <c r="E654" s="14"/>
      <c r="F654" s="96"/>
      <c r="H654" s="14"/>
      <c r="I654" s="14"/>
      <c r="J654" s="14"/>
      <c r="K654" s="14"/>
      <c r="L654" s="14"/>
      <c r="M654" s="14"/>
      <c r="N654" s="14"/>
    </row>
    <row r="655">
      <c r="A655" s="12"/>
      <c r="D655" s="95"/>
      <c r="E655" s="14"/>
      <c r="F655" s="96"/>
      <c r="H655" s="14"/>
      <c r="I655" s="14"/>
      <c r="J655" s="14"/>
      <c r="K655" s="14"/>
      <c r="L655" s="14"/>
      <c r="M655" s="14"/>
      <c r="N655" s="14"/>
    </row>
    <row r="656">
      <c r="A656" s="12"/>
      <c r="D656" s="95"/>
      <c r="E656" s="14"/>
      <c r="F656" s="96"/>
      <c r="H656" s="14"/>
      <c r="I656" s="14"/>
      <c r="J656" s="14"/>
      <c r="K656" s="14"/>
      <c r="L656" s="14"/>
      <c r="M656" s="14"/>
      <c r="N656" s="14"/>
    </row>
    <row r="657">
      <c r="A657" s="12"/>
      <c r="D657" s="95"/>
      <c r="E657" s="14"/>
      <c r="F657" s="96"/>
      <c r="H657" s="14"/>
      <c r="I657" s="14"/>
      <c r="J657" s="14"/>
      <c r="K657" s="14"/>
      <c r="L657" s="14"/>
      <c r="M657" s="14"/>
      <c r="N657" s="14"/>
    </row>
    <row r="658">
      <c r="A658" s="12"/>
      <c r="D658" s="95"/>
      <c r="E658" s="14"/>
      <c r="F658" s="96"/>
      <c r="H658" s="14"/>
      <c r="I658" s="14"/>
      <c r="J658" s="14"/>
      <c r="K658" s="14"/>
      <c r="L658" s="14"/>
      <c r="M658" s="14"/>
      <c r="N658" s="14"/>
    </row>
    <row r="659">
      <c r="A659" s="12"/>
      <c r="D659" s="95"/>
      <c r="E659" s="14"/>
      <c r="F659" s="96"/>
      <c r="H659" s="14"/>
      <c r="I659" s="14"/>
      <c r="J659" s="14"/>
      <c r="K659" s="14"/>
      <c r="L659" s="14"/>
      <c r="M659" s="14"/>
      <c r="N659" s="14"/>
    </row>
    <row r="660">
      <c r="A660" s="12"/>
      <c r="D660" s="95"/>
      <c r="E660" s="14"/>
      <c r="F660" s="96"/>
      <c r="H660" s="14"/>
      <c r="I660" s="14"/>
      <c r="J660" s="14"/>
      <c r="K660" s="14"/>
      <c r="L660" s="14"/>
      <c r="M660" s="14"/>
      <c r="N660" s="14"/>
    </row>
    <row r="661">
      <c r="A661" s="12"/>
      <c r="D661" s="95"/>
      <c r="E661" s="14"/>
      <c r="F661" s="96"/>
      <c r="H661" s="14"/>
      <c r="I661" s="14"/>
      <c r="J661" s="14"/>
      <c r="K661" s="14"/>
      <c r="L661" s="14"/>
      <c r="M661" s="14"/>
      <c r="N661" s="14"/>
    </row>
    <row r="662">
      <c r="A662" s="12"/>
      <c r="D662" s="95"/>
      <c r="E662" s="14"/>
      <c r="F662" s="96"/>
      <c r="H662" s="14"/>
      <c r="I662" s="14"/>
      <c r="J662" s="14"/>
      <c r="K662" s="14"/>
      <c r="L662" s="14"/>
      <c r="M662" s="14"/>
      <c r="N662" s="14"/>
    </row>
    <row r="663">
      <c r="A663" s="12"/>
      <c r="D663" s="95"/>
      <c r="E663" s="14"/>
      <c r="F663" s="96"/>
      <c r="H663" s="14"/>
      <c r="I663" s="14"/>
      <c r="J663" s="14"/>
      <c r="K663" s="14"/>
      <c r="L663" s="14"/>
      <c r="M663" s="14"/>
      <c r="N663" s="14"/>
    </row>
    <row r="664">
      <c r="A664" s="12"/>
      <c r="D664" s="95"/>
      <c r="E664" s="14"/>
      <c r="F664" s="96"/>
      <c r="H664" s="14"/>
      <c r="I664" s="14"/>
      <c r="J664" s="14"/>
      <c r="K664" s="14"/>
      <c r="L664" s="14"/>
      <c r="M664" s="14"/>
      <c r="N664" s="14"/>
    </row>
    <row r="665">
      <c r="A665" s="12"/>
      <c r="D665" s="95"/>
      <c r="E665" s="14"/>
      <c r="F665" s="96"/>
      <c r="H665" s="14"/>
      <c r="I665" s="14"/>
      <c r="J665" s="14"/>
      <c r="K665" s="14"/>
      <c r="L665" s="14"/>
      <c r="M665" s="14"/>
      <c r="N665" s="14"/>
    </row>
    <row r="666">
      <c r="A666" s="12"/>
      <c r="D666" s="95"/>
      <c r="E666" s="14"/>
      <c r="F666" s="96"/>
      <c r="H666" s="14"/>
      <c r="I666" s="14"/>
      <c r="J666" s="14"/>
      <c r="K666" s="14"/>
      <c r="L666" s="14"/>
      <c r="M666" s="14"/>
      <c r="N666" s="14"/>
    </row>
    <row r="667">
      <c r="A667" s="12"/>
      <c r="D667" s="95"/>
      <c r="E667" s="14"/>
      <c r="F667" s="96"/>
      <c r="H667" s="14"/>
      <c r="I667" s="14"/>
      <c r="J667" s="14"/>
      <c r="K667" s="14"/>
      <c r="L667" s="14"/>
      <c r="M667" s="14"/>
      <c r="N667" s="14"/>
    </row>
    <row r="668">
      <c r="A668" s="12"/>
      <c r="D668" s="95"/>
      <c r="E668" s="14"/>
      <c r="F668" s="96"/>
      <c r="H668" s="14"/>
      <c r="I668" s="14"/>
      <c r="J668" s="14"/>
      <c r="K668" s="14"/>
      <c r="L668" s="14"/>
      <c r="M668" s="14"/>
      <c r="N668" s="14"/>
    </row>
    <row r="669">
      <c r="A669" s="12"/>
      <c r="D669" s="95"/>
      <c r="E669" s="14"/>
      <c r="F669" s="96"/>
      <c r="H669" s="14"/>
      <c r="I669" s="14"/>
      <c r="J669" s="14"/>
      <c r="K669" s="14"/>
      <c r="L669" s="14"/>
      <c r="M669" s="14"/>
      <c r="N669" s="14"/>
    </row>
    <row r="670">
      <c r="A670" s="12"/>
      <c r="D670" s="95"/>
      <c r="E670" s="14"/>
      <c r="F670" s="96"/>
      <c r="H670" s="14"/>
      <c r="I670" s="14"/>
      <c r="J670" s="14"/>
      <c r="K670" s="14"/>
      <c r="L670" s="14"/>
      <c r="M670" s="14"/>
      <c r="N670" s="14"/>
    </row>
    <row r="671">
      <c r="A671" s="12"/>
      <c r="D671" s="95"/>
      <c r="E671" s="14"/>
      <c r="F671" s="96"/>
      <c r="H671" s="14"/>
      <c r="I671" s="14"/>
      <c r="J671" s="14"/>
      <c r="K671" s="14"/>
      <c r="L671" s="14"/>
      <c r="M671" s="14"/>
      <c r="N671" s="14"/>
    </row>
    <row r="672">
      <c r="A672" s="12"/>
      <c r="D672" s="95"/>
      <c r="E672" s="14"/>
      <c r="F672" s="96"/>
      <c r="H672" s="14"/>
      <c r="I672" s="14"/>
      <c r="J672" s="14"/>
      <c r="K672" s="14"/>
      <c r="L672" s="14"/>
      <c r="M672" s="14"/>
      <c r="N672" s="14"/>
    </row>
    <row r="673">
      <c r="A673" s="12"/>
      <c r="D673" s="95"/>
      <c r="E673" s="14"/>
      <c r="F673" s="96"/>
      <c r="H673" s="14"/>
      <c r="I673" s="14"/>
      <c r="J673" s="14"/>
      <c r="K673" s="14"/>
      <c r="L673" s="14"/>
      <c r="M673" s="14"/>
      <c r="N673" s="14"/>
    </row>
    <row r="674">
      <c r="A674" s="12"/>
      <c r="D674" s="95"/>
      <c r="E674" s="14"/>
      <c r="F674" s="96"/>
      <c r="H674" s="14"/>
      <c r="I674" s="14"/>
      <c r="J674" s="14"/>
      <c r="K674" s="14"/>
      <c r="L674" s="14"/>
      <c r="M674" s="14"/>
      <c r="N674" s="14"/>
    </row>
    <row r="675">
      <c r="A675" s="12"/>
      <c r="D675" s="95"/>
      <c r="E675" s="14"/>
      <c r="F675" s="96"/>
      <c r="H675" s="14"/>
      <c r="I675" s="14"/>
      <c r="J675" s="14"/>
      <c r="K675" s="14"/>
      <c r="L675" s="14"/>
      <c r="M675" s="14"/>
      <c r="N675" s="14"/>
    </row>
    <row r="676">
      <c r="A676" s="12"/>
      <c r="D676" s="95"/>
      <c r="E676" s="14"/>
      <c r="F676" s="96"/>
      <c r="H676" s="14"/>
      <c r="I676" s="14"/>
      <c r="J676" s="14"/>
      <c r="K676" s="14"/>
      <c r="L676" s="14"/>
      <c r="M676" s="14"/>
      <c r="N676" s="14"/>
    </row>
    <row r="677">
      <c r="A677" s="12"/>
      <c r="D677" s="95"/>
      <c r="E677" s="14"/>
      <c r="F677" s="96"/>
      <c r="H677" s="14"/>
      <c r="I677" s="14"/>
      <c r="J677" s="14"/>
      <c r="K677" s="14"/>
      <c r="L677" s="14"/>
      <c r="M677" s="14"/>
      <c r="N677" s="14"/>
    </row>
    <row r="678">
      <c r="A678" s="12"/>
      <c r="D678" s="95"/>
      <c r="E678" s="14"/>
      <c r="F678" s="96"/>
      <c r="H678" s="14"/>
      <c r="I678" s="14"/>
      <c r="J678" s="14"/>
      <c r="K678" s="14"/>
      <c r="L678" s="14"/>
      <c r="M678" s="14"/>
      <c r="N678" s="14"/>
    </row>
    <row r="679">
      <c r="A679" s="12"/>
      <c r="D679" s="95"/>
      <c r="E679" s="14"/>
      <c r="F679" s="96"/>
      <c r="H679" s="14"/>
      <c r="I679" s="14"/>
      <c r="J679" s="14"/>
      <c r="K679" s="14"/>
      <c r="L679" s="14"/>
      <c r="M679" s="14"/>
      <c r="N679" s="14"/>
    </row>
    <row r="680">
      <c r="A680" s="12"/>
      <c r="D680" s="95"/>
      <c r="E680" s="14"/>
      <c r="F680" s="96"/>
      <c r="H680" s="14"/>
      <c r="I680" s="14"/>
      <c r="J680" s="14"/>
      <c r="K680" s="14"/>
      <c r="L680" s="14"/>
      <c r="M680" s="14"/>
      <c r="N680" s="14"/>
    </row>
    <row r="681">
      <c r="A681" s="12"/>
      <c r="D681" s="95"/>
      <c r="E681" s="14"/>
      <c r="F681" s="96"/>
      <c r="H681" s="14"/>
      <c r="I681" s="14"/>
      <c r="J681" s="14"/>
      <c r="K681" s="14"/>
      <c r="L681" s="14"/>
      <c r="M681" s="14"/>
      <c r="N681" s="14"/>
    </row>
    <row r="682">
      <c r="A682" s="12"/>
      <c r="D682" s="95"/>
      <c r="E682" s="14"/>
      <c r="F682" s="96"/>
      <c r="H682" s="14"/>
      <c r="I682" s="14"/>
      <c r="J682" s="14"/>
      <c r="K682" s="14"/>
      <c r="L682" s="14"/>
      <c r="M682" s="14"/>
      <c r="N682" s="14"/>
    </row>
    <row r="683">
      <c r="A683" s="12"/>
      <c r="D683" s="95"/>
      <c r="E683" s="14"/>
      <c r="F683" s="96"/>
      <c r="H683" s="14"/>
      <c r="I683" s="14"/>
      <c r="J683" s="14"/>
      <c r="K683" s="14"/>
      <c r="L683" s="14"/>
      <c r="M683" s="14"/>
      <c r="N683" s="14"/>
    </row>
    <row r="684">
      <c r="A684" s="12"/>
      <c r="D684" s="95"/>
      <c r="E684" s="14"/>
      <c r="F684" s="96"/>
      <c r="H684" s="14"/>
      <c r="I684" s="14"/>
      <c r="J684" s="14"/>
      <c r="K684" s="14"/>
      <c r="L684" s="14"/>
      <c r="M684" s="14"/>
      <c r="N684" s="14"/>
    </row>
    <row r="685">
      <c r="A685" s="12"/>
      <c r="D685" s="95"/>
      <c r="E685" s="14"/>
      <c r="F685" s="96"/>
      <c r="H685" s="14"/>
      <c r="I685" s="14"/>
      <c r="J685" s="14"/>
      <c r="K685" s="14"/>
      <c r="L685" s="14"/>
      <c r="M685" s="14"/>
      <c r="N685" s="14"/>
    </row>
    <row r="686">
      <c r="A686" s="12"/>
      <c r="D686" s="95"/>
      <c r="E686" s="14"/>
      <c r="F686" s="96"/>
      <c r="H686" s="14"/>
      <c r="I686" s="14"/>
      <c r="J686" s="14"/>
      <c r="K686" s="14"/>
      <c r="L686" s="14"/>
      <c r="M686" s="14"/>
      <c r="N686" s="14"/>
    </row>
    <row r="687">
      <c r="A687" s="12"/>
      <c r="D687" s="95"/>
      <c r="E687" s="14"/>
      <c r="F687" s="96"/>
      <c r="H687" s="14"/>
      <c r="I687" s="14"/>
      <c r="J687" s="14"/>
      <c r="K687" s="14"/>
      <c r="L687" s="14"/>
      <c r="M687" s="14"/>
      <c r="N687" s="14"/>
    </row>
    <row r="688">
      <c r="A688" s="12"/>
      <c r="D688" s="95"/>
      <c r="E688" s="14"/>
      <c r="F688" s="96"/>
      <c r="H688" s="14"/>
      <c r="I688" s="14"/>
      <c r="J688" s="14"/>
      <c r="K688" s="14"/>
      <c r="L688" s="14"/>
      <c r="M688" s="14"/>
      <c r="N688" s="14"/>
    </row>
    <row r="689">
      <c r="A689" s="12"/>
      <c r="D689" s="95"/>
      <c r="E689" s="14"/>
      <c r="F689" s="96"/>
      <c r="H689" s="14"/>
      <c r="I689" s="14"/>
      <c r="J689" s="14"/>
      <c r="K689" s="14"/>
      <c r="L689" s="14"/>
      <c r="M689" s="14"/>
      <c r="N689" s="14"/>
    </row>
    <row r="690">
      <c r="A690" s="12"/>
      <c r="D690" s="95"/>
      <c r="E690" s="14"/>
      <c r="F690" s="96"/>
      <c r="H690" s="14"/>
      <c r="I690" s="14"/>
      <c r="J690" s="14"/>
      <c r="K690" s="14"/>
      <c r="L690" s="14"/>
      <c r="M690" s="14"/>
      <c r="N690" s="14"/>
    </row>
    <row r="691">
      <c r="A691" s="12"/>
      <c r="D691" s="95"/>
      <c r="E691" s="14"/>
      <c r="F691" s="96"/>
      <c r="H691" s="14"/>
      <c r="I691" s="14"/>
      <c r="J691" s="14"/>
      <c r="K691" s="14"/>
      <c r="L691" s="14"/>
      <c r="M691" s="14"/>
      <c r="N691" s="14"/>
    </row>
    <row r="692">
      <c r="A692" s="12"/>
      <c r="D692" s="95"/>
      <c r="E692" s="14"/>
      <c r="F692" s="96"/>
      <c r="H692" s="14"/>
      <c r="I692" s="14"/>
      <c r="J692" s="14"/>
      <c r="K692" s="14"/>
      <c r="L692" s="14"/>
      <c r="M692" s="14"/>
      <c r="N692" s="14"/>
    </row>
    <row r="693">
      <c r="A693" s="12"/>
      <c r="D693" s="95"/>
      <c r="E693" s="14"/>
      <c r="F693" s="96"/>
      <c r="H693" s="14"/>
      <c r="I693" s="14"/>
      <c r="J693" s="14"/>
      <c r="K693" s="14"/>
      <c r="L693" s="14"/>
      <c r="M693" s="14"/>
      <c r="N693" s="14"/>
    </row>
    <row r="694">
      <c r="A694" s="12"/>
      <c r="D694" s="95"/>
      <c r="E694" s="14"/>
      <c r="F694" s="96"/>
      <c r="H694" s="14"/>
      <c r="I694" s="14"/>
      <c r="J694" s="14"/>
      <c r="K694" s="14"/>
      <c r="L694" s="14"/>
      <c r="M694" s="14"/>
      <c r="N694" s="14"/>
    </row>
    <row r="695">
      <c r="A695" s="12"/>
      <c r="D695" s="95"/>
      <c r="E695" s="14"/>
      <c r="F695" s="96"/>
      <c r="H695" s="14"/>
      <c r="I695" s="14"/>
      <c r="J695" s="14"/>
      <c r="K695" s="14"/>
      <c r="L695" s="14"/>
      <c r="M695" s="14"/>
      <c r="N695" s="14"/>
    </row>
    <row r="696">
      <c r="A696" s="12"/>
      <c r="D696" s="95"/>
      <c r="E696" s="14"/>
      <c r="F696" s="96"/>
      <c r="H696" s="14"/>
      <c r="I696" s="14"/>
      <c r="J696" s="14"/>
      <c r="K696" s="14"/>
      <c r="L696" s="14"/>
      <c r="M696" s="14"/>
      <c r="N696" s="14"/>
    </row>
    <row r="697">
      <c r="A697" s="12"/>
      <c r="D697" s="95"/>
      <c r="E697" s="14"/>
      <c r="F697" s="96"/>
      <c r="H697" s="14"/>
      <c r="I697" s="14"/>
      <c r="J697" s="14"/>
      <c r="K697" s="14"/>
      <c r="L697" s="14"/>
      <c r="M697" s="14"/>
      <c r="N697" s="14"/>
    </row>
    <row r="698">
      <c r="A698" s="12"/>
      <c r="D698" s="95"/>
      <c r="E698" s="14"/>
      <c r="F698" s="96"/>
      <c r="H698" s="14"/>
      <c r="I698" s="14"/>
      <c r="J698" s="14"/>
      <c r="K698" s="14"/>
      <c r="L698" s="14"/>
      <c r="M698" s="14"/>
      <c r="N698" s="14"/>
    </row>
    <row r="699">
      <c r="A699" s="12"/>
      <c r="D699" s="95"/>
      <c r="E699" s="14"/>
      <c r="F699" s="96"/>
      <c r="H699" s="14"/>
      <c r="I699" s="14"/>
      <c r="J699" s="14"/>
      <c r="K699" s="14"/>
      <c r="L699" s="14"/>
      <c r="M699" s="14"/>
      <c r="N699" s="14"/>
    </row>
    <row r="700">
      <c r="A700" s="12"/>
      <c r="D700" s="95"/>
      <c r="E700" s="14"/>
      <c r="F700" s="96"/>
      <c r="H700" s="14"/>
      <c r="I700" s="14"/>
      <c r="J700" s="14"/>
      <c r="K700" s="14"/>
      <c r="L700" s="14"/>
      <c r="M700" s="14"/>
      <c r="N700" s="14"/>
    </row>
    <row r="701">
      <c r="A701" s="12"/>
      <c r="D701" s="95"/>
      <c r="E701" s="14"/>
      <c r="F701" s="96"/>
      <c r="H701" s="14"/>
      <c r="I701" s="14"/>
      <c r="J701" s="14"/>
      <c r="K701" s="14"/>
      <c r="L701" s="14"/>
      <c r="M701" s="14"/>
      <c r="N701" s="14"/>
    </row>
    <row r="702">
      <c r="A702" s="12"/>
      <c r="D702" s="95"/>
      <c r="E702" s="14"/>
      <c r="F702" s="96"/>
      <c r="H702" s="14"/>
      <c r="I702" s="14"/>
      <c r="J702" s="14"/>
      <c r="K702" s="14"/>
      <c r="L702" s="14"/>
      <c r="M702" s="14"/>
      <c r="N702" s="14"/>
    </row>
    <row r="703">
      <c r="A703" s="12"/>
      <c r="D703" s="95"/>
      <c r="E703" s="14"/>
      <c r="F703" s="96"/>
      <c r="H703" s="14"/>
      <c r="I703" s="14"/>
      <c r="J703" s="14"/>
      <c r="K703" s="14"/>
      <c r="L703" s="14"/>
      <c r="M703" s="14"/>
      <c r="N703" s="14"/>
    </row>
    <row r="704">
      <c r="A704" s="12"/>
      <c r="D704" s="95"/>
      <c r="E704" s="14"/>
      <c r="F704" s="96"/>
      <c r="H704" s="14"/>
      <c r="I704" s="14"/>
      <c r="J704" s="14"/>
      <c r="K704" s="14"/>
      <c r="L704" s="14"/>
      <c r="M704" s="14"/>
      <c r="N704" s="14"/>
    </row>
    <row r="705">
      <c r="A705" s="12"/>
      <c r="D705" s="95"/>
      <c r="E705" s="14"/>
      <c r="F705" s="96"/>
      <c r="H705" s="14"/>
      <c r="I705" s="14"/>
      <c r="J705" s="14"/>
      <c r="K705" s="14"/>
      <c r="L705" s="14"/>
      <c r="M705" s="14"/>
      <c r="N705" s="14"/>
    </row>
    <row r="706">
      <c r="A706" s="12"/>
      <c r="D706" s="95"/>
      <c r="E706" s="14"/>
      <c r="F706" s="96"/>
      <c r="H706" s="14"/>
      <c r="I706" s="14"/>
      <c r="J706" s="14"/>
      <c r="K706" s="14"/>
      <c r="L706" s="14"/>
      <c r="M706" s="14"/>
      <c r="N706" s="14"/>
    </row>
    <row r="707">
      <c r="A707" s="12"/>
      <c r="D707" s="95"/>
      <c r="E707" s="14"/>
      <c r="F707" s="96"/>
      <c r="H707" s="14"/>
      <c r="I707" s="14"/>
      <c r="J707" s="14"/>
      <c r="K707" s="14"/>
      <c r="L707" s="14"/>
      <c r="M707" s="14"/>
      <c r="N707" s="14"/>
    </row>
    <row r="708">
      <c r="A708" s="12"/>
      <c r="D708" s="95"/>
      <c r="E708" s="14"/>
      <c r="F708" s="96"/>
      <c r="H708" s="14"/>
      <c r="I708" s="14"/>
      <c r="J708" s="14"/>
      <c r="K708" s="14"/>
      <c r="L708" s="14"/>
      <c r="M708" s="14"/>
      <c r="N708" s="14"/>
    </row>
    <row r="709">
      <c r="A709" s="12"/>
      <c r="D709" s="95"/>
      <c r="E709" s="14"/>
      <c r="F709" s="96"/>
      <c r="H709" s="14"/>
      <c r="I709" s="14"/>
      <c r="J709" s="14"/>
      <c r="K709" s="14"/>
      <c r="L709" s="14"/>
      <c r="M709" s="14"/>
      <c r="N709" s="14"/>
    </row>
    <row r="710">
      <c r="A710" s="12"/>
      <c r="D710" s="95"/>
      <c r="E710" s="14"/>
      <c r="F710" s="96"/>
      <c r="H710" s="14"/>
      <c r="I710" s="14"/>
      <c r="J710" s="14"/>
      <c r="K710" s="14"/>
      <c r="L710" s="14"/>
      <c r="M710" s="14"/>
      <c r="N710" s="14"/>
    </row>
    <row r="711">
      <c r="A711" s="12"/>
      <c r="D711" s="95"/>
      <c r="E711" s="14"/>
      <c r="F711" s="96"/>
      <c r="H711" s="14"/>
      <c r="I711" s="14"/>
      <c r="J711" s="14"/>
      <c r="K711" s="14"/>
      <c r="L711" s="14"/>
      <c r="M711" s="14"/>
      <c r="N711" s="14"/>
    </row>
    <row r="712">
      <c r="A712" s="12"/>
      <c r="D712" s="95"/>
      <c r="E712" s="14"/>
      <c r="F712" s="96"/>
      <c r="H712" s="14"/>
      <c r="I712" s="14"/>
      <c r="J712" s="14"/>
      <c r="K712" s="14"/>
      <c r="L712" s="14"/>
      <c r="M712" s="14"/>
      <c r="N712" s="14"/>
    </row>
    <row r="713">
      <c r="A713" s="12"/>
      <c r="D713" s="95"/>
      <c r="E713" s="14"/>
      <c r="F713" s="96"/>
      <c r="H713" s="14"/>
      <c r="I713" s="14"/>
      <c r="J713" s="14"/>
      <c r="K713" s="14"/>
      <c r="L713" s="14"/>
      <c r="M713" s="14"/>
      <c r="N713" s="14"/>
    </row>
    <row r="714">
      <c r="A714" s="12"/>
      <c r="D714" s="95"/>
      <c r="E714" s="14"/>
      <c r="F714" s="96"/>
      <c r="H714" s="14"/>
      <c r="I714" s="14"/>
      <c r="J714" s="14"/>
      <c r="K714" s="14"/>
      <c r="L714" s="14"/>
      <c r="M714" s="14"/>
      <c r="N714" s="14"/>
    </row>
    <row r="715">
      <c r="A715" s="12"/>
      <c r="D715" s="95"/>
      <c r="E715" s="14"/>
      <c r="F715" s="96"/>
      <c r="H715" s="14"/>
      <c r="I715" s="14"/>
      <c r="J715" s="14"/>
      <c r="K715" s="14"/>
      <c r="L715" s="14"/>
      <c r="M715" s="14"/>
      <c r="N715" s="14"/>
    </row>
    <row r="716">
      <c r="A716" s="12"/>
      <c r="D716" s="95"/>
      <c r="E716" s="14"/>
      <c r="F716" s="96"/>
      <c r="H716" s="14"/>
      <c r="I716" s="14"/>
      <c r="J716" s="14"/>
      <c r="K716" s="14"/>
      <c r="L716" s="14"/>
      <c r="M716" s="14"/>
      <c r="N716" s="14"/>
    </row>
    <row r="717">
      <c r="A717" s="12"/>
      <c r="D717" s="95"/>
      <c r="E717" s="14"/>
      <c r="F717" s="96"/>
      <c r="H717" s="14"/>
      <c r="I717" s="14"/>
      <c r="J717" s="14"/>
      <c r="K717" s="14"/>
      <c r="L717" s="14"/>
      <c r="M717" s="14"/>
      <c r="N717" s="14"/>
    </row>
    <row r="718">
      <c r="A718" s="12"/>
      <c r="D718" s="95"/>
      <c r="E718" s="14"/>
      <c r="F718" s="96"/>
      <c r="H718" s="14"/>
      <c r="I718" s="14"/>
      <c r="J718" s="14"/>
      <c r="K718" s="14"/>
      <c r="L718" s="14"/>
      <c r="M718" s="14"/>
      <c r="N718" s="14"/>
    </row>
    <row r="719">
      <c r="A719" s="12"/>
      <c r="D719" s="95"/>
      <c r="E719" s="14"/>
      <c r="F719" s="96"/>
      <c r="H719" s="14"/>
      <c r="I719" s="14"/>
      <c r="J719" s="14"/>
      <c r="K719" s="14"/>
      <c r="L719" s="14"/>
      <c r="M719" s="14"/>
      <c r="N719" s="14"/>
    </row>
    <row r="720">
      <c r="A720" s="12"/>
      <c r="D720" s="95"/>
      <c r="E720" s="14"/>
      <c r="F720" s="96"/>
      <c r="H720" s="14"/>
      <c r="I720" s="14"/>
      <c r="J720" s="14"/>
      <c r="K720" s="14"/>
      <c r="L720" s="14"/>
      <c r="M720" s="14"/>
      <c r="N720" s="14"/>
    </row>
    <row r="721">
      <c r="A721" s="12"/>
      <c r="D721" s="95"/>
      <c r="E721" s="14"/>
      <c r="F721" s="96"/>
      <c r="H721" s="14"/>
      <c r="I721" s="14"/>
      <c r="J721" s="14"/>
      <c r="K721" s="14"/>
      <c r="L721" s="14"/>
      <c r="M721" s="14"/>
      <c r="N721" s="14"/>
    </row>
    <row r="722">
      <c r="A722" s="12"/>
      <c r="D722" s="95"/>
      <c r="E722" s="14"/>
      <c r="F722" s="96"/>
      <c r="H722" s="14"/>
      <c r="I722" s="14"/>
      <c r="J722" s="14"/>
      <c r="K722" s="14"/>
      <c r="L722" s="14"/>
      <c r="M722" s="14"/>
      <c r="N722" s="14"/>
    </row>
    <row r="723">
      <c r="A723" s="12"/>
      <c r="D723" s="95"/>
      <c r="E723" s="14"/>
      <c r="F723" s="96"/>
      <c r="H723" s="14"/>
      <c r="I723" s="14"/>
      <c r="J723" s="14"/>
      <c r="K723" s="14"/>
      <c r="L723" s="14"/>
      <c r="M723" s="14"/>
      <c r="N723" s="14"/>
    </row>
    <row r="724">
      <c r="A724" s="12"/>
      <c r="D724" s="95"/>
      <c r="E724" s="14"/>
      <c r="F724" s="96"/>
      <c r="H724" s="14"/>
      <c r="I724" s="14"/>
      <c r="J724" s="14"/>
      <c r="K724" s="14"/>
      <c r="L724" s="14"/>
      <c r="M724" s="14"/>
      <c r="N724" s="14"/>
    </row>
    <row r="725">
      <c r="A725" s="12"/>
      <c r="D725" s="95"/>
      <c r="E725" s="14"/>
      <c r="F725" s="96"/>
      <c r="H725" s="14"/>
      <c r="I725" s="14"/>
      <c r="J725" s="14"/>
      <c r="K725" s="14"/>
      <c r="L725" s="14"/>
      <c r="M725" s="14"/>
      <c r="N725" s="14"/>
    </row>
    <row r="726">
      <c r="A726" s="12"/>
      <c r="D726" s="95"/>
      <c r="E726" s="14"/>
      <c r="F726" s="96"/>
      <c r="H726" s="14"/>
      <c r="I726" s="14"/>
      <c r="J726" s="14"/>
      <c r="K726" s="14"/>
      <c r="L726" s="14"/>
      <c r="M726" s="14"/>
      <c r="N726" s="14"/>
    </row>
    <row r="727">
      <c r="A727" s="12"/>
      <c r="D727" s="95"/>
      <c r="E727" s="14"/>
      <c r="F727" s="96"/>
      <c r="H727" s="14"/>
      <c r="I727" s="14"/>
      <c r="J727" s="14"/>
      <c r="K727" s="14"/>
      <c r="L727" s="14"/>
      <c r="M727" s="14"/>
      <c r="N727" s="14"/>
    </row>
    <row r="728">
      <c r="A728" s="12"/>
      <c r="D728" s="95"/>
      <c r="E728" s="14"/>
      <c r="F728" s="96"/>
      <c r="H728" s="14"/>
      <c r="I728" s="14"/>
      <c r="J728" s="14"/>
      <c r="K728" s="14"/>
      <c r="L728" s="14"/>
      <c r="M728" s="14"/>
      <c r="N728" s="14"/>
    </row>
    <row r="729">
      <c r="A729" s="12"/>
      <c r="D729" s="95"/>
      <c r="E729" s="14"/>
      <c r="F729" s="96"/>
      <c r="H729" s="14"/>
      <c r="I729" s="14"/>
      <c r="J729" s="14"/>
      <c r="K729" s="14"/>
      <c r="L729" s="14"/>
      <c r="M729" s="14"/>
      <c r="N729" s="14"/>
    </row>
    <row r="730">
      <c r="A730" s="12"/>
      <c r="D730" s="95"/>
      <c r="E730" s="14"/>
      <c r="F730" s="96"/>
      <c r="H730" s="14"/>
      <c r="I730" s="14"/>
      <c r="J730" s="14"/>
      <c r="K730" s="14"/>
      <c r="L730" s="14"/>
      <c r="M730" s="14"/>
      <c r="N730" s="14"/>
    </row>
    <row r="731">
      <c r="A731" s="12"/>
      <c r="D731" s="95"/>
      <c r="E731" s="14"/>
      <c r="F731" s="96"/>
      <c r="H731" s="14"/>
      <c r="I731" s="14"/>
      <c r="J731" s="14"/>
      <c r="K731" s="14"/>
      <c r="L731" s="14"/>
      <c r="M731" s="14"/>
      <c r="N731" s="14"/>
    </row>
    <row r="732">
      <c r="A732" s="12"/>
      <c r="D732" s="95"/>
      <c r="E732" s="14"/>
      <c r="F732" s="96"/>
      <c r="H732" s="14"/>
      <c r="I732" s="14"/>
      <c r="J732" s="14"/>
      <c r="K732" s="14"/>
      <c r="L732" s="14"/>
      <c r="M732" s="14"/>
      <c r="N732" s="14"/>
    </row>
    <row r="733">
      <c r="A733" s="12"/>
      <c r="D733" s="95"/>
      <c r="E733" s="14"/>
      <c r="F733" s="96"/>
      <c r="H733" s="14"/>
      <c r="I733" s="14"/>
      <c r="J733" s="14"/>
      <c r="K733" s="14"/>
      <c r="L733" s="14"/>
      <c r="M733" s="14"/>
      <c r="N733" s="14"/>
    </row>
    <row r="734">
      <c r="A734" s="12"/>
      <c r="D734" s="95"/>
      <c r="E734" s="14"/>
      <c r="F734" s="96"/>
      <c r="H734" s="14"/>
      <c r="I734" s="14"/>
      <c r="J734" s="14"/>
      <c r="K734" s="14"/>
      <c r="L734" s="14"/>
      <c r="M734" s="14"/>
      <c r="N734" s="14"/>
    </row>
    <row r="735">
      <c r="A735" s="12"/>
      <c r="D735" s="95"/>
      <c r="E735" s="14"/>
      <c r="F735" s="96"/>
      <c r="H735" s="14"/>
      <c r="I735" s="14"/>
      <c r="J735" s="14"/>
      <c r="K735" s="14"/>
      <c r="L735" s="14"/>
      <c r="M735" s="14"/>
      <c r="N735" s="14"/>
    </row>
    <row r="736">
      <c r="A736" s="12"/>
      <c r="D736" s="95"/>
      <c r="E736" s="14"/>
      <c r="F736" s="96"/>
      <c r="H736" s="14"/>
      <c r="I736" s="14"/>
      <c r="J736" s="14"/>
      <c r="K736" s="14"/>
      <c r="L736" s="14"/>
      <c r="M736" s="14"/>
      <c r="N736" s="14"/>
    </row>
    <row r="737">
      <c r="A737" s="12"/>
      <c r="D737" s="95"/>
      <c r="E737" s="14"/>
      <c r="F737" s="96"/>
      <c r="H737" s="14"/>
      <c r="I737" s="14"/>
      <c r="J737" s="14"/>
      <c r="K737" s="14"/>
      <c r="L737" s="14"/>
      <c r="M737" s="14"/>
      <c r="N737" s="14"/>
    </row>
    <row r="738">
      <c r="A738" s="12"/>
      <c r="D738" s="95"/>
      <c r="E738" s="14"/>
      <c r="F738" s="96"/>
      <c r="H738" s="14"/>
      <c r="I738" s="14"/>
      <c r="J738" s="14"/>
      <c r="K738" s="14"/>
      <c r="L738" s="14"/>
      <c r="M738" s="14"/>
      <c r="N738" s="14"/>
    </row>
    <row r="739">
      <c r="A739" s="12"/>
      <c r="D739" s="95"/>
      <c r="E739" s="14"/>
      <c r="F739" s="96"/>
      <c r="H739" s="14"/>
      <c r="I739" s="14"/>
      <c r="J739" s="14"/>
      <c r="K739" s="14"/>
      <c r="L739" s="14"/>
      <c r="M739" s="14"/>
      <c r="N739" s="14"/>
    </row>
    <row r="740">
      <c r="A740" s="12"/>
      <c r="D740" s="95"/>
      <c r="E740" s="14"/>
      <c r="F740" s="96"/>
      <c r="H740" s="14"/>
      <c r="I740" s="14"/>
      <c r="J740" s="14"/>
      <c r="K740" s="14"/>
      <c r="L740" s="14"/>
      <c r="M740" s="14"/>
      <c r="N740" s="14"/>
    </row>
    <row r="741">
      <c r="A741" s="12"/>
      <c r="D741" s="95"/>
      <c r="E741" s="14"/>
      <c r="F741" s="96"/>
      <c r="H741" s="14"/>
      <c r="I741" s="14"/>
      <c r="J741" s="14"/>
      <c r="K741" s="14"/>
      <c r="L741" s="14"/>
      <c r="M741" s="14"/>
      <c r="N741" s="14"/>
    </row>
    <row r="742">
      <c r="A742" s="12"/>
      <c r="D742" s="95"/>
      <c r="E742" s="14"/>
      <c r="F742" s="96"/>
      <c r="H742" s="14"/>
      <c r="I742" s="14"/>
      <c r="J742" s="14"/>
      <c r="K742" s="14"/>
      <c r="L742" s="14"/>
      <c r="M742" s="14"/>
      <c r="N742" s="14"/>
    </row>
    <row r="743">
      <c r="A743" s="12"/>
      <c r="D743" s="95"/>
      <c r="E743" s="14"/>
      <c r="F743" s="96"/>
      <c r="H743" s="14"/>
      <c r="I743" s="14"/>
      <c r="J743" s="14"/>
      <c r="K743" s="14"/>
      <c r="L743" s="14"/>
      <c r="M743" s="14"/>
      <c r="N743" s="14"/>
    </row>
    <row r="744">
      <c r="A744" s="12"/>
      <c r="D744" s="95"/>
      <c r="E744" s="14"/>
      <c r="F744" s="96"/>
      <c r="H744" s="14"/>
      <c r="I744" s="14"/>
      <c r="J744" s="14"/>
      <c r="K744" s="14"/>
      <c r="L744" s="14"/>
      <c r="M744" s="14"/>
      <c r="N744" s="14"/>
    </row>
    <row r="745">
      <c r="A745" s="12"/>
      <c r="D745" s="95"/>
      <c r="E745" s="14"/>
      <c r="F745" s="96"/>
      <c r="H745" s="14"/>
      <c r="I745" s="14"/>
      <c r="J745" s="14"/>
      <c r="K745" s="14"/>
      <c r="L745" s="14"/>
      <c r="M745" s="14"/>
      <c r="N745" s="14"/>
    </row>
    <row r="746">
      <c r="A746" s="12"/>
      <c r="D746" s="95"/>
      <c r="E746" s="14"/>
      <c r="F746" s="96"/>
      <c r="H746" s="14"/>
      <c r="I746" s="14"/>
      <c r="J746" s="14"/>
      <c r="K746" s="14"/>
      <c r="L746" s="14"/>
      <c r="M746" s="14"/>
      <c r="N746" s="14"/>
    </row>
    <row r="747">
      <c r="A747" s="12"/>
      <c r="D747" s="95"/>
      <c r="E747" s="14"/>
      <c r="F747" s="96"/>
      <c r="H747" s="14"/>
      <c r="I747" s="14"/>
      <c r="J747" s="14"/>
      <c r="K747" s="14"/>
      <c r="L747" s="14"/>
      <c r="M747" s="14"/>
      <c r="N747" s="14"/>
    </row>
    <row r="748">
      <c r="A748" s="12"/>
      <c r="D748" s="95"/>
      <c r="E748" s="14"/>
      <c r="F748" s="96"/>
      <c r="H748" s="14"/>
      <c r="I748" s="14"/>
      <c r="J748" s="14"/>
      <c r="K748" s="14"/>
      <c r="L748" s="14"/>
      <c r="M748" s="14"/>
      <c r="N748" s="14"/>
    </row>
    <row r="749">
      <c r="A749" s="12"/>
      <c r="D749" s="95"/>
      <c r="E749" s="14"/>
      <c r="F749" s="96"/>
      <c r="H749" s="14"/>
      <c r="I749" s="14"/>
      <c r="J749" s="14"/>
      <c r="K749" s="14"/>
      <c r="L749" s="14"/>
      <c r="M749" s="14"/>
      <c r="N749" s="14"/>
    </row>
    <row r="750">
      <c r="A750" s="12"/>
      <c r="D750" s="95"/>
      <c r="E750" s="14"/>
      <c r="F750" s="96"/>
      <c r="H750" s="14"/>
      <c r="I750" s="14"/>
      <c r="J750" s="14"/>
      <c r="K750" s="14"/>
      <c r="L750" s="14"/>
      <c r="M750" s="14"/>
      <c r="N750" s="14"/>
    </row>
    <row r="751">
      <c r="A751" s="12"/>
      <c r="D751" s="95"/>
      <c r="E751" s="14"/>
      <c r="F751" s="96"/>
      <c r="H751" s="14"/>
      <c r="I751" s="14"/>
      <c r="J751" s="14"/>
      <c r="K751" s="14"/>
      <c r="L751" s="14"/>
      <c r="M751" s="14"/>
      <c r="N751" s="14"/>
    </row>
    <row r="752">
      <c r="A752" s="12"/>
      <c r="D752" s="95"/>
      <c r="E752" s="14"/>
      <c r="F752" s="96"/>
      <c r="H752" s="14"/>
      <c r="I752" s="14"/>
      <c r="J752" s="14"/>
      <c r="K752" s="14"/>
      <c r="L752" s="14"/>
      <c r="M752" s="14"/>
      <c r="N752" s="14"/>
    </row>
    <row r="753">
      <c r="A753" s="12"/>
      <c r="D753" s="95"/>
      <c r="E753" s="14"/>
      <c r="F753" s="96"/>
      <c r="H753" s="14"/>
      <c r="I753" s="14"/>
      <c r="J753" s="14"/>
      <c r="K753" s="14"/>
      <c r="L753" s="14"/>
      <c r="M753" s="14"/>
      <c r="N753" s="14"/>
    </row>
    <row r="754">
      <c r="A754" s="12"/>
      <c r="D754" s="95"/>
      <c r="E754" s="14"/>
      <c r="F754" s="96"/>
      <c r="H754" s="14"/>
      <c r="I754" s="14"/>
      <c r="J754" s="14"/>
      <c r="K754" s="14"/>
      <c r="L754" s="14"/>
      <c r="M754" s="14"/>
      <c r="N754" s="14"/>
    </row>
    <row r="755">
      <c r="A755" s="12"/>
      <c r="D755" s="95"/>
      <c r="E755" s="14"/>
      <c r="F755" s="96"/>
      <c r="H755" s="14"/>
      <c r="I755" s="14"/>
      <c r="J755" s="14"/>
      <c r="K755" s="14"/>
      <c r="L755" s="14"/>
      <c r="M755" s="14"/>
      <c r="N755" s="14"/>
    </row>
    <row r="756">
      <c r="A756" s="12"/>
      <c r="D756" s="95"/>
      <c r="E756" s="14"/>
      <c r="F756" s="96"/>
      <c r="H756" s="14"/>
      <c r="I756" s="14"/>
      <c r="J756" s="14"/>
      <c r="K756" s="14"/>
      <c r="L756" s="14"/>
      <c r="M756" s="14"/>
      <c r="N756" s="14"/>
    </row>
    <row r="757">
      <c r="A757" s="12"/>
      <c r="D757" s="95"/>
      <c r="E757" s="14"/>
      <c r="F757" s="96"/>
      <c r="H757" s="14"/>
      <c r="I757" s="14"/>
      <c r="J757" s="14"/>
      <c r="K757" s="14"/>
      <c r="L757" s="14"/>
      <c r="M757" s="14"/>
      <c r="N757" s="14"/>
    </row>
    <row r="758">
      <c r="A758" s="12"/>
      <c r="D758" s="95"/>
      <c r="E758" s="14"/>
      <c r="F758" s="96"/>
      <c r="H758" s="14"/>
      <c r="I758" s="14"/>
      <c r="J758" s="14"/>
      <c r="K758" s="14"/>
      <c r="L758" s="14"/>
      <c r="M758" s="14"/>
      <c r="N758" s="14"/>
    </row>
    <row r="759">
      <c r="A759" s="12"/>
      <c r="D759" s="95"/>
      <c r="E759" s="14"/>
      <c r="F759" s="96"/>
      <c r="H759" s="14"/>
      <c r="I759" s="14"/>
      <c r="J759" s="14"/>
      <c r="K759" s="14"/>
      <c r="L759" s="14"/>
      <c r="M759" s="14"/>
      <c r="N759" s="14"/>
    </row>
    <row r="760">
      <c r="A760" s="12"/>
      <c r="D760" s="95"/>
      <c r="E760" s="14"/>
      <c r="F760" s="96"/>
      <c r="H760" s="14"/>
      <c r="I760" s="14"/>
      <c r="J760" s="14"/>
      <c r="K760" s="14"/>
      <c r="L760" s="14"/>
      <c r="M760" s="14"/>
      <c r="N760" s="14"/>
    </row>
    <row r="761">
      <c r="A761" s="12"/>
      <c r="D761" s="95"/>
      <c r="E761" s="14"/>
      <c r="F761" s="96"/>
      <c r="H761" s="14"/>
      <c r="I761" s="14"/>
      <c r="J761" s="14"/>
      <c r="K761" s="14"/>
      <c r="L761" s="14"/>
      <c r="M761" s="14"/>
      <c r="N761" s="14"/>
    </row>
    <row r="762">
      <c r="A762" s="12"/>
      <c r="D762" s="95"/>
      <c r="E762" s="14"/>
      <c r="F762" s="96"/>
      <c r="H762" s="14"/>
      <c r="I762" s="14"/>
      <c r="J762" s="14"/>
      <c r="K762" s="14"/>
      <c r="L762" s="14"/>
      <c r="M762" s="14"/>
      <c r="N762" s="14"/>
    </row>
    <row r="763">
      <c r="A763" s="12"/>
      <c r="D763" s="95"/>
      <c r="E763" s="14"/>
      <c r="F763" s="96"/>
      <c r="H763" s="14"/>
      <c r="I763" s="14"/>
      <c r="J763" s="14"/>
      <c r="K763" s="14"/>
      <c r="L763" s="14"/>
      <c r="M763" s="14"/>
      <c r="N763" s="14"/>
    </row>
    <row r="764">
      <c r="A764" s="12"/>
      <c r="D764" s="95"/>
      <c r="E764" s="14"/>
      <c r="F764" s="96"/>
      <c r="H764" s="14"/>
      <c r="I764" s="14"/>
      <c r="J764" s="14"/>
      <c r="K764" s="14"/>
      <c r="L764" s="14"/>
      <c r="M764" s="14"/>
      <c r="N764" s="14"/>
    </row>
    <row r="765">
      <c r="A765" s="12"/>
      <c r="D765" s="95"/>
      <c r="E765" s="14"/>
      <c r="F765" s="96"/>
      <c r="H765" s="14"/>
      <c r="I765" s="14"/>
      <c r="J765" s="14"/>
      <c r="K765" s="14"/>
      <c r="L765" s="14"/>
      <c r="M765" s="14"/>
      <c r="N765" s="14"/>
    </row>
    <row r="766">
      <c r="A766" s="12"/>
      <c r="D766" s="95"/>
      <c r="E766" s="14"/>
      <c r="F766" s="96"/>
      <c r="H766" s="14"/>
      <c r="I766" s="14"/>
      <c r="J766" s="14"/>
      <c r="K766" s="14"/>
      <c r="L766" s="14"/>
      <c r="M766" s="14"/>
      <c r="N766" s="14"/>
    </row>
    <row r="767">
      <c r="A767" s="12"/>
      <c r="D767" s="95"/>
      <c r="E767" s="14"/>
      <c r="F767" s="96"/>
      <c r="H767" s="14"/>
      <c r="I767" s="14"/>
      <c r="J767" s="14"/>
      <c r="K767" s="14"/>
      <c r="L767" s="14"/>
      <c r="M767" s="14"/>
      <c r="N767" s="14"/>
    </row>
    <row r="768">
      <c r="A768" s="12"/>
      <c r="D768" s="95"/>
      <c r="E768" s="14"/>
      <c r="F768" s="96"/>
      <c r="H768" s="14"/>
      <c r="I768" s="14"/>
      <c r="J768" s="14"/>
      <c r="K768" s="14"/>
      <c r="L768" s="14"/>
      <c r="M768" s="14"/>
      <c r="N768" s="14"/>
    </row>
    <row r="769">
      <c r="A769" s="12"/>
      <c r="D769" s="95"/>
      <c r="E769" s="14"/>
      <c r="F769" s="96"/>
      <c r="H769" s="14"/>
      <c r="I769" s="14"/>
      <c r="J769" s="14"/>
      <c r="K769" s="14"/>
      <c r="L769" s="14"/>
      <c r="M769" s="14"/>
      <c r="N769" s="14"/>
    </row>
    <row r="770">
      <c r="A770" s="12"/>
      <c r="D770" s="95"/>
      <c r="E770" s="14"/>
      <c r="F770" s="96"/>
      <c r="H770" s="14"/>
      <c r="I770" s="14"/>
      <c r="J770" s="14"/>
      <c r="K770" s="14"/>
      <c r="L770" s="14"/>
      <c r="M770" s="14"/>
      <c r="N770" s="14"/>
    </row>
    <row r="771">
      <c r="A771" s="12"/>
      <c r="D771" s="95"/>
      <c r="E771" s="14"/>
      <c r="F771" s="96"/>
      <c r="H771" s="14"/>
      <c r="I771" s="14"/>
      <c r="J771" s="14"/>
      <c r="K771" s="14"/>
      <c r="L771" s="14"/>
      <c r="M771" s="14"/>
      <c r="N771" s="14"/>
    </row>
    <row r="772">
      <c r="A772" s="12"/>
      <c r="D772" s="95"/>
      <c r="E772" s="14"/>
      <c r="F772" s="96"/>
      <c r="H772" s="14"/>
      <c r="I772" s="14"/>
      <c r="J772" s="14"/>
      <c r="K772" s="14"/>
      <c r="L772" s="14"/>
      <c r="M772" s="14"/>
      <c r="N772" s="14"/>
    </row>
    <row r="773">
      <c r="A773" s="12"/>
      <c r="D773" s="95"/>
      <c r="E773" s="14"/>
      <c r="F773" s="96"/>
      <c r="H773" s="14"/>
      <c r="I773" s="14"/>
      <c r="J773" s="14"/>
      <c r="K773" s="14"/>
      <c r="L773" s="14"/>
      <c r="M773" s="14"/>
      <c r="N773" s="14"/>
    </row>
    <row r="774">
      <c r="A774" s="12"/>
      <c r="D774" s="95"/>
      <c r="E774" s="14"/>
      <c r="F774" s="96"/>
      <c r="H774" s="14"/>
      <c r="I774" s="14"/>
      <c r="J774" s="14"/>
      <c r="K774" s="14"/>
      <c r="L774" s="14"/>
      <c r="M774" s="14"/>
      <c r="N774" s="14"/>
    </row>
    <row r="775">
      <c r="A775" s="12"/>
      <c r="D775" s="95"/>
      <c r="E775" s="14"/>
      <c r="F775" s="96"/>
      <c r="H775" s="14"/>
      <c r="I775" s="14"/>
      <c r="J775" s="14"/>
      <c r="K775" s="14"/>
      <c r="L775" s="14"/>
      <c r="M775" s="14"/>
      <c r="N775" s="14"/>
    </row>
    <row r="776">
      <c r="A776" s="12"/>
      <c r="D776" s="95"/>
      <c r="E776" s="14"/>
      <c r="F776" s="96"/>
      <c r="H776" s="14"/>
      <c r="I776" s="14"/>
      <c r="J776" s="14"/>
      <c r="K776" s="14"/>
      <c r="L776" s="14"/>
      <c r="M776" s="14"/>
      <c r="N776" s="14"/>
    </row>
    <row r="777">
      <c r="A777" s="12"/>
      <c r="D777" s="95"/>
      <c r="E777" s="14"/>
      <c r="F777" s="96"/>
      <c r="H777" s="14"/>
      <c r="I777" s="14"/>
      <c r="J777" s="14"/>
      <c r="K777" s="14"/>
      <c r="L777" s="14"/>
      <c r="M777" s="14"/>
      <c r="N777" s="14"/>
    </row>
    <row r="778">
      <c r="A778" s="12"/>
      <c r="D778" s="95"/>
      <c r="E778" s="14"/>
      <c r="F778" s="96"/>
      <c r="H778" s="14"/>
      <c r="I778" s="14"/>
      <c r="J778" s="14"/>
      <c r="K778" s="14"/>
      <c r="L778" s="14"/>
      <c r="M778" s="14"/>
      <c r="N778" s="14"/>
    </row>
    <row r="779">
      <c r="A779" s="12"/>
      <c r="D779" s="95"/>
      <c r="E779" s="14"/>
      <c r="F779" s="96"/>
      <c r="H779" s="14"/>
      <c r="I779" s="14"/>
      <c r="J779" s="14"/>
      <c r="K779" s="14"/>
      <c r="L779" s="14"/>
      <c r="M779" s="14"/>
      <c r="N779" s="14"/>
    </row>
    <row r="780">
      <c r="A780" s="12"/>
      <c r="D780" s="95"/>
      <c r="E780" s="14"/>
      <c r="F780" s="96"/>
      <c r="H780" s="14"/>
      <c r="I780" s="14"/>
      <c r="J780" s="14"/>
      <c r="K780" s="14"/>
      <c r="L780" s="14"/>
      <c r="M780" s="14"/>
      <c r="N780" s="14"/>
    </row>
    <row r="781">
      <c r="A781" s="12"/>
      <c r="D781" s="95"/>
      <c r="E781" s="14"/>
      <c r="F781" s="96"/>
      <c r="H781" s="14"/>
      <c r="I781" s="14"/>
      <c r="J781" s="14"/>
      <c r="K781" s="14"/>
      <c r="L781" s="14"/>
      <c r="M781" s="14"/>
      <c r="N781" s="14"/>
    </row>
    <row r="782">
      <c r="A782" s="12"/>
      <c r="D782" s="95"/>
      <c r="E782" s="14"/>
      <c r="F782" s="96"/>
      <c r="H782" s="14"/>
      <c r="I782" s="14"/>
      <c r="J782" s="14"/>
      <c r="K782" s="14"/>
      <c r="L782" s="14"/>
      <c r="M782" s="14"/>
      <c r="N782" s="14"/>
    </row>
    <row r="783">
      <c r="A783" s="12"/>
      <c r="D783" s="95"/>
      <c r="E783" s="14"/>
      <c r="F783" s="96"/>
      <c r="H783" s="14"/>
      <c r="I783" s="14"/>
      <c r="J783" s="14"/>
      <c r="K783" s="14"/>
      <c r="L783" s="14"/>
      <c r="M783" s="14"/>
      <c r="N783" s="14"/>
    </row>
    <row r="784">
      <c r="A784" s="12"/>
      <c r="D784" s="95"/>
      <c r="E784" s="14"/>
      <c r="F784" s="96"/>
      <c r="H784" s="14"/>
      <c r="I784" s="14"/>
      <c r="J784" s="14"/>
      <c r="K784" s="14"/>
      <c r="L784" s="14"/>
      <c r="M784" s="14"/>
      <c r="N784" s="14"/>
    </row>
    <row r="785">
      <c r="A785" s="12"/>
      <c r="D785" s="95"/>
      <c r="E785" s="14"/>
      <c r="F785" s="96"/>
      <c r="H785" s="14"/>
      <c r="I785" s="14"/>
      <c r="J785" s="14"/>
      <c r="K785" s="14"/>
      <c r="L785" s="14"/>
      <c r="M785" s="14"/>
      <c r="N785" s="14"/>
    </row>
    <row r="786">
      <c r="A786" s="12"/>
      <c r="D786" s="95"/>
      <c r="E786" s="14"/>
      <c r="F786" s="96"/>
      <c r="H786" s="14"/>
      <c r="I786" s="14"/>
      <c r="J786" s="14"/>
      <c r="K786" s="14"/>
      <c r="L786" s="14"/>
      <c r="M786" s="14"/>
      <c r="N786" s="14"/>
    </row>
    <row r="787">
      <c r="A787" s="12"/>
      <c r="D787" s="95"/>
      <c r="E787" s="14"/>
      <c r="F787" s="96"/>
      <c r="H787" s="14"/>
      <c r="I787" s="14"/>
      <c r="J787" s="14"/>
      <c r="K787" s="14"/>
      <c r="L787" s="14"/>
      <c r="M787" s="14"/>
      <c r="N787" s="14"/>
    </row>
    <row r="788">
      <c r="A788" s="12"/>
      <c r="D788" s="95"/>
      <c r="E788" s="14"/>
      <c r="F788" s="96"/>
      <c r="H788" s="14"/>
      <c r="I788" s="14"/>
      <c r="J788" s="14"/>
      <c r="K788" s="14"/>
      <c r="L788" s="14"/>
      <c r="M788" s="14"/>
      <c r="N788" s="14"/>
    </row>
    <row r="789">
      <c r="A789" s="12"/>
      <c r="D789" s="95"/>
      <c r="E789" s="14"/>
      <c r="F789" s="96"/>
      <c r="H789" s="14"/>
      <c r="I789" s="14"/>
      <c r="J789" s="14"/>
      <c r="K789" s="14"/>
      <c r="L789" s="14"/>
      <c r="M789" s="14"/>
      <c r="N789" s="14"/>
    </row>
    <row r="790">
      <c r="A790" s="12"/>
      <c r="D790" s="95"/>
      <c r="E790" s="14"/>
      <c r="F790" s="96"/>
      <c r="H790" s="14"/>
      <c r="I790" s="14"/>
      <c r="J790" s="14"/>
      <c r="K790" s="14"/>
      <c r="L790" s="14"/>
      <c r="M790" s="14"/>
      <c r="N790" s="14"/>
    </row>
    <row r="791">
      <c r="A791" s="12"/>
      <c r="D791" s="95"/>
      <c r="E791" s="14"/>
      <c r="F791" s="96"/>
      <c r="H791" s="14"/>
      <c r="I791" s="14"/>
      <c r="J791" s="14"/>
      <c r="K791" s="14"/>
      <c r="L791" s="14"/>
      <c r="M791" s="14"/>
      <c r="N791" s="14"/>
    </row>
    <row r="792">
      <c r="A792" s="12"/>
      <c r="D792" s="95"/>
      <c r="E792" s="14"/>
      <c r="F792" s="96"/>
      <c r="H792" s="14"/>
      <c r="I792" s="14"/>
      <c r="J792" s="14"/>
      <c r="K792" s="14"/>
      <c r="L792" s="14"/>
      <c r="M792" s="14"/>
      <c r="N792" s="14"/>
    </row>
    <row r="793">
      <c r="A793" s="12"/>
      <c r="D793" s="95"/>
      <c r="E793" s="14"/>
      <c r="F793" s="96"/>
      <c r="H793" s="14"/>
      <c r="I793" s="14"/>
      <c r="J793" s="14"/>
      <c r="K793" s="14"/>
      <c r="L793" s="14"/>
      <c r="M793" s="14"/>
      <c r="N793" s="14"/>
    </row>
    <row r="794">
      <c r="A794" s="12"/>
      <c r="D794" s="95"/>
      <c r="E794" s="14"/>
      <c r="F794" s="96"/>
      <c r="H794" s="14"/>
      <c r="I794" s="14"/>
      <c r="J794" s="14"/>
      <c r="K794" s="14"/>
      <c r="L794" s="14"/>
      <c r="M794" s="14"/>
      <c r="N794" s="14"/>
    </row>
    <row r="795">
      <c r="A795" s="12"/>
      <c r="D795" s="95"/>
      <c r="E795" s="14"/>
      <c r="F795" s="96"/>
      <c r="H795" s="14"/>
      <c r="I795" s="14"/>
      <c r="J795" s="14"/>
      <c r="K795" s="14"/>
      <c r="L795" s="14"/>
      <c r="M795" s="14"/>
      <c r="N795" s="14"/>
    </row>
    <row r="796">
      <c r="A796" s="12"/>
      <c r="D796" s="95"/>
      <c r="E796" s="14"/>
      <c r="F796" s="96"/>
      <c r="H796" s="14"/>
      <c r="I796" s="14"/>
      <c r="J796" s="14"/>
      <c r="K796" s="14"/>
      <c r="L796" s="14"/>
      <c r="M796" s="14"/>
      <c r="N796" s="14"/>
    </row>
    <row r="797">
      <c r="A797" s="12"/>
      <c r="D797" s="95"/>
      <c r="E797" s="14"/>
      <c r="F797" s="96"/>
      <c r="H797" s="14"/>
      <c r="I797" s="14"/>
      <c r="J797" s="14"/>
      <c r="K797" s="14"/>
      <c r="L797" s="14"/>
      <c r="M797" s="14"/>
      <c r="N797" s="14"/>
    </row>
    <row r="798">
      <c r="A798" s="12"/>
      <c r="D798" s="95"/>
      <c r="E798" s="14"/>
      <c r="F798" s="96"/>
      <c r="H798" s="14"/>
      <c r="I798" s="14"/>
      <c r="J798" s="14"/>
      <c r="K798" s="14"/>
      <c r="L798" s="14"/>
      <c r="M798" s="14"/>
      <c r="N798" s="14"/>
    </row>
    <row r="799">
      <c r="A799" s="12"/>
      <c r="D799" s="95"/>
      <c r="E799" s="14"/>
      <c r="F799" s="96"/>
      <c r="H799" s="14"/>
      <c r="I799" s="14"/>
      <c r="J799" s="14"/>
      <c r="K799" s="14"/>
      <c r="L799" s="14"/>
      <c r="M799" s="14"/>
      <c r="N799" s="14"/>
    </row>
    <row r="800">
      <c r="A800" s="12"/>
      <c r="D800" s="95"/>
      <c r="E800" s="14"/>
      <c r="F800" s="96"/>
      <c r="H800" s="14"/>
      <c r="I800" s="14"/>
      <c r="J800" s="14"/>
      <c r="K800" s="14"/>
      <c r="L800" s="14"/>
      <c r="M800" s="14"/>
      <c r="N800" s="14"/>
    </row>
    <row r="801">
      <c r="A801" s="12"/>
      <c r="D801" s="95"/>
      <c r="E801" s="14"/>
      <c r="F801" s="96"/>
      <c r="H801" s="14"/>
      <c r="I801" s="14"/>
      <c r="J801" s="14"/>
      <c r="K801" s="14"/>
      <c r="L801" s="14"/>
      <c r="M801" s="14"/>
      <c r="N801" s="14"/>
    </row>
    <row r="802">
      <c r="A802" s="12"/>
      <c r="D802" s="95"/>
      <c r="E802" s="14"/>
      <c r="F802" s="96"/>
      <c r="H802" s="14"/>
      <c r="I802" s="14"/>
      <c r="J802" s="14"/>
      <c r="K802" s="14"/>
      <c r="L802" s="14"/>
      <c r="M802" s="14"/>
      <c r="N802" s="14"/>
    </row>
    <row r="803">
      <c r="A803" s="12"/>
      <c r="D803" s="95"/>
      <c r="E803" s="14"/>
      <c r="F803" s="96"/>
      <c r="H803" s="14"/>
      <c r="I803" s="14"/>
      <c r="J803" s="14"/>
      <c r="K803" s="14"/>
      <c r="L803" s="14"/>
      <c r="M803" s="14"/>
      <c r="N803" s="14"/>
    </row>
    <row r="804">
      <c r="A804" s="12"/>
      <c r="D804" s="95"/>
      <c r="E804" s="14"/>
      <c r="F804" s="96"/>
      <c r="H804" s="14"/>
      <c r="I804" s="14"/>
      <c r="J804" s="14"/>
      <c r="K804" s="14"/>
      <c r="L804" s="14"/>
      <c r="M804" s="14"/>
      <c r="N804" s="14"/>
    </row>
    <row r="805">
      <c r="A805" s="12"/>
      <c r="D805" s="95"/>
      <c r="E805" s="14"/>
      <c r="F805" s="96"/>
      <c r="H805" s="14"/>
      <c r="I805" s="14"/>
      <c r="J805" s="14"/>
      <c r="K805" s="14"/>
      <c r="L805" s="14"/>
      <c r="M805" s="14"/>
      <c r="N805" s="14"/>
    </row>
    <row r="806">
      <c r="A806" s="12"/>
      <c r="D806" s="95"/>
      <c r="E806" s="14"/>
      <c r="F806" s="96"/>
      <c r="H806" s="14"/>
      <c r="I806" s="14"/>
      <c r="J806" s="14"/>
      <c r="K806" s="14"/>
      <c r="L806" s="14"/>
      <c r="M806" s="14"/>
      <c r="N806" s="14"/>
    </row>
    <row r="807">
      <c r="A807" s="12"/>
      <c r="D807" s="95"/>
      <c r="E807" s="14"/>
      <c r="F807" s="96"/>
      <c r="H807" s="14"/>
      <c r="I807" s="14"/>
      <c r="J807" s="14"/>
      <c r="K807" s="14"/>
      <c r="L807" s="14"/>
      <c r="M807" s="14"/>
      <c r="N807" s="14"/>
    </row>
    <row r="808">
      <c r="A808" s="12"/>
      <c r="D808" s="95"/>
      <c r="E808" s="14"/>
      <c r="F808" s="96"/>
      <c r="H808" s="14"/>
      <c r="I808" s="14"/>
      <c r="J808" s="14"/>
      <c r="K808" s="14"/>
      <c r="L808" s="14"/>
      <c r="M808" s="14"/>
      <c r="N808" s="14"/>
    </row>
    <row r="809">
      <c r="A809" s="12"/>
      <c r="D809" s="95"/>
      <c r="E809" s="14"/>
      <c r="F809" s="96"/>
      <c r="H809" s="14"/>
      <c r="I809" s="14"/>
      <c r="J809" s="14"/>
      <c r="K809" s="14"/>
      <c r="L809" s="14"/>
      <c r="M809" s="14"/>
      <c r="N809" s="14"/>
    </row>
    <row r="810">
      <c r="A810" s="12"/>
      <c r="D810" s="95"/>
      <c r="E810" s="14"/>
      <c r="F810" s="96"/>
      <c r="H810" s="14"/>
      <c r="I810" s="14"/>
      <c r="J810" s="14"/>
      <c r="K810" s="14"/>
      <c r="L810" s="14"/>
      <c r="M810" s="14"/>
      <c r="N810" s="14"/>
    </row>
    <row r="811">
      <c r="A811" s="12"/>
      <c r="D811" s="95"/>
      <c r="E811" s="14"/>
      <c r="F811" s="96"/>
      <c r="H811" s="14"/>
      <c r="I811" s="14"/>
      <c r="J811" s="14"/>
      <c r="K811" s="14"/>
      <c r="L811" s="14"/>
      <c r="M811" s="14"/>
      <c r="N811" s="14"/>
    </row>
    <row r="812">
      <c r="A812" s="12"/>
      <c r="D812" s="95"/>
      <c r="E812" s="14"/>
      <c r="F812" s="96"/>
      <c r="H812" s="14"/>
      <c r="I812" s="14"/>
      <c r="J812" s="14"/>
      <c r="K812" s="14"/>
      <c r="L812" s="14"/>
      <c r="M812" s="14"/>
      <c r="N812" s="14"/>
    </row>
    <row r="813">
      <c r="A813" s="12"/>
      <c r="D813" s="95"/>
      <c r="E813" s="14"/>
      <c r="F813" s="96"/>
      <c r="H813" s="14"/>
      <c r="I813" s="14"/>
      <c r="J813" s="14"/>
      <c r="K813" s="14"/>
      <c r="L813" s="14"/>
      <c r="M813" s="14"/>
      <c r="N813" s="14"/>
    </row>
    <row r="814">
      <c r="A814" s="12"/>
      <c r="D814" s="95"/>
      <c r="E814" s="14"/>
      <c r="F814" s="96"/>
      <c r="H814" s="14"/>
      <c r="I814" s="14"/>
      <c r="J814" s="14"/>
      <c r="K814" s="14"/>
      <c r="L814" s="14"/>
      <c r="M814" s="14"/>
      <c r="N814" s="14"/>
    </row>
    <row r="815">
      <c r="A815" s="12"/>
      <c r="D815" s="95"/>
      <c r="E815" s="14"/>
      <c r="F815" s="96"/>
      <c r="H815" s="14"/>
      <c r="I815" s="14"/>
      <c r="J815" s="14"/>
      <c r="K815" s="14"/>
      <c r="L815" s="14"/>
      <c r="M815" s="14"/>
      <c r="N815" s="14"/>
    </row>
    <row r="816">
      <c r="A816" s="12"/>
      <c r="D816" s="95"/>
      <c r="E816" s="14"/>
      <c r="F816" s="96"/>
      <c r="H816" s="14"/>
      <c r="I816" s="14"/>
      <c r="J816" s="14"/>
      <c r="K816" s="14"/>
      <c r="L816" s="14"/>
      <c r="M816" s="14"/>
      <c r="N816" s="14"/>
    </row>
    <row r="817">
      <c r="A817" s="12"/>
      <c r="D817" s="95"/>
      <c r="E817" s="14"/>
      <c r="F817" s="96"/>
      <c r="H817" s="14"/>
      <c r="I817" s="14"/>
      <c r="J817" s="14"/>
      <c r="K817" s="14"/>
      <c r="L817" s="14"/>
      <c r="M817" s="14"/>
      <c r="N817" s="14"/>
    </row>
    <row r="818">
      <c r="A818" s="12"/>
      <c r="D818" s="95"/>
      <c r="E818" s="14"/>
      <c r="F818" s="96"/>
      <c r="H818" s="14"/>
      <c r="I818" s="14"/>
      <c r="J818" s="14"/>
      <c r="K818" s="14"/>
      <c r="L818" s="14"/>
      <c r="M818" s="14"/>
      <c r="N818" s="14"/>
    </row>
    <row r="819">
      <c r="A819" s="12"/>
      <c r="D819" s="95"/>
      <c r="E819" s="14"/>
      <c r="F819" s="96"/>
      <c r="H819" s="14"/>
      <c r="I819" s="14"/>
      <c r="J819" s="14"/>
      <c r="K819" s="14"/>
      <c r="L819" s="14"/>
      <c r="M819" s="14"/>
      <c r="N819" s="14"/>
    </row>
    <row r="820">
      <c r="A820" s="12"/>
      <c r="D820" s="95"/>
      <c r="E820" s="14"/>
      <c r="F820" s="96"/>
      <c r="H820" s="14"/>
      <c r="I820" s="14"/>
      <c r="J820" s="14"/>
      <c r="K820" s="14"/>
      <c r="L820" s="14"/>
      <c r="M820" s="14"/>
      <c r="N820" s="14"/>
    </row>
    <row r="821">
      <c r="A821" s="12"/>
      <c r="D821" s="95"/>
      <c r="E821" s="14"/>
      <c r="F821" s="96"/>
      <c r="H821" s="14"/>
      <c r="I821" s="14"/>
      <c r="J821" s="14"/>
      <c r="K821" s="14"/>
      <c r="L821" s="14"/>
      <c r="M821" s="14"/>
      <c r="N821" s="14"/>
    </row>
    <row r="822">
      <c r="A822" s="12"/>
      <c r="D822" s="95"/>
      <c r="E822" s="14"/>
      <c r="F822" s="96"/>
      <c r="H822" s="14"/>
      <c r="I822" s="14"/>
      <c r="J822" s="14"/>
      <c r="K822" s="14"/>
      <c r="L822" s="14"/>
      <c r="M822" s="14"/>
      <c r="N822" s="14"/>
    </row>
    <row r="823">
      <c r="A823" s="12"/>
      <c r="D823" s="95"/>
      <c r="E823" s="14"/>
      <c r="F823" s="96"/>
      <c r="H823" s="14"/>
      <c r="I823" s="14"/>
      <c r="J823" s="14"/>
      <c r="K823" s="14"/>
      <c r="L823" s="14"/>
      <c r="M823" s="14"/>
      <c r="N823" s="14"/>
    </row>
    <row r="824">
      <c r="A824" s="12"/>
      <c r="D824" s="95"/>
      <c r="E824" s="14"/>
      <c r="F824" s="96"/>
      <c r="H824" s="14"/>
      <c r="I824" s="14"/>
      <c r="J824" s="14"/>
      <c r="K824" s="14"/>
      <c r="L824" s="14"/>
      <c r="M824" s="14"/>
      <c r="N824" s="14"/>
    </row>
    <row r="825">
      <c r="A825" s="12"/>
      <c r="D825" s="95"/>
      <c r="E825" s="14"/>
      <c r="F825" s="96"/>
      <c r="H825" s="14"/>
      <c r="I825" s="14"/>
      <c r="J825" s="14"/>
      <c r="K825" s="14"/>
      <c r="L825" s="14"/>
      <c r="M825" s="14"/>
      <c r="N825" s="14"/>
    </row>
    <row r="826">
      <c r="A826" s="12"/>
      <c r="D826" s="95"/>
      <c r="E826" s="14"/>
      <c r="F826" s="96"/>
      <c r="H826" s="14"/>
      <c r="I826" s="14"/>
      <c r="J826" s="14"/>
      <c r="K826" s="14"/>
      <c r="L826" s="14"/>
      <c r="M826" s="14"/>
      <c r="N826" s="14"/>
    </row>
    <row r="827">
      <c r="A827" s="12"/>
      <c r="D827" s="95"/>
      <c r="E827" s="14"/>
      <c r="F827" s="96"/>
      <c r="H827" s="14"/>
      <c r="I827" s="14"/>
      <c r="J827" s="14"/>
      <c r="K827" s="14"/>
      <c r="L827" s="14"/>
      <c r="M827" s="14"/>
      <c r="N827" s="14"/>
    </row>
    <row r="828">
      <c r="A828" s="12"/>
      <c r="D828" s="95"/>
      <c r="E828" s="14"/>
      <c r="F828" s="96"/>
      <c r="H828" s="14"/>
      <c r="I828" s="14"/>
      <c r="J828" s="14"/>
      <c r="K828" s="14"/>
      <c r="L828" s="14"/>
      <c r="M828" s="14"/>
      <c r="N828" s="14"/>
    </row>
    <row r="829">
      <c r="A829" s="12"/>
      <c r="D829" s="95"/>
      <c r="E829" s="14"/>
      <c r="F829" s="96"/>
      <c r="H829" s="14"/>
      <c r="I829" s="14"/>
      <c r="J829" s="14"/>
      <c r="K829" s="14"/>
      <c r="L829" s="14"/>
      <c r="M829" s="14"/>
      <c r="N829" s="14"/>
    </row>
    <row r="830">
      <c r="A830" s="12"/>
      <c r="D830" s="95"/>
      <c r="E830" s="14"/>
      <c r="F830" s="96"/>
      <c r="H830" s="14"/>
      <c r="I830" s="14"/>
      <c r="J830" s="14"/>
      <c r="K830" s="14"/>
      <c r="L830" s="14"/>
      <c r="M830" s="14"/>
      <c r="N830" s="14"/>
    </row>
    <row r="831">
      <c r="A831" s="12"/>
      <c r="D831" s="95"/>
      <c r="E831" s="14"/>
      <c r="F831" s="96"/>
      <c r="H831" s="14"/>
      <c r="I831" s="14"/>
      <c r="J831" s="14"/>
      <c r="K831" s="14"/>
      <c r="L831" s="14"/>
      <c r="M831" s="14"/>
      <c r="N831" s="14"/>
    </row>
    <row r="832">
      <c r="A832" s="12"/>
      <c r="D832" s="95"/>
      <c r="E832" s="14"/>
      <c r="F832" s="96"/>
      <c r="H832" s="14"/>
      <c r="I832" s="14"/>
      <c r="J832" s="14"/>
      <c r="K832" s="14"/>
      <c r="L832" s="14"/>
      <c r="M832" s="14"/>
      <c r="N832" s="14"/>
    </row>
    <row r="833">
      <c r="A833" s="12"/>
      <c r="D833" s="95"/>
      <c r="E833" s="14"/>
      <c r="F833" s="96"/>
      <c r="H833" s="14"/>
      <c r="I833" s="14"/>
      <c r="J833" s="14"/>
      <c r="K833" s="14"/>
      <c r="L833" s="14"/>
      <c r="M833" s="14"/>
      <c r="N833" s="14"/>
    </row>
    <row r="834">
      <c r="A834" s="12"/>
      <c r="D834" s="95"/>
      <c r="E834" s="14"/>
      <c r="F834" s="96"/>
      <c r="H834" s="14"/>
      <c r="I834" s="14"/>
      <c r="J834" s="14"/>
      <c r="K834" s="14"/>
      <c r="L834" s="14"/>
      <c r="M834" s="14"/>
      <c r="N834" s="14"/>
    </row>
    <row r="835">
      <c r="A835" s="12"/>
      <c r="D835" s="95"/>
      <c r="E835" s="14"/>
      <c r="F835" s="96"/>
      <c r="H835" s="14"/>
      <c r="I835" s="14"/>
      <c r="J835" s="14"/>
      <c r="K835" s="14"/>
      <c r="L835" s="14"/>
      <c r="M835" s="14"/>
      <c r="N835" s="14"/>
    </row>
    <row r="836">
      <c r="A836" s="12"/>
      <c r="D836" s="95"/>
      <c r="E836" s="14"/>
      <c r="F836" s="96"/>
      <c r="H836" s="14"/>
      <c r="I836" s="14"/>
      <c r="J836" s="14"/>
      <c r="K836" s="14"/>
      <c r="L836" s="14"/>
      <c r="M836" s="14"/>
      <c r="N836" s="14"/>
    </row>
    <row r="837">
      <c r="A837" s="12"/>
      <c r="D837" s="95"/>
      <c r="E837" s="14"/>
      <c r="F837" s="96"/>
      <c r="H837" s="14"/>
      <c r="I837" s="14"/>
      <c r="J837" s="14"/>
      <c r="K837" s="14"/>
      <c r="L837" s="14"/>
      <c r="M837" s="14"/>
      <c r="N837" s="14"/>
    </row>
    <row r="838">
      <c r="A838" s="12"/>
      <c r="D838" s="95"/>
      <c r="E838" s="14"/>
      <c r="F838" s="96"/>
      <c r="H838" s="14"/>
      <c r="I838" s="14"/>
      <c r="J838" s="14"/>
      <c r="K838" s="14"/>
      <c r="L838" s="14"/>
      <c r="M838" s="14"/>
      <c r="N838" s="14"/>
    </row>
    <row r="839">
      <c r="A839" s="12"/>
      <c r="D839" s="95"/>
      <c r="E839" s="14"/>
      <c r="F839" s="96"/>
      <c r="H839" s="14"/>
      <c r="I839" s="14"/>
      <c r="J839" s="14"/>
      <c r="K839" s="14"/>
      <c r="L839" s="14"/>
      <c r="M839" s="14"/>
      <c r="N839" s="14"/>
    </row>
    <row r="840">
      <c r="A840" s="12"/>
      <c r="D840" s="95"/>
      <c r="E840" s="14"/>
      <c r="F840" s="96"/>
      <c r="H840" s="14"/>
      <c r="I840" s="14"/>
      <c r="J840" s="14"/>
      <c r="K840" s="14"/>
      <c r="L840" s="14"/>
      <c r="M840" s="14"/>
      <c r="N840" s="14"/>
    </row>
    <row r="841">
      <c r="A841" s="12"/>
      <c r="D841" s="95"/>
      <c r="E841" s="14"/>
      <c r="F841" s="96"/>
      <c r="H841" s="14"/>
      <c r="I841" s="14"/>
      <c r="J841" s="14"/>
      <c r="K841" s="14"/>
      <c r="L841" s="14"/>
      <c r="M841" s="14"/>
      <c r="N841" s="14"/>
    </row>
    <row r="842">
      <c r="A842" s="12"/>
      <c r="D842" s="95"/>
      <c r="E842" s="14"/>
      <c r="F842" s="96"/>
      <c r="H842" s="14"/>
      <c r="I842" s="14"/>
      <c r="J842" s="14"/>
      <c r="K842" s="14"/>
      <c r="L842" s="14"/>
      <c r="M842" s="14"/>
      <c r="N842" s="14"/>
    </row>
    <row r="843">
      <c r="A843" s="12"/>
      <c r="D843" s="95"/>
      <c r="E843" s="14"/>
      <c r="F843" s="96"/>
      <c r="H843" s="14"/>
      <c r="I843" s="14"/>
      <c r="J843" s="14"/>
      <c r="K843" s="14"/>
      <c r="L843" s="14"/>
      <c r="M843" s="14"/>
      <c r="N843" s="14"/>
    </row>
    <row r="844">
      <c r="A844" s="12"/>
      <c r="D844" s="95"/>
      <c r="E844" s="14"/>
      <c r="F844" s="96"/>
      <c r="H844" s="14"/>
      <c r="I844" s="14"/>
      <c r="J844" s="14"/>
      <c r="K844" s="14"/>
      <c r="L844" s="14"/>
      <c r="M844" s="14"/>
      <c r="N844" s="14"/>
    </row>
    <row r="845">
      <c r="A845" s="12"/>
      <c r="D845" s="95"/>
      <c r="E845" s="14"/>
      <c r="F845" s="96"/>
      <c r="H845" s="14"/>
      <c r="I845" s="14"/>
      <c r="J845" s="14"/>
      <c r="K845" s="14"/>
      <c r="L845" s="14"/>
      <c r="M845" s="14"/>
      <c r="N845" s="14"/>
    </row>
    <row r="846">
      <c r="A846" s="12"/>
      <c r="D846" s="95"/>
      <c r="E846" s="14"/>
      <c r="F846" s="96"/>
      <c r="H846" s="14"/>
      <c r="I846" s="14"/>
      <c r="J846" s="14"/>
      <c r="K846" s="14"/>
      <c r="L846" s="14"/>
      <c r="M846" s="14"/>
      <c r="N846" s="14"/>
    </row>
    <row r="847">
      <c r="A847" s="12"/>
      <c r="D847" s="95"/>
      <c r="E847" s="14"/>
      <c r="F847" s="96"/>
      <c r="H847" s="14"/>
      <c r="I847" s="14"/>
      <c r="J847" s="14"/>
      <c r="K847" s="14"/>
      <c r="L847" s="14"/>
      <c r="M847" s="14"/>
      <c r="N847" s="14"/>
    </row>
    <row r="848">
      <c r="A848" s="12"/>
      <c r="D848" s="95"/>
      <c r="E848" s="14"/>
      <c r="F848" s="96"/>
      <c r="H848" s="14"/>
      <c r="I848" s="14"/>
      <c r="J848" s="14"/>
      <c r="K848" s="14"/>
      <c r="L848" s="14"/>
      <c r="M848" s="14"/>
      <c r="N848" s="14"/>
    </row>
    <row r="849">
      <c r="A849" s="12"/>
      <c r="D849" s="95"/>
      <c r="E849" s="14"/>
      <c r="F849" s="96"/>
      <c r="H849" s="14"/>
      <c r="I849" s="14"/>
      <c r="J849" s="14"/>
      <c r="K849" s="14"/>
      <c r="L849" s="14"/>
      <c r="M849" s="14"/>
      <c r="N849" s="14"/>
    </row>
    <row r="850">
      <c r="A850" s="12"/>
      <c r="D850" s="95"/>
      <c r="E850" s="14"/>
      <c r="F850" s="96"/>
      <c r="H850" s="14"/>
      <c r="I850" s="14"/>
      <c r="J850" s="14"/>
      <c r="K850" s="14"/>
      <c r="L850" s="14"/>
      <c r="M850" s="14"/>
      <c r="N850" s="14"/>
    </row>
    <row r="851">
      <c r="A851" s="12"/>
      <c r="D851" s="95"/>
      <c r="E851" s="14"/>
      <c r="F851" s="96"/>
      <c r="H851" s="14"/>
      <c r="I851" s="14"/>
      <c r="J851" s="14"/>
      <c r="K851" s="14"/>
      <c r="L851" s="14"/>
      <c r="M851" s="14"/>
      <c r="N851" s="14"/>
    </row>
    <row r="852">
      <c r="A852" s="12"/>
      <c r="D852" s="95"/>
      <c r="E852" s="14"/>
      <c r="F852" s="96"/>
      <c r="H852" s="14"/>
      <c r="I852" s="14"/>
      <c r="J852" s="14"/>
      <c r="K852" s="14"/>
      <c r="L852" s="14"/>
      <c r="M852" s="14"/>
      <c r="N852" s="14"/>
    </row>
    <row r="853">
      <c r="A853" s="12"/>
      <c r="D853" s="95"/>
      <c r="E853" s="14"/>
      <c r="F853" s="96"/>
      <c r="H853" s="14"/>
      <c r="I853" s="14"/>
      <c r="J853" s="14"/>
      <c r="K853" s="14"/>
      <c r="L853" s="14"/>
      <c r="M853" s="14"/>
      <c r="N853" s="14"/>
    </row>
    <row r="854">
      <c r="A854" s="12"/>
      <c r="D854" s="95"/>
      <c r="E854" s="14"/>
      <c r="F854" s="96"/>
      <c r="H854" s="14"/>
      <c r="I854" s="14"/>
      <c r="J854" s="14"/>
      <c r="K854" s="14"/>
      <c r="L854" s="14"/>
      <c r="M854" s="14"/>
      <c r="N854" s="14"/>
    </row>
    <row r="855">
      <c r="A855" s="12"/>
      <c r="D855" s="95"/>
      <c r="E855" s="14"/>
      <c r="F855" s="96"/>
      <c r="H855" s="14"/>
      <c r="I855" s="14"/>
      <c r="J855" s="14"/>
      <c r="K855" s="14"/>
      <c r="L855" s="14"/>
      <c r="M855" s="14"/>
      <c r="N855" s="14"/>
    </row>
    <row r="856">
      <c r="A856" s="12"/>
      <c r="D856" s="95"/>
      <c r="E856" s="14"/>
      <c r="F856" s="96"/>
      <c r="H856" s="14"/>
      <c r="I856" s="14"/>
      <c r="J856" s="14"/>
      <c r="K856" s="14"/>
      <c r="L856" s="14"/>
      <c r="M856" s="14"/>
      <c r="N856" s="14"/>
    </row>
    <row r="857">
      <c r="A857" s="12"/>
      <c r="D857" s="95"/>
      <c r="E857" s="14"/>
      <c r="F857" s="96"/>
      <c r="H857" s="14"/>
      <c r="I857" s="14"/>
      <c r="J857" s="14"/>
      <c r="K857" s="14"/>
      <c r="L857" s="14"/>
      <c r="M857" s="14"/>
      <c r="N857" s="14"/>
    </row>
    <row r="858">
      <c r="A858" s="12"/>
      <c r="D858" s="95"/>
      <c r="E858" s="14"/>
      <c r="F858" s="96"/>
      <c r="H858" s="14"/>
      <c r="I858" s="14"/>
      <c r="J858" s="14"/>
      <c r="K858" s="14"/>
      <c r="L858" s="14"/>
      <c r="M858" s="14"/>
      <c r="N858" s="14"/>
    </row>
    <row r="859">
      <c r="A859" s="12"/>
      <c r="D859" s="95"/>
      <c r="E859" s="14"/>
      <c r="F859" s="96"/>
      <c r="H859" s="14"/>
      <c r="I859" s="14"/>
      <c r="J859" s="14"/>
      <c r="K859" s="14"/>
      <c r="L859" s="14"/>
      <c r="M859" s="14"/>
      <c r="N859" s="14"/>
    </row>
    <row r="860">
      <c r="A860" s="12"/>
      <c r="D860" s="95"/>
      <c r="E860" s="14"/>
      <c r="F860" s="96"/>
      <c r="H860" s="14"/>
      <c r="I860" s="14"/>
      <c r="J860" s="14"/>
      <c r="K860" s="14"/>
      <c r="L860" s="14"/>
      <c r="M860" s="14"/>
      <c r="N860" s="14"/>
    </row>
    <row r="861">
      <c r="A861" s="12"/>
      <c r="D861" s="95"/>
      <c r="E861" s="14"/>
      <c r="F861" s="96"/>
      <c r="H861" s="14"/>
      <c r="I861" s="14"/>
      <c r="J861" s="14"/>
      <c r="K861" s="14"/>
      <c r="L861" s="14"/>
      <c r="M861" s="14"/>
      <c r="N861" s="14"/>
    </row>
    <row r="862">
      <c r="A862" s="12"/>
      <c r="D862" s="95"/>
      <c r="E862" s="14"/>
      <c r="F862" s="96"/>
      <c r="H862" s="14"/>
      <c r="I862" s="14"/>
      <c r="J862" s="14"/>
      <c r="K862" s="14"/>
      <c r="L862" s="14"/>
      <c r="M862" s="14"/>
      <c r="N862" s="14"/>
    </row>
    <row r="863">
      <c r="A863" s="12"/>
      <c r="D863" s="95"/>
      <c r="E863" s="14"/>
      <c r="F863" s="96"/>
      <c r="H863" s="14"/>
      <c r="I863" s="14"/>
      <c r="J863" s="14"/>
      <c r="K863" s="14"/>
      <c r="L863" s="14"/>
      <c r="M863" s="14"/>
      <c r="N863" s="14"/>
    </row>
    <row r="864">
      <c r="A864" s="12"/>
      <c r="D864" s="95"/>
      <c r="E864" s="14"/>
      <c r="F864" s="96"/>
      <c r="H864" s="14"/>
      <c r="I864" s="14"/>
      <c r="J864" s="14"/>
      <c r="K864" s="14"/>
      <c r="L864" s="14"/>
      <c r="M864" s="14"/>
      <c r="N864" s="14"/>
    </row>
    <row r="865">
      <c r="A865" s="12"/>
      <c r="D865" s="95"/>
      <c r="E865" s="14"/>
      <c r="F865" s="96"/>
      <c r="H865" s="14"/>
      <c r="I865" s="14"/>
      <c r="J865" s="14"/>
      <c r="K865" s="14"/>
      <c r="L865" s="14"/>
      <c r="M865" s="14"/>
      <c r="N865" s="14"/>
    </row>
    <row r="866">
      <c r="A866" s="12"/>
      <c r="D866" s="95"/>
      <c r="E866" s="14"/>
      <c r="F866" s="96"/>
      <c r="H866" s="14"/>
      <c r="I866" s="14"/>
      <c r="J866" s="14"/>
      <c r="K866" s="14"/>
      <c r="L866" s="14"/>
      <c r="M866" s="14"/>
      <c r="N866" s="14"/>
    </row>
    <row r="867">
      <c r="A867" s="12"/>
      <c r="D867" s="95"/>
      <c r="E867" s="14"/>
      <c r="F867" s="96"/>
      <c r="H867" s="14"/>
      <c r="I867" s="14"/>
      <c r="J867" s="14"/>
      <c r="K867" s="14"/>
      <c r="L867" s="14"/>
      <c r="M867" s="14"/>
      <c r="N867" s="14"/>
    </row>
    <row r="868">
      <c r="A868" s="12"/>
      <c r="D868" s="95"/>
      <c r="E868" s="14"/>
      <c r="F868" s="96"/>
      <c r="H868" s="14"/>
      <c r="I868" s="14"/>
      <c r="J868" s="14"/>
      <c r="K868" s="14"/>
      <c r="L868" s="14"/>
      <c r="M868" s="14"/>
      <c r="N868" s="14"/>
    </row>
    <row r="869">
      <c r="A869" s="12"/>
      <c r="D869" s="95"/>
      <c r="E869" s="14"/>
      <c r="F869" s="96"/>
      <c r="H869" s="14"/>
      <c r="I869" s="14"/>
      <c r="J869" s="14"/>
      <c r="K869" s="14"/>
      <c r="L869" s="14"/>
      <c r="M869" s="14"/>
      <c r="N869" s="14"/>
    </row>
    <row r="870">
      <c r="A870" s="12"/>
      <c r="D870" s="95"/>
      <c r="E870" s="14"/>
      <c r="F870" s="96"/>
      <c r="H870" s="14"/>
      <c r="I870" s="14"/>
      <c r="J870" s="14"/>
      <c r="K870" s="14"/>
      <c r="L870" s="14"/>
      <c r="M870" s="14"/>
      <c r="N870" s="14"/>
    </row>
    <row r="871">
      <c r="A871" s="12"/>
      <c r="D871" s="95"/>
      <c r="E871" s="14"/>
      <c r="F871" s="96"/>
      <c r="H871" s="14"/>
      <c r="I871" s="14"/>
      <c r="J871" s="14"/>
      <c r="K871" s="14"/>
      <c r="L871" s="14"/>
      <c r="M871" s="14"/>
      <c r="N871" s="14"/>
    </row>
    <row r="872">
      <c r="A872" s="12"/>
      <c r="D872" s="95"/>
      <c r="E872" s="14"/>
      <c r="F872" s="96"/>
      <c r="H872" s="14"/>
      <c r="I872" s="14"/>
      <c r="J872" s="14"/>
      <c r="K872" s="14"/>
      <c r="L872" s="14"/>
      <c r="M872" s="14"/>
      <c r="N872" s="14"/>
    </row>
    <row r="873">
      <c r="A873" s="12"/>
      <c r="D873" s="95"/>
      <c r="E873" s="14"/>
      <c r="F873" s="96"/>
      <c r="H873" s="14"/>
      <c r="I873" s="14"/>
      <c r="J873" s="14"/>
      <c r="K873" s="14"/>
      <c r="L873" s="14"/>
      <c r="M873" s="14"/>
      <c r="N873" s="14"/>
    </row>
    <row r="874">
      <c r="A874" s="12"/>
      <c r="D874" s="95"/>
      <c r="E874" s="14"/>
      <c r="F874" s="96"/>
      <c r="H874" s="14"/>
      <c r="I874" s="14"/>
      <c r="J874" s="14"/>
      <c r="K874" s="14"/>
      <c r="L874" s="14"/>
      <c r="M874" s="14"/>
      <c r="N874" s="14"/>
    </row>
    <row r="875">
      <c r="A875" s="12"/>
      <c r="D875" s="95"/>
      <c r="E875" s="14"/>
      <c r="F875" s="96"/>
      <c r="H875" s="14"/>
      <c r="I875" s="14"/>
      <c r="J875" s="14"/>
      <c r="K875" s="14"/>
      <c r="L875" s="14"/>
      <c r="M875" s="14"/>
      <c r="N875" s="14"/>
    </row>
    <row r="876">
      <c r="A876" s="12"/>
      <c r="D876" s="95"/>
      <c r="E876" s="14"/>
      <c r="F876" s="96"/>
      <c r="H876" s="14"/>
      <c r="I876" s="14"/>
      <c r="J876" s="14"/>
      <c r="K876" s="14"/>
      <c r="L876" s="14"/>
      <c r="M876" s="14"/>
      <c r="N876" s="14"/>
    </row>
    <row r="877">
      <c r="A877" s="12"/>
      <c r="D877" s="95"/>
      <c r="E877" s="14"/>
      <c r="F877" s="96"/>
      <c r="H877" s="14"/>
      <c r="I877" s="14"/>
      <c r="J877" s="14"/>
      <c r="K877" s="14"/>
      <c r="L877" s="14"/>
      <c r="M877" s="14"/>
      <c r="N877" s="14"/>
    </row>
    <row r="878">
      <c r="A878" s="12"/>
      <c r="D878" s="95"/>
      <c r="E878" s="14"/>
      <c r="F878" s="96"/>
      <c r="H878" s="14"/>
      <c r="I878" s="14"/>
      <c r="J878" s="14"/>
      <c r="K878" s="14"/>
      <c r="L878" s="14"/>
      <c r="M878" s="14"/>
      <c r="N878" s="14"/>
    </row>
    <row r="879">
      <c r="A879" s="12"/>
      <c r="D879" s="95"/>
      <c r="E879" s="14"/>
      <c r="F879" s="96"/>
      <c r="H879" s="14"/>
      <c r="I879" s="14"/>
      <c r="J879" s="14"/>
      <c r="K879" s="14"/>
      <c r="L879" s="14"/>
      <c r="M879" s="14"/>
      <c r="N879" s="14"/>
    </row>
    <row r="880">
      <c r="A880" s="12"/>
      <c r="D880" s="95"/>
      <c r="E880" s="14"/>
      <c r="F880" s="96"/>
      <c r="H880" s="14"/>
      <c r="I880" s="14"/>
      <c r="J880" s="14"/>
      <c r="K880" s="14"/>
      <c r="L880" s="14"/>
      <c r="M880" s="14"/>
      <c r="N880" s="14"/>
    </row>
    <row r="881">
      <c r="A881" s="12"/>
      <c r="D881" s="95"/>
      <c r="E881" s="14"/>
      <c r="F881" s="96"/>
      <c r="H881" s="14"/>
      <c r="I881" s="14"/>
      <c r="J881" s="14"/>
      <c r="K881" s="14"/>
      <c r="L881" s="14"/>
      <c r="M881" s="14"/>
      <c r="N881" s="14"/>
    </row>
    <row r="882">
      <c r="A882" s="12"/>
      <c r="D882" s="95"/>
      <c r="E882" s="14"/>
      <c r="F882" s="96"/>
      <c r="H882" s="14"/>
      <c r="I882" s="14"/>
      <c r="J882" s="14"/>
      <c r="K882" s="14"/>
      <c r="L882" s="14"/>
      <c r="M882" s="14"/>
      <c r="N882" s="14"/>
    </row>
    <row r="883">
      <c r="A883" s="12"/>
      <c r="D883" s="95"/>
      <c r="E883" s="14"/>
      <c r="F883" s="96"/>
      <c r="H883" s="14"/>
      <c r="I883" s="14"/>
      <c r="J883" s="14"/>
      <c r="K883" s="14"/>
      <c r="L883" s="14"/>
      <c r="M883" s="14"/>
      <c r="N883" s="14"/>
    </row>
    <row r="884">
      <c r="A884" s="12"/>
      <c r="D884" s="95"/>
      <c r="E884" s="14"/>
      <c r="F884" s="96"/>
      <c r="H884" s="14"/>
      <c r="I884" s="14"/>
      <c r="J884" s="14"/>
      <c r="K884" s="14"/>
      <c r="L884" s="14"/>
      <c r="M884" s="14"/>
      <c r="N884" s="14"/>
    </row>
    <row r="885">
      <c r="A885" s="12"/>
      <c r="D885" s="95"/>
      <c r="E885" s="14"/>
      <c r="F885" s="96"/>
      <c r="H885" s="14"/>
      <c r="I885" s="14"/>
      <c r="J885" s="14"/>
      <c r="K885" s="14"/>
      <c r="L885" s="14"/>
      <c r="M885" s="14"/>
      <c r="N885" s="14"/>
    </row>
    <row r="886">
      <c r="A886" s="12"/>
      <c r="D886" s="95"/>
      <c r="E886" s="14"/>
      <c r="F886" s="96"/>
      <c r="H886" s="14"/>
      <c r="I886" s="14"/>
      <c r="J886" s="14"/>
      <c r="K886" s="14"/>
      <c r="L886" s="14"/>
      <c r="M886" s="14"/>
      <c r="N886" s="14"/>
    </row>
    <row r="887">
      <c r="A887" s="12"/>
      <c r="D887" s="95"/>
      <c r="E887" s="14"/>
      <c r="F887" s="96"/>
      <c r="H887" s="14"/>
      <c r="I887" s="14"/>
      <c r="J887" s="14"/>
      <c r="K887" s="14"/>
      <c r="L887" s="14"/>
      <c r="M887" s="14"/>
      <c r="N887" s="14"/>
    </row>
    <row r="888">
      <c r="A888" s="12"/>
      <c r="D888" s="95"/>
      <c r="E888" s="14"/>
      <c r="F888" s="96"/>
      <c r="H888" s="14"/>
      <c r="I888" s="14"/>
      <c r="J888" s="14"/>
      <c r="K888" s="14"/>
      <c r="L888" s="14"/>
      <c r="M888" s="14"/>
      <c r="N888" s="14"/>
    </row>
    <row r="889">
      <c r="A889" s="12"/>
      <c r="D889" s="95"/>
      <c r="E889" s="14"/>
      <c r="F889" s="96"/>
      <c r="H889" s="14"/>
      <c r="I889" s="14"/>
      <c r="J889" s="14"/>
      <c r="K889" s="14"/>
      <c r="L889" s="14"/>
      <c r="M889" s="14"/>
      <c r="N889" s="14"/>
    </row>
    <row r="890">
      <c r="A890" s="12"/>
      <c r="D890" s="95"/>
      <c r="E890" s="14"/>
      <c r="F890" s="96"/>
      <c r="H890" s="14"/>
      <c r="I890" s="14"/>
      <c r="J890" s="14"/>
      <c r="K890" s="14"/>
      <c r="L890" s="14"/>
      <c r="M890" s="14"/>
      <c r="N890" s="14"/>
    </row>
    <row r="891">
      <c r="A891" s="12"/>
      <c r="D891" s="95"/>
      <c r="E891" s="14"/>
      <c r="F891" s="96"/>
      <c r="H891" s="14"/>
      <c r="I891" s="14"/>
      <c r="J891" s="14"/>
      <c r="K891" s="14"/>
      <c r="L891" s="14"/>
      <c r="M891" s="14"/>
      <c r="N891" s="14"/>
    </row>
    <row r="892">
      <c r="A892" s="12"/>
      <c r="D892" s="95"/>
      <c r="E892" s="14"/>
      <c r="F892" s="96"/>
      <c r="H892" s="14"/>
      <c r="I892" s="14"/>
      <c r="J892" s="14"/>
      <c r="K892" s="14"/>
      <c r="L892" s="14"/>
      <c r="M892" s="14"/>
      <c r="N892" s="14"/>
    </row>
    <row r="893">
      <c r="A893" s="12"/>
      <c r="D893" s="95"/>
      <c r="E893" s="14"/>
      <c r="F893" s="96"/>
      <c r="H893" s="14"/>
      <c r="I893" s="14"/>
      <c r="J893" s="14"/>
      <c r="K893" s="14"/>
      <c r="L893" s="14"/>
      <c r="M893" s="14"/>
      <c r="N893" s="14"/>
    </row>
    <row r="894">
      <c r="A894" s="12"/>
      <c r="D894" s="95"/>
      <c r="E894" s="14"/>
      <c r="F894" s="96"/>
      <c r="H894" s="14"/>
      <c r="I894" s="14"/>
      <c r="J894" s="14"/>
      <c r="K894" s="14"/>
      <c r="L894" s="14"/>
      <c r="M894" s="14"/>
      <c r="N894" s="14"/>
    </row>
    <row r="895">
      <c r="A895" s="12"/>
      <c r="D895" s="95"/>
      <c r="E895" s="14"/>
      <c r="F895" s="96"/>
      <c r="H895" s="14"/>
      <c r="I895" s="14"/>
      <c r="J895" s="14"/>
      <c r="K895" s="14"/>
      <c r="L895" s="14"/>
      <c r="M895" s="14"/>
      <c r="N895" s="14"/>
    </row>
    <row r="896">
      <c r="A896" s="12"/>
      <c r="D896" s="95"/>
      <c r="E896" s="14"/>
      <c r="F896" s="96"/>
      <c r="H896" s="14"/>
      <c r="I896" s="14"/>
      <c r="J896" s="14"/>
      <c r="K896" s="14"/>
      <c r="L896" s="14"/>
      <c r="M896" s="14"/>
      <c r="N896" s="14"/>
    </row>
    <row r="897">
      <c r="A897" s="12"/>
      <c r="D897" s="95"/>
      <c r="E897" s="14"/>
      <c r="F897" s="96"/>
      <c r="H897" s="14"/>
      <c r="I897" s="14"/>
      <c r="J897" s="14"/>
      <c r="K897" s="14"/>
      <c r="L897" s="14"/>
      <c r="M897" s="14"/>
      <c r="N897" s="14"/>
    </row>
    <row r="898">
      <c r="A898" s="12"/>
      <c r="D898" s="95"/>
      <c r="E898" s="14"/>
      <c r="F898" s="96"/>
      <c r="H898" s="14"/>
      <c r="I898" s="14"/>
      <c r="J898" s="14"/>
      <c r="K898" s="14"/>
      <c r="L898" s="14"/>
      <c r="M898" s="14"/>
      <c r="N898" s="14"/>
    </row>
    <row r="899">
      <c r="A899" s="12"/>
      <c r="D899" s="95"/>
      <c r="E899" s="14"/>
      <c r="F899" s="96"/>
      <c r="H899" s="14"/>
      <c r="I899" s="14"/>
      <c r="J899" s="14"/>
      <c r="K899" s="14"/>
      <c r="L899" s="14"/>
      <c r="M899" s="14"/>
      <c r="N899" s="14"/>
    </row>
    <row r="900">
      <c r="A900" s="12"/>
      <c r="D900" s="95"/>
      <c r="E900" s="14"/>
      <c r="F900" s="96"/>
      <c r="H900" s="14"/>
      <c r="I900" s="14"/>
      <c r="J900" s="14"/>
      <c r="K900" s="14"/>
      <c r="L900" s="14"/>
      <c r="M900" s="14"/>
      <c r="N900" s="14"/>
    </row>
    <row r="901">
      <c r="A901" s="12"/>
      <c r="D901" s="95"/>
      <c r="E901" s="14"/>
      <c r="F901" s="96"/>
      <c r="H901" s="14"/>
      <c r="I901" s="14"/>
      <c r="J901" s="14"/>
      <c r="K901" s="14"/>
      <c r="L901" s="14"/>
      <c r="M901" s="14"/>
      <c r="N901" s="14"/>
    </row>
    <row r="902">
      <c r="A902" s="12"/>
      <c r="D902" s="95"/>
      <c r="E902" s="14"/>
      <c r="F902" s="96"/>
      <c r="H902" s="14"/>
      <c r="I902" s="14"/>
      <c r="J902" s="14"/>
      <c r="K902" s="14"/>
      <c r="L902" s="14"/>
      <c r="M902" s="14"/>
      <c r="N902" s="14"/>
    </row>
    <row r="903">
      <c r="A903" s="12"/>
      <c r="D903" s="95"/>
      <c r="E903" s="14"/>
      <c r="F903" s="96"/>
      <c r="H903" s="14"/>
      <c r="I903" s="14"/>
      <c r="J903" s="14"/>
      <c r="K903" s="14"/>
      <c r="L903" s="14"/>
      <c r="M903" s="14"/>
      <c r="N903" s="14"/>
    </row>
    <row r="904">
      <c r="A904" s="12"/>
      <c r="D904" s="95"/>
      <c r="E904" s="14"/>
      <c r="F904" s="96"/>
      <c r="H904" s="14"/>
      <c r="I904" s="14"/>
      <c r="J904" s="14"/>
      <c r="K904" s="14"/>
      <c r="L904" s="14"/>
      <c r="M904" s="14"/>
      <c r="N904" s="14"/>
    </row>
    <row r="905">
      <c r="A905" s="12"/>
      <c r="D905" s="95"/>
      <c r="E905" s="14"/>
      <c r="F905" s="96"/>
      <c r="H905" s="14"/>
      <c r="I905" s="14"/>
      <c r="J905" s="14"/>
      <c r="K905" s="14"/>
      <c r="L905" s="14"/>
      <c r="M905" s="14"/>
      <c r="N905" s="14"/>
    </row>
    <row r="906">
      <c r="A906" s="12"/>
      <c r="D906" s="95"/>
      <c r="E906" s="14"/>
      <c r="F906" s="96"/>
      <c r="H906" s="14"/>
      <c r="I906" s="14"/>
      <c r="J906" s="14"/>
      <c r="K906" s="14"/>
      <c r="L906" s="14"/>
      <c r="M906" s="14"/>
      <c r="N906" s="14"/>
    </row>
    <row r="907">
      <c r="A907" s="12"/>
      <c r="D907" s="95"/>
      <c r="E907" s="14"/>
      <c r="F907" s="96"/>
      <c r="H907" s="14"/>
      <c r="I907" s="14"/>
      <c r="J907" s="14"/>
      <c r="K907" s="14"/>
      <c r="L907" s="14"/>
      <c r="M907" s="14"/>
      <c r="N907" s="14"/>
    </row>
    <row r="908">
      <c r="A908" s="12"/>
      <c r="D908" s="95"/>
      <c r="E908" s="14"/>
      <c r="F908" s="96"/>
      <c r="H908" s="14"/>
      <c r="I908" s="14"/>
      <c r="J908" s="14"/>
      <c r="K908" s="14"/>
      <c r="L908" s="14"/>
      <c r="M908" s="14"/>
      <c r="N908" s="14"/>
    </row>
    <row r="909">
      <c r="A909" s="12"/>
      <c r="D909" s="95"/>
      <c r="E909" s="14"/>
      <c r="F909" s="96"/>
      <c r="H909" s="14"/>
      <c r="I909" s="14"/>
      <c r="J909" s="14"/>
      <c r="K909" s="14"/>
      <c r="L909" s="14"/>
      <c r="M909" s="14"/>
      <c r="N909" s="14"/>
    </row>
    <row r="910">
      <c r="A910" s="12"/>
      <c r="D910" s="95"/>
      <c r="E910" s="14"/>
      <c r="F910" s="96"/>
      <c r="H910" s="14"/>
      <c r="I910" s="14"/>
      <c r="J910" s="14"/>
      <c r="K910" s="14"/>
      <c r="L910" s="14"/>
      <c r="M910" s="14"/>
      <c r="N910" s="14"/>
    </row>
    <row r="911">
      <c r="A911" s="12"/>
      <c r="D911" s="95"/>
      <c r="E911" s="14"/>
      <c r="F911" s="96"/>
      <c r="H911" s="14"/>
      <c r="I911" s="14"/>
      <c r="J911" s="14"/>
      <c r="K911" s="14"/>
      <c r="L911" s="14"/>
      <c r="M911" s="14"/>
      <c r="N911" s="14"/>
    </row>
    <row r="912">
      <c r="A912" s="12"/>
      <c r="D912" s="95"/>
      <c r="E912" s="14"/>
      <c r="F912" s="96"/>
      <c r="H912" s="14"/>
      <c r="I912" s="14"/>
      <c r="J912" s="14"/>
      <c r="K912" s="14"/>
      <c r="L912" s="14"/>
      <c r="M912" s="14"/>
      <c r="N912" s="14"/>
    </row>
    <row r="913">
      <c r="A913" s="12"/>
      <c r="D913" s="95"/>
      <c r="E913" s="14"/>
      <c r="F913" s="96"/>
      <c r="H913" s="14"/>
      <c r="I913" s="14"/>
      <c r="J913" s="14"/>
      <c r="K913" s="14"/>
      <c r="L913" s="14"/>
      <c r="M913" s="14"/>
      <c r="N913" s="14"/>
    </row>
    <row r="914">
      <c r="A914" s="12"/>
      <c r="D914" s="95"/>
      <c r="E914" s="14"/>
      <c r="F914" s="96"/>
      <c r="H914" s="14"/>
      <c r="I914" s="14"/>
      <c r="J914" s="14"/>
      <c r="K914" s="14"/>
      <c r="L914" s="14"/>
      <c r="M914" s="14"/>
      <c r="N914" s="14"/>
    </row>
    <row r="915">
      <c r="A915" s="12"/>
      <c r="D915" s="95"/>
      <c r="E915" s="14"/>
      <c r="F915" s="96"/>
      <c r="H915" s="14"/>
      <c r="I915" s="14"/>
      <c r="J915" s="14"/>
      <c r="K915" s="14"/>
      <c r="L915" s="14"/>
      <c r="M915" s="14"/>
      <c r="N915" s="14"/>
    </row>
    <row r="916">
      <c r="A916" s="12"/>
      <c r="D916" s="95"/>
      <c r="E916" s="14"/>
      <c r="F916" s="96"/>
      <c r="H916" s="14"/>
      <c r="I916" s="14"/>
      <c r="J916" s="14"/>
      <c r="K916" s="14"/>
      <c r="L916" s="14"/>
      <c r="M916" s="14"/>
      <c r="N916" s="14"/>
    </row>
    <row r="917">
      <c r="A917" s="12"/>
      <c r="D917" s="95"/>
      <c r="E917" s="14"/>
      <c r="F917" s="96"/>
      <c r="H917" s="14"/>
      <c r="I917" s="14"/>
      <c r="J917" s="14"/>
      <c r="K917" s="14"/>
      <c r="L917" s="14"/>
      <c r="M917" s="14"/>
      <c r="N917" s="14"/>
    </row>
    <row r="918">
      <c r="A918" s="12"/>
      <c r="D918" s="95"/>
      <c r="E918" s="14"/>
      <c r="F918" s="96"/>
      <c r="H918" s="14"/>
      <c r="I918" s="14"/>
      <c r="J918" s="14"/>
      <c r="K918" s="14"/>
      <c r="L918" s="14"/>
      <c r="M918" s="14"/>
      <c r="N918" s="14"/>
    </row>
    <row r="919">
      <c r="A919" s="12"/>
      <c r="D919" s="95"/>
      <c r="E919" s="14"/>
      <c r="F919" s="96"/>
      <c r="H919" s="14"/>
      <c r="I919" s="14"/>
      <c r="J919" s="14"/>
      <c r="K919" s="14"/>
      <c r="L919" s="14"/>
      <c r="M919" s="14"/>
      <c r="N919" s="14"/>
    </row>
    <row r="920">
      <c r="A920" s="12"/>
      <c r="D920" s="95"/>
      <c r="E920" s="14"/>
      <c r="F920" s="96"/>
      <c r="H920" s="14"/>
      <c r="I920" s="14"/>
      <c r="J920" s="14"/>
      <c r="K920" s="14"/>
      <c r="L920" s="14"/>
      <c r="M920" s="14"/>
      <c r="N920" s="14"/>
    </row>
    <row r="921">
      <c r="A921" s="12"/>
      <c r="D921" s="95"/>
      <c r="E921" s="14"/>
      <c r="F921" s="96"/>
      <c r="H921" s="14"/>
      <c r="I921" s="14"/>
      <c r="J921" s="14"/>
      <c r="K921" s="14"/>
      <c r="L921" s="14"/>
      <c r="M921" s="14"/>
      <c r="N921" s="14"/>
    </row>
    <row r="922">
      <c r="A922" s="12"/>
      <c r="D922" s="95"/>
      <c r="E922" s="14"/>
      <c r="F922" s="96"/>
      <c r="H922" s="14"/>
      <c r="I922" s="14"/>
      <c r="J922" s="14"/>
      <c r="K922" s="14"/>
      <c r="L922" s="14"/>
      <c r="M922" s="14"/>
      <c r="N922" s="14"/>
    </row>
    <row r="923">
      <c r="A923" s="12"/>
      <c r="D923" s="95"/>
      <c r="E923" s="14"/>
      <c r="F923" s="96"/>
      <c r="H923" s="14"/>
      <c r="I923" s="14"/>
      <c r="J923" s="14"/>
      <c r="K923" s="14"/>
      <c r="L923" s="14"/>
      <c r="M923" s="14"/>
      <c r="N923" s="14"/>
    </row>
    <row r="924">
      <c r="A924" s="12"/>
      <c r="D924" s="95"/>
      <c r="E924" s="14"/>
      <c r="F924" s="96"/>
      <c r="H924" s="14"/>
      <c r="I924" s="14"/>
      <c r="J924" s="14"/>
      <c r="K924" s="14"/>
      <c r="L924" s="14"/>
      <c r="M924" s="14"/>
      <c r="N924" s="14"/>
    </row>
    <row r="925">
      <c r="A925" s="12"/>
      <c r="D925" s="95"/>
      <c r="E925" s="14"/>
      <c r="F925" s="96"/>
      <c r="H925" s="14"/>
      <c r="I925" s="14"/>
      <c r="J925" s="14"/>
      <c r="K925" s="14"/>
      <c r="L925" s="14"/>
      <c r="M925" s="14"/>
      <c r="N925" s="14"/>
    </row>
    <row r="926">
      <c r="A926" s="12"/>
      <c r="D926" s="95"/>
      <c r="E926" s="14"/>
      <c r="F926" s="96"/>
      <c r="H926" s="14"/>
      <c r="I926" s="14"/>
      <c r="J926" s="14"/>
      <c r="K926" s="14"/>
      <c r="L926" s="14"/>
      <c r="M926" s="14"/>
      <c r="N926" s="14"/>
    </row>
    <row r="927">
      <c r="A927" s="12"/>
      <c r="D927" s="95"/>
      <c r="E927" s="14"/>
      <c r="F927" s="96"/>
      <c r="H927" s="14"/>
      <c r="I927" s="14"/>
      <c r="J927" s="14"/>
      <c r="K927" s="14"/>
      <c r="L927" s="14"/>
      <c r="M927" s="14"/>
      <c r="N927" s="14"/>
    </row>
    <row r="928">
      <c r="A928" s="12"/>
      <c r="D928" s="95"/>
      <c r="E928" s="14"/>
      <c r="F928" s="96"/>
      <c r="H928" s="14"/>
      <c r="I928" s="14"/>
      <c r="J928" s="14"/>
      <c r="K928" s="14"/>
      <c r="L928" s="14"/>
      <c r="M928" s="14"/>
      <c r="N928" s="14"/>
    </row>
    <row r="929">
      <c r="A929" s="12"/>
      <c r="D929" s="95"/>
      <c r="E929" s="14"/>
      <c r="F929" s="96"/>
      <c r="H929" s="14"/>
      <c r="I929" s="14"/>
      <c r="J929" s="14"/>
      <c r="K929" s="14"/>
      <c r="L929" s="14"/>
      <c r="M929" s="14"/>
      <c r="N929" s="14"/>
    </row>
    <row r="930">
      <c r="A930" s="12"/>
      <c r="D930" s="95"/>
      <c r="E930" s="14"/>
      <c r="F930" s="96"/>
      <c r="H930" s="14"/>
      <c r="I930" s="14"/>
      <c r="J930" s="14"/>
      <c r="K930" s="14"/>
      <c r="L930" s="14"/>
      <c r="M930" s="14"/>
      <c r="N930" s="14"/>
    </row>
    <row r="931">
      <c r="A931" s="12"/>
      <c r="D931" s="95"/>
      <c r="E931" s="14"/>
      <c r="F931" s="96"/>
      <c r="H931" s="14"/>
      <c r="I931" s="14"/>
      <c r="J931" s="14"/>
      <c r="K931" s="14"/>
      <c r="L931" s="14"/>
      <c r="M931" s="14"/>
      <c r="N931" s="14"/>
    </row>
    <row r="932">
      <c r="A932" s="12"/>
      <c r="D932" s="95"/>
      <c r="E932" s="14"/>
      <c r="F932" s="96"/>
      <c r="H932" s="14"/>
      <c r="I932" s="14"/>
      <c r="J932" s="14"/>
      <c r="K932" s="14"/>
      <c r="L932" s="14"/>
      <c r="M932" s="14"/>
      <c r="N932" s="14"/>
    </row>
    <row r="933">
      <c r="A933" s="12"/>
      <c r="D933" s="95"/>
      <c r="E933" s="14"/>
      <c r="F933" s="96"/>
      <c r="H933" s="14"/>
      <c r="I933" s="14"/>
      <c r="J933" s="14"/>
      <c r="K933" s="14"/>
      <c r="L933" s="14"/>
      <c r="M933" s="14"/>
      <c r="N933" s="14"/>
    </row>
    <row r="934">
      <c r="A934" s="12"/>
      <c r="D934" s="95"/>
      <c r="E934" s="14"/>
      <c r="F934" s="96"/>
      <c r="H934" s="14"/>
      <c r="I934" s="14"/>
      <c r="J934" s="14"/>
      <c r="K934" s="14"/>
      <c r="L934" s="14"/>
      <c r="M934" s="14"/>
      <c r="N934" s="14"/>
    </row>
    <row r="935">
      <c r="A935" s="12"/>
      <c r="D935" s="95"/>
      <c r="E935" s="14"/>
      <c r="F935" s="96"/>
      <c r="H935" s="14"/>
      <c r="I935" s="14"/>
      <c r="J935" s="14"/>
      <c r="K935" s="14"/>
      <c r="L935" s="14"/>
      <c r="M935" s="14"/>
      <c r="N935" s="14"/>
    </row>
    <row r="936">
      <c r="A936" s="12"/>
      <c r="D936" s="95"/>
      <c r="E936" s="14"/>
      <c r="F936" s="96"/>
      <c r="H936" s="14"/>
      <c r="I936" s="14"/>
      <c r="J936" s="14"/>
      <c r="K936" s="14"/>
      <c r="L936" s="14"/>
      <c r="M936" s="14"/>
      <c r="N936" s="14"/>
    </row>
    <row r="937">
      <c r="A937" s="12"/>
      <c r="D937" s="95"/>
      <c r="E937" s="14"/>
      <c r="F937" s="96"/>
      <c r="H937" s="14"/>
      <c r="I937" s="14"/>
      <c r="J937" s="14"/>
      <c r="K937" s="14"/>
      <c r="L937" s="14"/>
      <c r="M937" s="14"/>
      <c r="N937" s="14"/>
    </row>
    <row r="938">
      <c r="A938" s="12"/>
      <c r="D938" s="95"/>
      <c r="E938" s="14"/>
      <c r="F938" s="96"/>
      <c r="H938" s="14"/>
      <c r="I938" s="14"/>
      <c r="J938" s="14"/>
      <c r="K938" s="14"/>
      <c r="L938" s="14"/>
      <c r="M938" s="14"/>
      <c r="N938" s="14"/>
    </row>
    <row r="939">
      <c r="A939" s="12"/>
      <c r="D939" s="95"/>
      <c r="E939" s="14"/>
      <c r="F939" s="96"/>
      <c r="H939" s="14"/>
      <c r="I939" s="14"/>
      <c r="J939" s="14"/>
      <c r="K939" s="14"/>
      <c r="L939" s="14"/>
      <c r="M939" s="14"/>
      <c r="N939" s="14"/>
    </row>
    <row r="940">
      <c r="A940" s="12"/>
      <c r="D940" s="95"/>
      <c r="E940" s="14"/>
      <c r="F940" s="96"/>
      <c r="H940" s="14"/>
      <c r="I940" s="14"/>
      <c r="J940" s="14"/>
      <c r="K940" s="14"/>
      <c r="L940" s="14"/>
      <c r="M940" s="14"/>
      <c r="N940" s="14"/>
    </row>
    <row r="941">
      <c r="A941" s="12"/>
      <c r="D941" s="95"/>
      <c r="E941" s="14"/>
      <c r="F941" s="96"/>
      <c r="H941" s="14"/>
      <c r="I941" s="14"/>
      <c r="J941" s="14"/>
      <c r="K941" s="14"/>
      <c r="L941" s="14"/>
      <c r="M941" s="14"/>
      <c r="N941" s="14"/>
    </row>
    <row r="942">
      <c r="A942" s="12"/>
      <c r="D942" s="95"/>
      <c r="E942" s="14"/>
      <c r="F942" s="96"/>
      <c r="H942" s="14"/>
      <c r="I942" s="14"/>
      <c r="J942" s="14"/>
      <c r="K942" s="14"/>
      <c r="L942" s="14"/>
      <c r="M942" s="14"/>
      <c r="N942" s="14"/>
    </row>
    <row r="943">
      <c r="A943" s="12"/>
      <c r="D943" s="95"/>
      <c r="E943" s="14"/>
      <c r="F943" s="96"/>
      <c r="H943" s="14"/>
      <c r="I943" s="14"/>
      <c r="J943" s="14"/>
      <c r="K943" s="14"/>
      <c r="L943" s="14"/>
      <c r="M943" s="14"/>
      <c r="N943" s="14"/>
    </row>
    <row r="944">
      <c r="A944" s="12"/>
      <c r="D944" s="95"/>
      <c r="E944" s="14"/>
      <c r="F944" s="96"/>
      <c r="H944" s="14"/>
      <c r="I944" s="14"/>
      <c r="J944" s="14"/>
      <c r="K944" s="14"/>
      <c r="L944" s="14"/>
      <c r="M944" s="14"/>
      <c r="N944" s="14"/>
    </row>
    <row r="945">
      <c r="A945" s="12"/>
      <c r="D945" s="95"/>
      <c r="E945" s="14"/>
      <c r="F945" s="96"/>
      <c r="H945" s="14"/>
      <c r="I945" s="14"/>
      <c r="J945" s="14"/>
      <c r="K945" s="14"/>
      <c r="L945" s="14"/>
      <c r="M945" s="14"/>
      <c r="N945" s="14"/>
    </row>
    <row r="946">
      <c r="A946" s="12"/>
      <c r="D946" s="95"/>
      <c r="E946" s="14"/>
      <c r="F946" s="96"/>
      <c r="H946" s="14"/>
      <c r="I946" s="14"/>
      <c r="J946" s="14"/>
      <c r="K946" s="14"/>
      <c r="L946" s="14"/>
      <c r="M946" s="14"/>
      <c r="N946" s="14"/>
    </row>
    <row r="947">
      <c r="A947" s="12"/>
      <c r="D947" s="95"/>
      <c r="E947" s="14"/>
      <c r="F947" s="96"/>
      <c r="H947" s="14"/>
      <c r="I947" s="14"/>
      <c r="J947" s="14"/>
      <c r="K947" s="14"/>
      <c r="L947" s="14"/>
      <c r="M947" s="14"/>
      <c r="N947" s="14"/>
    </row>
    <row r="948">
      <c r="A948" s="12"/>
      <c r="D948" s="95"/>
      <c r="E948" s="14"/>
      <c r="F948" s="96"/>
      <c r="H948" s="14"/>
      <c r="I948" s="14"/>
      <c r="J948" s="14"/>
      <c r="K948" s="14"/>
      <c r="L948" s="14"/>
      <c r="M948" s="14"/>
      <c r="N948" s="14"/>
    </row>
    <row r="949">
      <c r="A949" s="12"/>
      <c r="D949" s="95"/>
      <c r="E949" s="14"/>
      <c r="F949" s="96"/>
      <c r="H949" s="14"/>
      <c r="I949" s="14"/>
      <c r="J949" s="14"/>
      <c r="K949" s="14"/>
      <c r="L949" s="14"/>
      <c r="M949" s="14"/>
      <c r="N949" s="14"/>
    </row>
    <row r="950">
      <c r="A950" s="12"/>
      <c r="D950" s="95"/>
      <c r="E950" s="14"/>
      <c r="F950" s="96"/>
      <c r="H950" s="14"/>
      <c r="I950" s="14"/>
      <c r="J950" s="14"/>
      <c r="K950" s="14"/>
      <c r="L950" s="14"/>
      <c r="M950" s="14"/>
      <c r="N950" s="14"/>
    </row>
    <row r="951">
      <c r="A951" s="12"/>
      <c r="D951" s="95"/>
      <c r="E951" s="14"/>
      <c r="F951" s="96"/>
      <c r="H951" s="14"/>
      <c r="I951" s="14"/>
      <c r="J951" s="14"/>
      <c r="K951" s="14"/>
      <c r="L951" s="14"/>
      <c r="M951" s="14"/>
      <c r="N951" s="14"/>
    </row>
    <row r="952">
      <c r="A952" s="12"/>
      <c r="D952" s="95"/>
      <c r="E952" s="14"/>
      <c r="F952" s="96"/>
      <c r="H952" s="14"/>
      <c r="I952" s="14"/>
      <c r="J952" s="14"/>
      <c r="K952" s="14"/>
      <c r="L952" s="14"/>
      <c r="M952" s="14"/>
      <c r="N952" s="14"/>
    </row>
    <row r="953">
      <c r="A953" s="12"/>
      <c r="D953" s="95"/>
      <c r="E953" s="14"/>
      <c r="F953" s="96"/>
      <c r="H953" s="14"/>
      <c r="I953" s="14"/>
      <c r="J953" s="14"/>
      <c r="K953" s="14"/>
      <c r="L953" s="14"/>
      <c r="M953" s="14"/>
      <c r="N953" s="14"/>
    </row>
    <row r="954">
      <c r="A954" s="12"/>
      <c r="D954" s="95"/>
      <c r="E954" s="14"/>
      <c r="F954" s="96"/>
      <c r="H954" s="14"/>
      <c r="I954" s="14"/>
      <c r="J954" s="14"/>
      <c r="K954" s="14"/>
      <c r="L954" s="14"/>
      <c r="M954" s="14"/>
      <c r="N954" s="14"/>
    </row>
    <row r="955">
      <c r="A955" s="12"/>
      <c r="D955" s="95"/>
      <c r="E955" s="14"/>
      <c r="F955" s="96"/>
      <c r="H955" s="14"/>
      <c r="I955" s="14"/>
      <c r="J955" s="14"/>
      <c r="K955" s="14"/>
      <c r="L955" s="14"/>
      <c r="M955" s="14"/>
      <c r="N955" s="14"/>
    </row>
    <row r="956">
      <c r="A956" s="12"/>
      <c r="D956" s="95"/>
      <c r="E956" s="14"/>
      <c r="F956" s="96"/>
      <c r="H956" s="14"/>
      <c r="I956" s="14"/>
      <c r="J956" s="14"/>
      <c r="K956" s="14"/>
      <c r="L956" s="14"/>
      <c r="M956" s="14"/>
      <c r="N956" s="14"/>
    </row>
    <row r="957">
      <c r="A957" s="12"/>
      <c r="D957" s="95"/>
      <c r="E957" s="14"/>
      <c r="F957" s="96"/>
      <c r="H957" s="14"/>
      <c r="I957" s="14"/>
      <c r="J957" s="14"/>
      <c r="K957" s="14"/>
      <c r="L957" s="14"/>
      <c r="M957" s="14"/>
      <c r="N957" s="14"/>
    </row>
    <row r="958">
      <c r="A958" s="12"/>
      <c r="D958" s="95"/>
      <c r="E958" s="14"/>
      <c r="F958" s="96"/>
      <c r="H958" s="14"/>
      <c r="I958" s="14"/>
      <c r="J958" s="14"/>
      <c r="K958" s="14"/>
      <c r="L958" s="14"/>
      <c r="M958" s="14"/>
      <c r="N958" s="14"/>
    </row>
    <row r="959">
      <c r="A959" s="12"/>
      <c r="D959" s="95"/>
      <c r="E959" s="14"/>
      <c r="F959" s="96"/>
      <c r="H959" s="14"/>
      <c r="I959" s="14"/>
      <c r="J959" s="14"/>
      <c r="K959" s="14"/>
      <c r="L959" s="14"/>
      <c r="M959" s="14"/>
      <c r="N959" s="14"/>
    </row>
    <row r="960">
      <c r="A960" s="12"/>
      <c r="D960" s="95"/>
      <c r="E960" s="14"/>
      <c r="F960" s="96"/>
      <c r="H960" s="14"/>
      <c r="I960" s="14"/>
      <c r="J960" s="14"/>
      <c r="K960" s="14"/>
      <c r="L960" s="14"/>
      <c r="M960" s="14"/>
      <c r="N960" s="14"/>
    </row>
    <row r="961">
      <c r="A961" s="12"/>
      <c r="D961" s="95"/>
      <c r="E961" s="14"/>
      <c r="F961" s="96"/>
      <c r="H961" s="14"/>
      <c r="I961" s="14"/>
      <c r="J961" s="14"/>
      <c r="K961" s="14"/>
      <c r="L961" s="14"/>
      <c r="M961" s="14"/>
      <c r="N961" s="14"/>
    </row>
    <row r="962">
      <c r="A962" s="12"/>
      <c r="D962" s="95"/>
      <c r="E962" s="14"/>
      <c r="F962" s="96"/>
      <c r="H962" s="14"/>
      <c r="I962" s="14"/>
      <c r="J962" s="14"/>
      <c r="K962" s="14"/>
      <c r="L962" s="14"/>
      <c r="M962" s="14"/>
      <c r="N962" s="14"/>
    </row>
    <row r="963">
      <c r="A963" s="12"/>
      <c r="D963" s="95"/>
      <c r="E963" s="14"/>
      <c r="F963" s="96"/>
      <c r="H963" s="14"/>
      <c r="I963" s="14"/>
      <c r="J963" s="14"/>
      <c r="K963" s="14"/>
      <c r="L963" s="14"/>
      <c r="M963" s="14"/>
      <c r="N963" s="14"/>
    </row>
    <row r="964">
      <c r="A964" s="12"/>
      <c r="D964" s="95"/>
      <c r="E964" s="14"/>
      <c r="F964" s="96"/>
      <c r="H964" s="14"/>
      <c r="I964" s="14"/>
      <c r="J964" s="14"/>
      <c r="K964" s="14"/>
      <c r="L964" s="14"/>
      <c r="M964" s="14"/>
      <c r="N964" s="14"/>
    </row>
    <row r="965">
      <c r="A965" s="12"/>
      <c r="D965" s="95"/>
      <c r="E965" s="14"/>
      <c r="F965" s="96"/>
      <c r="H965" s="14"/>
      <c r="I965" s="14"/>
      <c r="J965" s="14"/>
      <c r="K965" s="14"/>
      <c r="L965" s="14"/>
      <c r="M965" s="14"/>
      <c r="N965" s="14"/>
    </row>
    <row r="966">
      <c r="A966" s="12"/>
      <c r="D966" s="95"/>
      <c r="E966" s="14"/>
      <c r="F966" s="96"/>
      <c r="H966" s="14"/>
      <c r="I966" s="14"/>
      <c r="J966" s="14"/>
      <c r="K966" s="14"/>
      <c r="L966" s="14"/>
      <c r="M966" s="14"/>
      <c r="N966" s="14"/>
    </row>
    <row r="967">
      <c r="A967" s="12"/>
      <c r="D967" s="95"/>
      <c r="E967" s="14"/>
      <c r="F967" s="96"/>
      <c r="H967" s="14"/>
      <c r="I967" s="14"/>
      <c r="J967" s="14"/>
      <c r="K967" s="14"/>
      <c r="L967" s="14"/>
      <c r="M967" s="14"/>
      <c r="N967" s="14"/>
    </row>
    <row r="968">
      <c r="A968" s="12"/>
      <c r="D968" s="95"/>
      <c r="E968" s="14"/>
      <c r="F968" s="96"/>
      <c r="H968" s="14"/>
      <c r="I968" s="14"/>
      <c r="J968" s="14"/>
      <c r="K968" s="14"/>
      <c r="L968" s="14"/>
      <c r="M968" s="14"/>
      <c r="N968" s="14"/>
    </row>
    <row r="969">
      <c r="A969" s="12"/>
      <c r="D969" s="95"/>
      <c r="E969" s="14"/>
      <c r="F969" s="96"/>
      <c r="H969" s="14"/>
      <c r="I969" s="14"/>
      <c r="J969" s="14"/>
      <c r="K969" s="14"/>
      <c r="L969" s="14"/>
      <c r="M969" s="14"/>
      <c r="N969" s="14"/>
    </row>
    <row r="970">
      <c r="A970" s="12"/>
      <c r="D970" s="95"/>
      <c r="E970" s="14"/>
      <c r="F970" s="96"/>
      <c r="H970" s="14"/>
      <c r="I970" s="14"/>
      <c r="J970" s="14"/>
      <c r="K970" s="14"/>
      <c r="L970" s="14"/>
      <c r="M970" s="14"/>
      <c r="N970" s="14"/>
    </row>
    <row r="971">
      <c r="A971" s="12"/>
      <c r="D971" s="95"/>
      <c r="E971" s="14"/>
      <c r="F971" s="96"/>
      <c r="H971" s="14"/>
      <c r="I971" s="14"/>
      <c r="J971" s="14"/>
      <c r="K971" s="14"/>
      <c r="L971" s="14"/>
      <c r="M971" s="14"/>
      <c r="N971" s="14"/>
    </row>
    <row r="972">
      <c r="A972" s="12"/>
      <c r="D972" s="95"/>
      <c r="E972" s="14"/>
      <c r="F972" s="96"/>
      <c r="H972" s="14"/>
      <c r="I972" s="14"/>
      <c r="J972" s="14"/>
      <c r="K972" s="14"/>
      <c r="L972" s="14"/>
      <c r="M972" s="14"/>
      <c r="N972" s="14"/>
    </row>
    <row r="973">
      <c r="A973" s="12"/>
      <c r="D973" s="95"/>
      <c r="E973" s="14"/>
      <c r="F973" s="96"/>
      <c r="H973" s="14"/>
      <c r="I973" s="14"/>
      <c r="J973" s="14"/>
      <c r="K973" s="14"/>
      <c r="L973" s="14"/>
      <c r="M973" s="14"/>
      <c r="N973" s="14"/>
    </row>
    <row r="974">
      <c r="A974" s="12"/>
      <c r="D974" s="95"/>
      <c r="E974" s="14"/>
      <c r="F974" s="96"/>
      <c r="H974" s="14"/>
      <c r="I974" s="14"/>
      <c r="J974" s="14"/>
      <c r="K974" s="14"/>
      <c r="L974" s="14"/>
      <c r="M974" s="14"/>
      <c r="N974" s="14"/>
    </row>
    <row r="975">
      <c r="A975" s="12"/>
      <c r="D975" s="95"/>
      <c r="E975" s="14"/>
      <c r="F975" s="96"/>
      <c r="H975" s="14"/>
      <c r="I975" s="14"/>
      <c r="J975" s="14"/>
      <c r="K975" s="14"/>
      <c r="L975" s="14"/>
      <c r="M975" s="14"/>
      <c r="N975" s="14"/>
    </row>
    <row r="976">
      <c r="A976" s="12"/>
      <c r="D976" s="95"/>
      <c r="E976" s="14"/>
      <c r="F976" s="96"/>
      <c r="H976" s="14"/>
      <c r="I976" s="14"/>
      <c r="J976" s="14"/>
      <c r="K976" s="14"/>
      <c r="L976" s="14"/>
      <c r="M976" s="14"/>
      <c r="N976" s="14"/>
    </row>
    <row r="977">
      <c r="A977" s="12"/>
      <c r="D977" s="95"/>
      <c r="E977" s="14"/>
      <c r="F977" s="96"/>
      <c r="H977" s="14"/>
      <c r="I977" s="14"/>
      <c r="J977" s="14"/>
      <c r="K977" s="14"/>
      <c r="L977" s="14"/>
      <c r="M977" s="14"/>
      <c r="N977" s="14"/>
    </row>
    <row r="978">
      <c r="A978" s="12"/>
      <c r="D978" s="95"/>
      <c r="E978" s="14"/>
      <c r="F978" s="96"/>
      <c r="H978" s="14"/>
      <c r="I978" s="14"/>
      <c r="J978" s="14"/>
      <c r="K978" s="14"/>
      <c r="L978" s="14"/>
      <c r="M978" s="14"/>
      <c r="N978" s="14"/>
    </row>
    <row r="979">
      <c r="A979" s="12"/>
      <c r="D979" s="95"/>
      <c r="E979" s="14"/>
      <c r="F979" s="96"/>
      <c r="H979" s="14"/>
      <c r="I979" s="14"/>
      <c r="J979" s="14"/>
      <c r="K979" s="14"/>
      <c r="L979" s="14"/>
      <c r="M979" s="14"/>
      <c r="N979" s="14"/>
    </row>
    <row r="980">
      <c r="A980" s="12"/>
      <c r="D980" s="95"/>
      <c r="E980" s="14"/>
      <c r="F980" s="96"/>
      <c r="H980" s="14"/>
      <c r="I980" s="14"/>
      <c r="J980" s="14"/>
      <c r="K980" s="14"/>
      <c r="L980" s="14"/>
      <c r="M980" s="14"/>
      <c r="N980" s="14"/>
    </row>
    <row r="981">
      <c r="A981" s="12"/>
      <c r="D981" s="95"/>
      <c r="E981" s="14"/>
      <c r="F981" s="96"/>
      <c r="H981" s="14"/>
      <c r="I981" s="14"/>
      <c r="J981" s="14"/>
      <c r="K981" s="14"/>
      <c r="L981" s="14"/>
      <c r="M981" s="14"/>
      <c r="N981" s="14"/>
    </row>
    <row r="982">
      <c r="A982" s="12"/>
      <c r="D982" s="95"/>
      <c r="E982" s="14"/>
      <c r="F982" s="96"/>
      <c r="H982" s="14"/>
      <c r="I982" s="14"/>
      <c r="J982" s="14"/>
      <c r="K982" s="14"/>
      <c r="L982" s="14"/>
      <c r="M982" s="14"/>
      <c r="N982" s="14"/>
    </row>
    <row r="983">
      <c r="A983" s="12"/>
      <c r="D983" s="95"/>
      <c r="E983" s="14"/>
      <c r="F983" s="96"/>
      <c r="H983" s="14"/>
      <c r="I983" s="14"/>
      <c r="J983" s="14"/>
      <c r="K983" s="14"/>
      <c r="L983" s="14"/>
      <c r="M983" s="14"/>
      <c r="N983" s="14"/>
    </row>
    <row r="984">
      <c r="A984" s="12"/>
      <c r="D984" s="95"/>
      <c r="E984" s="14"/>
      <c r="F984" s="96"/>
      <c r="H984" s="14"/>
      <c r="I984" s="14"/>
      <c r="J984" s="14"/>
      <c r="K984" s="14"/>
      <c r="L984" s="14"/>
      <c r="M984" s="14"/>
      <c r="N984" s="14"/>
    </row>
    <row r="985">
      <c r="A985" s="12"/>
      <c r="D985" s="95"/>
      <c r="E985" s="14"/>
      <c r="F985" s="96"/>
      <c r="H985" s="14"/>
      <c r="I985" s="14"/>
      <c r="J985" s="14"/>
      <c r="K985" s="14"/>
      <c r="L985" s="14"/>
      <c r="M985" s="14"/>
      <c r="N985" s="14"/>
    </row>
    <row r="986">
      <c r="A986" s="12"/>
      <c r="D986" s="95"/>
      <c r="E986" s="14"/>
      <c r="F986" s="96"/>
      <c r="H986" s="14"/>
      <c r="I986" s="14"/>
      <c r="J986" s="14"/>
      <c r="K986" s="14"/>
      <c r="L986" s="14"/>
      <c r="M986" s="14"/>
      <c r="N986" s="14"/>
    </row>
    <row r="987">
      <c r="A987" s="12"/>
      <c r="D987" s="95"/>
      <c r="E987" s="14"/>
      <c r="F987" s="96"/>
      <c r="H987" s="14"/>
      <c r="I987" s="14"/>
      <c r="J987" s="14"/>
      <c r="K987" s="14"/>
      <c r="L987" s="14"/>
      <c r="M987" s="14"/>
      <c r="N987" s="14"/>
    </row>
    <row r="988">
      <c r="A988" s="12"/>
      <c r="D988" s="95"/>
      <c r="E988" s="14"/>
      <c r="F988" s="96"/>
      <c r="H988" s="14"/>
      <c r="I988" s="14"/>
      <c r="J988" s="14"/>
      <c r="K988" s="14"/>
      <c r="L988" s="14"/>
      <c r="M988" s="14"/>
      <c r="N988" s="14"/>
    </row>
    <row r="989">
      <c r="A989" s="12"/>
      <c r="D989" s="95"/>
      <c r="E989" s="14"/>
      <c r="F989" s="96"/>
      <c r="H989" s="14"/>
      <c r="I989" s="14"/>
      <c r="J989" s="14"/>
      <c r="K989" s="14"/>
      <c r="L989" s="14"/>
      <c r="M989" s="14"/>
      <c r="N989" s="14"/>
    </row>
    <row r="990">
      <c r="A990" s="12"/>
      <c r="D990" s="95"/>
      <c r="E990" s="14"/>
      <c r="F990" s="96"/>
      <c r="H990" s="14"/>
      <c r="I990" s="14"/>
      <c r="J990" s="14"/>
      <c r="K990" s="14"/>
      <c r="L990" s="14"/>
      <c r="M990" s="14"/>
      <c r="N990" s="14"/>
    </row>
    <row r="991">
      <c r="A991" s="12"/>
      <c r="D991" s="95"/>
      <c r="E991" s="14"/>
      <c r="F991" s="96"/>
      <c r="H991" s="14"/>
      <c r="I991" s="14"/>
      <c r="J991" s="14"/>
      <c r="K991" s="14"/>
      <c r="L991" s="14"/>
      <c r="M991" s="14"/>
      <c r="N991" s="14"/>
    </row>
    <row r="992">
      <c r="A992" s="12"/>
      <c r="D992" s="95"/>
      <c r="E992" s="14"/>
      <c r="F992" s="96"/>
      <c r="H992" s="14"/>
      <c r="I992" s="14"/>
      <c r="J992" s="14"/>
      <c r="K992" s="14"/>
      <c r="L992" s="14"/>
      <c r="M992" s="14"/>
      <c r="N992" s="14"/>
    </row>
    <row r="993">
      <c r="A993" s="12"/>
      <c r="D993" s="95"/>
      <c r="E993" s="14"/>
      <c r="F993" s="96"/>
      <c r="H993" s="14"/>
      <c r="I993" s="14"/>
      <c r="J993" s="14"/>
      <c r="K993" s="14"/>
      <c r="L993" s="14"/>
      <c r="M993" s="14"/>
      <c r="N993" s="14"/>
    </row>
    <row r="994">
      <c r="A994" s="12"/>
      <c r="D994" s="95"/>
      <c r="E994" s="14"/>
      <c r="F994" s="96"/>
      <c r="H994" s="14"/>
      <c r="I994" s="14"/>
      <c r="J994" s="14"/>
      <c r="K994" s="14"/>
      <c r="L994" s="14"/>
      <c r="M994" s="14"/>
      <c r="N994" s="14"/>
    </row>
    <row r="995">
      <c r="A995" s="12"/>
      <c r="D995" s="95"/>
      <c r="E995" s="14"/>
      <c r="F995" s="96"/>
      <c r="H995" s="14"/>
      <c r="I995" s="14"/>
      <c r="J995" s="14"/>
      <c r="K995" s="14"/>
      <c r="L995" s="14"/>
      <c r="M995" s="14"/>
      <c r="N995" s="14"/>
    </row>
    <row r="996">
      <c r="A996" s="12"/>
      <c r="D996" s="95"/>
      <c r="E996" s="14"/>
      <c r="F996" s="96"/>
      <c r="H996" s="14"/>
      <c r="I996" s="14"/>
      <c r="J996" s="14"/>
      <c r="K996" s="14"/>
      <c r="L996" s="14"/>
      <c r="M996" s="14"/>
      <c r="N996" s="14"/>
    </row>
    <row r="997">
      <c r="A997" s="12"/>
      <c r="D997" s="95"/>
      <c r="E997" s="14"/>
      <c r="F997" s="96"/>
      <c r="H997" s="14"/>
      <c r="I997" s="14"/>
      <c r="J997" s="14"/>
      <c r="K997" s="14"/>
      <c r="L997" s="14"/>
      <c r="M997" s="14"/>
      <c r="N997" s="14"/>
    </row>
    <row r="998">
      <c r="A998" s="12"/>
      <c r="D998" s="95"/>
      <c r="E998" s="14"/>
      <c r="F998" s="96"/>
      <c r="H998" s="14"/>
      <c r="I998" s="14"/>
      <c r="J998" s="14"/>
      <c r="K998" s="14"/>
      <c r="L998" s="14"/>
      <c r="M998" s="14"/>
      <c r="N998" s="14"/>
    </row>
    <row r="999">
      <c r="A999" s="12"/>
      <c r="D999" s="95"/>
      <c r="E999" s="14"/>
      <c r="F999" s="96"/>
      <c r="H999" s="14"/>
      <c r="I999" s="14"/>
      <c r="J999" s="14"/>
      <c r="K999" s="14"/>
      <c r="L999" s="14"/>
      <c r="M999" s="14"/>
      <c r="N999" s="14"/>
    </row>
    <row r="1000">
      <c r="A1000" s="12"/>
      <c r="D1000" s="95"/>
      <c r="E1000" s="14"/>
      <c r="F1000" s="96"/>
      <c r="H1000" s="14"/>
      <c r="I1000" s="14"/>
      <c r="J1000" s="14"/>
      <c r="K1000" s="14"/>
      <c r="L1000" s="14"/>
      <c r="M1000" s="14"/>
      <c r="N1000" s="14"/>
    </row>
  </sheetData>
  <conditionalFormatting sqref="H2:P56">
    <cfRule type="cellIs" dxfId="37" priority="1" operator="equal">
      <formula>0</formula>
    </cfRule>
  </conditionalFormatting>
  <conditionalFormatting sqref="H2:H56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56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0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56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56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56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56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56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62:C69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62:F69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59">
      <formula1>OR(NOT(ISERROR(DATEVALUE(F59))), AND(ISNUMBER(F59), LEFT(CELL("format", F59))="D"))</formula1>
    </dataValidation>
    <dataValidation type="list" allowBlank="1" showDropDown="1" sqref="C2:C56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9.75"/>
    <col customWidth="1" min="3" max="3" width="14.5"/>
    <col customWidth="1" min="4" max="4" width="32.38"/>
    <col customWidth="1" min="5" max="5" width="9.25"/>
    <col customWidth="1" min="6" max="6" width="22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147" t="s">
        <v>48</v>
      </c>
      <c r="B1" s="1148" t="s">
        <v>49</v>
      </c>
      <c r="C1" s="1148" t="s">
        <v>50</v>
      </c>
      <c r="D1" s="1149" t="s">
        <v>56</v>
      </c>
      <c r="E1" s="1147" t="s">
        <v>57</v>
      </c>
      <c r="F1" s="1150" t="s">
        <v>52</v>
      </c>
      <c r="G1" s="1151" t="s">
        <v>53</v>
      </c>
      <c r="H1" s="1147" t="s">
        <v>4</v>
      </c>
      <c r="I1" s="1147" t="s">
        <v>58</v>
      </c>
      <c r="J1" s="1147" t="s">
        <v>59</v>
      </c>
      <c r="K1" s="1147" t="s">
        <v>60</v>
      </c>
      <c r="L1" s="1147" t="s">
        <v>61</v>
      </c>
      <c r="M1" s="1147" t="s">
        <v>62</v>
      </c>
      <c r="N1" s="1147" t="s">
        <v>63</v>
      </c>
      <c r="O1" s="1152" t="s">
        <v>64</v>
      </c>
      <c r="P1" s="1147" t="s">
        <v>65</v>
      </c>
    </row>
    <row r="2" ht="22.5" customHeight="1">
      <c r="A2" s="1153">
        <v>1.0</v>
      </c>
      <c r="B2" s="1154" t="s">
        <v>1773</v>
      </c>
      <c r="C2" s="1155" t="s">
        <v>67</v>
      </c>
      <c r="D2" s="1156" t="s">
        <v>89</v>
      </c>
      <c r="E2" s="1157" t="str">
        <f>IMAGE("https://flagcdn.com/w320/be.png")</f>
        <v/>
      </c>
      <c r="F2" s="1158">
        <v>33735.0</v>
      </c>
      <c r="G2" s="1159">
        <f t="shared" ref="G2:G42" si="1">DATEDIF(F2,TODAY(),"Y")</f>
        <v>33</v>
      </c>
      <c r="H2" s="1160">
        <f>1+1+1+1+1+1</f>
        <v>6</v>
      </c>
      <c r="I2" s="1160">
        <f>90+90+90+90+90+90</f>
        <v>540</v>
      </c>
      <c r="J2" s="1160"/>
      <c r="K2" s="1160">
        <f>1</f>
        <v>1</v>
      </c>
      <c r="L2" s="1160"/>
      <c r="M2" s="1160"/>
      <c r="N2" s="1160">
        <f>1+1</f>
        <v>2</v>
      </c>
      <c r="O2" s="1160">
        <f t="shared" ref="O2:O42" si="2">J2+K2</f>
        <v>1</v>
      </c>
      <c r="P2" s="1160"/>
    </row>
    <row r="3" ht="22.5" customHeight="1">
      <c r="A3" s="1153">
        <v>2.0</v>
      </c>
      <c r="B3" s="1154" t="s">
        <v>1774</v>
      </c>
      <c r="C3" s="1155" t="s">
        <v>70</v>
      </c>
      <c r="D3" s="1156" t="s">
        <v>83</v>
      </c>
      <c r="E3" s="1157" t="str">
        <f t="shared" ref="E3:E4" si="3">IMAGE("https://flagcdn.com/w320/es.png")</f>
        <v/>
      </c>
      <c r="F3" s="1158">
        <v>33614.0</v>
      </c>
      <c r="G3" s="1159">
        <f t="shared" si="1"/>
        <v>34</v>
      </c>
      <c r="H3" s="1160">
        <f>1+1</f>
        <v>2</v>
      </c>
      <c r="I3" s="1160">
        <f>67+15</f>
        <v>82</v>
      </c>
      <c r="J3" s="1160"/>
      <c r="K3" s="1160"/>
      <c r="L3" s="1160"/>
      <c r="M3" s="1160">
        <f>1</f>
        <v>1</v>
      </c>
      <c r="N3" s="1160"/>
      <c r="O3" s="1160">
        <f t="shared" si="2"/>
        <v>0</v>
      </c>
      <c r="P3" s="1160"/>
    </row>
    <row r="4" ht="22.5" customHeight="1">
      <c r="A4" s="1153">
        <v>3.0</v>
      </c>
      <c r="B4" s="1161" t="s">
        <v>1775</v>
      </c>
      <c r="C4" s="1155" t="s">
        <v>70</v>
      </c>
      <c r="D4" s="1156" t="s">
        <v>83</v>
      </c>
      <c r="E4" s="1157" t="str">
        <f t="shared" si="3"/>
        <v/>
      </c>
      <c r="F4" s="1158">
        <v>35813.0</v>
      </c>
      <c r="G4" s="1159">
        <f t="shared" si="1"/>
        <v>28</v>
      </c>
      <c r="H4" s="1160">
        <f>1+1+1</f>
        <v>3</v>
      </c>
      <c r="I4" s="1160">
        <f>90+90+90</f>
        <v>270</v>
      </c>
      <c r="J4" s="1160"/>
      <c r="K4" s="1160"/>
      <c r="L4" s="1160">
        <f>1</f>
        <v>1</v>
      </c>
      <c r="M4" s="1160"/>
      <c r="N4" s="1160"/>
      <c r="O4" s="1160">
        <f t="shared" si="2"/>
        <v>0</v>
      </c>
      <c r="P4" s="1160"/>
    </row>
    <row r="5" ht="22.5" customHeight="1">
      <c r="A5" s="1153">
        <v>4.0</v>
      </c>
      <c r="B5" s="1154" t="s">
        <v>1776</v>
      </c>
      <c r="C5" s="1155" t="s">
        <v>70</v>
      </c>
      <c r="D5" s="1156" t="s">
        <v>475</v>
      </c>
      <c r="E5" s="1157" t="str">
        <f>IMAGE("https://flagcdn.com/w320/at.png")</f>
        <v/>
      </c>
      <c r="F5" s="1158">
        <v>33779.0</v>
      </c>
      <c r="G5" s="1159">
        <f t="shared" si="1"/>
        <v>33</v>
      </c>
      <c r="H5" s="1160">
        <f>1</f>
        <v>1</v>
      </c>
      <c r="I5" s="1160">
        <f>90</f>
        <v>90</v>
      </c>
      <c r="J5" s="1160"/>
      <c r="K5" s="1160"/>
      <c r="L5" s="1160"/>
      <c r="M5" s="1160"/>
      <c r="N5" s="1160"/>
      <c r="O5" s="1160">
        <f t="shared" si="2"/>
        <v>0</v>
      </c>
      <c r="P5" s="1160"/>
    </row>
    <row r="6" ht="22.5" customHeight="1">
      <c r="A6" s="1153">
        <v>5.0</v>
      </c>
      <c r="B6" s="1154" t="s">
        <v>1777</v>
      </c>
      <c r="C6" s="1155" t="s">
        <v>79</v>
      </c>
      <c r="D6" s="1156" t="s">
        <v>1778</v>
      </c>
      <c r="E6" s="1157" t="str">
        <f>IMAGE("https://flagcdn.com/w320/gb-eng.png")</f>
        <v/>
      </c>
      <c r="F6" s="1158">
        <v>37801.0</v>
      </c>
      <c r="G6" s="1159">
        <f t="shared" si="1"/>
        <v>22</v>
      </c>
      <c r="H6" s="1160">
        <f>1+1+1+1+1+1</f>
        <v>6</v>
      </c>
      <c r="I6" s="1160">
        <f>10+90+90+30+90+90</f>
        <v>400</v>
      </c>
      <c r="J6" s="1160">
        <f>1+1</f>
        <v>2</v>
      </c>
      <c r="K6" s="1160">
        <f>1</f>
        <v>1</v>
      </c>
      <c r="L6" s="1160">
        <f>1+1</f>
        <v>2</v>
      </c>
      <c r="M6" s="1160"/>
      <c r="N6" s="1160"/>
      <c r="O6" s="1160">
        <f t="shared" si="2"/>
        <v>3</v>
      </c>
      <c r="P6" s="1160"/>
    </row>
    <row r="7" ht="22.5" customHeight="1">
      <c r="A7" s="1153">
        <v>6.0</v>
      </c>
      <c r="B7" s="1154" t="s">
        <v>1779</v>
      </c>
      <c r="C7" s="1155" t="s">
        <v>79</v>
      </c>
      <c r="D7" s="1156" t="s">
        <v>1780</v>
      </c>
      <c r="E7" s="1157" t="str">
        <f>IMAGE("https://flagcdn.com/w320/fr.png")</f>
        <v/>
      </c>
      <c r="F7" s="1158">
        <v>37570.0</v>
      </c>
      <c r="G7" s="1159">
        <f t="shared" si="1"/>
        <v>23</v>
      </c>
      <c r="H7" s="1160">
        <f>1+1+1+1+1</f>
        <v>5</v>
      </c>
      <c r="I7" s="1160">
        <f>10+17+68+45+75</f>
        <v>215</v>
      </c>
      <c r="J7" s="1160">
        <f t="shared" ref="J7:L7" si="4">1</f>
        <v>1</v>
      </c>
      <c r="K7" s="1160">
        <f t="shared" si="4"/>
        <v>1</v>
      </c>
      <c r="L7" s="1160">
        <f t="shared" si="4"/>
        <v>1</v>
      </c>
      <c r="M7" s="1160"/>
      <c r="N7" s="1160"/>
      <c r="O7" s="1160">
        <f t="shared" si="2"/>
        <v>2</v>
      </c>
      <c r="P7" s="1160"/>
    </row>
    <row r="8" ht="22.5" customHeight="1">
      <c r="A8" s="1153">
        <v>7.0</v>
      </c>
      <c r="B8" s="1161" t="s">
        <v>1781</v>
      </c>
      <c r="C8" s="1155" t="s">
        <v>82</v>
      </c>
      <c r="D8" s="1156" t="s">
        <v>1782</v>
      </c>
      <c r="E8" s="1157" t="str">
        <f>IMAGE("https://flagcdn.com/w320/br.png")</f>
        <v/>
      </c>
      <c r="F8" s="1158">
        <v>36719.0</v>
      </c>
      <c r="G8" s="1159">
        <f t="shared" si="1"/>
        <v>25</v>
      </c>
      <c r="H8" s="1160">
        <f>1+1+1+1+1+1+1</f>
        <v>7</v>
      </c>
      <c r="I8" s="1160">
        <f>28+69+83+90+89+90+90</f>
        <v>539</v>
      </c>
      <c r="J8" s="1160">
        <f>1</f>
        <v>1</v>
      </c>
      <c r="K8" s="1160">
        <f>1+2+2</f>
        <v>5</v>
      </c>
      <c r="L8" s="1160">
        <f>1</f>
        <v>1</v>
      </c>
      <c r="M8" s="1160"/>
      <c r="N8" s="1160"/>
      <c r="O8" s="1160">
        <f t="shared" si="2"/>
        <v>6</v>
      </c>
      <c r="P8" s="1160"/>
    </row>
    <row r="9" ht="22.5" customHeight="1">
      <c r="A9" s="1153">
        <v>8.0</v>
      </c>
      <c r="B9" s="1154" t="s">
        <v>1783</v>
      </c>
      <c r="C9" s="1155" t="s">
        <v>79</v>
      </c>
      <c r="D9" s="1156" t="s">
        <v>1784</v>
      </c>
      <c r="E9" s="1157" t="str">
        <f>IMAGE("https://flagcdn.com/w320/uy.png")</f>
        <v/>
      </c>
      <c r="F9" s="1158">
        <v>35998.0</v>
      </c>
      <c r="G9" s="1159">
        <f t="shared" si="1"/>
        <v>27</v>
      </c>
      <c r="H9" s="1160">
        <f>1+1+1+1+1+1</f>
        <v>6</v>
      </c>
      <c r="I9" s="1160">
        <f>90+90+89+90+90+82</f>
        <v>531</v>
      </c>
      <c r="J9" s="1160"/>
      <c r="K9" s="1160">
        <f>2</f>
        <v>2</v>
      </c>
      <c r="L9" s="1160"/>
      <c r="M9" s="1160"/>
      <c r="N9" s="1160"/>
      <c r="O9" s="1160">
        <f t="shared" si="2"/>
        <v>2</v>
      </c>
      <c r="P9" s="1160"/>
    </row>
    <row r="10" ht="22.5" customHeight="1">
      <c r="A10" s="1153">
        <v>9.0</v>
      </c>
      <c r="B10" s="1161" t="s">
        <v>1785</v>
      </c>
      <c r="C10" s="1155" t="s">
        <v>82</v>
      </c>
      <c r="D10" s="1156" t="s">
        <v>182</v>
      </c>
      <c r="E10" s="1157" t="str">
        <f>IMAGE("https://flagcdn.com/w320/br.png")</f>
        <v/>
      </c>
      <c r="F10" s="1158">
        <v>38919.0</v>
      </c>
      <c r="G10" s="1159">
        <f t="shared" si="1"/>
        <v>19</v>
      </c>
      <c r="H10" s="1162">
        <f>1</f>
        <v>1</v>
      </c>
      <c r="I10" s="1162">
        <f>12</f>
        <v>12</v>
      </c>
      <c r="J10" s="1160"/>
      <c r="K10" s="1160"/>
      <c r="L10" s="1160"/>
      <c r="M10" s="1160"/>
      <c r="N10" s="1160"/>
      <c r="O10" s="1160">
        <f t="shared" si="2"/>
        <v>0</v>
      </c>
      <c r="P10" s="1160"/>
    </row>
    <row r="11" ht="22.5" customHeight="1">
      <c r="A11" s="1153">
        <v>10.0</v>
      </c>
      <c r="B11" s="1154" t="s">
        <v>1786</v>
      </c>
      <c r="C11" s="1155" t="s">
        <v>82</v>
      </c>
      <c r="D11" s="1156" t="s">
        <v>1787</v>
      </c>
      <c r="E11" s="1157" t="str">
        <f>IMAGE("https://flagcdn.com/w320/fr.png")</f>
        <v/>
      </c>
      <c r="F11" s="1158">
        <v>36149.0</v>
      </c>
      <c r="G11" s="1159">
        <f t="shared" si="1"/>
        <v>27</v>
      </c>
      <c r="H11" s="1160">
        <f>1+1+1+1+1+1</f>
        <v>6</v>
      </c>
      <c r="I11" s="1160">
        <f>90+80+90+90+90+90</f>
        <v>530</v>
      </c>
      <c r="J11" s="1160">
        <f>2+3+4+2</f>
        <v>11</v>
      </c>
      <c r="K11" s="1160"/>
      <c r="L11" s="1160"/>
      <c r="M11" s="1160"/>
      <c r="N11" s="1160"/>
      <c r="O11" s="1160">
        <f t="shared" si="2"/>
        <v>11</v>
      </c>
      <c r="P11" s="1160"/>
    </row>
    <row r="12" ht="22.5" customHeight="1">
      <c r="A12" s="1153">
        <v>11.0</v>
      </c>
      <c r="B12" s="1161" t="s">
        <v>1788</v>
      </c>
      <c r="C12" s="1155" t="s">
        <v>82</v>
      </c>
      <c r="D12" s="1156" t="s">
        <v>1789</v>
      </c>
      <c r="E12" s="1157" t="str">
        <f>IMAGE("https://flagcdn.com/w320/br.png")</f>
        <v/>
      </c>
      <c r="F12" s="1158">
        <v>36900.0</v>
      </c>
      <c r="G12" s="1159">
        <f t="shared" si="1"/>
        <v>25</v>
      </c>
      <c r="H12" s="1160">
        <f>1+1+1+1</f>
        <v>4</v>
      </c>
      <c r="I12" s="1160">
        <f>62+21+22+90</f>
        <v>195</v>
      </c>
      <c r="J12" s="1160">
        <f t="shared" ref="J12:L12" si="5">1</f>
        <v>1</v>
      </c>
      <c r="K12" s="1160">
        <f t="shared" si="5"/>
        <v>1</v>
      </c>
      <c r="L12" s="1160">
        <f t="shared" si="5"/>
        <v>1</v>
      </c>
      <c r="M12" s="1160"/>
      <c r="N12" s="1160"/>
      <c r="O12" s="1160">
        <f t="shared" si="2"/>
        <v>2</v>
      </c>
      <c r="P12" s="1160"/>
    </row>
    <row r="13" ht="22.5" customHeight="1">
      <c r="A13" s="1153">
        <v>12.0</v>
      </c>
      <c r="B13" s="1154" t="s">
        <v>1790</v>
      </c>
      <c r="C13" s="1155" t="s">
        <v>70</v>
      </c>
      <c r="D13" s="1156" t="s">
        <v>94</v>
      </c>
      <c r="E13" s="1157" t="str">
        <f>IMAGE("https://flagcdn.com/w320/gb-eng.png")</f>
        <v/>
      </c>
      <c r="F13" s="1158">
        <v>36075.0</v>
      </c>
      <c r="G13" s="1159">
        <f t="shared" si="1"/>
        <v>27</v>
      </c>
      <c r="H13" s="1160">
        <f>1+1+1</f>
        <v>3</v>
      </c>
      <c r="I13" s="1160">
        <f>4+10+90</f>
        <v>104</v>
      </c>
      <c r="J13" s="1160"/>
      <c r="K13" s="1160"/>
      <c r="L13" s="1160"/>
      <c r="M13" s="1160"/>
      <c r="N13" s="1160"/>
      <c r="O13" s="1160">
        <f t="shared" si="2"/>
        <v>0</v>
      </c>
      <c r="P13" s="1160"/>
    </row>
    <row r="14" ht="22.5" customHeight="1">
      <c r="A14" s="1153">
        <v>13.0</v>
      </c>
      <c r="B14" s="1154" t="s">
        <v>1791</v>
      </c>
      <c r="C14" s="1155" t="s">
        <v>67</v>
      </c>
      <c r="D14" s="1156" t="s">
        <v>626</v>
      </c>
      <c r="E14" s="1157" t="str">
        <f>IMAGE("https://flagcdn.com/w320/ua.png")</f>
        <v/>
      </c>
      <c r="F14" s="1158">
        <v>36202.0</v>
      </c>
      <c r="G14" s="1159">
        <f t="shared" si="1"/>
        <v>26</v>
      </c>
      <c r="H14" s="1162">
        <f>1</f>
        <v>1</v>
      </c>
      <c r="I14" s="1162">
        <f>90</f>
        <v>90</v>
      </c>
      <c r="J14" s="1160"/>
      <c r="K14" s="1160"/>
      <c r="L14" s="1160"/>
      <c r="M14" s="1160"/>
      <c r="N14" s="1160"/>
      <c r="O14" s="1160">
        <f t="shared" si="2"/>
        <v>0</v>
      </c>
      <c r="P14" s="1160"/>
    </row>
    <row r="15" ht="22.5" customHeight="1">
      <c r="A15" s="1153">
        <v>14.0</v>
      </c>
      <c r="B15" s="1154" t="s">
        <v>1792</v>
      </c>
      <c r="C15" s="1155" t="s">
        <v>79</v>
      </c>
      <c r="D15" s="1156" t="s">
        <v>1793</v>
      </c>
      <c r="E15" s="1157" t="str">
        <f>IMAGE("https://flagcdn.com/w320/fr.png")</f>
        <v/>
      </c>
      <c r="F15" s="1158">
        <v>36552.0</v>
      </c>
      <c r="G15" s="1159">
        <f t="shared" si="1"/>
        <v>26</v>
      </c>
      <c r="H15" s="1160">
        <f t="shared" ref="H15:H16" si="6">1+1+1+1+1+1+1</f>
        <v>7</v>
      </c>
      <c r="I15" s="1160">
        <f>90+80+90+90+90+90+90</f>
        <v>620</v>
      </c>
      <c r="J15" s="1160"/>
      <c r="K15" s="1160"/>
      <c r="L15" s="1160">
        <f t="shared" ref="L15:L16" si="7">1</f>
        <v>1</v>
      </c>
      <c r="M15" s="1160"/>
      <c r="N15" s="1160"/>
      <c r="O15" s="1160">
        <f t="shared" si="2"/>
        <v>0</v>
      </c>
      <c r="P15" s="1160"/>
    </row>
    <row r="16" ht="22.5" customHeight="1">
      <c r="A16" s="1153">
        <v>15.0</v>
      </c>
      <c r="B16" s="1154" t="s">
        <v>1794</v>
      </c>
      <c r="C16" s="1155" t="s">
        <v>79</v>
      </c>
      <c r="D16" s="1156" t="s">
        <v>952</v>
      </c>
      <c r="E16" s="1157" t="str">
        <f>IMAGE("https://flagcdn.com/w320/tr.png")</f>
        <v/>
      </c>
      <c r="F16" s="1158">
        <v>38408.0</v>
      </c>
      <c r="G16" s="1159">
        <f t="shared" si="1"/>
        <v>20</v>
      </c>
      <c r="H16" s="1160">
        <f t="shared" si="6"/>
        <v>7</v>
      </c>
      <c r="I16" s="1160">
        <f>72+80+73+80+60+33+75</f>
        <v>473</v>
      </c>
      <c r="J16" s="1160"/>
      <c r="K16" s="1160">
        <f>1+1+1</f>
        <v>3</v>
      </c>
      <c r="L16" s="1160">
        <f t="shared" si="7"/>
        <v>1</v>
      </c>
      <c r="M16" s="1160"/>
      <c r="N16" s="1160"/>
      <c r="O16" s="1160">
        <f t="shared" si="2"/>
        <v>3</v>
      </c>
      <c r="P16" s="1160"/>
    </row>
    <row r="17" ht="22.5" customHeight="1">
      <c r="A17" s="1153">
        <v>16.0</v>
      </c>
      <c r="B17" s="1154" t="s">
        <v>1795</v>
      </c>
      <c r="C17" s="1155" t="s">
        <v>82</v>
      </c>
      <c r="D17" s="1156" t="s">
        <v>83</v>
      </c>
      <c r="E17" s="1157" t="str">
        <f t="shared" ref="E17:E21" si="8">IMAGE("https://flagcdn.com/w320/es.png")</f>
        <v/>
      </c>
      <c r="F17" s="1158">
        <v>38070.0</v>
      </c>
      <c r="G17" s="1159">
        <f t="shared" si="1"/>
        <v>21</v>
      </c>
      <c r="H17" s="1160">
        <f>1+1+1+1</f>
        <v>4</v>
      </c>
      <c r="I17" s="1160">
        <f>10+3+57+20</f>
        <v>90</v>
      </c>
      <c r="J17" s="1160"/>
      <c r="K17" s="1160">
        <f>1</f>
        <v>1</v>
      </c>
      <c r="L17" s="1160"/>
      <c r="M17" s="1160"/>
      <c r="N17" s="1160"/>
      <c r="O17" s="1160">
        <f t="shared" si="2"/>
        <v>1</v>
      </c>
      <c r="P17" s="1160"/>
    </row>
    <row r="18" ht="22.5" customHeight="1">
      <c r="A18" s="1153">
        <v>17.0</v>
      </c>
      <c r="B18" s="1154" t="s">
        <v>1796</v>
      </c>
      <c r="C18" s="1155" t="s">
        <v>70</v>
      </c>
      <c r="D18" s="1156" t="s">
        <v>83</v>
      </c>
      <c r="E18" s="1157" t="str">
        <f t="shared" si="8"/>
        <v/>
      </c>
      <c r="F18" s="1158">
        <v>37665.0</v>
      </c>
      <c r="G18" s="1159">
        <f t="shared" si="1"/>
        <v>22</v>
      </c>
      <c r="H18" s="1160">
        <f>1+1+1+1+1+1</f>
        <v>6</v>
      </c>
      <c r="I18" s="1160">
        <f>18+90+87+72+78+45</f>
        <v>390</v>
      </c>
      <c r="J18" s="1160"/>
      <c r="K18" s="1160"/>
      <c r="L18" s="1160"/>
      <c r="M18" s="1160"/>
      <c r="N18" s="1160"/>
      <c r="O18" s="1160">
        <f t="shared" si="2"/>
        <v>0</v>
      </c>
      <c r="P18" s="1160"/>
    </row>
    <row r="19" ht="22.5" customHeight="1">
      <c r="A19" s="1153">
        <v>18.0</v>
      </c>
      <c r="B19" s="1154" t="s">
        <v>1797</v>
      </c>
      <c r="C19" s="1155" t="s">
        <v>70</v>
      </c>
      <c r="D19" s="1156" t="s">
        <v>83</v>
      </c>
      <c r="E19" s="1157" t="str">
        <f t="shared" si="8"/>
        <v/>
      </c>
      <c r="F19" s="1158">
        <v>37703.0</v>
      </c>
      <c r="G19" s="1159">
        <f t="shared" si="1"/>
        <v>22</v>
      </c>
      <c r="H19" s="1160">
        <f>1+1+1+1+1</f>
        <v>5</v>
      </c>
      <c r="I19" s="1160">
        <f>90+90+90+90+90</f>
        <v>450</v>
      </c>
      <c r="J19" s="1160"/>
      <c r="K19" s="1160"/>
      <c r="L19" s="1160">
        <f>1+1+1</f>
        <v>3</v>
      </c>
      <c r="M19" s="1160"/>
      <c r="N19" s="1160"/>
      <c r="O19" s="1160">
        <f t="shared" si="2"/>
        <v>0</v>
      </c>
      <c r="P19" s="1160"/>
    </row>
    <row r="20" ht="22.5" customHeight="1">
      <c r="A20" s="1153">
        <v>19.0</v>
      </c>
      <c r="B20" s="1154" t="s">
        <v>1798</v>
      </c>
      <c r="C20" s="1155" t="s">
        <v>79</v>
      </c>
      <c r="D20" s="1156" t="s">
        <v>83</v>
      </c>
      <c r="E20" s="1157" t="str">
        <f t="shared" si="8"/>
        <v/>
      </c>
      <c r="F20" s="1158">
        <v>35284.0</v>
      </c>
      <c r="G20" s="1159">
        <f t="shared" si="1"/>
        <v>29</v>
      </c>
      <c r="H20" s="1160">
        <f t="shared" ref="H20:H21" si="9">1+1+1+1</f>
        <v>4</v>
      </c>
      <c r="I20" s="1160">
        <f>90+45+66+45</f>
        <v>246</v>
      </c>
      <c r="J20" s="1160"/>
      <c r="K20" s="1160"/>
      <c r="L20" s="1160"/>
      <c r="M20" s="1160"/>
      <c r="N20" s="1160"/>
      <c r="O20" s="1160">
        <f t="shared" si="2"/>
        <v>0</v>
      </c>
      <c r="P20" s="1160"/>
    </row>
    <row r="21" ht="22.5" customHeight="1">
      <c r="A21" s="1153">
        <v>20.0</v>
      </c>
      <c r="B21" s="1154" t="s">
        <v>1799</v>
      </c>
      <c r="C21" s="1155" t="s">
        <v>70</v>
      </c>
      <c r="D21" s="1156" t="s">
        <v>83</v>
      </c>
      <c r="E21" s="1157" t="str">
        <f t="shared" si="8"/>
        <v/>
      </c>
      <c r="F21" s="1158">
        <v>36386.0</v>
      </c>
      <c r="G21" s="1159">
        <f t="shared" si="1"/>
        <v>26</v>
      </c>
      <c r="H21" s="1160">
        <f t="shared" si="9"/>
        <v>4</v>
      </c>
      <c r="I21" s="1160">
        <f>90+7+1+15</f>
        <v>113</v>
      </c>
      <c r="J21" s="1160"/>
      <c r="K21" s="1160"/>
      <c r="L21" s="1160"/>
      <c r="M21" s="1160"/>
      <c r="N21" s="1160"/>
      <c r="O21" s="1160">
        <f t="shared" si="2"/>
        <v>0</v>
      </c>
      <c r="P21" s="1160"/>
    </row>
    <row r="22" ht="22.5" customHeight="1">
      <c r="A22" s="1153">
        <v>21.0</v>
      </c>
      <c r="B22" s="1154" t="s">
        <v>1800</v>
      </c>
      <c r="C22" s="1155" t="s">
        <v>82</v>
      </c>
      <c r="D22" s="1156" t="s">
        <v>1801</v>
      </c>
      <c r="E22" s="1157" t="str">
        <f>IMAGE("https://flagcdn.com/w320/ma.png")</f>
        <v/>
      </c>
      <c r="F22" s="1158">
        <v>36375.0</v>
      </c>
      <c r="G22" s="1159">
        <f t="shared" si="1"/>
        <v>26</v>
      </c>
      <c r="H22" s="1160">
        <f>1+1+1+1+1+1</f>
        <v>6</v>
      </c>
      <c r="I22" s="1160">
        <f>28+21+83+1+18+24</f>
        <v>175</v>
      </c>
      <c r="J22" s="1160">
        <f>1</f>
        <v>1</v>
      </c>
      <c r="K22" s="1160"/>
      <c r="L22" s="1160">
        <f t="shared" ref="L22:L23" si="10">1</f>
        <v>1</v>
      </c>
      <c r="M22" s="1160"/>
      <c r="N22" s="1160"/>
      <c r="O22" s="1160">
        <f t="shared" si="2"/>
        <v>1</v>
      </c>
      <c r="P22" s="1160"/>
    </row>
    <row r="23" ht="22.5" customHeight="1">
      <c r="A23" s="1153">
        <v>22.0</v>
      </c>
      <c r="B23" s="1154" t="s">
        <v>1802</v>
      </c>
      <c r="C23" s="1155" t="s">
        <v>70</v>
      </c>
      <c r="D23" s="1156" t="s">
        <v>1803</v>
      </c>
      <c r="E23" s="1157" t="str">
        <f>IMAGE("https://flagcdn.com/w320/de.png")</f>
        <v/>
      </c>
      <c r="F23" s="1158">
        <v>34031.0</v>
      </c>
      <c r="G23" s="1159">
        <f t="shared" si="1"/>
        <v>32</v>
      </c>
      <c r="H23" s="1160">
        <f t="shared" ref="H23:H24" si="11">1</f>
        <v>1</v>
      </c>
      <c r="I23" s="1160">
        <f t="shared" ref="I23:I24" si="12">90</f>
        <v>90</v>
      </c>
      <c r="J23" s="1160"/>
      <c r="K23" s="1160"/>
      <c r="L23" s="1160">
        <f t="shared" si="10"/>
        <v>1</v>
      </c>
      <c r="M23" s="1160"/>
      <c r="N23" s="1160"/>
      <c r="O23" s="1160">
        <f t="shared" si="2"/>
        <v>0</v>
      </c>
      <c r="P23" s="1160"/>
    </row>
    <row r="24" ht="22.5" customHeight="1">
      <c r="A24" s="1153">
        <v>23.0</v>
      </c>
      <c r="B24" s="1154" t="s">
        <v>1804</v>
      </c>
      <c r="C24" s="1155" t="s">
        <v>70</v>
      </c>
      <c r="D24" s="1156" t="s">
        <v>1805</v>
      </c>
      <c r="E24" s="1157" t="str">
        <f>IMAGE("https://flagcdn.com/w320/fr.png")</f>
        <v/>
      </c>
      <c r="F24" s="1158">
        <v>34858.0</v>
      </c>
      <c r="G24" s="1159">
        <f t="shared" si="1"/>
        <v>30</v>
      </c>
      <c r="H24" s="1160">
        <f t="shared" si="11"/>
        <v>1</v>
      </c>
      <c r="I24" s="1160">
        <f t="shared" si="12"/>
        <v>90</v>
      </c>
      <c r="J24" s="1160"/>
      <c r="K24" s="1160"/>
      <c r="L24" s="1160"/>
      <c r="M24" s="1160"/>
      <c r="N24" s="1160"/>
      <c r="O24" s="1160">
        <f t="shared" si="2"/>
        <v>0</v>
      </c>
      <c r="P24" s="1160"/>
    </row>
    <row r="25" ht="22.5" customHeight="1">
      <c r="A25" s="1153">
        <v>24.0</v>
      </c>
      <c r="B25" s="1154" t="s">
        <v>1806</v>
      </c>
      <c r="C25" s="1155" t="s">
        <v>70</v>
      </c>
      <c r="D25" s="1156" t="s">
        <v>1807</v>
      </c>
      <c r="E25" s="1157" t="str">
        <f t="shared" ref="E25:E29" si="13">IMAGE("https://flagcdn.com/w320/es.png")</f>
        <v/>
      </c>
      <c r="F25" s="1158">
        <v>38456.0</v>
      </c>
      <c r="G25" s="1159">
        <f t="shared" si="1"/>
        <v>20</v>
      </c>
      <c r="H25" s="1160">
        <f>1+1+1+1</f>
        <v>4</v>
      </c>
      <c r="I25" s="1160">
        <f>90+90+90+90</f>
        <v>360</v>
      </c>
      <c r="J25" s="1160"/>
      <c r="K25" s="1160"/>
      <c r="L25" s="1160">
        <f>1</f>
        <v>1</v>
      </c>
      <c r="M25" s="1160"/>
      <c r="N25" s="1160"/>
      <c r="O25" s="1160">
        <f t="shared" si="2"/>
        <v>0</v>
      </c>
      <c r="P25" s="1160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22.5" hidden="1" customHeight="1">
      <c r="A26" s="1163">
        <v>26.0</v>
      </c>
      <c r="B26" s="1164" t="s">
        <v>1808</v>
      </c>
      <c r="C26" s="1165" t="s">
        <v>67</v>
      </c>
      <c r="D26" s="1166" t="s">
        <v>83</v>
      </c>
      <c r="E26" s="1167" t="str">
        <f t="shared" si="13"/>
        <v/>
      </c>
      <c r="F26" s="1168">
        <v>38527.0</v>
      </c>
      <c r="G26" s="1169">
        <f t="shared" si="1"/>
        <v>20</v>
      </c>
      <c r="H26" s="1170"/>
      <c r="I26" s="1170">
        <v>0.0</v>
      </c>
      <c r="J26" s="1171"/>
      <c r="K26" s="1171"/>
      <c r="L26" s="1171"/>
      <c r="M26" s="1171"/>
      <c r="N26" s="1171"/>
      <c r="O26" s="1171">
        <f t="shared" si="2"/>
        <v>0</v>
      </c>
      <c r="P26" s="1171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22.5" hidden="1" customHeight="1">
      <c r="A27" s="1163">
        <v>27.0</v>
      </c>
      <c r="B27" s="1164" t="s">
        <v>1809</v>
      </c>
      <c r="C27" s="1165" t="s">
        <v>70</v>
      </c>
      <c r="D27" s="1166" t="s">
        <v>83</v>
      </c>
      <c r="E27" s="1167" t="str">
        <f t="shared" si="13"/>
        <v/>
      </c>
      <c r="F27" s="1168">
        <v>39120.0</v>
      </c>
      <c r="G27" s="1169">
        <f t="shared" si="1"/>
        <v>18</v>
      </c>
      <c r="H27" s="1171"/>
      <c r="I27" s="1171"/>
      <c r="J27" s="1171"/>
      <c r="K27" s="1171"/>
      <c r="L27" s="1171"/>
      <c r="M27" s="1171"/>
      <c r="N27" s="1171"/>
      <c r="O27" s="1171">
        <f t="shared" si="2"/>
        <v>0</v>
      </c>
      <c r="P27" s="1171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1163">
        <v>28.0</v>
      </c>
      <c r="B28" s="1164" t="s">
        <v>1810</v>
      </c>
      <c r="C28" s="1165" t="s">
        <v>79</v>
      </c>
      <c r="D28" s="1166" t="s">
        <v>83</v>
      </c>
      <c r="E28" s="1167" t="str">
        <f t="shared" si="13"/>
        <v/>
      </c>
      <c r="F28" s="1168">
        <v>38800.0</v>
      </c>
      <c r="G28" s="1169">
        <f t="shared" si="1"/>
        <v>19</v>
      </c>
      <c r="H28" s="1170">
        <v>0.0</v>
      </c>
      <c r="I28" s="1170">
        <v>0.0</v>
      </c>
      <c r="J28" s="1171"/>
      <c r="K28" s="1171"/>
      <c r="L28" s="1171"/>
      <c r="M28" s="1171"/>
      <c r="N28" s="1171"/>
      <c r="O28" s="1171">
        <f t="shared" si="2"/>
        <v>0</v>
      </c>
      <c r="P28" s="1171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22.5" customHeight="1">
      <c r="A29" s="1163">
        <v>29.0</v>
      </c>
      <c r="B29" s="1164" t="s">
        <v>1811</v>
      </c>
      <c r="C29" s="1165" t="s">
        <v>67</v>
      </c>
      <c r="D29" s="1166" t="s">
        <v>83</v>
      </c>
      <c r="E29" s="1167" t="str">
        <f t="shared" si="13"/>
        <v/>
      </c>
      <c r="F29" s="1168">
        <v>39107.0</v>
      </c>
      <c r="G29" s="1169">
        <f t="shared" si="1"/>
        <v>19</v>
      </c>
      <c r="H29" s="1170">
        <v>0.0</v>
      </c>
      <c r="I29" s="1170">
        <v>0.0</v>
      </c>
      <c r="J29" s="1171"/>
      <c r="K29" s="1171"/>
      <c r="L29" s="1171"/>
      <c r="M29" s="1171"/>
      <c r="N29" s="1171"/>
      <c r="O29" s="1171">
        <f t="shared" si="2"/>
        <v>0</v>
      </c>
      <c r="P29" s="1171"/>
    </row>
    <row r="30" ht="22.5" customHeight="1">
      <c r="A30" s="1153">
        <v>30.0</v>
      </c>
      <c r="B30" s="1154" t="s">
        <v>1812</v>
      </c>
      <c r="C30" s="1155" t="s">
        <v>82</v>
      </c>
      <c r="D30" s="1156" t="s">
        <v>1813</v>
      </c>
      <c r="E30" s="1157" t="str">
        <f>IMAGE("https://flagcdn.com/w320/ar.png")</f>
        <v/>
      </c>
      <c r="F30" s="1158">
        <v>39308.0</v>
      </c>
      <c r="G30" s="1159">
        <f t="shared" si="1"/>
        <v>18</v>
      </c>
      <c r="H30" s="1160">
        <f>1+1+1+1</f>
        <v>4</v>
      </c>
      <c r="I30" s="1160">
        <f>62+69+7+70</f>
        <v>208</v>
      </c>
      <c r="J30" s="1160">
        <f>1</f>
        <v>1</v>
      </c>
      <c r="K30" s="1160"/>
      <c r="L30" s="1160"/>
      <c r="M30" s="1160"/>
      <c r="N30" s="1160"/>
      <c r="O30" s="1160">
        <f t="shared" si="2"/>
        <v>1</v>
      </c>
      <c r="P30" s="1160"/>
    </row>
    <row r="31" ht="22.5" hidden="1" customHeight="1">
      <c r="A31" s="1163">
        <v>32.0</v>
      </c>
      <c r="B31" s="1164" t="s">
        <v>1814</v>
      </c>
      <c r="C31" s="1165" t="s">
        <v>70</v>
      </c>
      <c r="D31" s="1166" t="s">
        <v>83</v>
      </c>
      <c r="E31" s="1167" t="str">
        <f t="shared" ref="E31:E42" si="14">IMAGE("https://flagcdn.com/w320/es.png")</f>
        <v/>
      </c>
      <c r="F31" s="1168">
        <v>39167.0</v>
      </c>
      <c r="G31" s="1169">
        <f t="shared" si="1"/>
        <v>18</v>
      </c>
      <c r="H31" s="1171"/>
      <c r="I31" s="1171"/>
      <c r="J31" s="1171"/>
      <c r="K31" s="1171"/>
      <c r="L31" s="1171"/>
      <c r="M31" s="1171"/>
      <c r="N31" s="1171"/>
      <c r="O31" s="1171">
        <f t="shared" si="2"/>
        <v>0</v>
      </c>
      <c r="P31" s="1171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ht="22.5" customHeight="1">
      <c r="A32" s="1163">
        <v>33.0</v>
      </c>
      <c r="B32" s="1164" t="s">
        <v>1815</v>
      </c>
      <c r="C32" s="1165" t="s">
        <v>79</v>
      </c>
      <c r="D32" s="1166" t="s">
        <v>83</v>
      </c>
      <c r="E32" s="1167" t="str">
        <f t="shared" si="14"/>
        <v/>
      </c>
      <c r="F32" s="1168">
        <v>38422.0</v>
      </c>
      <c r="G32" s="1169">
        <f t="shared" si="1"/>
        <v>20</v>
      </c>
      <c r="H32" s="1170">
        <v>0.0</v>
      </c>
      <c r="I32" s="1170">
        <v>0.0</v>
      </c>
      <c r="J32" s="1171"/>
      <c r="K32" s="1171"/>
      <c r="L32" s="1171"/>
      <c r="M32" s="1171"/>
      <c r="N32" s="1171"/>
      <c r="O32" s="1171">
        <f t="shared" si="2"/>
        <v>0</v>
      </c>
      <c r="P32" s="1171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ht="22.5" customHeight="1">
      <c r="A33" s="1163">
        <v>35.0</v>
      </c>
      <c r="B33" s="1164" t="s">
        <v>1816</v>
      </c>
      <c r="C33" s="1165" t="s">
        <v>70</v>
      </c>
      <c r="D33" s="1166" t="s">
        <v>83</v>
      </c>
      <c r="E33" s="1167" t="str">
        <f t="shared" si="14"/>
        <v/>
      </c>
      <c r="F33" s="1168">
        <v>38060.0</v>
      </c>
      <c r="G33" s="1169">
        <f t="shared" si="1"/>
        <v>21</v>
      </c>
      <c r="H33" s="1170">
        <v>0.0</v>
      </c>
      <c r="I33" s="1170">
        <v>0.0</v>
      </c>
      <c r="J33" s="1171"/>
      <c r="K33" s="1171"/>
      <c r="L33" s="1171"/>
      <c r="M33" s="1171"/>
      <c r="N33" s="1171"/>
      <c r="O33" s="1171">
        <f t="shared" si="2"/>
        <v>0</v>
      </c>
      <c r="P33" s="1171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ht="22.5" customHeight="1">
      <c r="A34" s="1163">
        <v>36.0</v>
      </c>
      <c r="B34" s="1164" t="s">
        <v>1817</v>
      </c>
      <c r="C34" s="1165" t="s">
        <v>70</v>
      </c>
      <c r="D34" s="1166" t="s">
        <v>83</v>
      </c>
      <c r="E34" s="1167" t="str">
        <f t="shared" si="14"/>
        <v/>
      </c>
      <c r="F34" s="1168">
        <v>39314.0</v>
      </c>
      <c r="G34" s="1169">
        <f t="shared" si="1"/>
        <v>18</v>
      </c>
      <c r="H34" s="1170">
        <v>0.0</v>
      </c>
      <c r="I34" s="1170">
        <v>0.0</v>
      </c>
      <c r="J34" s="1171"/>
      <c r="K34" s="1171"/>
      <c r="L34" s="1171"/>
      <c r="M34" s="1171"/>
      <c r="N34" s="1171"/>
      <c r="O34" s="1171">
        <f t="shared" si="2"/>
        <v>0</v>
      </c>
      <c r="P34" s="1171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ht="22.5" hidden="1" customHeight="1">
      <c r="A35" s="1163">
        <v>37.0</v>
      </c>
      <c r="B35" s="1164" t="s">
        <v>1818</v>
      </c>
      <c r="C35" s="1165" t="s">
        <v>79</v>
      </c>
      <c r="D35" s="1166" t="s">
        <v>83</v>
      </c>
      <c r="E35" s="1167" t="str">
        <f t="shared" si="14"/>
        <v/>
      </c>
      <c r="F35" s="1168">
        <v>38061.0</v>
      </c>
      <c r="G35" s="1169">
        <f t="shared" si="1"/>
        <v>21</v>
      </c>
      <c r="H35" s="1171"/>
      <c r="I35" s="1171"/>
      <c r="J35" s="1171"/>
      <c r="K35" s="1171"/>
      <c r="L35" s="1171"/>
      <c r="M35" s="1171"/>
      <c r="N35" s="1171"/>
      <c r="O35" s="1171">
        <f t="shared" si="2"/>
        <v>0</v>
      </c>
      <c r="P35" s="1171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ht="22.5" hidden="1" customHeight="1">
      <c r="A36" s="1163">
        <v>38.0</v>
      </c>
      <c r="B36" s="1164" t="s">
        <v>1819</v>
      </c>
      <c r="C36" s="1165" t="s">
        <v>79</v>
      </c>
      <c r="D36" s="1166" t="s">
        <v>83</v>
      </c>
      <c r="E36" s="1167" t="str">
        <f t="shared" si="14"/>
        <v/>
      </c>
      <c r="F36" s="1168">
        <v>38302.0</v>
      </c>
      <c r="G36" s="1169">
        <f t="shared" si="1"/>
        <v>21</v>
      </c>
      <c r="H36" s="1171"/>
      <c r="I36" s="1171"/>
      <c r="J36" s="1171"/>
      <c r="K36" s="1171"/>
      <c r="L36" s="1171"/>
      <c r="M36" s="1171"/>
      <c r="N36" s="1171"/>
      <c r="O36" s="1171">
        <f t="shared" si="2"/>
        <v>0</v>
      </c>
      <c r="P36" s="1171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ht="22.5" hidden="1" customHeight="1">
      <c r="A37" s="1163">
        <v>39.0</v>
      </c>
      <c r="B37" s="1164" t="s">
        <v>1820</v>
      </c>
      <c r="C37" s="1165" t="s">
        <v>79</v>
      </c>
      <c r="D37" s="1166" t="s">
        <v>1821</v>
      </c>
      <c r="E37" s="1167" t="str">
        <f t="shared" si="14"/>
        <v/>
      </c>
      <c r="F37" s="1168">
        <v>38581.0</v>
      </c>
      <c r="G37" s="1169">
        <f t="shared" si="1"/>
        <v>20</v>
      </c>
      <c r="H37" s="1171"/>
      <c r="I37" s="1171"/>
      <c r="J37" s="1171"/>
      <c r="K37" s="1171"/>
      <c r="L37" s="1171"/>
      <c r="M37" s="1171"/>
      <c r="N37" s="1171"/>
      <c r="O37" s="1171">
        <f t="shared" si="2"/>
        <v>0</v>
      </c>
      <c r="P37" s="1171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ht="22.5" customHeight="1">
      <c r="A38" s="1163">
        <v>40.0</v>
      </c>
      <c r="B38" s="1164" t="s">
        <v>1822</v>
      </c>
      <c r="C38" s="1165" t="s">
        <v>70</v>
      </c>
      <c r="D38" s="1166" t="s">
        <v>83</v>
      </c>
      <c r="E38" s="1167" t="str">
        <f t="shared" si="14"/>
        <v/>
      </c>
      <c r="F38" s="1168">
        <v>39010.0</v>
      </c>
      <c r="G38" s="1169">
        <f t="shared" si="1"/>
        <v>19</v>
      </c>
      <c r="H38" s="1170">
        <v>0.0</v>
      </c>
      <c r="I38" s="1170">
        <v>0.0</v>
      </c>
      <c r="J38" s="1171"/>
      <c r="K38" s="1171"/>
      <c r="L38" s="1171"/>
      <c r="M38" s="1171"/>
      <c r="N38" s="1171"/>
      <c r="O38" s="1171">
        <f t="shared" si="2"/>
        <v>0</v>
      </c>
      <c r="P38" s="1171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ht="22.5" customHeight="1">
      <c r="A39" s="1163">
        <v>42.0</v>
      </c>
      <c r="B39" s="1164" t="s">
        <v>1823</v>
      </c>
      <c r="C39" s="1165" t="s">
        <v>82</v>
      </c>
      <c r="D39" s="1166" t="s">
        <v>83</v>
      </c>
      <c r="E39" s="1167" t="str">
        <f t="shared" si="14"/>
        <v/>
      </c>
      <c r="F39" s="1168">
        <v>39169.0</v>
      </c>
      <c r="G39" s="1169">
        <f t="shared" si="1"/>
        <v>18</v>
      </c>
      <c r="H39" s="1171"/>
      <c r="I39" s="1171"/>
      <c r="J39" s="1171"/>
      <c r="K39" s="1171"/>
      <c r="L39" s="1171"/>
      <c r="M39" s="1171"/>
      <c r="N39" s="1171"/>
      <c r="O39" s="1171">
        <f t="shared" si="2"/>
        <v>0</v>
      </c>
      <c r="P39" s="1171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ht="22.5" customHeight="1">
      <c r="A40" s="1163">
        <v>44.0</v>
      </c>
      <c r="B40" s="1164" t="s">
        <v>1824</v>
      </c>
      <c r="C40" s="1165" t="s">
        <v>79</v>
      </c>
      <c r="D40" s="1166" t="s">
        <v>83</v>
      </c>
      <c r="E40" s="1167" t="str">
        <f t="shared" si="14"/>
        <v/>
      </c>
      <c r="F40" s="1168">
        <v>38429.0</v>
      </c>
      <c r="G40" s="1169">
        <f t="shared" si="1"/>
        <v>20</v>
      </c>
      <c r="H40" s="1171"/>
      <c r="I40" s="1171"/>
      <c r="J40" s="1171"/>
      <c r="K40" s="1171"/>
      <c r="L40" s="1171"/>
      <c r="M40" s="1171"/>
      <c r="N40" s="1171"/>
      <c r="O40" s="1171">
        <f t="shared" si="2"/>
        <v>0</v>
      </c>
      <c r="P40" s="1171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ht="22.5" customHeight="1">
      <c r="A41" s="1163">
        <v>45.0</v>
      </c>
      <c r="B41" s="1164" t="s">
        <v>1825</v>
      </c>
      <c r="C41" s="1165" t="s">
        <v>79</v>
      </c>
      <c r="D41" s="1166" t="s">
        <v>1826</v>
      </c>
      <c r="E41" s="1167" t="str">
        <f t="shared" si="14"/>
        <v/>
      </c>
      <c r="F41" s="1168">
        <v>39297.0</v>
      </c>
      <c r="G41" s="1169">
        <f t="shared" si="1"/>
        <v>18</v>
      </c>
      <c r="H41" s="1170">
        <v>0.0</v>
      </c>
      <c r="I41" s="1170">
        <v>0.0</v>
      </c>
      <c r="J41" s="1171"/>
      <c r="K41" s="1171"/>
      <c r="L41" s="1171"/>
      <c r="M41" s="1171"/>
      <c r="N41" s="1171"/>
      <c r="O41" s="1171">
        <f t="shared" si="2"/>
        <v>0</v>
      </c>
      <c r="P41" s="1171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ht="22.5" customHeight="1">
      <c r="A42" s="1163">
        <v>47.0</v>
      </c>
      <c r="B42" s="1164" t="s">
        <v>1827</v>
      </c>
      <c r="C42" s="1165" t="s">
        <v>79</v>
      </c>
      <c r="D42" s="1166" t="s">
        <v>83</v>
      </c>
      <c r="E42" s="1167" t="str">
        <f t="shared" si="14"/>
        <v/>
      </c>
      <c r="F42" s="1168">
        <v>38598.0</v>
      </c>
      <c r="G42" s="1169">
        <f t="shared" si="1"/>
        <v>20</v>
      </c>
      <c r="H42" s="1170">
        <f>1</f>
        <v>1</v>
      </c>
      <c r="I42" s="1170">
        <f>8</f>
        <v>8</v>
      </c>
      <c r="J42" s="1171"/>
      <c r="K42" s="1171"/>
      <c r="L42" s="1171"/>
      <c r="M42" s="1171"/>
      <c r="N42" s="1171"/>
      <c r="O42" s="1171">
        <f t="shared" si="2"/>
        <v>0</v>
      </c>
      <c r="P42" s="1171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11"/>
      <c r="B43" s="18"/>
      <c r="C43" s="18"/>
      <c r="D43" s="64"/>
      <c r="E43" s="65"/>
      <c r="F43" s="66"/>
      <c r="G43" s="18"/>
      <c r="H43" s="73">
        <f>SUM(H2:H42)</f>
        <v>105</v>
      </c>
      <c r="I43" s="73">
        <f>SUM(I2:I42)+19</f>
        <v>6930</v>
      </c>
      <c r="J43" s="73">
        <f t="shared" ref="J43:P43" si="15">SUM(J2:J42)</f>
        <v>18</v>
      </c>
      <c r="K43" s="73">
        <f t="shared" si="15"/>
        <v>15</v>
      </c>
      <c r="L43" s="73">
        <f t="shared" si="15"/>
        <v>14</v>
      </c>
      <c r="M43" s="73">
        <f t="shared" si="15"/>
        <v>1</v>
      </c>
      <c r="N43" s="73">
        <f t="shared" si="15"/>
        <v>2</v>
      </c>
      <c r="O43" s="73">
        <f t="shared" si="15"/>
        <v>33</v>
      </c>
      <c r="P43" s="73">
        <f t="shared" si="15"/>
        <v>0</v>
      </c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22.5" customHeight="1">
      <c r="A44" s="1147" t="s">
        <v>150</v>
      </c>
      <c r="B44" s="1148" t="s">
        <v>49</v>
      </c>
      <c r="C44" s="1148" t="s">
        <v>265</v>
      </c>
      <c r="D44" s="1172" t="s">
        <v>56</v>
      </c>
      <c r="E44" s="1173" t="s">
        <v>57</v>
      </c>
      <c r="F44" s="1148" t="s">
        <v>52</v>
      </c>
      <c r="G44" s="1148" t="s">
        <v>53</v>
      </c>
      <c r="H44" s="1148" t="s">
        <v>4</v>
      </c>
      <c r="I44" s="1148" t="s">
        <v>5</v>
      </c>
      <c r="J44" s="1148" t="s">
        <v>6</v>
      </c>
      <c r="K44" s="1148" t="s">
        <v>7</v>
      </c>
      <c r="L44" s="1148" t="s">
        <v>8</v>
      </c>
      <c r="M44" s="1148" t="s">
        <v>9</v>
      </c>
      <c r="N44" s="1148" t="s">
        <v>10</v>
      </c>
    </row>
    <row r="45" ht="22.5" customHeight="1">
      <c r="A45" s="1174"/>
      <c r="B45" s="1154" t="s">
        <v>1828</v>
      </c>
      <c r="C45" s="1154" t="s">
        <v>153</v>
      </c>
      <c r="D45" s="1156" t="s">
        <v>83</v>
      </c>
      <c r="E45" s="1175" t="str">
        <f t="shared" ref="E45:E46" si="16">IMAGE("https://flagcdn.com/w320/es.png")</f>
        <v/>
      </c>
      <c r="F45" s="1176">
        <v>29915.0</v>
      </c>
      <c r="G45" s="1159">
        <f t="shared" ref="G45:G46" si="17">DATEDIF(F45,TODAY(),"Y")</f>
        <v>44</v>
      </c>
      <c r="H45" s="1160">
        <f t="shared" ref="H45:H46" si="18">L45+M45+N45</f>
        <v>6</v>
      </c>
      <c r="I45" s="1160">
        <f t="shared" ref="I45:I46" si="19">(3*L45)+M45</f>
        <v>12</v>
      </c>
      <c r="J45" s="1160">
        <f>2+5+1+4+1</f>
        <v>13</v>
      </c>
      <c r="K45" s="1160">
        <f>1+1+3+2</f>
        <v>7</v>
      </c>
      <c r="L45" s="1177">
        <f>1+1+1+1</f>
        <v>4</v>
      </c>
      <c r="M45" s="1178">
        <f t="shared" ref="M45:M46" si="21">0</f>
        <v>0</v>
      </c>
      <c r="N45" s="1179">
        <f>1+1</f>
        <v>2</v>
      </c>
    </row>
    <row r="46" ht="22.5" customHeight="1">
      <c r="A46" s="1174"/>
      <c r="B46" s="1154" t="s">
        <v>1829</v>
      </c>
      <c r="C46" s="1154" t="s">
        <v>153</v>
      </c>
      <c r="D46" s="1156" t="s">
        <v>83</v>
      </c>
      <c r="E46" s="1175" t="str">
        <f t="shared" si="16"/>
        <v/>
      </c>
      <c r="F46" s="1176">
        <v>30333.0</v>
      </c>
      <c r="G46" s="1159">
        <f t="shared" si="17"/>
        <v>43</v>
      </c>
      <c r="H46" s="1160">
        <f t="shared" si="18"/>
        <v>1</v>
      </c>
      <c r="I46" s="1160">
        <f t="shared" si="19"/>
        <v>3</v>
      </c>
      <c r="J46" s="1160">
        <f>6</f>
        <v>6</v>
      </c>
      <c r="K46" s="1160">
        <f t="shared" ref="K46:L46" si="20">1</f>
        <v>1</v>
      </c>
      <c r="L46" s="1177">
        <f t="shared" si="20"/>
        <v>1</v>
      </c>
      <c r="M46" s="1178">
        <f t="shared" si="21"/>
        <v>0</v>
      </c>
      <c r="N46" s="1180">
        <v>0.0</v>
      </c>
    </row>
    <row r="47">
      <c r="A47" s="11"/>
      <c r="B47" s="18"/>
      <c r="C47" s="18"/>
      <c r="D47" s="64"/>
      <c r="E47" s="65"/>
      <c r="F47" s="66"/>
      <c r="G47" s="18"/>
      <c r="H47" s="73">
        <f>SUM(trenerReal[mecze])</f>
        <v>7</v>
      </c>
      <c r="I47" s="73">
        <f>SUM(trenerReal[punkty])</f>
        <v>15</v>
      </c>
      <c r="J47" s="73">
        <f>SUM(trenerReal[strzelone])</f>
        <v>19</v>
      </c>
      <c r="K47" s="73">
        <f>SUM(trenerReal[stracone])</f>
        <v>8</v>
      </c>
      <c r="L47" s="73">
        <f>SUM(trenerReal[wygrane])</f>
        <v>5</v>
      </c>
      <c r="M47" s="73">
        <f>SUM(trenerReal[remisy])</f>
        <v>0</v>
      </c>
      <c r="N47" s="73">
        <f>SUM(trenerReal[porażki])</f>
        <v>2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22.5" customHeight="1">
      <c r="A48" s="1147" t="s">
        <v>156</v>
      </c>
      <c r="B48" s="1147" t="s">
        <v>157</v>
      </c>
      <c r="C48" s="1147" t="s">
        <v>158</v>
      </c>
      <c r="D48" s="1151" t="s">
        <v>1830</v>
      </c>
      <c r="E48" s="1147" t="s">
        <v>160</v>
      </c>
      <c r="F48" s="1147" t="s">
        <v>161</v>
      </c>
    </row>
    <row r="49" ht="22.5" customHeight="1">
      <c r="A49" s="86">
        <v>1.0</v>
      </c>
      <c r="B49" s="87" t="s">
        <v>17</v>
      </c>
      <c r="C49" s="87" t="s">
        <v>28</v>
      </c>
      <c r="D49" s="88" t="s">
        <v>1831</v>
      </c>
      <c r="E49" s="367">
        <v>45689.0</v>
      </c>
      <c r="F49" s="365" t="s">
        <v>1145</v>
      </c>
    </row>
    <row r="50" ht="22.5" customHeight="1">
      <c r="A50" s="86">
        <v>2.0</v>
      </c>
      <c r="B50" s="847" t="s">
        <v>47</v>
      </c>
      <c r="C50" s="87" t="s">
        <v>17</v>
      </c>
      <c r="D50" s="88" t="s">
        <v>1832</v>
      </c>
      <c r="E50" s="368" t="s">
        <v>1098</v>
      </c>
      <c r="F50" s="365" t="s">
        <v>839</v>
      </c>
    </row>
    <row r="51" ht="22.5" customHeight="1">
      <c r="A51" s="86">
        <v>3.0</v>
      </c>
      <c r="B51" s="847" t="s">
        <v>17</v>
      </c>
      <c r="C51" s="847" t="s">
        <v>35</v>
      </c>
      <c r="D51" s="88" t="s">
        <v>1833</v>
      </c>
      <c r="E51" s="368" t="s">
        <v>677</v>
      </c>
      <c r="F51" s="365" t="s">
        <v>1145</v>
      </c>
    </row>
    <row r="52" ht="22.5" customHeight="1">
      <c r="A52" s="77">
        <v>4.0</v>
      </c>
      <c r="B52" s="697" t="s">
        <v>18</v>
      </c>
      <c r="C52" s="697" t="s">
        <v>17</v>
      </c>
      <c r="D52" s="79"/>
      <c r="E52" s="80" t="s">
        <v>333</v>
      </c>
      <c r="F52" s="78" t="s">
        <v>445</v>
      </c>
    </row>
    <row r="53" ht="22.5" customHeight="1">
      <c r="A53" s="86">
        <v>5.0</v>
      </c>
      <c r="B53" s="87" t="s">
        <v>38</v>
      </c>
      <c r="C53" s="847" t="s">
        <v>17</v>
      </c>
      <c r="D53" s="88" t="s">
        <v>1834</v>
      </c>
      <c r="E53" s="89">
        <v>45720.0</v>
      </c>
      <c r="F53" s="87" t="s">
        <v>1209</v>
      </c>
    </row>
    <row r="54" ht="22.5" customHeight="1">
      <c r="A54" s="77">
        <v>6.0</v>
      </c>
      <c r="B54" s="697" t="s">
        <v>17</v>
      </c>
      <c r="C54" s="78" t="s">
        <v>23</v>
      </c>
      <c r="D54" s="83" t="s">
        <v>1835</v>
      </c>
      <c r="E54" s="84">
        <v>45659.0</v>
      </c>
      <c r="F54" s="78" t="s">
        <v>1145</v>
      </c>
    </row>
    <row r="55" ht="22.5" customHeight="1">
      <c r="A55" s="86">
        <v>7.0</v>
      </c>
      <c r="B55" s="87" t="s">
        <v>17</v>
      </c>
      <c r="C55" s="847" t="s">
        <v>29</v>
      </c>
      <c r="D55" s="88" t="s">
        <v>1836</v>
      </c>
      <c r="E55" s="89">
        <v>46174.0</v>
      </c>
      <c r="F55" s="87" t="s">
        <v>1145</v>
      </c>
    </row>
    <row r="56" ht="22.5" customHeight="1">
      <c r="A56" s="90">
        <v>8.0</v>
      </c>
      <c r="B56" s="925" t="s">
        <v>42</v>
      </c>
      <c r="C56" s="91" t="s">
        <v>17</v>
      </c>
      <c r="D56" s="92"/>
      <c r="E56" s="93"/>
      <c r="F56" s="94" t="s">
        <v>676</v>
      </c>
    </row>
    <row r="57">
      <c r="A57" s="12"/>
      <c r="D57" s="95"/>
      <c r="E57" s="14"/>
      <c r="F57" s="96"/>
    </row>
    <row r="58">
      <c r="A58" s="12"/>
      <c r="D58" s="95"/>
      <c r="E58" s="14"/>
      <c r="F58" s="96"/>
    </row>
    <row r="59">
      <c r="A59" s="12"/>
      <c r="D59" s="95"/>
      <c r="E59" s="14"/>
      <c r="F59" s="96"/>
    </row>
    <row r="60">
      <c r="A60" s="12"/>
      <c r="D60" s="95"/>
      <c r="E60" s="14"/>
      <c r="F60" s="96"/>
    </row>
    <row r="61">
      <c r="A61" s="12"/>
      <c r="D61" s="95"/>
      <c r="E61" s="14"/>
      <c r="F61" s="96"/>
    </row>
    <row r="62">
      <c r="A62" s="12"/>
      <c r="D62" s="95"/>
      <c r="E62" s="14"/>
      <c r="F62" s="96"/>
    </row>
    <row r="63">
      <c r="A63" s="12"/>
      <c r="D63" s="95"/>
      <c r="E63" s="14"/>
      <c r="F63" s="96"/>
    </row>
    <row r="64">
      <c r="A64" s="12"/>
      <c r="D64" s="95"/>
      <c r="E64" s="14"/>
      <c r="F64" s="96"/>
    </row>
    <row r="65">
      <c r="A65" s="12"/>
      <c r="D65" s="95"/>
      <c r="E65" s="14"/>
      <c r="F65" s="96"/>
    </row>
    <row r="66">
      <c r="A66" s="12"/>
      <c r="D66" s="95"/>
      <c r="E66" s="14"/>
      <c r="F66" s="96"/>
    </row>
    <row r="67">
      <c r="A67" s="12"/>
      <c r="D67" s="95"/>
      <c r="E67" s="14"/>
      <c r="F67" s="96"/>
    </row>
    <row r="68">
      <c r="A68" s="12"/>
      <c r="D68" s="95"/>
      <c r="E68" s="14"/>
      <c r="F68" s="96"/>
    </row>
    <row r="69">
      <c r="A69" s="12"/>
      <c r="D69" s="95"/>
      <c r="E69" s="14"/>
      <c r="F69" s="96"/>
    </row>
    <row r="70">
      <c r="A70" s="12"/>
      <c r="D70" s="95"/>
      <c r="E70" s="14"/>
      <c r="F70" s="96"/>
    </row>
    <row r="71">
      <c r="A71" s="12"/>
      <c r="D71" s="95"/>
      <c r="E71" s="14"/>
      <c r="F71" s="96"/>
    </row>
    <row r="72">
      <c r="A72" s="12"/>
      <c r="D72" s="95"/>
      <c r="E72" s="14"/>
      <c r="F72" s="96"/>
    </row>
    <row r="73">
      <c r="A73" s="12"/>
      <c r="D73" s="95"/>
      <c r="E73" s="14"/>
      <c r="F73" s="96"/>
    </row>
    <row r="74">
      <c r="A74" s="12"/>
      <c r="D74" s="95"/>
      <c r="E74" s="14"/>
      <c r="F74" s="96"/>
    </row>
    <row r="75">
      <c r="A75" s="12"/>
      <c r="D75" s="95"/>
      <c r="E75" s="14"/>
      <c r="F75" s="96"/>
    </row>
    <row r="76">
      <c r="A76" s="12"/>
      <c r="D76" s="95"/>
      <c r="E76" s="14"/>
      <c r="F76" s="96"/>
    </row>
    <row r="77">
      <c r="A77" s="12"/>
      <c r="D77" s="95"/>
      <c r="E77" s="14"/>
      <c r="F77" s="96"/>
    </row>
    <row r="78">
      <c r="A78" s="12"/>
      <c r="D78" s="95"/>
      <c r="E78" s="14"/>
      <c r="F78" s="96"/>
    </row>
    <row r="79">
      <c r="A79" s="12"/>
      <c r="D79" s="95"/>
      <c r="E79" s="14"/>
      <c r="F79" s="96"/>
    </row>
    <row r="80">
      <c r="A80" s="12"/>
      <c r="D80" s="95"/>
      <c r="E80" s="14"/>
      <c r="F80" s="96"/>
    </row>
    <row r="81">
      <c r="A81" s="12"/>
      <c r="D81" s="95"/>
      <c r="E81" s="14"/>
      <c r="F81" s="96"/>
    </row>
    <row r="82">
      <c r="A82" s="12"/>
      <c r="D82" s="95"/>
      <c r="E82" s="14"/>
      <c r="F82" s="96"/>
    </row>
    <row r="83">
      <c r="A83" s="12"/>
      <c r="D83" s="95"/>
      <c r="E83" s="14"/>
      <c r="F83" s="96"/>
    </row>
    <row r="84">
      <c r="A84" s="12"/>
      <c r="D84" s="95"/>
      <c r="E84" s="14"/>
      <c r="F84" s="96"/>
    </row>
    <row r="85">
      <c r="A85" s="12"/>
      <c r="D85" s="95"/>
      <c r="E85" s="14"/>
      <c r="F85" s="96"/>
    </row>
    <row r="86">
      <c r="A86" s="12"/>
      <c r="D86" s="95"/>
      <c r="E86" s="14"/>
      <c r="F86" s="96"/>
    </row>
    <row r="87">
      <c r="A87" s="12"/>
      <c r="D87" s="95"/>
      <c r="E87" s="14"/>
      <c r="F87" s="96"/>
    </row>
    <row r="88">
      <c r="A88" s="12"/>
      <c r="D88" s="95"/>
      <c r="E88" s="14"/>
      <c r="F88" s="96"/>
    </row>
    <row r="89">
      <c r="A89" s="12"/>
      <c r="D89" s="95"/>
      <c r="E89" s="14"/>
      <c r="F89" s="96"/>
    </row>
    <row r="90">
      <c r="A90" s="12"/>
      <c r="D90" s="95"/>
      <c r="E90" s="14"/>
      <c r="F90" s="96"/>
    </row>
    <row r="91">
      <c r="A91" s="12"/>
      <c r="D91" s="95"/>
      <c r="E91" s="14"/>
      <c r="F91" s="96"/>
    </row>
    <row r="92">
      <c r="A92" s="12"/>
      <c r="D92" s="95"/>
      <c r="E92" s="14"/>
      <c r="F92" s="96"/>
    </row>
    <row r="93">
      <c r="A93" s="12"/>
      <c r="D93" s="95"/>
      <c r="E93" s="14"/>
      <c r="F93" s="96"/>
    </row>
    <row r="94">
      <c r="A94" s="12"/>
      <c r="D94" s="95"/>
      <c r="E94" s="14"/>
      <c r="F94" s="96"/>
    </row>
    <row r="95">
      <c r="A95" s="12"/>
      <c r="D95" s="95"/>
      <c r="E95" s="14"/>
      <c r="F95" s="96"/>
    </row>
    <row r="96">
      <c r="A96" s="12"/>
      <c r="D96" s="95"/>
      <c r="E96" s="14"/>
      <c r="F96" s="96"/>
    </row>
    <row r="97">
      <c r="A97" s="12"/>
      <c r="D97" s="95"/>
      <c r="E97" s="14"/>
      <c r="F97" s="96"/>
    </row>
    <row r="98">
      <c r="A98" s="12"/>
      <c r="D98" s="95"/>
      <c r="E98" s="14"/>
      <c r="F98" s="96"/>
    </row>
    <row r="99">
      <c r="A99" s="12"/>
      <c r="D99" s="95"/>
      <c r="E99" s="14"/>
      <c r="F99" s="96"/>
    </row>
    <row r="100">
      <c r="A100" s="12"/>
      <c r="D100" s="95"/>
      <c r="E100" s="14"/>
      <c r="F100" s="96"/>
    </row>
    <row r="101">
      <c r="A101" s="12"/>
      <c r="D101" s="95"/>
      <c r="E101" s="14"/>
      <c r="F101" s="96"/>
    </row>
    <row r="102">
      <c r="A102" s="12"/>
      <c r="D102" s="95"/>
      <c r="E102" s="14"/>
      <c r="F102" s="96"/>
    </row>
    <row r="103">
      <c r="A103" s="12"/>
      <c r="D103" s="95"/>
      <c r="E103" s="14"/>
      <c r="F103" s="96"/>
    </row>
    <row r="104">
      <c r="A104" s="12"/>
      <c r="D104" s="95"/>
      <c r="E104" s="14"/>
      <c r="F104" s="96"/>
    </row>
    <row r="105">
      <c r="A105" s="12"/>
      <c r="D105" s="95"/>
      <c r="E105" s="14"/>
      <c r="F105" s="96"/>
    </row>
    <row r="106">
      <c r="A106" s="12"/>
      <c r="D106" s="95"/>
      <c r="E106" s="14"/>
      <c r="F106" s="96"/>
    </row>
    <row r="107">
      <c r="A107" s="12"/>
      <c r="D107" s="95"/>
      <c r="E107" s="14"/>
      <c r="F107" s="96"/>
    </row>
    <row r="108">
      <c r="A108" s="12"/>
      <c r="D108" s="95"/>
      <c r="E108" s="14"/>
      <c r="F108" s="96"/>
    </row>
    <row r="109">
      <c r="A109" s="12"/>
      <c r="D109" s="95"/>
      <c r="E109" s="14"/>
      <c r="F109" s="96"/>
    </row>
    <row r="110">
      <c r="A110" s="12"/>
      <c r="D110" s="95"/>
      <c r="E110" s="14"/>
      <c r="F110" s="96"/>
    </row>
    <row r="111">
      <c r="A111" s="12"/>
      <c r="D111" s="95"/>
      <c r="E111" s="14"/>
      <c r="F111" s="96"/>
    </row>
    <row r="112">
      <c r="A112" s="12"/>
      <c r="D112" s="95"/>
      <c r="E112" s="14"/>
      <c r="F112" s="96"/>
    </row>
    <row r="113">
      <c r="A113" s="12"/>
      <c r="D113" s="95"/>
      <c r="E113" s="14"/>
      <c r="F113" s="96"/>
    </row>
    <row r="114">
      <c r="A114" s="12"/>
      <c r="D114" s="95"/>
      <c r="E114" s="14"/>
      <c r="F114" s="96"/>
    </row>
    <row r="115">
      <c r="A115" s="12"/>
      <c r="D115" s="95"/>
      <c r="E115" s="14"/>
      <c r="F115" s="96"/>
    </row>
    <row r="116">
      <c r="A116" s="12"/>
      <c r="D116" s="95"/>
      <c r="E116" s="14"/>
      <c r="F116" s="96"/>
    </row>
    <row r="117">
      <c r="A117" s="12"/>
      <c r="D117" s="95"/>
      <c r="E117" s="14"/>
      <c r="F117" s="96"/>
    </row>
    <row r="118">
      <c r="A118" s="12"/>
      <c r="D118" s="95"/>
      <c r="E118" s="14"/>
      <c r="F118" s="96"/>
    </row>
    <row r="119">
      <c r="A119" s="12"/>
      <c r="D119" s="95"/>
      <c r="E119" s="14"/>
      <c r="F119" s="96"/>
    </row>
    <row r="120">
      <c r="A120" s="12"/>
      <c r="D120" s="95"/>
      <c r="E120" s="14"/>
      <c r="F120" s="96"/>
    </row>
    <row r="121">
      <c r="A121" s="12"/>
      <c r="D121" s="95"/>
      <c r="E121" s="14"/>
      <c r="F121" s="96"/>
    </row>
    <row r="122">
      <c r="A122" s="12"/>
      <c r="D122" s="95"/>
      <c r="E122" s="14"/>
      <c r="F122" s="96"/>
    </row>
    <row r="123">
      <c r="A123" s="12"/>
      <c r="D123" s="95"/>
      <c r="E123" s="14"/>
      <c r="F123" s="96"/>
    </row>
    <row r="124">
      <c r="A124" s="12"/>
      <c r="D124" s="95"/>
      <c r="E124" s="14"/>
      <c r="F124" s="96"/>
    </row>
    <row r="125">
      <c r="A125" s="12"/>
      <c r="D125" s="95"/>
      <c r="E125" s="14"/>
      <c r="F125" s="96"/>
    </row>
    <row r="126">
      <c r="A126" s="12"/>
      <c r="D126" s="95"/>
      <c r="E126" s="14"/>
      <c r="F126" s="96"/>
    </row>
    <row r="127">
      <c r="A127" s="12"/>
      <c r="D127" s="95"/>
      <c r="E127" s="14"/>
      <c r="F127" s="96"/>
    </row>
    <row r="128">
      <c r="A128" s="12"/>
      <c r="D128" s="95"/>
      <c r="E128" s="14"/>
      <c r="F128" s="96"/>
    </row>
    <row r="129">
      <c r="A129" s="12"/>
      <c r="D129" s="95"/>
      <c r="E129" s="14"/>
      <c r="F129" s="96"/>
    </row>
    <row r="130">
      <c r="A130" s="12"/>
      <c r="D130" s="95"/>
      <c r="E130" s="14"/>
      <c r="F130" s="96"/>
    </row>
    <row r="131">
      <c r="A131" s="12"/>
      <c r="D131" s="95"/>
      <c r="E131" s="14"/>
      <c r="F131" s="96"/>
    </row>
    <row r="132">
      <c r="A132" s="12"/>
      <c r="D132" s="95"/>
      <c r="E132" s="14"/>
      <c r="F132" s="96"/>
    </row>
    <row r="133">
      <c r="A133" s="12"/>
      <c r="D133" s="95"/>
      <c r="E133" s="14"/>
      <c r="F133" s="96"/>
    </row>
    <row r="134">
      <c r="A134" s="12"/>
      <c r="D134" s="95"/>
      <c r="E134" s="14"/>
      <c r="F134" s="96"/>
    </row>
    <row r="135">
      <c r="A135" s="12"/>
      <c r="D135" s="95"/>
      <c r="E135" s="14"/>
      <c r="F135" s="96"/>
    </row>
    <row r="136">
      <c r="A136" s="12"/>
      <c r="D136" s="95"/>
      <c r="E136" s="14"/>
      <c r="F136" s="96"/>
    </row>
    <row r="137">
      <c r="A137" s="12"/>
      <c r="D137" s="95"/>
      <c r="E137" s="14"/>
      <c r="F137" s="96"/>
    </row>
    <row r="138">
      <c r="A138" s="12"/>
      <c r="D138" s="95"/>
      <c r="E138" s="14"/>
      <c r="F138" s="96"/>
    </row>
    <row r="139">
      <c r="A139" s="12"/>
      <c r="D139" s="95"/>
      <c r="E139" s="14"/>
      <c r="F139" s="96"/>
    </row>
    <row r="140">
      <c r="A140" s="12"/>
      <c r="D140" s="95"/>
      <c r="E140" s="14"/>
      <c r="F140" s="96"/>
    </row>
    <row r="141">
      <c r="A141" s="12"/>
      <c r="D141" s="95"/>
      <c r="E141" s="14"/>
      <c r="F141" s="96"/>
    </row>
    <row r="142">
      <c r="A142" s="12"/>
      <c r="D142" s="95"/>
      <c r="E142" s="14"/>
      <c r="F142" s="96"/>
    </row>
    <row r="143">
      <c r="A143" s="12"/>
      <c r="D143" s="95"/>
      <c r="E143" s="14"/>
      <c r="F143" s="96"/>
    </row>
    <row r="144">
      <c r="A144" s="12"/>
      <c r="D144" s="95"/>
      <c r="E144" s="14"/>
      <c r="F144" s="96"/>
    </row>
    <row r="145">
      <c r="A145" s="12"/>
      <c r="D145" s="95"/>
      <c r="E145" s="14"/>
      <c r="F145" s="96"/>
    </row>
    <row r="146">
      <c r="A146" s="12"/>
      <c r="D146" s="95"/>
      <c r="E146" s="14"/>
      <c r="F146" s="96"/>
    </row>
    <row r="147">
      <c r="A147" s="12"/>
      <c r="D147" s="95"/>
      <c r="E147" s="14"/>
      <c r="F147" s="96"/>
    </row>
    <row r="148">
      <c r="A148" s="12"/>
      <c r="D148" s="95"/>
      <c r="E148" s="14"/>
      <c r="F148" s="96"/>
    </row>
    <row r="149">
      <c r="A149" s="12"/>
      <c r="D149" s="95"/>
      <c r="E149" s="14"/>
      <c r="F149" s="96"/>
    </row>
    <row r="150">
      <c r="A150" s="12"/>
      <c r="D150" s="95"/>
      <c r="E150" s="14"/>
      <c r="F150" s="96"/>
    </row>
    <row r="151">
      <c r="A151" s="12"/>
      <c r="D151" s="95"/>
      <c r="E151" s="14"/>
      <c r="F151" s="96"/>
    </row>
    <row r="152">
      <c r="A152" s="12"/>
      <c r="D152" s="95"/>
      <c r="E152" s="14"/>
      <c r="F152" s="96"/>
    </row>
    <row r="153">
      <c r="A153" s="12"/>
      <c r="D153" s="95"/>
      <c r="E153" s="14"/>
      <c r="F153" s="96"/>
    </row>
    <row r="154">
      <c r="A154" s="12"/>
      <c r="D154" s="95"/>
      <c r="E154" s="14"/>
      <c r="F154" s="96"/>
    </row>
    <row r="155">
      <c r="A155" s="12"/>
      <c r="D155" s="95"/>
      <c r="E155" s="14"/>
      <c r="F155" s="96"/>
    </row>
    <row r="156">
      <c r="A156" s="12"/>
      <c r="D156" s="95"/>
      <c r="E156" s="14"/>
      <c r="F156" s="96"/>
    </row>
    <row r="157">
      <c r="A157" s="12"/>
      <c r="D157" s="95"/>
      <c r="E157" s="14"/>
      <c r="F157" s="96"/>
    </row>
    <row r="158">
      <c r="A158" s="12"/>
      <c r="D158" s="95"/>
      <c r="E158" s="14"/>
      <c r="F158" s="96"/>
    </row>
    <row r="159">
      <c r="A159" s="12"/>
      <c r="D159" s="95"/>
      <c r="E159" s="14"/>
      <c r="F159" s="96"/>
    </row>
    <row r="160">
      <c r="A160" s="12"/>
      <c r="D160" s="95"/>
      <c r="E160" s="14"/>
      <c r="F160" s="96"/>
    </row>
    <row r="161">
      <c r="A161" s="12"/>
      <c r="D161" s="95"/>
      <c r="E161" s="14"/>
      <c r="F161" s="96"/>
    </row>
    <row r="162">
      <c r="A162" s="12"/>
      <c r="D162" s="95"/>
      <c r="E162" s="14"/>
      <c r="F162" s="96"/>
    </row>
    <row r="163">
      <c r="A163" s="12"/>
      <c r="D163" s="95"/>
      <c r="E163" s="14"/>
      <c r="F163" s="96"/>
    </row>
    <row r="164">
      <c r="A164" s="12"/>
      <c r="D164" s="95"/>
      <c r="E164" s="14"/>
      <c r="F164" s="96"/>
    </row>
    <row r="165">
      <c r="A165" s="12"/>
      <c r="D165" s="95"/>
      <c r="E165" s="14"/>
      <c r="F165" s="96"/>
    </row>
    <row r="166">
      <c r="A166" s="12"/>
      <c r="D166" s="95"/>
      <c r="E166" s="14"/>
      <c r="F166" s="96"/>
    </row>
    <row r="167">
      <c r="A167" s="12"/>
      <c r="D167" s="95"/>
      <c r="E167" s="14"/>
      <c r="F167" s="96"/>
    </row>
    <row r="168">
      <c r="A168" s="12"/>
      <c r="D168" s="95"/>
      <c r="E168" s="14"/>
      <c r="F168" s="96"/>
    </row>
    <row r="169">
      <c r="A169" s="12"/>
      <c r="D169" s="95"/>
      <c r="E169" s="14"/>
      <c r="F169" s="96"/>
    </row>
    <row r="170">
      <c r="A170" s="12"/>
      <c r="D170" s="95"/>
      <c r="E170" s="14"/>
      <c r="F170" s="96"/>
    </row>
    <row r="171">
      <c r="A171" s="12"/>
      <c r="D171" s="95"/>
      <c r="E171" s="14"/>
      <c r="F171" s="96"/>
    </row>
    <row r="172">
      <c r="A172" s="12"/>
      <c r="D172" s="95"/>
      <c r="E172" s="14"/>
      <c r="F172" s="96"/>
    </row>
    <row r="173">
      <c r="A173" s="12"/>
      <c r="D173" s="95"/>
      <c r="E173" s="14"/>
      <c r="F173" s="96"/>
    </row>
    <row r="174">
      <c r="A174" s="12"/>
      <c r="D174" s="95"/>
      <c r="E174" s="14"/>
      <c r="F174" s="96"/>
    </row>
    <row r="175">
      <c r="A175" s="12"/>
      <c r="D175" s="95"/>
      <c r="E175" s="14"/>
      <c r="F175" s="96"/>
    </row>
    <row r="176">
      <c r="A176" s="12"/>
      <c r="D176" s="95"/>
      <c r="E176" s="14"/>
      <c r="F176" s="96"/>
    </row>
    <row r="177">
      <c r="A177" s="12"/>
      <c r="D177" s="95"/>
      <c r="E177" s="14"/>
      <c r="F177" s="96"/>
    </row>
    <row r="178">
      <c r="A178" s="12"/>
      <c r="D178" s="95"/>
      <c r="E178" s="14"/>
      <c r="F178" s="96"/>
    </row>
    <row r="179">
      <c r="A179" s="12"/>
      <c r="D179" s="95"/>
      <c r="E179" s="14"/>
      <c r="F179" s="96"/>
    </row>
    <row r="180">
      <c r="A180" s="12"/>
      <c r="D180" s="95"/>
      <c r="E180" s="14"/>
      <c r="F180" s="96"/>
    </row>
    <row r="181">
      <c r="A181" s="12"/>
      <c r="D181" s="95"/>
      <c r="E181" s="14"/>
      <c r="F181" s="96"/>
    </row>
    <row r="182">
      <c r="A182" s="12"/>
      <c r="D182" s="95"/>
      <c r="E182" s="14"/>
      <c r="F182" s="96"/>
    </row>
    <row r="183">
      <c r="A183" s="12"/>
      <c r="D183" s="95"/>
      <c r="E183" s="14"/>
      <c r="F183" s="96"/>
    </row>
    <row r="184">
      <c r="A184" s="12"/>
      <c r="D184" s="95"/>
      <c r="E184" s="14"/>
      <c r="F184" s="96"/>
    </row>
    <row r="185">
      <c r="A185" s="12"/>
      <c r="D185" s="95"/>
      <c r="E185" s="14"/>
      <c r="F185" s="96"/>
    </row>
    <row r="186">
      <c r="A186" s="12"/>
      <c r="D186" s="95"/>
      <c r="E186" s="14"/>
      <c r="F186" s="96"/>
    </row>
    <row r="187">
      <c r="A187" s="12"/>
      <c r="D187" s="95"/>
      <c r="E187" s="14"/>
      <c r="F187" s="96"/>
    </row>
    <row r="188">
      <c r="A188" s="12"/>
      <c r="D188" s="95"/>
      <c r="E188" s="14"/>
      <c r="F188" s="96"/>
    </row>
    <row r="189">
      <c r="A189" s="12"/>
      <c r="D189" s="95"/>
      <c r="E189" s="14"/>
      <c r="F189" s="96"/>
    </row>
    <row r="190">
      <c r="A190" s="12"/>
      <c r="D190" s="95"/>
      <c r="E190" s="14"/>
      <c r="F190" s="96"/>
    </row>
    <row r="191">
      <c r="A191" s="12"/>
      <c r="D191" s="95"/>
      <c r="E191" s="14"/>
      <c r="F191" s="96"/>
    </row>
    <row r="192">
      <c r="A192" s="12"/>
      <c r="D192" s="95"/>
      <c r="E192" s="14"/>
      <c r="F192" s="96"/>
    </row>
    <row r="193">
      <c r="A193" s="12"/>
      <c r="D193" s="95"/>
      <c r="E193" s="14"/>
      <c r="F193" s="96"/>
    </row>
    <row r="194">
      <c r="A194" s="12"/>
      <c r="D194" s="95"/>
      <c r="E194" s="14"/>
      <c r="F194" s="96"/>
    </row>
    <row r="195">
      <c r="A195" s="12"/>
      <c r="D195" s="95"/>
      <c r="E195" s="14"/>
      <c r="F195" s="96"/>
    </row>
    <row r="196">
      <c r="A196" s="12"/>
      <c r="D196" s="95"/>
      <c r="E196" s="14"/>
      <c r="F196" s="96"/>
    </row>
    <row r="197">
      <c r="A197" s="12"/>
      <c r="D197" s="95"/>
      <c r="E197" s="14"/>
      <c r="F197" s="96"/>
    </row>
    <row r="198">
      <c r="A198" s="12"/>
      <c r="D198" s="95"/>
      <c r="E198" s="14"/>
      <c r="F198" s="96"/>
    </row>
    <row r="199">
      <c r="A199" s="12"/>
      <c r="D199" s="95"/>
      <c r="E199" s="14"/>
      <c r="F199" s="96"/>
    </row>
    <row r="200">
      <c r="A200" s="12"/>
      <c r="D200" s="95"/>
      <c r="E200" s="14"/>
      <c r="F200" s="96"/>
    </row>
    <row r="201">
      <c r="A201" s="12"/>
      <c r="D201" s="95"/>
      <c r="E201" s="14"/>
      <c r="F201" s="96"/>
    </row>
    <row r="202">
      <c r="A202" s="12"/>
      <c r="D202" s="95"/>
      <c r="E202" s="14"/>
      <c r="F202" s="96"/>
    </row>
    <row r="203">
      <c r="A203" s="12"/>
      <c r="D203" s="95"/>
      <c r="E203" s="14"/>
      <c r="F203" s="96"/>
    </row>
    <row r="204">
      <c r="A204" s="12"/>
      <c r="D204" s="95"/>
      <c r="E204" s="14"/>
      <c r="F204" s="96"/>
    </row>
    <row r="205">
      <c r="A205" s="12"/>
      <c r="D205" s="95"/>
      <c r="E205" s="14"/>
      <c r="F205" s="96"/>
    </row>
    <row r="206">
      <c r="A206" s="12"/>
      <c r="D206" s="95"/>
      <c r="E206" s="14"/>
      <c r="F206" s="96"/>
    </row>
    <row r="207">
      <c r="A207" s="12"/>
      <c r="D207" s="95"/>
      <c r="E207" s="14"/>
      <c r="F207" s="96"/>
    </row>
    <row r="208">
      <c r="A208" s="12"/>
      <c r="D208" s="95"/>
      <c r="E208" s="14"/>
      <c r="F208" s="96"/>
    </row>
    <row r="209">
      <c r="A209" s="12"/>
      <c r="D209" s="95"/>
      <c r="E209" s="14"/>
      <c r="F209" s="96"/>
    </row>
    <row r="210">
      <c r="A210" s="12"/>
      <c r="D210" s="95"/>
      <c r="E210" s="14"/>
      <c r="F210" s="96"/>
    </row>
    <row r="211">
      <c r="A211" s="12"/>
      <c r="D211" s="95"/>
      <c r="E211" s="14"/>
      <c r="F211" s="96"/>
    </row>
    <row r="212">
      <c r="A212" s="12"/>
      <c r="D212" s="95"/>
      <c r="E212" s="14"/>
      <c r="F212" s="96"/>
    </row>
    <row r="213">
      <c r="A213" s="12"/>
      <c r="D213" s="95"/>
      <c r="E213" s="14"/>
      <c r="F213" s="96"/>
    </row>
    <row r="214">
      <c r="A214" s="12"/>
      <c r="D214" s="95"/>
      <c r="E214" s="14"/>
      <c r="F214" s="96"/>
    </row>
    <row r="215">
      <c r="A215" s="12"/>
      <c r="D215" s="95"/>
      <c r="E215" s="14"/>
      <c r="F215" s="96"/>
    </row>
    <row r="216">
      <c r="A216" s="12"/>
      <c r="D216" s="95"/>
      <c r="E216" s="14"/>
      <c r="F216" s="96"/>
    </row>
    <row r="217">
      <c r="A217" s="12"/>
      <c r="D217" s="95"/>
      <c r="E217" s="14"/>
      <c r="F217" s="96"/>
    </row>
    <row r="218">
      <c r="A218" s="12"/>
      <c r="D218" s="95"/>
      <c r="E218" s="14"/>
      <c r="F218" s="96"/>
    </row>
    <row r="219">
      <c r="A219" s="12"/>
      <c r="D219" s="95"/>
      <c r="E219" s="14"/>
      <c r="F219" s="96"/>
    </row>
    <row r="220">
      <c r="A220" s="12"/>
      <c r="D220" s="95"/>
      <c r="E220" s="14"/>
      <c r="F220" s="96"/>
    </row>
    <row r="221">
      <c r="A221" s="12"/>
      <c r="D221" s="95"/>
      <c r="E221" s="14"/>
      <c r="F221" s="96"/>
    </row>
    <row r="222">
      <c r="A222" s="12"/>
      <c r="D222" s="95"/>
      <c r="E222" s="14"/>
      <c r="F222" s="96"/>
    </row>
    <row r="223">
      <c r="A223" s="12"/>
      <c r="D223" s="95"/>
      <c r="E223" s="14"/>
      <c r="F223" s="96"/>
    </row>
    <row r="224">
      <c r="A224" s="12"/>
      <c r="D224" s="95"/>
      <c r="E224" s="14"/>
      <c r="F224" s="96"/>
    </row>
    <row r="225">
      <c r="A225" s="12"/>
      <c r="D225" s="95"/>
      <c r="E225" s="14"/>
      <c r="F225" s="96"/>
    </row>
    <row r="226">
      <c r="A226" s="12"/>
      <c r="D226" s="95"/>
      <c r="E226" s="14"/>
      <c r="F226" s="96"/>
    </row>
    <row r="227">
      <c r="A227" s="12"/>
      <c r="D227" s="95"/>
      <c r="E227" s="14"/>
      <c r="F227" s="96"/>
    </row>
    <row r="228">
      <c r="A228" s="12"/>
      <c r="D228" s="95"/>
      <c r="E228" s="14"/>
      <c r="F228" s="96"/>
    </row>
    <row r="229">
      <c r="A229" s="12"/>
      <c r="D229" s="95"/>
      <c r="E229" s="14"/>
      <c r="F229" s="96"/>
    </row>
    <row r="230">
      <c r="A230" s="12"/>
      <c r="D230" s="95"/>
      <c r="E230" s="14"/>
      <c r="F230" s="96"/>
    </row>
    <row r="231">
      <c r="A231" s="12"/>
      <c r="D231" s="95"/>
      <c r="E231" s="14"/>
      <c r="F231" s="96"/>
    </row>
    <row r="232">
      <c r="A232" s="12"/>
      <c r="D232" s="95"/>
      <c r="E232" s="14"/>
      <c r="F232" s="96"/>
    </row>
    <row r="233">
      <c r="A233" s="12"/>
      <c r="D233" s="95"/>
      <c r="E233" s="14"/>
      <c r="F233" s="96"/>
    </row>
    <row r="234">
      <c r="A234" s="12"/>
      <c r="D234" s="95"/>
      <c r="E234" s="14"/>
      <c r="F234" s="96"/>
    </row>
    <row r="235">
      <c r="A235" s="12"/>
      <c r="D235" s="95"/>
      <c r="E235" s="14"/>
      <c r="F235" s="96"/>
    </row>
    <row r="236">
      <c r="A236" s="12"/>
      <c r="D236" s="95"/>
      <c r="E236" s="14"/>
      <c r="F236" s="96"/>
    </row>
    <row r="237">
      <c r="A237" s="12"/>
      <c r="D237" s="95"/>
      <c r="E237" s="14"/>
      <c r="F237" s="96"/>
    </row>
    <row r="238">
      <c r="A238" s="12"/>
      <c r="D238" s="95"/>
      <c r="E238" s="14"/>
      <c r="F238" s="96"/>
    </row>
    <row r="239">
      <c r="A239" s="12"/>
      <c r="D239" s="95"/>
      <c r="E239" s="14"/>
      <c r="F239" s="96"/>
    </row>
    <row r="240">
      <c r="A240" s="12"/>
      <c r="D240" s="95"/>
      <c r="E240" s="14"/>
      <c r="F240" s="96"/>
    </row>
    <row r="241">
      <c r="A241" s="12"/>
      <c r="D241" s="95"/>
      <c r="E241" s="14"/>
      <c r="F241" s="96"/>
    </row>
    <row r="242">
      <c r="A242" s="12"/>
      <c r="D242" s="95"/>
      <c r="E242" s="14"/>
      <c r="F242" s="96"/>
    </row>
    <row r="243">
      <c r="A243" s="12"/>
      <c r="D243" s="95"/>
      <c r="E243" s="14"/>
      <c r="F243" s="96"/>
    </row>
    <row r="244">
      <c r="A244" s="12"/>
      <c r="D244" s="95"/>
      <c r="E244" s="14"/>
      <c r="F244" s="96"/>
    </row>
    <row r="245">
      <c r="A245" s="12"/>
      <c r="D245" s="95"/>
      <c r="E245" s="14"/>
      <c r="F245" s="96"/>
    </row>
    <row r="246">
      <c r="A246" s="12"/>
      <c r="D246" s="95"/>
      <c r="E246" s="14"/>
      <c r="F246" s="96"/>
    </row>
    <row r="247">
      <c r="A247" s="12"/>
      <c r="D247" s="95"/>
      <c r="E247" s="14"/>
      <c r="F247" s="96"/>
    </row>
    <row r="248">
      <c r="A248" s="12"/>
      <c r="D248" s="95"/>
      <c r="E248" s="14"/>
      <c r="F248" s="96"/>
    </row>
    <row r="249">
      <c r="A249" s="12"/>
      <c r="D249" s="95"/>
      <c r="E249" s="14"/>
      <c r="F249" s="96"/>
    </row>
    <row r="250">
      <c r="A250" s="12"/>
      <c r="D250" s="95"/>
      <c r="E250" s="14"/>
      <c r="F250" s="96"/>
    </row>
    <row r="251">
      <c r="A251" s="12"/>
      <c r="D251" s="95"/>
      <c r="E251" s="14"/>
      <c r="F251" s="96"/>
    </row>
    <row r="252">
      <c r="A252" s="12"/>
      <c r="D252" s="95"/>
      <c r="E252" s="14"/>
      <c r="F252" s="96"/>
    </row>
    <row r="253">
      <c r="A253" s="12"/>
      <c r="D253" s="95"/>
      <c r="E253" s="14"/>
      <c r="F253" s="96"/>
    </row>
    <row r="254">
      <c r="A254" s="12"/>
      <c r="D254" s="95"/>
      <c r="E254" s="14"/>
      <c r="F254" s="96"/>
    </row>
    <row r="255">
      <c r="A255" s="12"/>
      <c r="D255" s="95"/>
      <c r="E255" s="14"/>
      <c r="F255" s="96"/>
    </row>
    <row r="256">
      <c r="A256" s="12"/>
      <c r="D256" s="95"/>
      <c r="E256" s="14"/>
      <c r="F256" s="96"/>
    </row>
    <row r="257">
      <c r="A257" s="12"/>
      <c r="D257" s="95"/>
      <c r="E257" s="14"/>
      <c r="F257" s="96"/>
    </row>
    <row r="258">
      <c r="A258" s="12"/>
      <c r="D258" s="95"/>
      <c r="E258" s="14"/>
      <c r="F258" s="96"/>
    </row>
    <row r="259">
      <c r="A259" s="12"/>
      <c r="D259" s="95"/>
      <c r="E259" s="14"/>
      <c r="F259" s="96"/>
    </row>
    <row r="260">
      <c r="A260" s="12"/>
      <c r="D260" s="95"/>
      <c r="E260" s="14"/>
      <c r="F260" s="96"/>
    </row>
    <row r="261">
      <c r="A261" s="12"/>
      <c r="D261" s="95"/>
      <c r="E261" s="14"/>
      <c r="F261" s="96"/>
    </row>
    <row r="262">
      <c r="A262" s="12"/>
      <c r="D262" s="95"/>
      <c r="E262" s="14"/>
      <c r="F262" s="96"/>
    </row>
    <row r="263">
      <c r="A263" s="12"/>
      <c r="D263" s="95"/>
      <c r="E263" s="14"/>
      <c r="F263" s="96"/>
    </row>
    <row r="264">
      <c r="A264" s="12"/>
      <c r="D264" s="95"/>
      <c r="E264" s="14"/>
      <c r="F264" s="96"/>
    </row>
    <row r="265">
      <c r="A265" s="12"/>
      <c r="D265" s="95"/>
      <c r="E265" s="14"/>
      <c r="F265" s="96"/>
    </row>
    <row r="266">
      <c r="A266" s="12"/>
      <c r="D266" s="95"/>
      <c r="E266" s="14"/>
      <c r="F266" s="96"/>
    </row>
    <row r="267">
      <c r="A267" s="12"/>
      <c r="D267" s="95"/>
      <c r="E267" s="14"/>
      <c r="F267" s="96"/>
    </row>
    <row r="268">
      <c r="A268" s="12"/>
      <c r="D268" s="95"/>
      <c r="E268" s="14"/>
      <c r="F268" s="96"/>
    </row>
    <row r="269">
      <c r="A269" s="12"/>
      <c r="D269" s="95"/>
      <c r="E269" s="14"/>
      <c r="F269" s="96"/>
    </row>
    <row r="270">
      <c r="A270" s="12"/>
      <c r="D270" s="95"/>
      <c r="E270" s="14"/>
      <c r="F270" s="96"/>
    </row>
    <row r="271">
      <c r="A271" s="12"/>
      <c r="D271" s="95"/>
      <c r="E271" s="14"/>
      <c r="F271" s="96"/>
    </row>
    <row r="272">
      <c r="A272" s="12"/>
      <c r="D272" s="95"/>
      <c r="E272" s="14"/>
      <c r="F272" s="96"/>
    </row>
    <row r="273">
      <c r="A273" s="12"/>
      <c r="D273" s="95"/>
      <c r="E273" s="14"/>
      <c r="F273" s="96"/>
    </row>
    <row r="274">
      <c r="A274" s="12"/>
      <c r="D274" s="95"/>
      <c r="E274" s="14"/>
      <c r="F274" s="96"/>
    </row>
    <row r="275">
      <c r="A275" s="12"/>
      <c r="D275" s="95"/>
      <c r="E275" s="14"/>
      <c r="F275" s="96"/>
    </row>
    <row r="276">
      <c r="A276" s="12"/>
      <c r="D276" s="95"/>
      <c r="E276" s="14"/>
      <c r="F276" s="96"/>
    </row>
    <row r="277">
      <c r="A277" s="12"/>
      <c r="D277" s="95"/>
      <c r="E277" s="14"/>
      <c r="F277" s="96"/>
    </row>
    <row r="278">
      <c r="A278" s="12"/>
      <c r="D278" s="95"/>
      <c r="E278" s="14"/>
      <c r="F278" s="96"/>
    </row>
    <row r="279">
      <c r="A279" s="12"/>
      <c r="D279" s="95"/>
      <c r="E279" s="14"/>
      <c r="F279" s="96"/>
    </row>
    <row r="280">
      <c r="A280" s="12"/>
      <c r="D280" s="95"/>
      <c r="E280" s="14"/>
      <c r="F280" s="96"/>
    </row>
    <row r="281">
      <c r="A281" s="12"/>
      <c r="D281" s="95"/>
      <c r="E281" s="14"/>
      <c r="F281" s="96"/>
    </row>
    <row r="282">
      <c r="A282" s="12"/>
      <c r="D282" s="95"/>
      <c r="E282" s="14"/>
      <c r="F282" s="96"/>
    </row>
    <row r="283">
      <c r="A283" s="12"/>
      <c r="D283" s="95"/>
      <c r="E283" s="14"/>
      <c r="F283" s="96"/>
    </row>
    <row r="284">
      <c r="A284" s="12"/>
      <c r="D284" s="95"/>
      <c r="E284" s="14"/>
      <c r="F284" s="96"/>
    </row>
    <row r="285">
      <c r="A285" s="12"/>
      <c r="D285" s="95"/>
      <c r="E285" s="14"/>
      <c r="F285" s="96"/>
    </row>
    <row r="286">
      <c r="A286" s="12"/>
      <c r="D286" s="95"/>
      <c r="E286" s="14"/>
      <c r="F286" s="96"/>
    </row>
    <row r="287">
      <c r="A287" s="12"/>
      <c r="D287" s="95"/>
      <c r="E287" s="14"/>
      <c r="F287" s="96"/>
    </row>
    <row r="288">
      <c r="A288" s="12"/>
      <c r="D288" s="95"/>
      <c r="E288" s="14"/>
      <c r="F288" s="96"/>
    </row>
    <row r="289">
      <c r="A289" s="12"/>
      <c r="D289" s="95"/>
      <c r="E289" s="14"/>
      <c r="F289" s="96"/>
    </row>
    <row r="290">
      <c r="A290" s="12"/>
      <c r="D290" s="95"/>
      <c r="E290" s="14"/>
      <c r="F290" s="96"/>
    </row>
    <row r="291">
      <c r="A291" s="12"/>
      <c r="D291" s="95"/>
      <c r="E291" s="14"/>
      <c r="F291" s="96"/>
    </row>
    <row r="292">
      <c r="A292" s="12"/>
      <c r="D292" s="95"/>
      <c r="E292" s="14"/>
      <c r="F292" s="96"/>
    </row>
    <row r="293">
      <c r="A293" s="12"/>
      <c r="D293" s="95"/>
      <c r="E293" s="14"/>
      <c r="F293" s="96"/>
    </row>
    <row r="294">
      <c r="A294" s="12"/>
      <c r="D294" s="95"/>
      <c r="E294" s="14"/>
      <c r="F294" s="96"/>
    </row>
    <row r="295">
      <c r="A295" s="12"/>
      <c r="D295" s="95"/>
      <c r="E295" s="14"/>
      <c r="F295" s="96"/>
    </row>
    <row r="296">
      <c r="A296" s="12"/>
      <c r="D296" s="95"/>
      <c r="E296" s="14"/>
      <c r="F296" s="96"/>
    </row>
    <row r="297">
      <c r="A297" s="12"/>
      <c r="D297" s="95"/>
      <c r="E297" s="14"/>
      <c r="F297" s="96"/>
    </row>
    <row r="298">
      <c r="A298" s="12"/>
      <c r="D298" s="95"/>
      <c r="E298" s="14"/>
      <c r="F298" s="96"/>
    </row>
    <row r="299">
      <c r="A299" s="12"/>
      <c r="D299" s="95"/>
      <c r="E299" s="14"/>
      <c r="F299" s="96"/>
    </row>
    <row r="300">
      <c r="A300" s="12"/>
      <c r="D300" s="95"/>
      <c r="E300" s="14"/>
      <c r="F300" s="96"/>
    </row>
    <row r="301">
      <c r="A301" s="12"/>
      <c r="D301" s="95"/>
      <c r="E301" s="14"/>
      <c r="F301" s="96"/>
    </row>
    <row r="302">
      <c r="A302" s="12"/>
      <c r="D302" s="95"/>
      <c r="E302" s="14"/>
      <c r="F302" s="96"/>
    </row>
    <row r="303">
      <c r="A303" s="12"/>
      <c r="D303" s="95"/>
      <c r="E303" s="14"/>
      <c r="F303" s="96"/>
    </row>
    <row r="304">
      <c r="A304" s="12"/>
      <c r="D304" s="95"/>
      <c r="E304" s="14"/>
      <c r="F304" s="96"/>
    </row>
    <row r="305">
      <c r="A305" s="12"/>
      <c r="D305" s="95"/>
      <c r="E305" s="14"/>
      <c r="F305" s="96"/>
    </row>
    <row r="306">
      <c r="A306" s="12"/>
      <c r="D306" s="95"/>
      <c r="E306" s="14"/>
      <c r="F306" s="96"/>
    </row>
    <row r="307">
      <c r="A307" s="12"/>
      <c r="D307" s="95"/>
      <c r="E307" s="14"/>
      <c r="F307" s="96"/>
    </row>
    <row r="308">
      <c r="A308" s="12"/>
      <c r="D308" s="95"/>
      <c r="E308" s="14"/>
      <c r="F308" s="96"/>
    </row>
    <row r="309">
      <c r="A309" s="12"/>
      <c r="D309" s="95"/>
      <c r="E309" s="14"/>
      <c r="F309" s="96"/>
    </row>
    <row r="310">
      <c r="A310" s="12"/>
      <c r="D310" s="95"/>
      <c r="E310" s="14"/>
      <c r="F310" s="96"/>
    </row>
    <row r="311">
      <c r="A311" s="12"/>
      <c r="D311" s="95"/>
      <c r="E311" s="14"/>
      <c r="F311" s="96"/>
    </row>
    <row r="312">
      <c r="A312" s="12"/>
      <c r="D312" s="95"/>
      <c r="E312" s="14"/>
      <c r="F312" s="96"/>
    </row>
    <row r="313">
      <c r="A313" s="12"/>
      <c r="D313" s="95"/>
      <c r="E313" s="14"/>
      <c r="F313" s="96"/>
    </row>
    <row r="314">
      <c r="A314" s="12"/>
      <c r="D314" s="95"/>
      <c r="E314" s="14"/>
      <c r="F314" s="96"/>
    </row>
    <row r="315">
      <c r="A315" s="12"/>
      <c r="D315" s="95"/>
      <c r="E315" s="14"/>
      <c r="F315" s="96"/>
    </row>
    <row r="316">
      <c r="A316" s="12"/>
      <c r="D316" s="95"/>
      <c r="E316" s="14"/>
      <c r="F316" s="96"/>
    </row>
    <row r="317">
      <c r="A317" s="12"/>
      <c r="D317" s="95"/>
      <c r="E317" s="14"/>
      <c r="F317" s="96"/>
    </row>
    <row r="318">
      <c r="A318" s="12"/>
      <c r="D318" s="95"/>
      <c r="E318" s="14"/>
      <c r="F318" s="96"/>
    </row>
    <row r="319">
      <c r="A319" s="12"/>
      <c r="D319" s="95"/>
      <c r="E319" s="14"/>
      <c r="F319" s="96"/>
    </row>
    <row r="320">
      <c r="A320" s="12"/>
      <c r="D320" s="95"/>
      <c r="E320" s="14"/>
      <c r="F320" s="96"/>
    </row>
    <row r="321">
      <c r="A321" s="12"/>
      <c r="D321" s="95"/>
      <c r="E321" s="14"/>
      <c r="F321" s="96"/>
    </row>
    <row r="322">
      <c r="A322" s="12"/>
      <c r="D322" s="95"/>
      <c r="E322" s="14"/>
      <c r="F322" s="96"/>
    </row>
    <row r="323">
      <c r="A323" s="12"/>
      <c r="D323" s="95"/>
      <c r="E323" s="14"/>
      <c r="F323" s="96"/>
    </row>
    <row r="324">
      <c r="A324" s="12"/>
      <c r="D324" s="95"/>
      <c r="E324" s="14"/>
      <c r="F324" s="96"/>
    </row>
    <row r="325">
      <c r="A325" s="12"/>
      <c r="D325" s="95"/>
      <c r="E325" s="14"/>
      <c r="F325" s="96"/>
    </row>
    <row r="326">
      <c r="A326" s="12"/>
      <c r="D326" s="95"/>
      <c r="E326" s="14"/>
      <c r="F326" s="96"/>
    </row>
    <row r="327">
      <c r="A327" s="12"/>
      <c r="D327" s="95"/>
      <c r="E327" s="14"/>
      <c r="F327" s="96"/>
    </row>
    <row r="328">
      <c r="A328" s="12"/>
      <c r="D328" s="95"/>
      <c r="E328" s="14"/>
      <c r="F328" s="96"/>
    </row>
    <row r="329">
      <c r="A329" s="12"/>
      <c r="D329" s="95"/>
      <c r="E329" s="14"/>
      <c r="F329" s="96"/>
    </row>
    <row r="330">
      <c r="A330" s="12"/>
      <c r="D330" s="95"/>
      <c r="E330" s="14"/>
      <c r="F330" s="96"/>
    </row>
    <row r="331">
      <c r="A331" s="12"/>
      <c r="D331" s="95"/>
      <c r="E331" s="14"/>
      <c r="F331" s="96"/>
    </row>
    <row r="332">
      <c r="A332" s="12"/>
      <c r="D332" s="95"/>
      <c r="E332" s="14"/>
      <c r="F332" s="96"/>
    </row>
    <row r="333">
      <c r="A333" s="12"/>
      <c r="D333" s="95"/>
      <c r="E333" s="14"/>
      <c r="F333" s="96"/>
    </row>
    <row r="334">
      <c r="A334" s="12"/>
      <c r="D334" s="95"/>
      <c r="E334" s="14"/>
      <c r="F334" s="96"/>
    </row>
    <row r="335">
      <c r="A335" s="12"/>
      <c r="D335" s="95"/>
      <c r="E335" s="14"/>
      <c r="F335" s="96"/>
    </row>
    <row r="336">
      <c r="A336" s="12"/>
      <c r="D336" s="95"/>
      <c r="E336" s="14"/>
      <c r="F336" s="96"/>
    </row>
    <row r="337">
      <c r="A337" s="12"/>
      <c r="D337" s="95"/>
      <c r="E337" s="14"/>
      <c r="F337" s="96"/>
    </row>
    <row r="338">
      <c r="A338" s="12"/>
      <c r="D338" s="95"/>
      <c r="E338" s="14"/>
      <c r="F338" s="96"/>
    </row>
    <row r="339">
      <c r="A339" s="12"/>
      <c r="D339" s="95"/>
      <c r="E339" s="14"/>
      <c r="F339" s="96"/>
    </row>
    <row r="340">
      <c r="A340" s="12"/>
      <c r="D340" s="95"/>
      <c r="E340" s="14"/>
      <c r="F340" s="96"/>
    </row>
    <row r="341">
      <c r="A341" s="12"/>
      <c r="D341" s="95"/>
      <c r="E341" s="14"/>
      <c r="F341" s="96"/>
    </row>
    <row r="342">
      <c r="A342" s="12"/>
      <c r="D342" s="95"/>
      <c r="E342" s="14"/>
      <c r="F342" s="96"/>
    </row>
    <row r="343">
      <c r="A343" s="12"/>
      <c r="D343" s="95"/>
      <c r="E343" s="14"/>
      <c r="F343" s="96"/>
    </row>
    <row r="344">
      <c r="A344" s="12"/>
      <c r="D344" s="95"/>
      <c r="E344" s="14"/>
      <c r="F344" s="96"/>
    </row>
    <row r="345">
      <c r="A345" s="12"/>
      <c r="D345" s="95"/>
      <c r="E345" s="14"/>
      <c r="F345" s="96"/>
    </row>
    <row r="346">
      <c r="A346" s="12"/>
      <c r="D346" s="95"/>
      <c r="E346" s="14"/>
      <c r="F346" s="96"/>
    </row>
    <row r="347">
      <c r="A347" s="12"/>
      <c r="D347" s="95"/>
      <c r="E347" s="14"/>
      <c r="F347" s="96"/>
    </row>
    <row r="348">
      <c r="A348" s="12"/>
      <c r="D348" s="95"/>
      <c r="E348" s="14"/>
      <c r="F348" s="96"/>
    </row>
    <row r="349">
      <c r="A349" s="12"/>
      <c r="D349" s="95"/>
      <c r="E349" s="14"/>
      <c r="F349" s="96"/>
    </row>
    <row r="350">
      <c r="A350" s="12"/>
      <c r="D350" s="95"/>
      <c r="E350" s="14"/>
      <c r="F350" s="96"/>
    </row>
    <row r="351">
      <c r="A351" s="12"/>
      <c r="D351" s="95"/>
      <c r="E351" s="14"/>
      <c r="F351" s="96"/>
    </row>
    <row r="352">
      <c r="A352" s="12"/>
      <c r="D352" s="95"/>
      <c r="E352" s="14"/>
      <c r="F352" s="96"/>
    </row>
    <row r="353">
      <c r="A353" s="12"/>
      <c r="D353" s="95"/>
      <c r="E353" s="14"/>
      <c r="F353" s="96"/>
    </row>
    <row r="354">
      <c r="A354" s="12"/>
      <c r="D354" s="95"/>
      <c r="E354" s="14"/>
      <c r="F354" s="96"/>
    </row>
    <row r="355">
      <c r="A355" s="12"/>
      <c r="D355" s="95"/>
      <c r="E355" s="14"/>
      <c r="F355" s="96"/>
    </row>
    <row r="356">
      <c r="A356" s="12"/>
      <c r="D356" s="95"/>
      <c r="E356" s="14"/>
      <c r="F356" s="96"/>
    </row>
    <row r="357">
      <c r="A357" s="12"/>
      <c r="D357" s="95"/>
      <c r="E357" s="14"/>
      <c r="F357" s="96"/>
    </row>
    <row r="358">
      <c r="A358" s="12"/>
      <c r="D358" s="95"/>
      <c r="E358" s="14"/>
      <c r="F358" s="96"/>
    </row>
    <row r="359">
      <c r="A359" s="12"/>
      <c r="D359" s="95"/>
      <c r="E359" s="14"/>
      <c r="F359" s="96"/>
    </row>
    <row r="360">
      <c r="A360" s="12"/>
      <c r="D360" s="95"/>
      <c r="E360" s="14"/>
      <c r="F360" s="96"/>
    </row>
    <row r="361">
      <c r="A361" s="12"/>
      <c r="D361" s="95"/>
      <c r="E361" s="14"/>
      <c r="F361" s="96"/>
    </row>
    <row r="362">
      <c r="A362" s="12"/>
      <c r="D362" s="95"/>
      <c r="E362" s="14"/>
      <c r="F362" s="96"/>
    </row>
    <row r="363">
      <c r="A363" s="12"/>
      <c r="D363" s="95"/>
      <c r="E363" s="14"/>
      <c r="F363" s="96"/>
    </row>
    <row r="364">
      <c r="A364" s="12"/>
      <c r="D364" s="95"/>
      <c r="E364" s="14"/>
      <c r="F364" s="96"/>
    </row>
    <row r="365">
      <c r="A365" s="12"/>
      <c r="D365" s="95"/>
      <c r="E365" s="14"/>
      <c r="F365" s="96"/>
    </row>
    <row r="366">
      <c r="A366" s="12"/>
      <c r="D366" s="95"/>
      <c r="E366" s="14"/>
      <c r="F366" s="96"/>
    </row>
    <row r="367">
      <c r="A367" s="12"/>
      <c r="D367" s="95"/>
      <c r="E367" s="14"/>
      <c r="F367" s="96"/>
    </row>
    <row r="368">
      <c r="A368" s="12"/>
      <c r="D368" s="95"/>
      <c r="E368" s="14"/>
      <c r="F368" s="96"/>
    </row>
    <row r="369">
      <c r="A369" s="12"/>
      <c r="D369" s="95"/>
      <c r="E369" s="14"/>
      <c r="F369" s="96"/>
    </row>
    <row r="370">
      <c r="A370" s="12"/>
      <c r="D370" s="95"/>
      <c r="E370" s="14"/>
      <c r="F370" s="96"/>
    </row>
    <row r="371">
      <c r="A371" s="12"/>
      <c r="D371" s="95"/>
      <c r="E371" s="14"/>
      <c r="F371" s="96"/>
    </row>
    <row r="372">
      <c r="A372" s="12"/>
      <c r="D372" s="95"/>
      <c r="E372" s="14"/>
      <c r="F372" s="96"/>
    </row>
    <row r="373">
      <c r="A373" s="12"/>
      <c r="D373" s="95"/>
      <c r="E373" s="14"/>
      <c r="F373" s="96"/>
    </row>
    <row r="374">
      <c r="A374" s="12"/>
      <c r="D374" s="95"/>
      <c r="E374" s="14"/>
      <c r="F374" s="96"/>
    </row>
    <row r="375">
      <c r="A375" s="12"/>
      <c r="D375" s="95"/>
      <c r="E375" s="14"/>
      <c r="F375" s="96"/>
    </row>
    <row r="376">
      <c r="A376" s="12"/>
      <c r="D376" s="95"/>
      <c r="E376" s="14"/>
      <c r="F376" s="96"/>
    </row>
    <row r="377">
      <c r="A377" s="12"/>
      <c r="D377" s="95"/>
      <c r="E377" s="14"/>
      <c r="F377" s="96"/>
    </row>
    <row r="378">
      <c r="A378" s="12"/>
      <c r="D378" s="95"/>
      <c r="E378" s="14"/>
      <c r="F378" s="96"/>
    </row>
    <row r="379">
      <c r="A379" s="12"/>
      <c r="D379" s="95"/>
      <c r="E379" s="14"/>
      <c r="F379" s="96"/>
    </row>
    <row r="380">
      <c r="A380" s="12"/>
      <c r="D380" s="95"/>
      <c r="E380" s="14"/>
      <c r="F380" s="96"/>
    </row>
    <row r="381">
      <c r="A381" s="12"/>
      <c r="D381" s="95"/>
      <c r="E381" s="14"/>
      <c r="F381" s="96"/>
    </row>
    <row r="382">
      <c r="A382" s="12"/>
      <c r="D382" s="95"/>
      <c r="E382" s="14"/>
      <c r="F382" s="96"/>
    </row>
    <row r="383">
      <c r="A383" s="12"/>
      <c r="D383" s="95"/>
      <c r="E383" s="14"/>
      <c r="F383" s="96"/>
    </row>
    <row r="384">
      <c r="A384" s="12"/>
      <c r="D384" s="95"/>
      <c r="E384" s="14"/>
      <c r="F384" s="96"/>
    </row>
    <row r="385">
      <c r="A385" s="12"/>
      <c r="D385" s="95"/>
      <c r="E385" s="14"/>
      <c r="F385" s="96"/>
    </row>
    <row r="386">
      <c r="A386" s="12"/>
      <c r="D386" s="95"/>
      <c r="E386" s="14"/>
      <c r="F386" s="96"/>
    </row>
    <row r="387">
      <c r="A387" s="12"/>
      <c r="D387" s="95"/>
      <c r="E387" s="14"/>
      <c r="F387" s="96"/>
    </row>
    <row r="388">
      <c r="A388" s="12"/>
      <c r="D388" s="95"/>
      <c r="E388" s="14"/>
      <c r="F388" s="96"/>
    </row>
    <row r="389">
      <c r="A389" s="12"/>
      <c r="D389" s="95"/>
      <c r="E389" s="14"/>
      <c r="F389" s="96"/>
    </row>
    <row r="390">
      <c r="A390" s="12"/>
      <c r="D390" s="95"/>
      <c r="E390" s="14"/>
      <c r="F390" s="96"/>
    </row>
    <row r="391">
      <c r="A391" s="12"/>
      <c r="D391" s="95"/>
      <c r="E391" s="14"/>
      <c r="F391" s="96"/>
    </row>
    <row r="392">
      <c r="A392" s="12"/>
      <c r="D392" s="95"/>
      <c r="E392" s="14"/>
      <c r="F392" s="96"/>
    </row>
    <row r="393">
      <c r="A393" s="12"/>
      <c r="D393" s="95"/>
      <c r="E393" s="14"/>
      <c r="F393" s="96"/>
    </row>
    <row r="394">
      <c r="A394" s="12"/>
      <c r="D394" s="95"/>
      <c r="E394" s="14"/>
      <c r="F394" s="96"/>
    </row>
    <row r="395">
      <c r="A395" s="12"/>
      <c r="D395" s="95"/>
      <c r="E395" s="14"/>
      <c r="F395" s="96"/>
    </row>
    <row r="396">
      <c r="A396" s="12"/>
      <c r="D396" s="95"/>
      <c r="E396" s="14"/>
      <c r="F396" s="96"/>
    </row>
    <row r="397">
      <c r="A397" s="12"/>
      <c r="D397" s="95"/>
      <c r="E397" s="14"/>
      <c r="F397" s="96"/>
    </row>
    <row r="398">
      <c r="A398" s="12"/>
      <c r="D398" s="95"/>
      <c r="E398" s="14"/>
      <c r="F398" s="96"/>
    </row>
    <row r="399">
      <c r="A399" s="12"/>
      <c r="D399" s="95"/>
      <c r="E399" s="14"/>
      <c r="F399" s="96"/>
    </row>
    <row r="400">
      <c r="A400" s="12"/>
      <c r="D400" s="95"/>
      <c r="E400" s="14"/>
      <c r="F400" s="96"/>
    </row>
    <row r="401">
      <c r="A401" s="12"/>
      <c r="D401" s="95"/>
      <c r="E401" s="14"/>
      <c r="F401" s="96"/>
    </row>
    <row r="402">
      <c r="A402" s="12"/>
      <c r="D402" s="95"/>
      <c r="E402" s="14"/>
      <c r="F402" s="96"/>
    </row>
    <row r="403">
      <c r="A403" s="12"/>
      <c r="D403" s="95"/>
      <c r="E403" s="14"/>
      <c r="F403" s="96"/>
    </row>
    <row r="404">
      <c r="A404" s="12"/>
      <c r="D404" s="95"/>
      <c r="E404" s="14"/>
      <c r="F404" s="96"/>
    </row>
    <row r="405">
      <c r="A405" s="12"/>
      <c r="D405" s="95"/>
      <c r="E405" s="14"/>
      <c r="F405" s="96"/>
    </row>
    <row r="406">
      <c r="A406" s="12"/>
      <c r="D406" s="95"/>
      <c r="E406" s="14"/>
      <c r="F406" s="96"/>
    </row>
    <row r="407">
      <c r="A407" s="12"/>
      <c r="D407" s="95"/>
      <c r="E407" s="14"/>
      <c r="F407" s="96"/>
    </row>
    <row r="408">
      <c r="A408" s="12"/>
      <c r="D408" s="95"/>
      <c r="E408" s="14"/>
      <c r="F408" s="96"/>
    </row>
    <row r="409">
      <c r="A409" s="12"/>
      <c r="D409" s="95"/>
      <c r="E409" s="14"/>
      <c r="F409" s="96"/>
    </row>
    <row r="410">
      <c r="A410" s="12"/>
      <c r="D410" s="95"/>
      <c r="E410" s="14"/>
      <c r="F410" s="96"/>
    </row>
    <row r="411">
      <c r="A411" s="12"/>
      <c r="D411" s="95"/>
      <c r="E411" s="14"/>
      <c r="F411" s="96"/>
    </row>
    <row r="412">
      <c r="A412" s="12"/>
      <c r="D412" s="95"/>
      <c r="E412" s="14"/>
      <c r="F412" s="96"/>
    </row>
    <row r="413">
      <c r="A413" s="12"/>
      <c r="D413" s="95"/>
      <c r="E413" s="14"/>
      <c r="F413" s="96"/>
    </row>
    <row r="414">
      <c r="A414" s="12"/>
      <c r="D414" s="95"/>
      <c r="E414" s="14"/>
      <c r="F414" s="96"/>
    </row>
    <row r="415">
      <c r="A415" s="12"/>
      <c r="D415" s="95"/>
      <c r="E415" s="14"/>
      <c r="F415" s="96"/>
    </row>
    <row r="416">
      <c r="A416" s="12"/>
      <c r="D416" s="95"/>
      <c r="E416" s="14"/>
      <c r="F416" s="96"/>
    </row>
    <row r="417">
      <c r="A417" s="12"/>
      <c r="D417" s="95"/>
      <c r="E417" s="14"/>
      <c r="F417" s="96"/>
    </row>
    <row r="418">
      <c r="A418" s="12"/>
      <c r="D418" s="95"/>
      <c r="E418" s="14"/>
      <c r="F418" s="96"/>
    </row>
    <row r="419">
      <c r="A419" s="12"/>
      <c r="D419" s="95"/>
      <c r="E419" s="14"/>
      <c r="F419" s="96"/>
    </row>
    <row r="420">
      <c r="A420" s="12"/>
      <c r="D420" s="95"/>
      <c r="E420" s="14"/>
      <c r="F420" s="96"/>
    </row>
    <row r="421">
      <c r="A421" s="12"/>
      <c r="D421" s="95"/>
      <c r="E421" s="14"/>
      <c r="F421" s="96"/>
    </row>
    <row r="422">
      <c r="A422" s="12"/>
      <c r="D422" s="95"/>
      <c r="E422" s="14"/>
      <c r="F422" s="96"/>
    </row>
    <row r="423">
      <c r="A423" s="12"/>
      <c r="D423" s="95"/>
      <c r="E423" s="14"/>
      <c r="F423" s="96"/>
    </row>
    <row r="424">
      <c r="A424" s="12"/>
      <c r="D424" s="95"/>
      <c r="E424" s="14"/>
      <c r="F424" s="96"/>
    </row>
    <row r="425">
      <c r="A425" s="12"/>
      <c r="D425" s="95"/>
      <c r="E425" s="14"/>
      <c r="F425" s="96"/>
    </row>
    <row r="426">
      <c r="A426" s="12"/>
      <c r="D426" s="95"/>
      <c r="E426" s="14"/>
      <c r="F426" s="96"/>
    </row>
    <row r="427">
      <c r="A427" s="12"/>
      <c r="D427" s="95"/>
      <c r="E427" s="14"/>
      <c r="F427" s="96"/>
    </row>
    <row r="428">
      <c r="A428" s="12"/>
      <c r="D428" s="95"/>
      <c r="E428" s="14"/>
      <c r="F428" s="96"/>
    </row>
    <row r="429">
      <c r="A429" s="12"/>
      <c r="D429" s="95"/>
      <c r="E429" s="14"/>
      <c r="F429" s="96"/>
    </row>
    <row r="430">
      <c r="A430" s="12"/>
      <c r="D430" s="95"/>
      <c r="E430" s="14"/>
      <c r="F430" s="96"/>
    </row>
    <row r="431">
      <c r="A431" s="12"/>
      <c r="D431" s="95"/>
      <c r="E431" s="14"/>
      <c r="F431" s="96"/>
    </row>
    <row r="432">
      <c r="A432" s="12"/>
      <c r="D432" s="95"/>
      <c r="E432" s="14"/>
      <c r="F432" s="96"/>
    </row>
    <row r="433">
      <c r="A433" s="12"/>
      <c r="D433" s="95"/>
      <c r="E433" s="14"/>
      <c r="F433" s="96"/>
    </row>
    <row r="434">
      <c r="A434" s="12"/>
      <c r="D434" s="95"/>
      <c r="E434" s="14"/>
      <c r="F434" s="96"/>
    </row>
    <row r="435">
      <c r="A435" s="12"/>
      <c r="D435" s="95"/>
      <c r="E435" s="14"/>
      <c r="F435" s="96"/>
    </row>
    <row r="436">
      <c r="A436" s="12"/>
      <c r="D436" s="95"/>
      <c r="E436" s="14"/>
      <c r="F436" s="96"/>
    </row>
    <row r="437">
      <c r="A437" s="12"/>
      <c r="D437" s="95"/>
      <c r="E437" s="14"/>
      <c r="F437" s="96"/>
    </row>
    <row r="438">
      <c r="A438" s="12"/>
      <c r="D438" s="95"/>
      <c r="E438" s="14"/>
      <c r="F438" s="96"/>
    </row>
    <row r="439">
      <c r="A439" s="12"/>
      <c r="D439" s="95"/>
      <c r="E439" s="14"/>
      <c r="F439" s="96"/>
    </row>
    <row r="440">
      <c r="A440" s="12"/>
      <c r="D440" s="95"/>
      <c r="E440" s="14"/>
      <c r="F440" s="96"/>
    </row>
    <row r="441">
      <c r="A441" s="12"/>
      <c r="D441" s="95"/>
      <c r="E441" s="14"/>
      <c r="F441" s="96"/>
    </row>
    <row r="442">
      <c r="A442" s="12"/>
      <c r="D442" s="95"/>
      <c r="E442" s="14"/>
      <c r="F442" s="96"/>
    </row>
    <row r="443">
      <c r="A443" s="12"/>
      <c r="D443" s="95"/>
      <c r="E443" s="14"/>
      <c r="F443" s="96"/>
    </row>
    <row r="444">
      <c r="A444" s="12"/>
      <c r="D444" s="95"/>
      <c r="E444" s="14"/>
      <c r="F444" s="96"/>
    </row>
    <row r="445">
      <c r="A445" s="12"/>
      <c r="D445" s="95"/>
      <c r="E445" s="14"/>
      <c r="F445" s="96"/>
    </row>
    <row r="446">
      <c r="A446" s="12"/>
      <c r="D446" s="95"/>
      <c r="E446" s="14"/>
      <c r="F446" s="96"/>
    </row>
    <row r="447">
      <c r="A447" s="12"/>
      <c r="D447" s="95"/>
      <c r="E447" s="14"/>
      <c r="F447" s="96"/>
    </row>
    <row r="448">
      <c r="A448" s="12"/>
      <c r="D448" s="95"/>
      <c r="E448" s="14"/>
      <c r="F448" s="96"/>
    </row>
    <row r="449">
      <c r="A449" s="12"/>
      <c r="D449" s="95"/>
      <c r="E449" s="14"/>
      <c r="F449" s="96"/>
    </row>
    <row r="450">
      <c r="A450" s="12"/>
      <c r="D450" s="95"/>
      <c r="E450" s="14"/>
      <c r="F450" s="96"/>
    </row>
    <row r="451">
      <c r="A451" s="12"/>
      <c r="D451" s="95"/>
      <c r="E451" s="14"/>
      <c r="F451" s="96"/>
    </row>
    <row r="452">
      <c r="A452" s="12"/>
      <c r="D452" s="95"/>
      <c r="E452" s="14"/>
      <c r="F452" s="96"/>
    </row>
    <row r="453">
      <c r="A453" s="12"/>
      <c r="D453" s="95"/>
      <c r="E453" s="14"/>
      <c r="F453" s="96"/>
    </row>
    <row r="454">
      <c r="A454" s="12"/>
      <c r="D454" s="95"/>
      <c r="E454" s="14"/>
      <c r="F454" s="96"/>
    </row>
    <row r="455">
      <c r="A455" s="12"/>
      <c r="D455" s="95"/>
      <c r="E455" s="14"/>
      <c r="F455" s="96"/>
    </row>
    <row r="456">
      <c r="A456" s="12"/>
      <c r="D456" s="95"/>
      <c r="E456" s="14"/>
      <c r="F456" s="96"/>
    </row>
    <row r="457">
      <c r="A457" s="12"/>
      <c r="D457" s="95"/>
      <c r="E457" s="14"/>
      <c r="F457" s="96"/>
    </row>
    <row r="458">
      <c r="A458" s="12"/>
      <c r="D458" s="95"/>
      <c r="E458" s="14"/>
      <c r="F458" s="96"/>
    </row>
    <row r="459">
      <c r="A459" s="12"/>
      <c r="D459" s="95"/>
      <c r="E459" s="14"/>
      <c r="F459" s="96"/>
    </row>
    <row r="460">
      <c r="A460" s="12"/>
      <c r="D460" s="95"/>
      <c r="E460" s="14"/>
      <c r="F460" s="96"/>
    </row>
    <row r="461">
      <c r="A461" s="12"/>
      <c r="D461" s="95"/>
      <c r="E461" s="14"/>
      <c r="F461" s="96"/>
    </row>
    <row r="462">
      <c r="A462" s="12"/>
      <c r="D462" s="95"/>
      <c r="E462" s="14"/>
      <c r="F462" s="96"/>
    </row>
    <row r="463">
      <c r="A463" s="12"/>
      <c r="D463" s="95"/>
      <c r="E463" s="14"/>
      <c r="F463" s="96"/>
    </row>
    <row r="464">
      <c r="A464" s="12"/>
      <c r="D464" s="95"/>
      <c r="E464" s="14"/>
      <c r="F464" s="96"/>
    </row>
    <row r="465">
      <c r="A465" s="12"/>
      <c r="D465" s="95"/>
      <c r="E465" s="14"/>
      <c r="F465" s="96"/>
    </row>
    <row r="466">
      <c r="A466" s="12"/>
      <c r="D466" s="95"/>
      <c r="E466" s="14"/>
      <c r="F466" s="96"/>
    </row>
    <row r="467">
      <c r="A467" s="12"/>
      <c r="D467" s="95"/>
      <c r="E467" s="14"/>
      <c r="F467" s="96"/>
    </row>
    <row r="468">
      <c r="A468" s="12"/>
      <c r="D468" s="95"/>
      <c r="E468" s="14"/>
      <c r="F468" s="96"/>
    </row>
    <row r="469">
      <c r="A469" s="12"/>
      <c r="D469" s="95"/>
      <c r="E469" s="14"/>
      <c r="F469" s="96"/>
    </row>
    <row r="470">
      <c r="A470" s="12"/>
      <c r="D470" s="95"/>
      <c r="E470" s="14"/>
      <c r="F470" s="96"/>
    </row>
    <row r="471">
      <c r="A471" s="12"/>
      <c r="D471" s="95"/>
      <c r="E471" s="14"/>
      <c r="F471" s="96"/>
    </row>
    <row r="472">
      <c r="A472" s="12"/>
      <c r="D472" s="95"/>
      <c r="E472" s="14"/>
      <c r="F472" s="96"/>
    </row>
    <row r="473">
      <c r="A473" s="12"/>
      <c r="D473" s="95"/>
      <c r="E473" s="14"/>
      <c r="F473" s="96"/>
    </row>
    <row r="474">
      <c r="A474" s="12"/>
      <c r="D474" s="95"/>
      <c r="E474" s="14"/>
      <c r="F474" s="96"/>
    </row>
    <row r="475">
      <c r="A475" s="12"/>
      <c r="D475" s="95"/>
      <c r="E475" s="14"/>
      <c r="F475" s="96"/>
    </row>
    <row r="476">
      <c r="A476" s="12"/>
      <c r="D476" s="95"/>
      <c r="E476" s="14"/>
      <c r="F476" s="96"/>
    </row>
    <row r="477">
      <c r="A477" s="12"/>
      <c r="D477" s="95"/>
      <c r="E477" s="14"/>
      <c r="F477" s="96"/>
    </row>
    <row r="478">
      <c r="A478" s="12"/>
      <c r="D478" s="95"/>
      <c r="E478" s="14"/>
      <c r="F478" s="96"/>
    </row>
    <row r="479">
      <c r="A479" s="12"/>
      <c r="D479" s="95"/>
      <c r="E479" s="14"/>
      <c r="F479" s="96"/>
    </row>
    <row r="480">
      <c r="A480" s="12"/>
      <c r="D480" s="95"/>
      <c r="E480" s="14"/>
      <c r="F480" s="96"/>
    </row>
    <row r="481">
      <c r="A481" s="12"/>
      <c r="D481" s="95"/>
      <c r="E481" s="14"/>
      <c r="F481" s="96"/>
    </row>
    <row r="482">
      <c r="A482" s="12"/>
      <c r="D482" s="95"/>
      <c r="E482" s="14"/>
      <c r="F482" s="96"/>
    </row>
    <row r="483">
      <c r="A483" s="12"/>
      <c r="D483" s="95"/>
      <c r="E483" s="14"/>
      <c r="F483" s="96"/>
    </row>
    <row r="484">
      <c r="A484" s="12"/>
      <c r="D484" s="95"/>
      <c r="E484" s="14"/>
      <c r="F484" s="96"/>
    </row>
    <row r="485">
      <c r="A485" s="12"/>
      <c r="D485" s="95"/>
      <c r="E485" s="14"/>
      <c r="F485" s="96"/>
    </row>
    <row r="486">
      <c r="A486" s="12"/>
      <c r="D486" s="95"/>
      <c r="E486" s="14"/>
      <c r="F486" s="96"/>
    </row>
    <row r="487">
      <c r="A487" s="12"/>
      <c r="D487" s="95"/>
      <c r="E487" s="14"/>
      <c r="F487" s="96"/>
    </row>
    <row r="488">
      <c r="A488" s="12"/>
      <c r="D488" s="95"/>
      <c r="E488" s="14"/>
      <c r="F488" s="96"/>
    </row>
    <row r="489">
      <c r="A489" s="12"/>
      <c r="D489" s="95"/>
      <c r="E489" s="14"/>
      <c r="F489" s="96"/>
    </row>
    <row r="490">
      <c r="A490" s="12"/>
      <c r="D490" s="95"/>
      <c r="E490" s="14"/>
      <c r="F490" s="96"/>
    </row>
    <row r="491">
      <c r="A491" s="12"/>
      <c r="D491" s="95"/>
      <c r="E491" s="14"/>
      <c r="F491" s="96"/>
    </row>
    <row r="492">
      <c r="A492" s="12"/>
      <c r="D492" s="95"/>
      <c r="E492" s="14"/>
      <c r="F492" s="96"/>
    </row>
    <row r="493">
      <c r="A493" s="12"/>
      <c r="D493" s="95"/>
      <c r="E493" s="14"/>
      <c r="F493" s="96"/>
    </row>
    <row r="494">
      <c r="A494" s="12"/>
      <c r="D494" s="95"/>
      <c r="E494" s="14"/>
      <c r="F494" s="96"/>
    </row>
    <row r="495">
      <c r="A495" s="12"/>
      <c r="D495" s="95"/>
      <c r="E495" s="14"/>
      <c r="F495" s="96"/>
    </row>
    <row r="496">
      <c r="A496" s="12"/>
      <c r="D496" s="95"/>
      <c r="E496" s="14"/>
      <c r="F496" s="96"/>
    </row>
    <row r="497">
      <c r="A497" s="12"/>
      <c r="D497" s="95"/>
      <c r="E497" s="14"/>
      <c r="F497" s="96"/>
    </row>
    <row r="498">
      <c r="A498" s="12"/>
      <c r="D498" s="95"/>
      <c r="E498" s="14"/>
      <c r="F498" s="96"/>
    </row>
    <row r="499">
      <c r="A499" s="12"/>
      <c r="D499" s="95"/>
      <c r="E499" s="14"/>
      <c r="F499" s="96"/>
    </row>
    <row r="500">
      <c r="A500" s="12"/>
      <c r="D500" s="95"/>
      <c r="E500" s="14"/>
      <c r="F500" s="96"/>
    </row>
    <row r="501">
      <c r="A501" s="12"/>
      <c r="D501" s="95"/>
      <c r="E501" s="14"/>
      <c r="F501" s="96"/>
    </row>
    <row r="502">
      <c r="A502" s="12"/>
      <c r="D502" s="95"/>
      <c r="E502" s="14"/>
      <c r="F502" s="96"/>
    </row>
    <row r="503">
      <c r="A503" s="12"/>
      <c r="D503" s="95"/>
      <c r="E503" s="14"/>
      <c r="F503" s="96"/>
    </row>
    <row r="504">
      <c r="A504" s="12"/>
      <c r="D504" s="95"/>
      <c r="E504" s="14"/>
      <c r="F504" s="96"/>
    </row>
    <row r="505">
      <c r="A505" s="12"/>
      <c r="D505" s="95"/>
      <c r="E505" s="14"/>
      <c r="F505" s="96"/>
    </row>
    <row r="506">
      <c r="A506" s="12"/>
      <c r="D506" s="95"/>
      <c r="E506" s="14"/>
      <c r="F506" s="96"/>
    </row>
    <row r="507">
      <c r="A507" s="12"/>
      <c r="D507" s="95"/>
      <c r="E507" s="14"/>
      <c r="F507" s="96"/>
    </row>
    <row r="508">
      <c r="A508" s="12"/>
      <c r="D508" s="95"/>
      <c r="E508" s="14"/>
      <c r="F508" s="96"/>
    </row>
    <row r="509">
      <c r="A509" s="12"/>
      <c r="D509" s="95"/>
      <c r="E509" s="14"/>
      <c r="F509" s="96"/>
    </row>
    <row r="510">
      <c r="A510" s="12"/>
      <c r="D510" s="95"/>
      <c r="E510" s="14"/>
      <c r="F510" s="96"/>
    </row>
    <row r="511">
      <c r="A511" s="12"/>
      <c r="D511" s="95"/>
      <c r="E511" s="14"/>
      <c r="F511" s="96"/>
    </row>
    <row r="512">
      <c r="A512" s="12"/>
      <c r="D512" s="95"/>
      <c r="E512" s="14"/>
      <c r="F512" s="96"/>
    </row>
    <row r="513">
      <c r="A513" s="12"/>
      <c r="D513" s="95"/>
      <c r="E513" s="14"/>
      <c r="F513" s="96"/>
    </row>
    <row r="514">
      <c r="A514" s="12"/>
      <c r="D514" s="95"/>
      <c r="E514" s="14"/>
      <c r="F514" s="96"/>
    </row>
    <row r="515">
      <c r="A515" s="12"/>
      <c r="D515" s="95"/>
      <c r="E515" s="14"/>
      <c r="F515" s="96"/>
    </row>
    <row r="516">
      <c r="A516" s="12"/>
      <c r="D516" s="95"/>
      <c r="E516" s="14"/>
      <c r="F516" s="96"/>
    </row>
    <row r="517">
      <c r="A517" s="12"/>
      <c r="D517" s="95"/>
      <c r="E517" s="14"/>
      <c r="F517" s="96"/>
    </row>
    <row r="518">
      <c r="A518" s="12"/>
      <c r="D518" s="95"/>
      <c r="E518" s="14"/>
      <c r="F518" s="96"/>
    </row>
    <row r="519">
      <c r="A519" s="12"/>
      <c r="D519" s="95"/>
      <c r="E519" s="14"/>
      <c r="F519" s="96"/>
    </row>
    <row r="520">
      <c r="A520" s="12"/>
      <c r="D520" s="95"/>
      <c r="E520" s="14"/>
      <c r="F520" s="96"/>
    </row>
    <row r="521">
      <c r="A521" s="12"/>
      <c r="D521" s="95"/>
      <c r="E521" s="14"/>
      <c r="F521" s="96"/>
    </row>
    <row r="522">
      <c r="A522" s="12"/>
      <c r="D522" s="95"/>
      <c r="E522" s="14"/>
      <c r="F522" s="96"/>
    </row>
    <row r="523">
      <c r="A523" s="12"/>
      <c r="D523" s="95"/>
      <c r="E523" s="14"/>
      <c r="F523" s="96"/>
    </row>
    <row r="524">
      <c r="A524" s="12"/>
      <c r="D524" s="95"/>
      <c r="E524" s="14"/>
      <c r="F524" s="96"/>
    </row>
    <row r="525">
      <c r="A525" s="12"/>
      <c r="D525" s="95"/>
      <c r="E525" s="14"/>
      <c r="F525" s="96"/>
    </row>
    <row r="526">
      <c r="A526" s="12"/>
      <c r="D526" s="95"/>
      <c r="E526" s="14"/>
      <c r="F526" s="96"/>
    </row>
    <row r="527">
      <c r="A527" s="12"/>
      <c r="D527" s="95"/>
      <c r="E527" s="14"/>
      <c r="F527" s="96"/>
    </row>
    <row r="528">
      <c r="A528" s="12"/>
      <c r="D528" s="95"/>
      <c r="E528" s="14"/>
      <c r="F528" s="96"/>
    </row>
    <row r="529">
      <c r="A529" s="12"/>
      <c r="D529" s="95"/>
      <c r="E529" s="14"/>
      <c r="F529" s="96"/>
    </row>
    <row r="530">
      <c r="A530" s="12"/>
      <c r="D530" s="95"/>
      <c r="E530" s="14"/>
      <c r="F530" s="96"/>
    </row>
    <row r="531">
      <c r="A531" s="12"/>
      <c r="D531" s="95"/>
      <c r="E531" s="14"/>
      <c r="F531" s="96"/>
    </row>
    <row r="532">
      <c r="A532" s="12"/>
      <c r="D532" s="95"/>
      <c r="E532" s="14"/>
      <c r="F532" s="96"/>
    </row>
    <row r="533">
      <c r="A533" s="12"/>
      <c r="D533" s="95"/>
      <c r="E533" s="14"/>
      <c r="F533" s="96"/>
    </row>
    <row r="534">
      <c r="A534" s="12"/>
      <c r="D534" s="95"/>
      <c r="E534" s="14"/>
      <c r="F534" s="96"/>
    </row>
    <row r="535">
      <c r="A535" s="12"/>
      <c r="D535" s="95"/>
      <c r="E535" s="14"/>
      <c r="F535" s="96"/>
    </row>
    <row r="536">
      <c r="A536" s="12"/>
      <c r="D536" s="95"/>
      <c r="E536" s="14"/>
      <c r="F536" s="96"/>
    </row>
    <row r="537">
      <c r="A537" s="12"/>
      <c r="D537" s="95"/>
      <c r="E537" s="14"/>
      <c r="F537" s="96"/>
    </row>
    <row r="538">
      <c r="A538" s="12"/>
      <c r="D538" s="95"/>
      <c r="E538" s="14"/>
      <c r="F538" s="96"/>
    </row>
    <row r="539">
      <c r="A539" s="12"/>
      <c r="D539" s="95"/>
      <c r="E539" s="14"/>
      <c r="F539" s="96"/>
    </row>
    <row r="540">
      <c r="A540" s="12"/>
      <c r="D540" s="95"/>
      <c r="E540" s="14"/>
      <c r="F540" s="96"/>
    </row>
    <row r="541">
      <c r="A541" s="12"/>
      <c r="D541" s="95"/>
      <c r="E541" s="14"/>
      <c r="F541" s="96"/>
    </row>
    <row r="542">
      <c r="A542" s="12"/>
      <c r="D542" s="95"/>
      <c r="E542" s="14"/>
      <c r="F542" s="96"/>
    </row>
    <row r="543">
      <c r="A543" s="12"/>
      <c r="D543" s="95"/>
      <c r="E543" s="14"/>
      <c r="F543" s="96"/>
    </row>
    <row r="544">
      <c r="A544" s="12"/>
      <c r="D544" s="95"/>
      <c r="E544" s="14"/>
      <c r="F544" s="96"/>
    </row>
    <row r="545">
      <c r="A545" s="12"/>
      <c r="D545" s="95"/>
      <c r="E545" s="14"/>
      <c r="F545" s="96"/>
    </row>
    <row r="546">
      <c r="A546" s="12"/>
      <c r="D546" s="95"/>
      <c r="E546" s="14"/>
      <c r="F546" s="96"/>
    </row>
    <row r="547">
      <c r="A547" s="12"/>
      <c r="D547" s="95"/>
      <c r="E547" s="14"/>
      <c r="F547" s="96"/>
    </row>
    <row r="548">
      <c r="A548" s="12"/>
      <c r="D548" s="95"/>
      <c r="E548" s="14"/>
      <c r="F548" s="96"/>
    </row>
    <row r="549">
      <c r="A549" s="12"/>
      <c r="D549" s="95"/>
      <c r="E549" s="14"/>
      <c r="F549" s="96"/>
    </row>
    <row r="550">
      <c r="A550" s="12"/>
      <c r="D550" s="95"/>
      <c r="E550" s="14"/>
      <c r="F550" s="96"/>
    </row>
    <row r="551">
      <c r="A551" s="12"/>
      <c r="D551" s="95"/>
      <c r="E551" s="14"/>
      <c r="F551" s="96"/>
    </row>
    <row r="552">
      <c r="A552" s="12"/>
      <c r="D552" s="95"/>
      <c r="E552" s="14"/>
      <c r="F552" s="96"/>
    </row>
    <row r="553">
      <c r="A553" s="12"/>
      <c r="D553" s="95"/>
      <c r="E553" s="14"/>
      <c r="F553" s="96"/>
    </row>
    <row r="554">
      <c r="A554" s="12"/>
      <c r="D554" s="95"/>
      <c r="E554" s="14"/>
      <c r="F554" s="96"/>
    </row>
    <row r="555">
      <c r="A555" s="12"/>
      <c r="D555" s="95"/>
      <c r="E555" s="14"/>
      <c r="F555" s="96"/>
    </row>
    <row r="556">
      <c r="A556" s="12"/>
      <c r="D556" s="95"/>
      <c r="E556" s="14"/>
      <c r="F556" s="96"/>
    </row>
    <row r="557">
      <c r="A557" s="12"/>
      <c r="D557" s="95"/>
      <c r="E557" s="14"/>
      <c r="F557" s="96"/>
    </row>
    <row r="558">
      <c r="A558" s="12"/>
      <c r="D558" s="95"/>
      <c r="E558" s="14"/>
      <c r="F558" s="96"/>
    </row>
    <row r="559">
      <c r="A559" s="12"/>
      <c r="D559" s="95"/>
      <c r="E559" s="14"/>
      <c r="F559" s="96"/>
    </row>
    <row r="560">
      <c r="A560" s="12"/>
      <c r="D560" s="95"/>
      <c r="E560" s="14"/>
      <c r="F560" s="96"/>
    </row>
    <row r="561">
      <c r="A561" s="12"/>
      <c r="D561" s="95"/>
      <c r="E561" s="14"/>
      <c r="F561" s="96"/>
    </row>
    <row r="562">
      <c r="A562" s="12"/>
      <c r="D562" s="95"/>
      <c r="E562" s="14"/>
      <c r="F562" s="96"/>
    </row>
    <row r="563">
      <c r="A563" s="12"/>
      <c r="D563" s="95"/>
      <c r="E563" s="14"/>
      <c r="F563" s="96"/>
    </row>
    <row r="564">
      <c r="A564" s="12"/>
      <c r="D564" s="95"/>
      <c r="E564" s="14"/>
      <c r="F564" s="96"/>
    </row>
    <row r="565">
      <c r="A565" s="12"/>
      <c r="D565" s="95"/>
      <c r="E565" s="14"/>
      <c r="F565" s="96"/>
    </row>
    <row r="566">
      <c r="A566" s="12"/>
      <c r="D566" s="95"/>
      <c r="E566" s="14"/>
      <c r="F566" s="96"/>
    </row>
    <row r="567">
      <c r="A567" s="12"/>
      <c r="D567" s="95"/>
      <c r="E567" s="14"/>
      <c r="F567" s="96"/>
    </row>
    <row r="568">
      <c r="A568" s="12"/>
      <c r="D568" s="95"/>
      <c r="E568" s="14"/>
      <c r="F568" s="96"/>
    </row>
    <row r="569">
      <c r="A569" s="12"/>
      <c r="D569" s="95"/>
      <c r="E569" s="14"/>
      <c r="F569" s="96"/>
    </row>
    <row r="570">
      <c r="A570" s="12"/>
      <c r="D570" s="95"/>
      <c r="E570" s="14"/>
      <c r="F570" s="96"/>
    </row>
    <row r="571">
      <c r="A571" s="12"/>
      <c r="D571" s="95"/>
      <c r="E571" s="14"/>
      <c r="F571" s="96"/>
    </row>
    <row r="572">
      <c r="A572" s="12"/>
      <c r="D572" s="95"/>
      <c r="E572" s="14"/>
      <c r="F572" s="96"/>
    </row>
    <row r="573">
      <c r="A573" s="12"/>
      <c r="D573" s="95"/>
      <c r="E573" s="14"/>
      <c r="F573" s="96"/>
    </row>
    <row r="574">
      <c r="A574" s="12"/>
      <c r="D574" s="95"/>
      <c r="E574" s="14"/>
      <c r="F574" s="96"/>
    </row>
    <row r="575">
      <c r="A575" s="12"/>
      <c r="D575" s="95"/>
      <c r="E575" s="14"/>
      <c r="F575" s="96"/>
    </row>
    <row r="576">
      <c r="A576" s="12"/>
      <c r="D576" s="95"/>
      <c r="E576" s="14"/>
      <c r="F576" s="96"/>
    </row>
    <row r="577">
      <c r="A577" s="12"/>
      <c r="D577" s="95"/>
      <c r="E577" s="14"/>
      <c r="F577" s="96"/>
    </row>
    <row r="578">
      <c r="A578" s="12"/>
      <c r="D578" s="95"/>
      <c r="E578" s="14"/>
      <c r="F578" s="96"/>
    </row>
    <row r="579">
      <c r="A579" s="12"/>
      <c r="D579" s="95"/>
      <c r="E579" s="14"/>
      <c r="F579" s="96"/>
    </row>
    <row r="580">
      <c r="A580" s="12"/>
      <c r="D580" s="95"/>
      <c r="E580" s="14"/>
      <c r="F580" s="96"/>
    </row>
    <row r="581">
      <c r="A581" s="12"/>
      <c r="D581" s="95"/>
      <c r="E581" s="14"/>
      <c r="F581" s="96"/>
    </row>
    <row r="582">
      <c r="A582" s="12"/>
      <c r="D582" s="95"/>
      <c r="E582" s="14"/>
      <c r="F582" s="96"/>
    </row>
    <row r="583">
      <c r="A583" s="12"/>
      <c r="D583" s="95"/>
      <c r="E583" s="14"/>
      <c r="F583" s="96"/>
    </row>
    <row r="584">
      <c r="A584" s="12"/>
      <c r="D584" s="95"/>
      <c r="E584" s="14"/>
      <c r="F584" s="96"/>
    </row>
    <row r="585">
      <c r="A585" s="12"/>
      <c r="D585" s="95"/>
      <c r="E585" s="14"/>
      <c r="F585" s="96"/>
    </row>
    <row r="586">
      <c r="A586" s="12"/>
      <c r="D586" s="95"/>
      <c r="E586" s="14"/>
      <c r="F586" s="96"/>
    </row>
    <row r="587">
      <c r="A587" s="12"/>
      <c r="D587" s="95"/>
      <c r="E587" s="14"/>
      <c r="F587" s="96"/>
    </row>
    <row r="588">
      <c r="A588" s="12"/>
      <c r="D588" s="95"/>
      <c r="E588" s="14"/>
      <c r="F588" s="96"/>
    </row>
    <row r="589">
      <c r="A589" s="12"/>
      <c r="D589" s="95"/>
      <c r="E589" s="14"/>
      <c r="F589" s="96"/>
    </row>
    <row r="590">
      <c r="A590" s="12"/>
      <c r="D590" s="95"/>
      <c r="E590" s="14"/>
      <c r="F590" s="96"/>
    </row>
    <row r="591">
      <c r="A591" s="12"/>
      <c r="D591" s="95"/>
      <c r="E591" s="14"/>
      <c r="F591" s="96"/>
    </row>
    <row r="592">
      <c r="A592" s="12"/>
      <c r="D592" s="95"/>
      <c r="E592" s="14"/>
      <c r="F592" s="96"/>
    </row>
    <row r="593">
      <c r="A593" s="12"/>
      <c r="D593" s="95"/>
      <c r="E593" s="14"/>
      <c r="F593" s="96"/>
    </row>
    <row r="594">
      <c r="A594" s="12"/>
      <c r="D594" s="95"/>
      <c r="E594" s="14"/>
      <c r="F594" s="96"/>
    </row>
    <row r="595">
      <c r="A595" s="12"/>
      <c r="D595" s="95"/>
      <c r="E595" s="14"/>
      <c r="F595" s="96"/>
    </row>
    <row r="596">
      <c r="A596" s="12"/>
      <c r="D596" s="95"/>
      <c r="E596" s="14"/>
      <c r="F596" s="96"/>
    </row>
    <row r="597">
      <c r="A597" s="12"/>
      <c r="D597" s="95"/>
      <c r="E597" s="14"/>
      <c r="F597" s="96"/>
    </row>
    <row r="598">
      <c r="A598" s="12"/>
      <c r="D598" s="95"/>
      <c r="E598" s="14"/>
      <c r="F598" s="96"/>
    </row>
    <row r="599">
      <c r="A599" s="12"/>
      <c r="D599" s="95"/>
      <c r="E599" s="14"/>
      <c r="F599" s="96"/>
    </row>
    <row r="600">
      <c r="A600" s="12"/>
      <c r="D600" s="95"/>
      <c r="E600" s="14"/>
      <c r="F600" s="96"/>
    </row>
    <row r="601">
      <c r="A601" s="12"/>
      <c r="D601" s="95"/>
      <c r="E601" s="14"/>
      <c r="F601" s="96"/>
    </row>
    <row r="602">
      <c r="A602" s="12"/>
      <c r="D602" s="95"/>
      <c r="E602" s="14"/>
      <c r="F602" s="96"/>
    </row>
    <row r="603">
      <c r="A603" s="12"/>
      <c r="D603" s="95"/>
      <c r="E603" s="14"/>
      <c r="F603" s="96"/>
    </row>
    <row r="604">
      <c r="A604" s="12"/>
      <c r="D604" s="95"/>
      <c r="E604" s="14"/>
      <c r="F604" s="96"/>
    </row>
    <row r="605">
      <c r="A605" s="12"/>
      <c r="D605" s="95"/>
      <c r="E605" s="14"/>
      <c r="F605" s="96"/>
    </row>
    <row r="606">
      <c r="A606" s="12"/>
      <c r="D606" s="95"/>
      <c r="E606" s="14"/>
      <c r="F606" s="96"/>
    </row>
    <row r="607">
      <c r="A607" s="12"/>
      <c r="D607" s="95"/>
      <c r="E607" s="14"/>
      <c r="F607" s="96"/>
    </row>
    <row r="608">
      <c r="A608" s="12"/>
      <c r="D608" s="95"/>
      <c r="E608" s="14"/>
      <c r="F608" s="96"/>
    </row>
    <row r="609">
      <c r="A609" s="12"/>
      <c r="D609" s="95"/>
      <c r="E609" s="14"/>
      <c r="F609" s="96"/>
    </row>
    <row r="610">
      <c r="A610" s="12"/>
      <c r="D610" s="95"/>
      <c r="E610" s="14"/>
      <c r="F610" s="96"/>
    </row>
    <row r="611">
      <c r="A611" s="12"/>
      <c r="D611" s="95"/>
      <c r="E611" s="14"/>
      <c r="F611" s="96"/>
    </row>
    <row r="612">
      <c r="A612" s="12"/>
      <c r="D612" s="95"/>
      <c r="E612" s="14"/>
      <c r="F612" s="96"/>
    </row>
    <row r="613">
      <c r="A613" s="12"/>
      <c r="D613" s="95"/>
      <c r="E613" s="14"/>
      <c r="F613" s="96"/>
    </row>
    <row r="614">
      <c r="A614" s="12"/>
      <c r="D614" s="95"/>
      <c r="E614" s="14"/>
      <c r="F614" s="96"/>
    </row>
    <row r="615">
      <c r="A615" s="12"/>
      <c r="D615" s="95"/>
      <c r="E615" s="14"/>
      <c r="F615" s="96"/>
    </row>
    <row r="616">
      <c r="A616" s="12"/>
      <c r="D616" s="95"/>
      <c r="E616" s="14"/>
      <c r="F616" s="96"/>
    </row>
    <row r="617">
      <c r="A617" s="12"/>
      <c r="D617" s="95"/>
      <c r="E617" s="14"/>
      <c r="F617" s="96"/>
    </row>
    <row r="618">
      <c r="A618" s="12"/>
      <c r="D618" s="95"/>
      <c r="E618" s="14"/>
      <c r="F618" s="96"/>
    </row>
    <row r="619">
      <c r="A619" s="12"/>
      <c r="D619" s="95"/>
      <c r="E619" s="14"/>
      <c r="F619" s="96"/>
    </row>
    <row r="620">
      <c r="A620" s="12"/>
      <c r="D620" s="95"/>
      <c r="E620" s="14"/>
      <c r="F620" s="96"/>
    </row>
    <row r="621">
      <c r="A621" s="12"/>
      <c r="D621" s="95"/>
      <c r="E621" s="14"/>
      <c r="F621" s="96"/>
    </row>
    <row r="622">
      <c r="A622" s="12"/>
      <c r="D622" s="95"/>
      <c r="E622" s="14"/>
      <c r="F622" s="96"/>
    </row>
    <row r="623">
      <c r="A623" s="12"/>
      <c r="D623" s="95"/>
      <c r="E623" s="14"/>
      <c r="F623" s="96"/>
    </row>
    <row r="624">
      <c r="A624" s="12"/>
      <c r="D624" s="95"/>
      <c r="E624" s="14"/>
      <c r="F624" s="96"/>
    </row>
    <row r="625">
      <c r="A625" s="12"/>
      <c r="D625" s="95"/>
      <c r="E625" s="14"/>
      <c r="F625" s="96"/>
    </row>
    <row r="626">
      <c r="A626" s="12"/>
      <c r="D626" s="95"/>
      <c r="E626" s="14"/>
      <c r="F626" s="96"/>
    </row>
    <row r="627">
      <c r="A627" s="12"/>
      <c r="D627" s="95"/>
      <c r="E627" s="14"/>
      <c r="F627" s="96"/>
    </row>
    <row r="628">
      <c r="A628" s="12"/>
      <c r="D628" s="95"/>
      <c r="E628" s="14"/>
      <c r="F628" s="96"/>
    </row>
    <row r="629">
      <c r="A629" s="12"/>
      <c r="D629" s="95"/>
      <c r="E629" s="14"/>
      <c r="F629" s="96"/>
    </row>
    <row r="630">
      <c r="A630" s="12"/>
      <c r="D630" s="95"/>
      <c r="E630" s="14"/>
      <c r="F630" s="96"/>
    </row>
    <row r="631">
      <c r="A631" s="12"/>
      <c r="D631" s="95"/>
      <c r="E631" s="14"/>
      <c r="F631" s="96"/>
    </row>
    <row r="632">
      <c r="A632" s="12"/>
      <c r="D632" s="95"/>
      <c r="E632" s="14"/>
      <c r="F632" s="96"/>
    </row>
    <row r="633">
      <c r="A633" s="12"/>
      <c r="D633" s="95"/>
      <c r="E633" s="14"/>
      <c r="F633" s="96"/>
    </row>
    <row r="634">
      <c r="A634" s="12"/>
      <c r="D634" s="95"/>
      <c r="E634" s="14"/>
      <c r="F634" s="96"/>
    </row>
    <row r="635">
      <c r="A635" s="12"/>
      <c r="D635" s="95"/>
      <c r="E635" s="14"/>
      <c r="F635" s="96"/>
    </row>
    <row r="636">
      <c r="A636" s="12"/>
      <c r="D636" s="95"/>
      <c r="E636" s="14"/>
      <c r="F636" s="96"/>
    </row>
    <row r="637">
      <c r="A637" s="12"/>
      <c r="D637" s="95"/>
      <c r="E637" s="14"/>
      <c r="F637" s="96"/>
    </row>
    <row r="638">
      <c r="A638" s="12"/>
      <c r="D638" s="95"/>
      <c r="E638" s="14"/>
      <c r="F638" s="96"/>
    </row>
    <row r="639">
      <c r="A639" s="12"/>
      <c r="D639" s="95"/>
      <c r="E639" s="14"/>
      <c r="F639" s="96"/>
    </row>
    <row r="640">
      <c r="A640" s="12"/>
      <c r="D640" s="95"/>
      <c r="E640" s="14"/>
      <c r="F640" s="96"/>
    </row>
    <row r="641">
      <c r="A641" s="12"/>
      <c r="D641" s="95"/>
      <c r="E641" s="14"/>
      <c r="F641" s="96"/>
    </row>
    <row r="642">
      <c r="A642" s="12"/>
      <c r="D642" s="95"/>
      <c r="E642" s="14"/>
      <c r="F642" s="96"/>
    </row>
    <row r="643">
      <c r="A643" s="12"/>
      <c r="D643" s="95"/>
      <c r="E643" s="14"/>
      <c r="F643" s="96"/>
    </row>
    <row r="644">
      <c r="A644" s="12"/>
      <c r="D644" s="95"/>
      <c r="E644" s="14"/>
      <c r="F644" s="96"/>
    </row>
    <row r="645">
      <c r="A645" s="12"/>
      <c r="D645" s="95"/>
      <c r="E645" s="14"/>
      <c r="F645" s="96"/>
    </row>
    <row r="646">
      <c r="A646" s="12"/>
      <c r="D646" s="95"/>
      <c r="E646" s="14"/>
      <c r="F646" s="96"/>
    </row>
    <row r="647">
      <c r="A647" s="12"/>
      <c r="D647" s="95"/>
      <c r="E647" s="14"/>
      <c r="F647" s="96"/>
    </row>
    <row r="648">
      <c r="A648" s="12"/>
      <c r="D648" s="95"/>
      <c r="E648" s="14"/>
      <c r="F648" s="96"/>
    </row>
    <row r="649">
      <c r="A649" s="12"/>
      <c r="D649" s="95"/>
      <c r="E649" s="14"/>
      <c r="F649" s="96"/>
    </row>
    <row r="650">
      <c r="A650" s="12"/>
      <c r="D650" s="95"/>
      <c r="E650" s="14"/>
      <c r="F650" s="96"/>
    </row>
    <row r="651">
      <c r="A651" s="12"/>
      <c r="D651" s="95"/>
      <c r="E651" s="14"/>
      <c r="F651" s="96"/>
    </row>
    <row r="652">
      <c r="A652" s="12"/>
      <c r="D652" s="95"/>
      <c r="E652" s="14"/>
      <c r="F652" s="96"/>
    </row>
    <row r="653">
      <c r="A653" s="12"/>
      <c r="D653" s="95"/>
      <c r="E653" s="14"/>
      <c r="F653" s="96"/>
    </row>
    <row r="654">
      <c r="A654" s="12"/>
      <c r="D654" s="95"/>
      <c r="E654" s="14"/>
      <c r="F654" s="96"/>
    </row>
    <row r="655">
      <c r="A655" s="12"/>
      <c r="D655" s="95"/>
      <c r="E655" s="14"/>
      <c r="F655" s="96"/>
    </row>
    <row r="656">
      <c r="A656" s="12"/>
      <c r="D656" s="95"/>
      <c r="E656" s="14"/>
      <c r="F656" s="96"/>
    </row>
    <row r="657">
      <c r="A657" s="12"/>
      <c r="D657" s="95"/>
      <c r="E657" s="14"/>
      <c r="F657" s="96"/>
    </row>
    <row r="658">
      <c r="A658" s="12"/>
      <c r="D658" s="95"/>
      <c r="E658" s="14"/>
      <c r="F658" s="96"/>
    </row>
    <row r="659">
      <c r="A659" s="12"/>
      <c r="D659" s="95"/>
      <c r="E659" s="14"/>
      <c r="F659" s="96"/>
    </row>
    <row r="660">
      <c r="A660" s="12"/>
      <c r="D660" s="95"/>
      <c r="E660" s="14"/>
      <c r="F660" s="96"/>
    </row>
    <row r="661">
      <c r="A661" s="12"/>
      <c r="D661" s="95"/>
      <c r="E661" s="14"/>
      <c r="F661" s="96"/>
    </row>
    <row r="662">
      <c r="A662" s="12"/>
      <c r="D662" s="95"/>
      <c r="E662" s="14"/>
      <c r="F662" s="96"/>
    </row>
    <row r="663">
      <c r="A663" s="12"/>
      <c r="D663" s="95"/>
      <c r="E663" s="14"/>
      <c r="F663" s="96"/>
    </row>
    <row r="664">
      <c r="A664" s="12"/>
      <c r="D664" s="95"/>
      <c r="E664" s="14"/>
      <c r="F664" s="96"/>
    </row>
    <row r="665">
      <c r="A665" s="12"/>
      <c r="D665" s="95"/>
      <c r="E665" s="14"/>
      <c r="F665" s="96"/>
    </row>
    <row r="666">
      <c r="A666" s="12"/>
      <c r="D666" s="95"/>
      <c r="E666" s="14"/>
      <c r="F666" s="96"/>
    </row>
    <row r="667">
      <c r="A667" s="12"/>
      <c r="D667" s="95"/>
      <c r="E667" s="14"/>
      <c r="F667" s="96"/>
    </row>
    <row r="668">
      <c r="A668" s="12"/>
      <c r="D668" s="95"/>
      <c r="E668" s="14"/>
      <c r="F668" s="96"/>
    </row>
    <row r="669">
      <c r="A669" s="12"/>
      <c r="D669" s="95"/>
      <c r="E669" s="14"/>
      <c r="F669" s="96"/>
    </row>
    <row r="670">
      <c r="A670" s="12"/>
      <c r="D670" s="95"/>
      <c r="E670" s="14"/>
      <c r="F670" s="96"/>
    </row>
    <row r="671">
      <c r="A671" s="12"/>
      <c r="D671" s="95"/>
      <c r="E671" s="14"/>
      <c r="F671" s="96"/>
    </row>
    <row r="672">
      <c r="A672" s="12"/>
      <c r="D672" s="95"/>
      <c r="E672" s="14"/>
      <c r="F672" s="96"/>
    </row>
    <row r="673">
      <c r="A673" s="12"/>
      <c r="D673" s="95"/>
      <c r="E673" s="14"/>
      <c r="F673" s="96"/>
    </row>
    <row r="674">
      <c r="A674" s="12"/>
      <c r="D674" s="95"/>
      <c r="E674" s="14"/>
      <c r="F674" s="96"/>
    </row>
    <row r="675">
      <c r="A675" s="12"/>
      <c r="D675" s="95"/>
      <c r="E675" s="14"/>
      <c r="F675" s="96"/>
    </row>
    <row r="676">
      <c r="A676" s="12"/>
      <c r="D676" s="95"/>
      <c r="E676" s="14"/>
      <c r="F676" s="96"/>
    </row>
    <row r="677">
      <c r="A677" s="12"/>
      <c r="D677" s="95"/>
      <c r="E677" s="14"/>
      <c r="F677" s="96"/>
    </row>
    <row r="678">
      <c r="A678" s="12"/>
      <c r="D678" s="95"/>
      <c r="E678" s="14"/>
      <c r="F678" s="96"/>
    </row>
    <row r="679">
      <c r="A679" s="12"/>
      <c r="D679" s="95"/>
      <c r="E679" s="14"/>
      <c r="F679" s="96"/>
    </row>
    <row r="680">
      <c r="A680" s="12"/>
      <c r="D680" s="95"/>
      <c r="E680" s="14"/>
      <c r="F680" s="96"/>
    </row>
    <row r="681">
      <c r="A681" s="12"/>
      <c r="D681" s="95"/>
      <c r="E681" s="14"/>
      <c r="F681" s="96"/>
    </row>
    <row r="682">
      <c r="A682" s="12"/>
      <c r="D682" s="95"/>
      <c r="E682" s="14"/>
      <c r="F682" s="96"/>
    </row>
    <row r="683">
      <c r="A683" s="12"/>
      <c r="D683" s="95"/>
      <c r="E683" s="14"/>
      <c r="F683" s="96"/>
    </row>
    <row r="684">
      <c r="A684" s="12"/>
      <c r="D684" s="95"/>
      <c r="E684" s="14"/>
      <c r="F684" s="96"/>
    </row>
    <row r="685">
      <c r="A685" s="12"/>
      <c r="D685" s="95"/>
      <c r="E685" s="14"/>
      <c r="F685" s="96"/>
    </row>
    <row r="686">
      <c r="A686" s="12"/>
      <c r="D686" s="95"/>
      <c r="E686" s="14"/>
      <c r="F686" s="96"/>
    </row>
    <row r="687">
      <c r="A687" s="12"/>
      <c r="D687" s="95"/>
      <c r="E687" s="14"/>
      <c r="F687" s="96"/>
    </row>
    <row r="688">
      <c r="A688" s="12"/>
      <c r="D688" s="95"/>
      <c r="E688" s="14"/>
      <c r="F688" s="96"/>
    </row>
    <row r="689">
      <c r="A689" s="12"/>
      <c r="D689" s="95"/>
      <c r="E689" s="14"/>
      <c r="F689" s="96"/>
    </row>
    <row r="690">
      <c r="A690" s="12"/>
      <c r="D690" s="95"/>
      <c r="E690" s="14"/>
      <c r="F690" s="96"/>
    </row>
    <row r="691">
      <c r="A691" s="12"/>
      <c r="D691" s="95"/>
      <c r="E691" s="14"/>
      <c r="F691" s="96"/>
    </row>
    <row r="692">
      <c r="A692" s="12"/>
      <c r="D692" s="95"/>
      <c r="E692" s="14"/>
      <c r="F692" s="96"/>
    </row>
    <row r="693">
      <c r="A693" s="12"/>
      <c r="D693" s="95"/>
      <c r="E693" s="14"/>
      <c r="F693" s="96"/>
    </row>
    <row r="694">
      <c r="A694" s="12"/>
      <c r="D694" s="95"/>
      <c r="E694" s="14"/>
      <c r="F694" s="96"/>
    </row>
    <row r="695">
      <c r="A695" s="12"/>
      <c r="D695" s="95"/>
      <c r="E695" s="14"/>
      <c r="F695" s="96"/>
    </row>
    <row r="696">
      <c r="A696" s="12"/>
      <c r="D696" s="95"/>
      <c r="E696" s="14"/>
      <c r="F696" s="96"/>
    </row>
    <row r="697">
      <c r="A697" s="12"/>
      <c r="D697" s="95"/>
      <c r="E697" s="14"/>
      <c r="F697" s="96"/>
    </row>
    <row r="698">
      <c r="A698" s="12"/>
      <c r="D698" s="95"/>
      <c r="E698" s="14"/>
      <c r="F698" s="96"/>
    </row>
    <row r="699">
      <c r="A699" s="12"/>
      <c r="D699" s="95"/>
      <c r="E699" s="14"/>
      <c r="F699" s="96"/>
    </row>
    <row r="700">
      <c r="A700" s="12"/>
      <c r="D700" s="95"/>
      <c r="E700" s="14"/>
      <c r="F700" s="96"/>
    </row>
    <row r="701">
      <c r="A701" s="12"/>
      <c r="D701" s="95"/>
      <c r="E701" s="14"/>
      <c r="F701" s="96"/>
    </row>
    <row r="702">
      <c r="A702" s="12"/>
      <c r="D702" s="95"/>
      <c r="E702" s="14"/>
      <c r="F702" s="96"/>
    </row>
    <row r="703">
      <c r="A703" s="12"/>
      <c r="D703" s="95"/>
      <c r="E703" s="14"/>
      <c r="F703" s="96"/>
    </row>
    <row r="704">
      <c r="A704" s="12"/>
      <c r="D704" s="95"/>
      <c r="E704" s="14"/>
      <c r="F704" s="96"/>
    </row>
    <row r="705">
      <c r="A705" s="12"/>
      <c r="D705" s="95"/>
      <c r="E705" s="14"/>
      <c r="F705" s="96"/>
    </row>
    <row r="706">
      <c r="A706" s="12"/>
      <c r="D706" s="95"/>
      <c r="E706" s="14"/>
      <c r="F706" s="96"/>
    </row>
    <row r="707">
      <c r="A707" s="12"/>
      <c r="D707" s="95"/>
      <c r="E707" s="14"/>
      <c r="F707" s="96"/>
    </row>
    <row r="708">
      <c r="A708" s="12"/>
      <c r="D708" s="95"/>
      <c r="E708" s="14"/>
      <c r="F708" s="96"/>
    </row>
    <row r="709">
      <c r="A709" s="12"/>
      <c r="D709" s="95"/>
      <c r="E709" s="14"/>
      <c r="F709" s="96"/>
    </row>
    <row r="710">
      <c r="A710" s="12"/>
      <c r="D710" s="95"/>
      <c r="E710" s="14"/>
      <c r="F710" s="96"/>
    </row>
    <row r="711">
      <c r="A711" s="12"/>
      <c r="D711" s="95"/>
      <c r="E711" s="14"/>
      <c r="F711" s="96"/>
    </row>
    <row r="712">
      <c r="A712" s="12"/>
      <c r="D712" s="95"/>
      <c r="E712" s="14"/>
      <c r="F712" s="96"/>
    </row>
    <row r="713">
      <c r="A713" s="12"/>
      <c r="D713" s="95"/>
      <c r="E713" s="14"/>
      <c r="F713" s="96"/>
    </row>
    <row r="714">
      <c r="A714" s="12"/>
      <c r="D714" s="95"/>
      <c r="E714" s="14"/>
      <c r="F714" s="96"/>
    </row>
    <row r="715">
      <c r="A715" s="12"/>
      <c r="D715" s="95"/>
      <c r="E715" s="14"/>
      <c r="F715" s="96"/>
    </row>
    <row r="716">
      <c r="A716" s="12"/>
      <c r="D716" s="95"/>
      <c r="E716" s="14"/>
      <c r="F716" s="96"/>
    </row>
    <row r="717">
      <c r="A717" s="12"/>
      <c r="D717" s="95"/>
      <c r="E717" s="14"/>
      <c r="F717" s="96"/>
    </row>
    <row r="718">
      <c r="A718" s="12"/>
      <c r="D718" s="95"/>
      <c r="E718" s="14"/>
      <c r="F718" s="96"/>
    </row>
    <row r="719">
      <c r="A719" s="12"/>
      <c r="D719" s="95"/>
      <c r="E719" s="14"/>
      <c r="F719" s="96"/>
    </row>
    <row r="720">
      <c r="A720" s="12"/>
      <c r="D720" s="95"/>
      <c r="E720" s="14"/>
      <c r="F720" s="96"/>
    </row>
    <row r="721">
      <c r="A721" s="12"/>
      <c r="D721" s="95"/>
      <c r="E721" s="14"/>
      <c r="F721" s="96"/>
    </row>
    <row r="722">
      <c r="A722" s="12"/>
      <c r="D722" s="95"/>
      <c r="E722" s="14"/>
      <c r="F722" s="96"/>
    </row>
    <row r="723">
      <c r="A723" s="12"/>
      <c r="D723" s="95"/>
      <c r="E723" s="14"/>
      <c r="F723" s="96"/>
    </row>
    <row r="724">
      <c r="A724" s="12"/>
      <c r="D724" s="95"/>
      <c r="E724" s="14"/>
      <c r="F724" s="96"/>
    </row>
    <row r="725">
      <c r="A725" s="12"/>
      <c r="D725" s="95"/>
      <c r="E725" s="14"/>
      <c r="F725" s="96"/>
    </row>
    <row r="726">
      <c r="A726" s="12"/>
      <c r="D726" s="95"/>
      <c r="E726" s="14"/>
      <c r="F726" s="96"/>
    </row>
    <row r="727">
      <c r="A727" s="12"/>
      <c r="D727" s="95"/>
      <c r="E727" s="14"/>
      <c r="F727" s="96"/>
    </row>
    <row r="728">
      <c r="A728" s="12"/>
      <c r="D728" s="95"/>
      <c r="E728" s="14"/>
      <c r="F728" s="96"/>
    </row>
    <row r="729">
      <c r="A729" s="12"/>
      <c r="D729" s="95"/>
      <c r="E729" s="14"/>
      <c r="F729" s="96"/>
    </row>
    <row r="730">
      <c r="A730" s="12"/>
      <c r="D730" s="95"/>
      <c r="E730" s="14"/>
      <c r="F730" s="96"/>
    </row>
    <row r="731">
      <c r="A731" s="12"/>
      <c r="D731" s="95"/>
      <c r="E731" s="14"/>
      <c r="F731" s="96"/>
    </row>
    <row r="732">
      <c r="A732" s="12"/>
      <c r="D732" s="95"/>
      <c r="E732" s="14"/>
      <c r="F732" s="96"/>
    </row>
    <row r="733">
      <c r="A733" s="12"/>
      <c r="D733" s="95"/>
      <c r="E733" s="14"/>
      <c r="F733" s="96"/>
    </row>
    <row r="734">
      <c r="A734" s="12"/>
      <c r="D734" s="95"/>
      <c r="E734" s="14"/>
      <c r="F734" s="96"/>
    </row>
    <row r="735">
      <c r="A735" s="12"/>
      <c r="D735" s="95"/>
      <c r="E735" s="14"/>
      <c r="F735" s="96"/>
    </row>
    <row r="736">
      <c r="A736" s="12"/>
      <c r="D736" s="95"/>
      <c r="E736" s="14"/>
      <c r="F736" s="96"/>
    </row>
    <row r="737">
      <c r="A737" s="12"/>
      <c r="D737" s="95"/>
      <c r="E737" s="14"/>
      <c r="F737" s="96"/>
    </row>
    <row r="738">
      <c r="A738" s="12"/>
      <c r="D738" s="95"/>
      <c r="E738" s="14"/>
      <c r="F738" s="96"/>
    </row>
    <row r="739">
      <c r="A739" s="12"/>
      <c r="D739" s="95"/>
      <c r="E739" s="14"/>
      <c r="F739" s="96"/>
    </row>
    <row r="740">
      <c r="A740" s="12"/>
      <c r="D740" s="95"/>
      <c r="E740" s="14"/>
      <c r="F740" s="96"/>
    </row>
    <row r="741">
      <c r="A741" s="12"/>
      <c r="D741" s="95"/>
      <c r="E741" s="14"/>
      <c r="F741" s="96"/>
    </row>
    <row r="742">
      <c r="A742" s="12"/>
      <c r="D742" s="95"/>
      <c r="E742" s="14"/>
      <c r="F742" s="96"/>
    </row>
    <row r="743">
      <c r="A743" s="12"/>
      <c r="D743" s="95"/>
      <c r="E743" s="14"/>
      <c r="F743" s="96"/>
    </row>
    <row r="744">
      <c r="A744" s="12"/>
      <c r="D744" s="95"/>
      <c r="E744" s="14"/>
      <c r="F744" s="96"/>
    </row>
    <row r="745">
      <c r="A745" s="12"/>
      <c r="D745" s="95"/>
      <c r="E745" s="14"/>
      <c r="F745" s="96"/>
    </row>
    <row r="746">
      <c r="A746" s="12"/>
      <c r="D746" s="95"/>
      <c r="E746" s="14"/>
      <c r="F746" s="96"/>
    </row>
    <row r="747">
      <c r="A747" s="12"/>
      <c r="D747" s="95"/>
      <c r="E747" s="14"/>
      <c r="F747" s="96"/>
    </row>
    <row r="748">
      <c r="A748" s="12"/>
      <c r="D748" s="95"/>
      <c r="E748" s="14"/>
      <c r="F748" s="96"/>
    </row>
    <row r="749">
      <c r="A749" s="12"/>
      <c r="D749" s="95"/>
      <c r="E749" s="14"/>
      <c r="F749" s="96"/>
    </row>
    <row r="750">
      <c r="A750" s="12"/>
      <c r="D750" s="95"/>
      <c r="E750" s="14"/>
      <c r="F750" s="96"/>
    </row>
    <row r="751">
      <c r="A751" s="12"/>
      <c r="D751" s="95"/>
      <c r="E751" s="14"/>
      <c r="F751" s="96"/>
    </row>
    <row r="752">
      <c r="A752" s="12"/>
      <c r="D752" s="95"/>
      <c r="E752" s="14"/>
      <c r="F752" s="96"/>
    </row>
    <row r="753">
      <c r="A753" s="12"/>
      <c r="D753" s="95"/>
      <c r="E753" s="14"/>
      <c r="F753" s="96"/>
    </row>
    <row r="754">
      <c r="A754" s="12"/>
      <c r="D754" s="95"/>
      <c r="E754" s="14"/>
      <c r="F754" s="96"/>
    </row>
    <row r="755">
      <c r="A755" s="12"/>
      <c r="D755" s="95"/>
      <c r="E755" s="14"/>
      <c r="F755" s="96"/>
    </row>
    <row r="756">
      <c r="A756" s="12"/>
      <c r="D756" s="95"/>
      <c r="E756" s="14"/>
      <c r="F756" s="96"/>
    </row>
    <row r="757">
      <c r="A757" s="12"/>
      <c r="D757" s="95"/>
      <c r="E757" s="14"/>
      <c r="F757" s="96"/>
    </row>
    <row r="758">
      <c r="A758" s="12"/>
      <c r="D758" s="95"/>
      <c r="E758" s="14"/>
      <c r="F758" s="96"/>
    </row>
    <row r="759">
      <c r="A759" s="12"/>
      <c r="D759" s="95"/>
      <c r="E759" s="14"/>
      <c r="F759" s="96"/>
    </row>
    <row r="760">
      <c r="A760" s="12"/>
      <c r="D760" s="95"/>
      <c r="E760" s="14"/>
      <c r="F760" s="96"/>
    </row>
    <row r="761">
      <c r="A761" s="12"/>
      <c r="D761" s="95"/>
      <c r="E761" s="14"/>
      <c r="F761" s="96"/>
    </row>
    <row r="762">
      <c r="A762" s="12"/>
      <c r="D762" s="95"/>
      <c r="E762" s="14"/>
      <c r="F762" s="96"/>
    </row>
    <row r="763">
      <c r="A763" s="12"/>
      <c r="D763" s="95"/>
      <c r="E763" s="14"/>
      <c r="F763" s="96"/>
    </row>
    <row r="764">
      <c r="A764" s="12"/>
      <c r="D764" s="95"/>
      <c r="E764" s="14"/>
      <c r="F764" s="96"/>
    </row>
    <row r="765">
      <c r="A765" s="12"/>
      <c r="D765" s="95"/>
      <c r="E765" s="14"/>
      <c r="F765" s="96"/>
    </row>
    <row r="766">
      <c r="A766" s="12"/>
      <c r="D766" s="95"/>
      <c r="E766" s="14"/>
      <c r="F766" s="96"/>
    </row>
    <row r="767">
      <c r="A767" s="12"/>
      <c r="D767" s="95"/>
      <c r="E767" s="14"/>
      <c r="F767" s="96"/>
    </row>
    <row r="768">
      <c r="A768" s="12"/>
      <c r="D768" s="95"/>
      <c r="E768" s="14"/>
      <c r="F768" s="96"/>
    </row>
    <row r="769">
      <c r="A769" s="12"/>
      <c r="D769" s="95"/>
      <c r="E769" s="14"/>
      <c r="F769" s="96"/>
    </row>
    <row r="770">
      <c r="A770" s="12"/>
      <c r="D770" s="95"/>
      <c r="E770" s="14"/>
      <c r="F770" s="96"/>
    </row>
    <row r="771">
      <c r="A771" s="12"/>
      <c r="D771" s="95"/>
      <c r="E771" s="14"/>
      <c r="F771" s="96"/>
    </row>
    <row r="772">
      <c r="A772" s="12"/>
      <c r="D772" s="95"/>
      <c r="E772" s="14"/>
      <c r="F772" s="96"/>
    </row>
    <row r="773">
      <c r="A773" s="12"/>
      <c r="D773" s="95"/>
      <c r="E773" s="14"/>
      <c r="F773" s="96"/>
    </row>
    <row r="774">
      <c r="A774" s="12"/>
      <c r="D774" s="95"/>
      <c r="E774" s="14"/>
      <c r="F774" s="96"/>
    </row>
    <row r="775">
      <c r="A775" s="12"/>
      <c r="D775" s="95"/>
      <c r="E775" s="14"/>
      <c r="F775" s="96"/>
    </row>
    <row r="776">
      <c r="A776" s="12"/>
      <c r="D776" s="95"/>
      <c r="E776" s="14"/>
      <c r="F776" s="96"/>
    </row>
    <row r="777">
      <c r="A777" s="12"/>
      <c r="D777" s="95"/>
      <c r="E777" s="14"/>
      <c r="F777" s="96"/>
    </row>
    <row r="778">
      <c r="A778" s="12"/>
      <c r="D778" s="95"/>
      <c r="E778" s="14"/>
      <c r="F778" s="96"/>
    </row>
    <row r="779">
      <c r="A779" s="12"/>
      <c r="D779" s="95"/>
      <c r="E779" s="14"/>
      <c r="F779" s="96"/>
    </row>
    <row r="780">
      <c r="A780" s="12"/>
      <c r="D780" s="95"/>
      <c r="E780" s="14"/>
      <c r="F780" s="96"/>
    </row>
    <row r="781">
      <c r="A781" s="12"/>
      <c r="D781" s="95"/>
      <c r="E781" s="14"/>
      <c r="F781" s="96"/>
    </row>
    <row r="782">
      <c r="A782" s="12"/>
      <c r="D782" s="95"/>
      <c r="E782" s="14"/>
      <c r="F782" s="96"/>
    </row>
    <row r="783">
      <c r="A783" s="12"/>
      <c r="D783" s="95"/>
      <c r="E783" s="14"/>
      <c r="F783" s="96"/>
    </row>
    <row r="784">
      <c r="A784" s="12"/>
      <c r="D784" s="95"/>
      <c r="E784" s="14"/>
      <c r="F784" s="96"/>
    </row>
    <row r="785">
      <c r="A785" s="12"/>
      <c r="D785" s="95"/>
      <c r="E785" s="14"/>
      <c r="F785" s="96"/>
    </row>
    <row r="786">
      <c r="A786" s="12"/>
      <c r="D786" s="95"/>
      <c r="E786" s="14"/>
      <c r="F786" s="96"/>
    </row>
    <row r="787">
      <c r="A787" s="12"/>
      <c r="D787" s="95"/>
      <c r="E787" s="14"/>
      <c r="F787" s="96"/>
    </row>
    <row r="788">
      <c r="A788" s="12"/>
      <c r="D788" s="95"/>
      <c r="E788" s="14"/>
      <c r="F788" s="96"/>
    </row>
    <row r="789">
      <c r="A789" s="12"/>
      <c r="D789" s="95"/>
      <c r="E789" s="14"/>
      <c r="F789" s="96"/>
    </row>
    <row r="790">
      <c r="A790" s="12"/>
      <c r="D790" s="95"/>
      <c r="E790" s="14"/>
      <c r="F790" s="96"/>
    </row>
    <row r="791">
      <c r="A791" s="12"/>
      <c r="D791" s="95"/>
      <c r="E791" s="14"/>
      <c r="F791" s="96"/>
    </row>
    <row r="792">
      <c r="A792" s="12"/>
      <c r="D792" s="95"/>
      <c r="E792" s="14"/>
      <c r="F792" s="96"/>
    </row>
    <row r="793">
      <c r="A793" s="12"/>
      <c r="D793" s="95"/>
      <c r="E793" s="14"/>
      <c r="F793" s="96"/>
    </row>
    <row r="794">
      <c r="A794" s="12"/>
      <c r="D794" s="95"/>
      <c r="E794" s="14"/>
      <c r="F794" s="96"/>
    </row>
    <row r="795">
      <c r="A795" s="12"/>
      <c r="D795" s="95"/>
      <c r="E795" s="14"/>
      <c r="F795" s="96"/>
    </row>
    <row r="796">
      <c r="A796" s="12"/>
      <c r="D796" s="95"/>
      <c r="E796" s="14"/>
      <c r="F796" s="96"/>
    </row>
    <row r="797">
      <c r="A797" s="12"/>
      <c r="D797" s="95"/>
      <c r="E797" s="14"/>
      <c r="F797" s="96"/>
    </row>
    <row r="798">
      <c r="A798" s="12"/>
      <c r="D798" s="95"/>
      <c r="E798" s="14"/>
      <c r="F798" s="96"/>
    </row>
    <row r="799">
      <c r="A799" s="12"/>
      <c r="D799" s="95"/>
      <c r="E799" s="14"/>
      <c r="F799" s="96"/>
    </row>
    <row r="800">
      <c r="A800" s="12"/>
      <c r="D800" s="95"/>
      <c r="E800" s="14"/>
      <c r="F800" s="96"/>
    </row>
    <row r="801">
      <c r="A801" s="12"/>
      <c r="D801" s="95"/>
      <c r="E801" s="14"/>
      <c r="F801" s="96"/>
    </row>
    <row r="802">
      <c r="A802" s="12"/>
      <c r="D802" s="95"/>
      <c r="E802" s="14"/>
      <c r="F802" s="96"/>
    </row>
    <row r="803">
      <c r="A803" s="12"/>
      <c r="D803" s="95"/>
      <c r="E803" s="14"/>
      <c r="F803" s="96"/>
    </row>
    <row r="804">
      <c r="A804" s="12"/>
      <c r="D804" s="95"/>
      <c r="E804" s="14"/>
      <c r="F804" s="96"/>
    </row>
    <row r="805">
      <c r="A805" s="12"/>
      <c r="D805" s="95"/>
      <c r="E805" s="14"/>
      <c r="F805" s="96"/>
    </row>
    <row r="806">
      <c r="A806" s="12"/>
      <c r="D806" s="95"/>
      <c r="E806" s="14"/>
      <c r="F806" s="96"/>
    </row>
    <row r="807">
      <c r="A807" s="12"/>
      <c r="D807" s="95"/>
      <c r="E807" s="14"/>
      <c r="F807" s="96"/>
    </row>
    <row r="808">
      <c r="A808" s="12"/>
      <c r="D808" s="95"/>
      <c r="E808" s="14"/>
      <c r="F808" s="96"/>
    </row>
    <row r="809">
      <c r="A809" s="12"/>
      <c r="D809" s="95"/>
      <c r="E809" s="14"/>
      <c r="F809" s="96"/>
    </row>
    <row r="810">
      <c r="A810" s="12"/>
      <c r="D810" s="95"/>
      <c r="E810" s="14"/>
      <c r="F810" s="96"/>
    </row>
    <row r="811">
      <c r="A811" s="12"/>
      <c r="D811" s="95"/>
      <c r="E811" s="14"/>
      <c r="F811" s="96"/>
    </row>
    <row r="812">
      <c r="A812" s="12"/>
      <c r="D812" s="95"/>
      <c r="E812" s="14"/>
      <c r="F812" s="96"/>
    </row>
    <row r="813">
      <c r="A813" s="12"/>
      <c r="D813" s="95"/>
      <c r="E813" s="14"/>
      <c r="F813" s="96"/>
    </row>
    <row r="814">
      <c r="A814" s="12"/>
      <c r="D814" s="95"/>
      <c r="E814" s="14"/>
      <c r="F814" s="96"/>
    </row>
    <row r="815">
      <c r="A815" s="12"/>
      <c r="D815" s="95"/>
      <c r="E815" s="14"/>
      <c r="F815" s="96"/>
    </row>
    <row r="816">
      <c r="A816" s="12"/>
      <c r="D816" s="95"/>
      <c r="E816" s="14"/>
      <c r="F816" s="96"/>
    </row>
    <row r="817">
      <c r="A817" s="12"/>
      <c r="D817" s="95"/>
      <c r="E817" s="14"/>
      <c r="F817" s="96"/>
    </row>
    <row r="818">
      <c r="A818" s="12"/>
      <c r="D818" s="95"/>
      <c r="E818" s="14"/>
      <c r="F818" s="96"/>
    </row>
    <row r="819">
      <c r="A819" s="12"/>
      <c r="D819" s="95"/>
      <c r="E819" s="14"/>
      <c r="F819" s="96"/>
    </row>
    <row r="820">
      <c r="A820" s="12"/>
      <c r="D820" s="95"/>
      <c r="E820" s="14"/>
      <c r="F820" s="96"/>
    </row>
    <row r="821">
      <c r="A821" s="12"/>
      <c r="D821" s="95"/>
      <c r="E821" s="14"/>
      <c r="F821" s="96"/>
    </row>
    <row r="822">
      <c r="A822" s="12"/>
      <c r="D822" s="95"/>
      <c r="E822" s="14"/>
      <c r="F822" s="96"/>
    </row>
    <row r="823">
      <c r="A823" s="12"/>
      <c r="D823" s="95"/>
      <c r="E823" s="14"/>
      <c r="F823" s="96"/>
    </row>
    <row r="824">
      <c r="A824" s="12"/>
      <c r="D824" s="95"/>
      <c r="E824" s="14"/>
      <c r="F824" s="96"/>
    </row>
    <row r="825">
      <c r="A825" s="12"/>
      <c r="D825" s="95"/>
      <c r="E825" s="14"/>
      <c r="F825" s="96"/>
    </row>
    <row r="826">
      <c r="A826" s="12"/>
      <c r="D826" s="95"/>
      <c r="E826" s="14"/>
      <c r="F826" s="96"/>
    </row>
    <row r="827">
      <c r="A827" s="12"/>
      <c r="D827" s="95"/>
      <c r="E827" s="14"/>
      <c r="F827" s="96"/>
    </row>
    <row r="828">
      <c r="A828" s="12"/>
      <c r="D828" s="95"/>
      <c r="E828" s="14"/>
      <c r="F828" s="96"/>
    </row>
    <row r="829">
      <c r="A829" s="12"/>
      <c r="D829" s="95"/>
      <c r="E829" s="14"/>
      <c r="F829" s="96"/>
    </row>
    <row r="830">
      <c r="A830" s="12"/>
      <c r="D830" s="95"/>
      <c r="E830" s="14"/>
      <c r="F830" s="96"/>
    </row>
    <row r="831">
      <c r="A831" s="12"/>
      <c r="D831" s="95"/>
      <c r="E831" s="14"/>
      <c r="F831" s="96"/>
    </row>
    <row r="832">
      <c r="A832" s="12"/>
      <c r="D832" s="95"/>
      <c r="E832" s="14"/>
      <c r="F832" s="96"/>
    </row>
    <row r="833">
      <c r="A833" s="12"/>
      <c r="D833" s="95"/>
      <c r="E833" s="14"/>
      <c r="F833" s="96"/>
    </row>
    <row r="834">
      <c r="A834" s="12"/>
      <c r="D834" s="95"/>
      <c r="E834" s="14"/>
      <c r="F834" s="96"/>
    </row>
    <row r="835">
      <c r="A835" s="12"/>
      <c r="D835" s="95"/>
      <c r="E835" s="14"/>
      <c r="F835" s="96"/>
    </row>
    <row r="836">
      <c r="A836" s="12"/>
      <c r="D836" s="95"/>
      <c r="E836" s="14"/>
      <c r="F836" s="96"/>
    </row>
    <row r="837">
      <c r="A837" s="12"/>
      <c r="D837" s="95"/>
      <c r="E837" s="14"/>
      <c r="F837" s="96"/>
    </row>
    <row r="838">
      <c r="A838" s="12"/>
      <c r="D838" s="95"/>
      <c r="E838" s="14"/>
      <c r="F838" s="96"/>
    </row>
    <row r="839">
      <c r="A839" s="12"/>
      <c r="D839" s="95"/>
      <c r="E839" s="14"/>
      <c r="F839" s="96"/>
    </row>
    <row r="840">
      <c r="A840" s="12"/>
      <c r="D840" s="95"/>
      <c r="E840" s="14"/>
      <c r="F840" s="96"/>
    </row>
    <row r="841">
      <c r="A841" s="12"/>
      <c r="D841" s="95"/>
      <c r="E841" s="14"/>
      <c r="F841" s="96"/>
    </row>
    <row r="842">
      <c r="A842" s="12"/>
      <c r="D842" s="95"/>
      <c r="E842" s="14"/>
      <c r="F842" s="96"/>
    </row>
    <row r="843">
      <c r="A843" s="12"/>
      <c r="D843" s="95"/>
      <c r="E843" s="14"/>
      <c r="F843" s="96"/>
    </row>
    <row r="844">
      <c r="A844" s="12"/>
      <c r="D844" s="95"/>
      <c r="E844" s="14"/>
      <c r="F844" s="96"/>
    </row>
    <row r="845">
      <c r="A845" s="12"/>
      <c r="D845" s="95"/>
      <c r="E845" s="14"/>
      <c r="F845" s="96"/>
    </row>
    <row r="846">
      <c r="A846" s="12"/>
      <c r="D846" s="95"/>
      <c r="E846" s="14"/>
      <c r="F846" s="96"/>
    </row>
    <row r="847">
      <c r="A847" s="12"/>
      <c r="D847" s="95"/>
      <c r="E847" s="14"/>
      <c r="F847" s="96"/>
    </row>
    <row r="848">
      <c r="A848" s="12"/>
      <c r="D848" s="95"/>
      <c r="E848" s="14"/>
      <c r="F848" s="96"/>
    </row>
    <row r="849">
      <c r="A849" s="12"/>
      <c r="D849" s="95"/>
      <c r="E849" s="14"/>
      <c r="F849" s="96"/>
    </row>
    <row r="850">
      <c r="A850" s="12"/>
      <c r="D850" s="95"/>
      <c r="E850" s="14"/>
      <c r="F850" s="96"/>
    </row>
    <row r="851">
      <c r="A851" s="12"/>
      <c r="D851" s="95"/>
      <c r="E851" s="14"/>
      <c r="F851" s="96"/>
    </row>
    <row r="852">
      <c r="A852" s="12"/>
      <c r="D852" s="95"/>
      <c r="E852" s="14"/>
      <c r="F852" s="96"/>
    </row>
    <row r="853">
      <c r="A853" s="12"/>
      <c r="D853" s="95"/>
      <c r="E853" s="14"/>
      <c r="F853" s="96"/>
    </row>
    <row r="854">
      <c r="A854" s="12"/>
      <c r="D854" s="95"/>
      <c r="E854" s="14"/>
      <c r="F854" s="96"/>
    </row>
    <row r="855">
      <c r="A855" s="12"/>
      <c r="D855" s="95"/>
      <c r="E855" s="14"/>
      <c r="F855" s="96"/>
    </row>
    <row r="856">
      <c r="A856" s="12"/>
      <c r="D856" s="95"/>
      <c r="E856" s="14"/>
      <c r="F856" s="96"/>
    </row>
    <row r="857">
      <c r="A857" s="12"/>
      <c r="D857" s="95"/>
      <c r="E857" s="14"/>
      <c r="F857" s="96"/>
    </row>
    <row r="858">
      <c r="A858" s="12"/>
      <c r="D858" s="95"/>
      <c r="E858" s="14"/>
      <c r="F858" s="96"/>
    </row>
    <row r="859">
      <c r="A859" s="12"/>
      <c r="D859" s="95"/>
      <c r="E859" s="14"/>
      <c r="F859" s="96"/>
    </row>
    <row r="860">
      <c r="A860" s="12"/>
      <c r="D860" s="95"/>
      <c r="E860" s="14"/>
      <c r="F860" s="96"/>
    </row>
    <row r="861">
      <c r="A861" s="12"/>
      <c r="D861" s="95"/>
      <c r="E861" s="14"/>
      <c r="F861" s="96"/>
    </row>
    <row r="862">
      <c r="A862" s="12"/>
      <c r="D862" s="95"/>
      <c r="E862" s="14"/>
      <c r="F862" s="96"/>
    </row>
    <row r="863">
      <c r="A863" s="12"/>
      <c r="D863" s="95"/>
      <c r="E863" s="14"/>
      <c r="F863" s="96"/>
    </row>
    <row r="864">
      <c r="A864" s="12"/>
      <c r="D864" s="95"/>
      <c r="E864" s="14"/>
      <c r="F864" s="96"/>
    </row>
    <row r="865">
      <c r="A865" s="12"/>
      <c r="D865" s="95"/>
      <c r="E865" s="14"/>
      <c r="F865" s="96"/>
    </row>
    <row r="866">
      <c r="A866" s="12"/>
      <c r="D866" s="95"/>
      <c r="E866" s="14"/>
      <c r="F866" s="96"/>
    </row>
    <row r="867">
      <c r="A867" s="12"/>
      <c r="D867" s="95"/>
      <c r="E867" s="14"/>
      <c r="F867" s="96"/>
    </row>
    <row r="868">
      <c r="A868" s="12"/>
      <c r="D868" s="95"/>
      <c r="E868" s="14"/>
      <c r="F868" s="96"/>
    </row>
    <row r="869">
      <c r="A869" s="12"/>
      <c r="D869" s="95"/>
      <c r="E869" s="14"/>
      <c r="F869" s="96"/>
    </row>
    <row r="870">
      <c r="A870" s="12"/>
      <c r="D870" s="95"/>
      <c r="E870" s="14"/>
      <c r="F870" s="96"/>
    </row>
    <row r="871">
      <c r="A871" s="12"/>
      <c r="D871" s="95"/>
      <c r="E871" s="14"/>
      <c r="F871" s="96"/>
    </row>
    <row r="872">
      <c r="A872" s="12"/>
      <c r="D872" s="95"/>
      <c r="E872" s="14"/>
      <c r="F872" s="96"/>
    </row>
    <row r="873">
      <c r="A873" s="12"/>
      <c r="D873" s="95"/>
      <c r="E873" s="14"/>
      <c r="F873" s="96"/>
    </row>
    <row r="874">
      <c r="A874" s="12"/>
      <c r="D874" s="95"/>
      <c r="E874" s="14"/>
      <c r="F874" s="96"/>
    </row>
    <row r="875">
      <c r="A875" s="12"/>
      <c r="D875" s="95"/>
      <c r="E875" s="14"/>
      <c r="F875" s="96"/>
    </row>
    <row r="876">
      <c r="A876" s="12"/>
      <c r="D876" s="95"/>
      <c r="E876" s="14"/>
      <c r="F876" s="96"/>
    </row>
    <row r="877">
      <c r="A877" s="12"/>
      <c r="D877" s="95"/>
      <c r="E877" s="14"/>
      <c r="F877" s="96"/>
    </row>
    <row r="878">
      <c r="A878" s="12"/>
      <c r="D878" s="95"/>
      <c r="E878" s="14"/>
      <c r="F878" s="96"/>
    </row>
    <row r="879">
      <c r="A879" s="12"/>
      <c r="D879" s="95"/>
      <c r="E879" s="14"/>
      <c r="F879" s="96"/>
    </row>
    <row r="880">
      <c r="A880" s="12"/>
      <c r="D880" s="95"/>
      <c r="E880" s="14"/>
      <c r="F880" s="96"/>
    </row>
    <row r="881">
      <c r="A881" s="12"/>
      <c r="D881" s="95"/>
      <c r="E881" s="14"/>
      <c r="F881" s="96"/>
    </row>
    <row r="882">
      <c r="A882" s="12"/>
      <c r="D882" s="95"/>
      <c r="E882" s="14"/>
      <c r="F882" s="96"/>
    </row>
    <row r="883">
      <c r="A883" s="12"/>
      <c r="D883" s="95"/>
      <c r="E883" s="14"/>
      <c r="F883" s="96"/>
    </row>
    <row r="884">
      <c r="A884" s="12"/>
      <c r="D884" s="95"/>
      <c r="E884" s="14"/>
      <c r="F884" s="96"/>
    </row>
    <row r="885">
      <c r="A885" s="12"/>
      <c r="D885" s="95"/>
      <c r="E885" s="14"/>
      <c r="F885" s="96"/>
    </row>
    <row r="886">
      <c r="A886" s="12"/>
      <c r="D886" s="95"/>
      <c r="E886" s="14"/>
      <c r="F886" s="96"/>
    </row>
    <row r="887">
      <c r="A887" s="12"/>
      <c r="D887" s="95"/>
      <c r="E887" s="14"/>
      <c r="F887" s="96"/>
    </row>
    <row r="888">
      <c r="A888" s="12"/>
      <c r="D888" s="95"/>
      <c r="E888" s="14"/>
      <c r="F888" s="96"/>
    </row>
    <row r="889">
      <c r="A889" s="12"/>
      <c r="D889" s="95"/>
      <c r="E889" s="14"/>
      <c r="F889" s="96"/>
    </row>
    <row r="890">
      <c r="A890" s="12"/>
      <c r="D890" s="95"/>
      <c r="E890" s="14"/>
      <c r="F890" s="96"/>
    </row>
    <row r="891">
      <c r="A891" s="12"/>
      <c r="D891" s="95"/>
      <c r="E891" s="14"/>
      <c r="F891" s="96"/>
    </row>
    <row r="892">
      <c r="A892" s="12"/>
      <c r="D892" s="95"/>
      <c r="E892" s="14"/>
      <c r="F892" s="96"/>
    </row>
    <row r="893">
      <c r="A893" s="12"/>
      <c r="D893" s="95"/>
      <c r="E893" s="14"/>
      <c r="F893" s="96"/>
    </row>
    <row r="894">
      <c r="A894" s="12"/>
      <c r="D894" s="95"/>
      <c r="E894" s="14"/>
      <c r="F894" s="96"/>
    </row>
    <row r="895">
      <c r="A895" s="12"/>
      <c r="D895" s="95"/>
      <c r="E895" s="14"/>
      <c r="F895" s="96"/>
    </row>
    <row r="896">
      <c r="A896" s="12"/>
      <c r="D896" s="95"/>
      <c r="E896" s="14"/>
      <c r="F896" s="96"/>
    </row>
    <row r="897">
      <c r="A897" s="12"/>
      <c r="D897" s="95"/>
      <c r="E897" s="14"/>
      <c r="F897" s="96"/>
    </row>
    <row r="898">
      <c r="A898" s="12"/>
      <c r="D898" s="95"/>
      <c r="E898" s="14"/>
      <c r="F898" s="96"/>
    </row>
    <row r="899">
      <c r="A899" s="12"/>
      <c r="D899" s="95"/>
      <c r="E899" s="14"/>
      <c r="F899" s="96"/>
    </row>
    <row r="900">
      <c r="A900" s="12"/>
      <c r="D900" s="95"/>
      <c r="E900" s="14"/>
      <c r="F900" s="96"/>
    </row>
    <row r="901">
      <c r="A901" s="12"/>
      <c r="D901" s="95"/>
      <c r="E901" s="14"/>
      <c r="F901" s="96"/>
    </row>
    <row r="902">
      <c r="A902" s="12"/>
      <c r="D902" s="95"/>
      <c r="E902" s="14"/>
      <c r="F902" s="96"/>
    </row>
    <row r="903">
      <c r="A903" s="12"/>
      <c r="D903" s="95"/>
      <c r="E903" s="14"/>
      <c r="F903" s="96"/>
    </row>
    <row r="904">
      <c r="A904" s="12"/>
      <c r="D904" s="95"/>
      <c r="E904" s="14"/>
      <c r="F904" s="96"/>
    </row>
    <row r="905">
      <c r="A905" s="12"/>
      <c r="D905" s="95"/>
      <c r="E905" s="14"/>
      <c r="F905" s="96"/>
    </row>
    <row r="906">
      <c r="A906" s="12"/>
      <c r="D906" s="95"/>
      <c r="E906" s="14"/>
      <c r="F906" s="96"/>
    </row>
    <row r="907">
      <c r="A907" s="12"/>
      <c r="D907" s="95"/>
      <c r="E907" s="14"/>
      <c r="F907" s="96"/>
    </row>
    <row r="908">
      <c r="A908" s="12"/>
      <c r="D908" s="95"/>
      <c r="E908" s="14"/>
      <c r="F908" s="96"/>
    </row>
    <row r="909">
      <c r="A909" s="12"/>
      <c r="D909" s="95"/>
      <c r="E909" s="14"/>
      <c r="F909" s="96"/>
    </row>
    <row r="910">
      <c r="A910" s="12"/>
      <c r="D910" s="95"/>
      <c r="E910" s="14"/>
      <c r="F910" s="96"/>
    </row>
    <row r="911">
      <c r="A911" s="12"/>
      <c r="D911" s="95"/>
      <c r="E911" s="14"/>
      <c r="F911" s="96"/>
    </row>
    <row r="912">
      <c r="A912" s="12"/>
      <c r="D912" s="95"/>
      <c r="E912" s="14"/>
      <c r="F912" s="96"/>
    </row>
    <row r="913">
      <c r="A913" s="12"/>
      <c r="D913" s="95"/>
      <c r="E913" s="14"/>
      <c r="F913" s="96"/>
    </row>
    <row r="914">
      <c r="A914" s="12"/>
      <c r="D914" s="95"/>
      <c r="E914" s="14"/>
      <c r="F914" s="96"/>
    </row>
    <row r="915">
      <c r="A915" s="12"/>
      <c r="D915" s="95"/>
      <c r="E915" s="14"/>
      <c r="F915" s="96"/>
    </row>
    <row r="916">
      <c r="A916" s="12"/>
      <c r="D916" s="95"/>
      <c r="E916" s="14"/>
      <c r="F916" s="96"/>
    </row>
    <row r="917">
      <c r="A917" s="12"/>
      <c r="D917" s="95"/>
      <c r="E917" s="14"/>
      <c r="F917" s="96"/>
    </row>
    <row r="918">
      <c r="A918" s="12"/>
      <c r="D918" s="95"/>
      <c r="E918" s="14"/>
      <c r="F918" s="96"/>
    </row>
    <row r="919">
      <c r="A919" s="12"/>
      <c r="D919" s="95"/>
      <c r="E919" s="14"/>
      <c r="F919" s="96"/>
    </row>
    <row r="920">
      <c r="A920" s="12"/>
      <c r="D920" s="95"/>
      <c r="E920" s="14"/>
      <c r="F920" s="96"/>
    </row>
    <row r="921">
      <c r="A921" s="12"/>
      <c r="D921" s="95"/>
      <c r="E921" s="14"/>
      <c r="F921" s="96"/>
    </row>
    <row r="922">
      <c r="A922" s="12"/>
      <c r="D922" s="95"/>
      <c r="E922" s="14"/>
      <c r="F922" s="96"/>
    </row>
    <row r="923">
      <c r="A923" s="12"/>
      <c r="D923" s="95"/>
      <c r="E923" s="14"/>
      <c r="F923" s="96"/>
    </row>
    <row r="924">
      <c r="A924" s="12"/>
      <c r="D924" s="95"/>
      <c r="E924" s="14"/>
      <c r="F924" s="96"/>
    </row>
    <row r="925">
      <c r="A925" s="12"/>
      <c r="D925" s="95"/>
      <c r="E925" s="14"/>
      <c r="F925" s="96"/>
    </row>
    <row r="926">
      <c r="A926" s="12"/>
      <c r="D926" s="95"/>
      <c r="E926" s="14"/>
      <c r="F926" s="96"/>
    </row>
    <row r="927">
      <c r="A927" s="12"/>
      <c r="D927" s="95"/>
      <c r="E927" s="14"/>
      <c r="F927" s="96"/>
    </row>
    <row r="928">
      <c r="A928" s="12"/>
      <c r="D928" s="95"/>
      <c r="E928" s="14"/>
      <c r="F928" s="96"/>
    </row>
    <row r="929">
      <c r="A929" s="12"/>
      <c r="D929" s="95"/>
      <c r="E929" s="14"/>
      <c r="F929" s="96"/>
    </row>
    <row r="930">
      <c r="A930" s="12"/>
      <c r="D930" s="95"/>
      <c r="E930" s="14"/>
      <c r="F930" s="96"/>
    </row>
    <row r="931">
      <c r="A931" s="12"/>
      <c r="D931" s="95"/>
      <c r="E931" s="14"/>
      <c r="F931" s="96"/>
    </row>
    <row r="932">
      <c r="A932" s="12"/>
      <c r="D932" s="95"/>
      <c r="E932" s="14"/>
      <c r="F932" s="96"/>
    </row>
    <row r="933">
      <c r="A933" s="12"/>
      <c r="D933" s="95"/>
      <c r="E933" s="14"/>
      <c r="F933" s="96"/>
    </row>
    <row r="934">
      <c r="A934" s="12"/>
      <c r="D934" s="95"/>
      <c r="E934" s="14"/>
      <c r="F934" s="96"/>
    </row>
    <row r="935">
      <c r="A935" s="12"/>
      <c r="D935" s="95"/>
      <c r="E935" s="14"/>
      <c r="F935" s="96"/>
    </row>
    <row r="936">
      <c r="A936" s="12"/>
      <c r="D936" s="95"/>
      <c r="E936" s="14"/>
      <c r="F936" s="96"/>
    </row>
    <row r="937">
      <c r="A937" s="12"/>
      <c r="D937" s="95"/>
      <c r="E937" s="14"/>
      <c r="F937" s="96"/>
    </row>
    <row r="938">
      <c r="A938" s="12"/>
      <c r="D938" s="95"/>
      <c r="E938" s="14"/>
      <c r="F938" s="96"/>
    </row>
    <row r="939">
      <c r="A939" s="12"/>
      <c r="D939" s="95"/>
      <c r="E939" s="14"/>
      <c r="F939" s="96"/>
    </row>
    <row r="940">
      <c r="A940" s="12"/>
      <c r="D940" s="95"/>
      <c r="E940" s="14"/>
      <c r="F940" s="96"/>
    </row>
    <row r="941">
      <c r="A941" s="12"/>
      <c r="D941" s="95"/>
      <c r="E941" s="14"/>
      <c r="F941" s="96"/>
    </row>
    <row r="942">
      <c r="A942" s="12"/>
      <c r="D942" s="95"/>
      <c r="E942" s="14"/>
      <c r="F942" s="96"/>
    </row>
    <row r="943">
      <c r="A943" s="12"/>
      <c r="D943" s="95"/>
      <c r="E943" s="14"/>
      <c r="F943" s="96"/>
    </row>
    <row r="944">
      <c r="A944" s="12"/>
      <c r="D944" s="95"/>
      <c r="E944" s="14"/>
      <c r="F944" s="96"/>
    </row>
    <row r="945">
      <c r="A945" s="12"/>
      <c r="D945" s="95"/>
      <c r="E945" s="14"/>
      <c r="F945" s="96"/>
    </row>
    <row r="946">
      <c r="A946" s="12"/>
      <c r="D946" s="95"/>
      <c r="E946" s="14"/>
      <c r="F946" s="96"/>
    </row>
    <row r="947">
      <c r="A947" s="12"/>
      <c r="D947" s="95"/>
      <c r="E947" s="14"/>
      <c r="F947" s="96"/>
    </row>
    <row r="948">
      <c r="A948" s="12"/>
      <c r="D948" s="95"/>
      <c r="E948" s="14"/>
      <c r="F948" s="96"/>
    </row>
    <row r="949">
      <c r="A949" s="12"/>
      <c r="D949" s="95"/>
      <c r="E949" s="14"/>
      <c r="F949" s="96"/>
    </row>
    <row r="950">
      <c r="A950" s="12"/>
      <c r="D950" s="95"/>
      <c r="E950" s="14"/>
      <c r="F950" s="96"/>
    </row>
    <row r="951">
      <c r="A951" s="12"/>
      <c r="D951" s="95"/>
      <c r="E951" s="14"/>
      <c r="F951" s="96"/>
    </row>
    <row r="952">
      <c r="A952" s="12"/>
      <c r="D952" s="95"/>
      <c r="E952" s="14"/>
      <c r="F952" s="96"/>
    </row>
    <row r="953">
      <c r="A953" s="12"/>
      <c r="D953" s="95"/>
      <c r="E953" s="14"/>
      <c r="F953" s="96"/>
    </row>
    <row r="954">
      <c r="A954" s="12"/>
      <c r="D954" s="95"/>
      <c r="E954" s="14"/>
      <c r="F954" s="96"/>
    </row>
    <row r="955">
      <c r="A955" s="12"/>
      <c r="D955" s="95"/>
      <c r="E955" s="14"/>
      <c r="F955" s="96"/>
    </row>
    <row r="956">
      <c r="A956" s="12"/>
      <c r="D956" s="95"/>
      <c r="E956" s="14"/>
      <c r="F956" s="96"/>
    </row>
    <row r="957">
      <c r="A957" s="12"/>
      <c r="D957" s="95"/>
      <c r="E957" s="14"/>
      <c r="F957" s="96"/>
    </row>
    <row r="958">
      <c r="A958" s="12"/>
      <c r="D958" s="95"/>
      <c r="E958" s="14"/>
      <c r="F958" s="96"/>
    </row>
    <row r="959">
      <c r="A959" s="12"/>
      <c r="D959" s="95"/>
      <c r="E959" s="14"/>
      <c r="F959" s="96"/>
    </row>
    <row r="960">
      <c r="A960" s="12"/>
      <c r="D960" s="95"/>
      <c r="E960" s="14"/>
      <c r="F960" s="96"/>
    </row>
    <row r="961">
      <c r="A961" s="12"/>
      <c r="D961" s="95"/>
      <c r="E961" s="14"/>
      <c r="F961" s="96"/>
    </row>
    <row r="962">
      <c r="A962" s="12"/>
      <c r="D962" s="95"/>
      <c r="E962" s="14"/>
      <c r="F962" s="96"/>
    </row>
    <row r="963">
      <c r="A963" s="12"/>
      <c r="D963" s="95"/>
      <c r="E963" s="14"/>
      <c r="F963" s="96"/>
    </row>
    <row r="964">
      <c r="A964" s="12"/>
      <c r="D964" s="95"/>
      <c r="E964" s="14"/>
      <c r="F964" s="96"/>
    </row>
    <row r="965">
      <c r="A965" s="12"/>
      <c r="D965" s="95"/>
      <c r="E965" s="14"/>
      <c r="F965" s="96"/>
    </row>
    <row r="966">
      <c r="A966" s="12"/>
      <c r="D966" s="95"/>
      <c r="E966" s="14"/>
      <c r="F966" s="96"/>
    </row>
    <row r="967">
      <c r="A967" s="12"/>
      <c r="D967" s="95"/>
      <c r="E967" s="14"/>
      <c r="F967" s="96"/>
    </row>
    <row r="968">
      <c r="A968" s="12"/>
      <c r="D968" s="95"/>
      <c r="E968" s="14"/>
      <c r="F968" s="96"/>
    </row>
    <row r="969">
      <c r="A969" s="12"/>
      <c r="D969" s="95"/>
      <c r="E969" s="14"/>
      <c r="F969" s="96"/>
    </row>
    <row r="970">
      <c r="A970" s="12"/>
      <c r="D970" s="95"/>
      <c r="E970" s="14"/>
      <c r="F970" s="96"/>
    </row>
    <row r="971">
      <c r="A971" s="12"/>
      <c r="D971" s="95"/>
      <c r="E971" s="14"/>
      <c r="F971" s="96"/>
    </row>
    <row r="972">
      <c r="A972" s="12"/>
      <c r="D972" s="95"/>
      <c r="E972" s="14"/>
      <c r="F972" s="96"/>
    </row>
    <row r="973">
      <c r="A973" s="12"/>
      <c r="D973" s="95"/>
      <c r="E973" s="14"/>
      <c r="F973" s="96"/>
    </row>
    <row r="974">
      <c r="A974" s="12"/>
      <c r="D974" s="95"/>
      <c r="E974" s="14"/>
      <c r="F974" s="96"/>
    </row>
    <row r="975">
      <c r="A975" s="12"/>
      <c r="D975" s="95"/>
      <c r="E975" s="14"/>
      <c r="F975" s="96"/>
    </row>
    <row r="976">
      <c r="A976" s="12"/>
      <c r="D976" s="95"/>
      <c r="E976" s="14"/>
      <c r="F976" s="96"/>
    </row>
    <row r="977">
      <c r="A977" s="12"/>
      <c r="D977" s="95"/>
      <c r="E977" s="14"/>
      <c r="F977" s="96"/>
    </row>
    <row r="978">
      <c r="A978" s="12"/>
      <c r="D978" s="95"/>
      <c r="E978" s="14"/>
      <c r="F978" s="96"/>
    </row>
    <row r="979">
      <c r="A979" s="12"/>
      <c r="D979" s="95"/>
      <c r="E979" s="14"/>
      <c r="F979" s="96"/>
    </row>
    <row r="980">
      <c r="A980" s="12"/>
      <c r="D980" s="95"/>
      <c r="E980" s="14"/>
      <c r="F980" s="96"/>
    </row>
    <row r="981">
      <c r="A981" s="12"/>
      <c r="D981" s="95"/>
      <c r="E981" s="14"/>
      <c r="F981" s="96"/>
    </row>
    <row r="982">
      <c r="A982" s="12"/>
      <c r="D982" s="95"/>
      <c r="E982" s="14"/>
      <c r="F982" s="96"/>
    </row>
    <row r="983">
      <c r="A983" s="12"/>
      <c r="D983" s="95"/>
      <c r="E983" s="14"/>
      <c r="F983" s="96"/>
    </row>
    <row r="984">
      <c r="A984" s="12"/>
      <c r="D984" s="95"/>
      <c r="E984" s="14"/>
      <c r="F984" s="96"/>
    </row>
    <row r="985">
      <c r="A985" s="12"/>
      <c r="D985" s="95"/>
      <c r="E985" s="14"/>
      <c r="F985" s="96"/>
    </row>
    <row r="986">
      <c r="A986" s="12"/>
      <c r="D986" s="95"/>
      <c r="E986" s="14"/>
      <c r="F986" s="96"/>
    </row>
    <row r="987">
      <c r="A987" s="12"/>
      <c r="D987" s="95"/>
      <c r="E987" s="14"/>
      <c r="F987" s="96"/>
    </row>
    <row r="988">
      <c r="A988" s="12"/>
      <c r="D988" s="95"/>
      <c r="E988" s="14"/>
      <c r="F988" s="96"/>
    </row>
    <row r="989">
      <c r="A989" s="12"/>
      <c r="D989" s="95"/>
      <c r="E989" s="14"/>
      <c r="F989" s="96"/>
    </row>
    <row r="990">
      <c r="A990" s="12"/>
      <c r="D990" s="95"/>
      <c r="E990" s="14"/>
      <c r="F990" s="96"/>
    </row>
    <row r="991">
      <c r="A991" s="12"/>
      <c r="D991" s="95"/>
      <c r="E991" s="14"/>
      <c r="F991" s="96"/>
    </row>
    <row r="992">
      <c r="A992" s="12"/>
      <c r="D992" s="95"/>
      <c r="E992" s="14"/>
      <c r="F992" s="96"/>
    </row>
    <row r="993">
      <c r="A993" s="12"/>
      <c r="D993" s="95"/>
      <c r="E993" s="14"/>
      <c r="F993" s="96"/>
    </row>
    <row r="994">
      <c r="A994" s="12"/>
      <c r="D994" s="95"/>
      <c r="E994" s="14"/>
      <c r="F994" s="96"/>
    </row>
    <row r="995">
      <c r="A995" s="12"/>
      <c r="D995" s="95"/>
      <c r="E995" s="14"/>
      <c r="F995" s="96"/>
    </row>
    <row r="996">
      <c r="A996" s="12"/>
      <c r="D996" s="95"/>
      <c r="E996" s="14"/>
      <c r="F996" s="96"/>
    </row>
    <row r="997">
      <c r="A997" s="12"/>
      <c r="D997" s="95"/>
      <c r="E997" s="14"/>
      <c r="F997" s="96"/>
    </row>
    <row r="998">
      <c r="A998" s="12"/>
      <c r="D998" s="95"/>
      <c r="E998" s="14"/>
      <c r="F998" s="96"/>
    </row>
    <row r="999">
      <c r="A999" s="12"/>
      <c r="D999" s="95"/>
      <c r="E999" s="14"/>
      <c r="F999" s="96"/>
    </row>
    <row r="1000">
      <c r="A1000" s="12"/>
      <c r="D1000" s="95"/>
      <c r="E1000" s="14"/>
      <c r="F1000" s="96"/>
    </row>
    <row r="1001">
      <c r="A1001" s="12"/>
      <c r="D1001" s="95"/>
      <c r="E1001" s="14"/>
      <c r="F1001" s="96"/>
    </row>
    <row r="1002">
      <c r="A1002" s="12"/>
      <c r="D1002" s="95"/>
      <c r="E1002" s="14"/>
      <c r="F1002" s="96"/>
    </row>
  </sheetData>
  <conditionalFormatting sqref="H2:P42">
    <cfRule type="cellIs" dxfId="38" priority="1" operator="equal">
      <formula>0</formula>
    </cfRule>
  </conditionalFormatting>
  <conditionalFormatting sqref="O2:P42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42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42">
    <cfRule type="colorScale" priority="4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42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42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0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42">
    <cfRule type="colorScale" priority="8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H2:H42">
    <cfRule type="colorScale" priority="9">
      <colorScale>
        <cfvo type="min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9:C56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9:F56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2:F42 F45:F46">
      <formula1>OR(NOT(ISERROR(DATEVALUE(F2))), AND(ISNUMBER(F2), LEFT(CELL("format", F2))="D"))</formula1>
    </dataValidation>
    <dataValidation type="list" allowBlank="1" showDropDown="1" sqref="C2:C42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38"/>
    <col customWidth="1" min="2" max="2" width="18.25"/>
    <col customWidth="1" min="3" max="3" width="14.5"/>
    <col customWidth="1" min="4" max="4" width="34.0"/>
    <col customWidth="1" min="5" max="5" width="9.25"/>
    <col customWidth="1" min="6" max="6" width="29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1181" t="s">
        <v>48</v>
      </c>
      <c r="B1" s="1182" t="s">
        <v>49</v>
      </c>
      <c r="C1" s="1182" t="s">
        <v>50</v>
      </c>
      <c r="D1" s="1183" t="s">
        <v>56</v>
      </c>
      <c r="E1" s="1181" t="s">
        <v>57</v>
      </c>
      <c r="F1" s="1184" t="s">
        <v>52</v>
      </c>
      <c r="G1" s="1185" t="s">
        <v>53</v>
      </c>
      <c r="H1" s="1181" t="s">
        <v>4</v>
      </c>
      <c r="I1" s="1181" t="s">
        <v>58</v>
      </c>
      <c r="J1" s="1181" t="s">
        <v>59</v>
      </c>
      <c r="K1" s="1181" t="s">
        <v>60</v>
      </c>
      <c r="L1" s="1181" t="s">
        <v>61</v>
      </c>
      <c r="M1" s="1181" t="s">
        <v>62</v>
      </c>
      <c r="N1" s="1181" t="s">
        <v>63</v>
      </c>
      <c r="O1" s="1186" t="s">
        <v>387</v>
      </c>
      <c r="P1" s="1186" t="s">
        <v>64</v>
      </c>
      <c r="Q1" s="1181" t="s">
        <v>65</v>
      </c>
    </row>
    <row r="2" ht="22.5" customHeight="1">
      <c r="A2" s="1187">
        <v>2.0</v>
      </c>
      <c r="B2" s="1188" t="s">
        <v>1837</v>
      </c>
      <c r="C2" s="1189" t="s">
        <v>70</v>
      </c>
      <c r="D2" s="1190" t="s">
        <v>68</v>
      </c>
      <c r="E2" s="1191" t="str">
        <f t="shared" ref="E2:E4" si="1">IMAGE("https://flagcdn.com/w320/cz.png")</f>
        <v/>
      </c>
      <c r="F2" s="1192">
        <v>37688.0</v>
      </c>
      <c r="G2" s="1193">
        <f t="shared" ref="G2:G40" si="2">DATEDIF(F2,TODAY(),"Y")</f>
        <v>22</v>
      </c>
      <c r="H2" s="1194">
        <f>1+1+1+1+1+1+1</f>
        <v>7</v>
      </c>
      <c r="I2" s="1194">
        <f>73+90+23+90+90+59+90</f>
        <v>515</v>
      </c>
      <c r="J2" s="1194"/>
      <c r="K2" s="1194"/>
      <c r="L2" s="1194">
        <f>1</f>
        <v>1</v>
      </c>
      <c r="M2" s="1194"/>
      <c r="N2" s="1194"/>
      <c r="O2" s="1194"/>
      <c r="P2" s="1194">
        <f t="shared" ref="P2:P40" si="3">J2+K2</f>
        <v>0</v>
      </c>
      <c r="Q2" s="1194"/>
    </row>
    <row r="3" ht="22.5" customHeight="1">
      <c r="A3" s="1187">
        <v>3.0</v>
      </c>
      <c r="B3" s="1188" t="s">
        <v>1838</v>
      </c>
      <c r="C3" s="1189" t="s">
        <v>70</v>
      </c>
      <c r="D3" s="1190" t="s">
        <v>68</v>
      </c>
      <c r="E3" s="1191" t="str">
        <f t="shared" si="1"/>
        <v/>
      </c>
      <c r="F3" s="1192">
        <v>34059.0</v>
      </c>
      <c r="G3" s="1193">
        <f t="shared" si="2"/>
        <v>32</v>
      </c>
      <c r="H3" s="1194">
        <f>1+1+1+1</f>
        <v>4</v>
      </c>
      <c r="I3" s="1194">
        <f>17+36+90+45</f>
        <v>188</v>
      </c>
      <c r="J3" s="1194"/>
      <c r="K3" s="1194">
        <f>1</f>
        <v>1</v>
      </c>
      <c r="L3" s="1194"/>
      <c r="M3" s="1194"/>
      <c r="N3" s="1194"/>
      <c r="O3" s="1194"/>
      <c r="P3" s="1194">
        <f t="shared" si="3"/>
        <v>1</v>
      </c>
      <c r="Q3" s="1194"/>
    </row>
    <row r="4" ht="22.5" customHeight="1">
      <c r="A4" s="1187">
        <v>4.0</v>
      </c>
      <c r="B4" s="1188" t="s">
        <v>1839</v>
      </c>
      <c r="C4" s="1189" t="s">
        <v>70</v>
      </c>
      <c r="D4" s="1190" t="s">
        <v>68</v>
      </c>
      <c r="E4" s="1191" t="str">
        <f t="shared" si="1"/>
        <v/>
      </c>
      <c r="F4" s="1192">
        <v>36838.0</v>
      </c>
      <c r="G4" s="1193">
        <f t="shared" si="2"/>
        <v>25</v>
      </c>
      <c r="H4" s="1194">
        <f>1+1+1+1+1+1+1</f>
        <v>7</v>
      </c>
      <c r="I4" s="1194">
        <f>90+90+90+90+90+59+90</f>
        <v>599</v>
      </c>
      <c r="J4" s="1194"/>
      <c r="K4" s="1194"/>
      <c r="L4" s="1194">
        <f t="shared" ref="L4:L5" si="4">1</f>
        <v>1</v>
      </c>
      <c r="M4" s="1194"/>
      <c r="N4" s="1194"/>
      <c r="O4" s="1194">
        <f>1</f>
        <v>1</v>
      </c>
      <c r="P4" s="1194">
        <f t="shared" si="3"/>
        <v>0</v>
      </c>
      <c r="Q4" s="1194"/>
    </row>
    <row r="5" ht="22.5" customHeight="1">
      <c r="A5" s="1187">
        <v>5.0</v>
      </c>
      <c r="B5" s="1188" t="s">
        <v>1840</v>
      </c>
      <c r="C5" s="1189" t="s">
        <v>70</v>
      </c>
      <c r="D5" s="1190" t="s">
        <v>800</v>
      </c>
      <c r="E5" s="1191" t="str">
        <f>IMAGE("https://flagcdn.com/w320/ng.png")</f>
        <v/>
      </c>
      <c r="F5" s="1192">
        <v>36564.0</v>
      </c>
      <c r="G5" s="1193">
        <f t="shared" si="2"/>
        <v>25</v>
      </c>
      <c r="H5" s="1195">
        <f>1</f>
        <v>1</v>
      </c>
      <c r="I5" s="1195">
        <f>90</f>
        <v>90</v>
      </c>
      <c r="J5" s="1194"/>
      <c r="K5" s="1194"/>
      <c r="L5" s="1194">
        <f t="shared" si="4"/>
        <v>1</v>
      </c>
      <c r="M5" s="1194"/>
      <c r="N5" s="1194"/>
      <c r="O5" s="1194"/>
      <c r="P5" s="1194">
        <f t="shared" si="3"/>
        <v>0</v>
      </c>
      <c r="Q5" s="1194"/>
    </row>
    <row r="6" ht="22.5" customHeight="1">
      <c r="A6" s="1187">
        <v>7.0</v>
      </c>
      <c r="B6" s="1188" t="s">
        <v>1841</v>
      </c>
      <c r="C6" s="1189" t="s">
        <v>79</v>
      </c>
      <c r="D6" s="1190" t="s">
        <v>475</v>
      </c>
      <c r="E6" s="1191" t="str">
        <f>IMAGE("https://flagcdn.com/w320/at.png")</f>
        <v/>
      </c>
      <c r="F6" s="1192">
        <v>36795.0</v>
      </c>
      <c r="G6" s="1193">
        <f t="shared" si="2"/>
        <v>25</v>
      </c>
      <c r="H6" s="1194">
        <f>1+1+1+1+1</f>
        <v>5</v>
      </c>
      <c r="I6" s="1194">
        <f>1+21+21+15+19</f>
        <v>77</v>
      </c>
      <c r="J6" s="1194"/>
      <c r="K6" s="1194"/>
      <c r="L6" s="1194"/>
      <c r="M6" s="1194"/>
      <c r="N6" s="1194"/>
      <c r="O6" s="1194"/>
      <c r="P6" s="1194">
        <f t="shared" si="3"/>
        <v>0</v>
      </c>
      <c r="Q6" s="1194"/>
    </row>
    <row r="7" ht="22.5" customHeight="1">
      <c r="A7" s="1187">
        <v>8.0</v>
      </c>
      <c r="B7" s="1188" t="s">
        <v>1842</v>
      </c>
      <c r="C7" s="1189" t="s">
        <v>70</v>
      </c>
      <c r="D7" s="1190" t="s">
        <v>75</v>
      </c>
      <c r="E7" s="1191" t="str">
        <f>IMAGE("https://flagcdn.com/w320/jp.png")</f>
        <v/>
      </c>
      <c r="F7" s="1192">
        <v>36297.0</v>
      </c>
      <c r="G7" s="1193">
        <f t="shared" si="2"/>
        <v>26</v>
      </c>
      <c r="H7" s="1194">
        <f>1+1+1</f>
        <v>3</v>
      </c>
      <c r="I7" s="1194">
        <f>14+82+17</f>
        <v>113</v>
      </c>
      <c r="J7" s="1194"/>
      <c r="K7" s="1194"/>
      <c r="L7" s="1194"/>
      <c r="M7" s="1194"/>
      <c r="N7" s="1194"/>
      <c r="O7" s="1194"/>
      <c r="P7" s="1194">
        <f t="shared" si="3"/>
        <v>0</v>
      </c>
      <c r="Q7" s="1194"/>
    </row>
    <row r="8" ht="22.5" customHeight="1">
      <c r="A8" s="1187">
        <v>9.0</v>
      </c>
      <c r="B8" s="1188" t="s">
        <v>1843</v>
      </c>
      <c r="C8" s="1189" t="s">
        <v>82</v>
      </c>
      <c r="D8" s="1190" t="s">
        <v>68</v>
      </c>
      <c r="E8" s="1191" t="str">
        <f>IMAGE("https://flagcdn.com/w320/cz.png")</f>
        <v/>
      </c>
      <c r="F8" s="1192">
        <v>36670.0</v>
      </c>
      <c r="G8" s="1193">
        <f t="shared" si="2"/>
        <v>25</v>
      </c>
      <c r="H8" s="1194">
        <f t="shared" ref="H8:H9" si="5">1+1+1+1+1+1</f>
        <v>6</v>
      </c>
      <c r="I8" s="1194">
        <f>89+45+87+17+36+78</f>
        <v>352</v>
      </c>
      <c r="J8" s="1194">
        <f>1</f>
        <v>1</v>
      </c>
      <c r="K8" s="1194"/>
      <c r="L8" s="1194"/>
      <c r="M8" s="1194"/>
      <c r="N8" s="1194"/>
      <c r="O8" s="1194"/>
      <c r="P8" s="1194">
        <f t="shared" si="3"/>
        <v>1</v>
      </c>
      <c r="Q8" s="1194"/>
    </row>
    <row r="9" ht="22.5" customHeight="1">
      <c r="A9" s="1187">
        <v>10.0</v>
      </c>
      <c r="B9" s="1188" t="s">
        <v>1844</v>
      </c>
      <c r="C9" s="1189" t="s">
        <v>79</v>
      </c>
      <c r="D9" s="1190" t="s">
        <v>1845</v>
      </c>
      <c r="E9" s="1191" t="str">
        <f>IMAGE("https://flagcdn.com/w320/gr.png")</f>
        <v/>
      </c>
      <c r="F9" s="1192">
        <v>37675.0</v>
      </c>
      <c r="G9" s="1193">
        <f t="shared" si="2"/>
        <v>22</v>
      </c>
      <c r="H9" s="1194">
        <f t="shared" si="5"/>
        <v>6</v>
      </c>
      <c r="I9" s="1194">
        <f>90+90+90+69+78+31</f>
        <v>448</v>
      </c>
      <c r="J9" s="1194"/>
      <c r="K9" s="1194"/>
      <c r="L9" s="1194">
        <f t="shared" ref="L9:L10" si="6">1</f>
        <v>1</v>
      </c>
      <c r="M9" s="1194"/>
      <c r="N9" s="1194"/>
      <c r="O9" s="1194"/>
      <c r="P9" s="1194">
        <f t="shared" si="3"/>
        <v>0</v>
      </c>
      <c r="Q9" s="1194"/>
    </row>
    <row r="10" ht="22.5" customHeight="1">
      <c r="A10" s="1187">
        <v>11.0</v>
      </c>
      <c r="B10" s="1188" t="s">
        <v>1846</v>
      </c>
      <c r="C10" s="1189" t="s">
        <v>82</v>
      </c>
      <c r="D10" s="1190" t="s">
        <v>1847</v>
      </c>
      <c r="E10" s="1191" t="str">
        <f>IMAGE("https://flagcdn.com/w320/gm.png")</f>
        <v/>
      </c>
      <c r="F10" s="1192">
        <v>38595.0</v>
      </c>
      <c r="G10" s="1193">
        <f t="shared" si="2"/>
        <v>20</v>
      </c>
      <c r="H10" s="1195">
        <f>1+1+1+1+1</f>
        <v>5</v>
      </c>
      <c r="I10" s="1195">
        <f>3+73+54+79+71</f>
        <v>280</v>
      </c>
      <c r="J10" s="1194"/>
      <c r="K10" s="1194"/>
      <c r="L10" s="1194">
        <f t="shared" si="6"/>
        <v>1</v>
      </c>
      <c r="M10" s="1194"/>
      <c r="N10" s="1194"/>
      <c r="O10" s="1194"/>
      <c r="P10" s="1194">
        <f t="shared" si="3"/>
        <v>0</v>
      </c>
      <c r="Q10" s="1194"/>
    </row>
    <row r="11" ht="22.5" customHeight="1">
      <c r="A11" s="1187">
        <v>12.0</v>
      </c>
      <c r="B11" s="1188" t="s">
        <v>1848</v>
      </c>
      <c r="C11" s="1189" t="s">
        <v>70</v>
      </c>
      <c r="D11" s="1190" t="s">
        <v>1418</v>
      </c>
      <c r="E11" s="1191" t="str">
        <f>IMAGE("https://flagcdn.com/w320/sn.png")</f>
        <v/>
      </c>
      <c r="F11" s="1192">
        <v>37995.0</v>
      </c>
      <c r="G11" s="1193">
        <f t="shared" si="2"/>
        <v>22</v>
      </c>
      <c r="H11" s="1194">
        <f t="shared" ref="H11:H12" si="7">1+1+1+1+1+1</f>
        <v>6</v>
      </c>
      <c r="I11" s="1194">
        <f>76+42+60+90+54+11</f>
        <v>333</v>
      </c>
      <c r="J11" s="1194">
        <f>2</f>
        <v>2</v>
      </c>
      <c r="K11" s="1194"/>
      <c r="L11" s="1194">
        <f>1+1</f>
        <v>2</v>
      </c>
      <c r="M11" s="1194"/>
      <c r="N11" s="1194"/>
      <c r="O11" s="1194"/>
      <c r="P11" s="1194">
        <f t="shared" si="3"/>
        <v>2</v>
      </c>
      <c r="Q11" s="1194"/>
    </row>
    <row r="12" ht="22.5" customHeight="1">
      <c r="A12" s="1187">
        <v>13.0</v>
      </c>
      <c r="B12" s="1188" t="s">
        <v>1849</v>
      </c>
      <c r="C12" s="1189" t="s">
        <v>82</v>
      </c>
      <c r="D12" s="1190" t="s">
        <v>68</v>
      </c>
      <c r="E12" s="1191" t="str">
        <f>IMAGE("https://flagcdn.com/w320/cz.png")</f>
        <v/>
      </c>
      <c r="F12" s="1192">
        <v>36279.0</v>
      </c>
      <c r="G12" s="1193">
        <f t="shared" si="2"/>
        <v>26</v>
      </c>
      <c r="H12" s="1194">
        <f t="shared" si="7"/>
        <v>6</v>
      </c>
      <c r="I12" s="1194">
        <f>14+8+43+12+59+12</f>
        <v>148</v>
      </c>
      <c r="J12" s="1194"/>
      <c r="K12" s="1194"/>
      <c r="L12" s="1194">
        <f>1</f>
        <v>1</v>
      </c>
      <c r="M12" s="1194"/>
      <c r="N12" s="1194"/>
      <c r="O12" s="1194"/>
      <c r="P12" s="1194">
        <f t="shared" si="3"/>
        <v>0</v>
      </c>
      <c r="Q12" s="1194"/>
    </row>
    <row r="13" ht="22.5" customHeight="1">
      <c r="A13" s="1187">
        <v>16.0</v>
      </c>
      <c r="B13" s="1188" t="s">
        <v>1850</v>
      </c>
      <c r="C13" s="1189" t="s">
        <v>79</v>
      </c>
      <c r="D13" s="1190" t="s">
        <v>800</v>
      </c>
      <c r="E13" s="1191" t="str">
        <f>IMAGE("https://flagcdn.com/w320/ng.png")</f>
        <v/>
      </c>
      <c r="F13" s="1192">
        <v>38006.0</v>
      </c>
      <c r="G13" s="1193">
        <f t="shared" si="2"/>
        <v>22</v>
      </c>
      <c r="H13" s="1195">
        <f>1+1+1+1+1</f>
        <v>5</v>
      </c>
      <c r="I13" s="1195">
        <f>67+73+90+90+45</f>
        <v>365</v>
      </c>
      <c r="J13" s="1194"/>
      <c r="K13" s="1194"/>
      <c r="L13" s="1194"/>
      <c r="M13" s="1194"/>
      <c r="N13" s="1194"/>
      <c r="O13" s="1194"/>
      <c r="P13" s="1194">
        <f t="shared" si="3"/>
        <v>0</v>
      </c>
      <c r="Q13" s="1194"/>
    </row>
    <row r="14" ht="22.5" customHeight="1">
      <c r="A14" s="1187">
        <v>17.0</v>
      </c>
      <c r="B14" s="1188" t="s">
        <v>1851</v>
      </c>
      <c r="C14" s="1189" t="s">
        <v>79</v>
      </c>
      <c r="D14" s="1190" t="s">
        <v>68</v>
      </c>
      <c r="E14" s="1191" t="str">
        <f t="shared" ref="E14:E15" si="8">IMAGE("https://flagcdn.com/w320/cz.png")</f>
        <v/>
      </c>
      <c r="F14" s="1192">
        <v>35361.0</v>
      </c>
      <c r="G14" s="1193">
        <f t="shared" si="2"/>
        <v>29</v>
      </c>
      <c r="H14" s="1194">
        <f>1+1+1+1+1+1+1</f>
        <v>7</v>
      </c>
      <c r="I14" s="1194">
        <f>90+69+90+90+90+90+90</f>
        <v>609</v>
      </c>
      <c r="J14" s="1194"/>
      <c r="K14" s="1194">
        <f>2</f>
        <v>2</v>
      </c>
      <c r="L14" s="1194">
        <f t="shared" ref="L14:L15" si="9">1</f>
        <v>1</v>
      </c>
      <c r="M14" s="1194"/>
      <c r="N14" s="1194"/>
      <c r="O14" s="1194"/>
      <c r="P14" s="1194">
        <f t="shared" si="3"/>
        <v>2</v>
      </c>
      <c r="Q14" s="1194"/>
    </row>
    <row r="15" ht="22.5" customHeight="1">
      <c r="A15" s="1187">
        <v>18.0</v>
      </c>
      <c r="B15" s="1188" t="s">
        <v>1852</v>
      </c>
      <c r="C15" s="1189" t="s">
        <v>70</v>
      </c>
      <c r="D15" s="1190" t="s">
        <v>68</v>
      </c>
      <c r="E15" s="1191" t="str">
        <f t="shared" si="8"/>
        <v/>
      </c>
      <c r="F15" s="1192">
        <v>33249.0</v>
      </c>
      <c r="G15" s="1193">
        <f t="shared" si="2"/>
        <v>35</v>
      </c>
      <c r="H15" s="1195">
        <f>1+1</f>
        <v>2</v>
      </c>
      <c r="I15" s="1195">
        <f>90+36</f>
        <v>126</v>
      </c>
      <c r="J15" s="1194"/>
      <c r="K15" s="1194"/>
      <c r="L15" s="1194">
        <f t="shared" si="9"/>
        <v>1</v>
      </c>
      <c r="M15" s="1194"/>
      <c r="N15" s="1194"/>
      <c r="O15" s="1194"/>
      <c r="P15" s="1194">
        <f t="shared" si="3"/>
        <v>0</v>
      </c>
      <c r="Q15" s="1194"/>
    </row>
    <row r="16" ht="22.5" customHeight="1">
      <c r="A16" s="1187">
        <v>19.0</v>
      </c>
      <c r="B16" s="1196" t="s">
        <v>1853</v>
      </c>
      <c r="C16" s="1189" t="s">
        <v>79</v>
      </c>
      <c r="D16" s="1190" t="s">
        <v>1854</v>
      </c>
      <c r="E16" s="1191" t="str">
        <f>IMAGE("https://flagcdn.com/w320/lr.png")</f>
        <v/>
      </c>
      <c r="F16" s="1192">
        <v>35995.0</v>
      </c>
      <c r="G16" s="1193">
        <f t="shared" si="2"/>
        <v>27</v>
      </c>
      <c r="H16" s="1194">
        <f>1+1+1+1</f>
        <v>4</v>
      </c>
      <c r="I16" s="1194">
        <f>90+90+90+90</f>
        <v>360</v>
      </c>
      <c r="J16" s="1194"/>
      <c r="K16" s="1194"/>
      <c r="L16" s="1194"/>
      <c r="M16" s="1194"/>
      <c r="N16" s="1194"/>
      <c r="O16" s="1194"/>
      <c r="P16" s="1194">
        <f t="shared" si="3"/>
        <v>0</v>
      </c>
      <c r="Q16" s="1194"/>
    </row>
    <row r="17" ht="22.5" customHeight="1">
      <c r="A17" s="1187">
        <v>21.0</v>
      </c>
      <c r="B17" s="1188" t="s">
        <v>1855</v>
      </c>
      <c r="C17" s="1189" t="s">
        <v>79</v>
      </c>
      <c r="D17" s="1190" t="s">
        <v>68</v>
      </c>
      <c r="E17" s="1191" t="str">
        <f t="shared" ref="E17:E19" si="10">IMAGE("https://flagcdn.com/w320/cz.png")</f>
        <v/>
      </c>
      <c r="F17" s="1192">
        <v>35946.0</v>
      </c>
      <c r="G17" s="1193">
        <f t="shared" si="2"/>
        <v>27</v>
      </c>
      <c r="H17" s="1194">
        <f>1+1+1+1+1+1</f>
        <v>6</v>
      </c>
      <c r="I17" s="1194">
        <f>90+48+21+54+90+45</f>
        <v>348</v>
      </c>
      <c r="J17" s="1194"/>
      <c r="K17" s="1194"/>
      <c r="L17" s="1194">
        <f>1</f>
        <v>1</v>
      </c>
      <c r="M17" s="1194"/>
      <c r="N17" s="1194"/>
      <c r="O17" s="1194"/>
      <c r="P17" s="1194">
        <f t="shared" si="3"/>
        <v>0</v>
      </c>
      <c r="Q17" s="1194"/>
    </row>
    <row r="18" ht="22.5" customHeight="1">
      <c r="A18" s="1187">
        <v>23.0</v>
      </c>
      <c r="B18" s="1188" t="s">
        <v>1856</v>
      </c>
      <c r="C18" s="1189" t="s">
        <v>79</v>
      </c>
      <c r="D18" s="1190" t="s">
        <v>68</v>
      </c>
      <c r="E18" s="1191" t="str">
        <f t="shared" si="10"/>
        <v/>
      </c>
      <c r="F18" s="1192">
        <v>36311.0</v>
      </c>
      <c r="G18" s="1193">
        <f t="shared" si="2"/>
        <v>26</v>
      </c>
      <c r="H18" s="1194">
        <f>1+1+1+1+1+1+1</f>
        <v>7</v>
      </c>
      <c r="I18" s="1194">
        <f>89+45+30+90+90+75+90</f>
        <v>509</v>
      </c>
      <c r="J18" s="1194"/>
      <c r="K18" s="1194"/>
      <c r="L18" s="1194"/>
      <c r="M18" s="1194"/>
      <c r="N18" s="1194"/>
      <c r="O18" s="1194"/>
      <c r="P18" s="1194">
        <f t="shared" si="3"/>
        <v>0</v>
      </c>
      <c r="Q18" s="1194"/>
    </row>
    <row r="19" ht="22.5" customHeight="1">
      <c r="A19" s="1187">
        <v>25.0</v>
      </c>
      <c r="B19" s="1188" t="s">
        <v>1857</v>
      </c>
      <c r="C19" s="1189" t="s">
        <v>82</v>
      </c>
      <c r="D19" s="1190" t="s">
        <v>68</v>
      </c>
      <c r="E19" s="1191" t="str">
        <f t="shared" si="10"/>
        <v/>
      </c>
      <c r="F19" s="1192">
        <v>34725.0</v>
      </c>
      <c r="G19" s="1193">
        <f t="shared" si="2"/>
        <v>31</v>
      </c>
      <c r="H19" s="1194">
        <f>1+1+1+1+1+1</f>
        <v>6</v>
      </c>
      <c r="I19" s="1194">
        <f>76+45+90+47+90+64</f>
        <v>412</v>
      </c>
      <c r="J19" s="1194"/>
      <c r="K19" s="1194"/>
      <c r="L19" s="1194">
        <f t="shared" ref="L19:L20" si="11">1</f>
        <v>1</v>
      </c>
      <c r="M19" s="1194"/>
      <c r="N19" s="1194"/>
      <c r="O19" s="1194"/>
      <c r="P19" s="1194">
        <f t="shared" si="3"/>
        <v>0</v>
      </c>
      <c r="Q19" s="1194"/>
    </row>
    <row r="20" ht="22.5" customHeight="1">
      <c r="A20" s="1187">
        <v>26.0</v>
      </c>
      <c r="B20" s="1188" t="s">
        <v>1858</v>
      </c>
      <c r="C20" s="1189" t="s">
        <v>82</v>
      </c>
      <c r="D20" s="1190" t="s">
        <v>411</v>
      </c>
      <c r="E20" s="1191" t="str">
        <f>IMAGE("https://flagcdn.com/w320/sk.png")</f>
        <v/>
      </c>
      <c r="F20" s="1192">
        <v>34225.0</v>
      </c>
      <c r="G20" s="1193">
        <f t="shared" si="2"/>
        <v>32</v>
      </c>
      <c r="H20" s="1194">
        <f>1+1+1</f>
        <v>3</v>
      </c>
      <c r="I20" s="1194">
        <f>1+45+26</f>
        <v>72</v>
      </c>
      <c r="J20" s="1194"/>
      <c r="K20" s="1194"/>
      <c r="L20" s="1194">
        <f t="shared" si="11"/>
        <v>1</v>
      </c>
      <c r="M20" s="1194"/>
      <c r="N20" s="1194"/>
      <c r="O20" s="1194"/>
      <c r="P20" s="1194">
        <f t="shared" si="3"/>
        <v>0</v>
      </c>
      <c r="Q20" s="1194"/>
    </row>
    <row r="21" ht="22.5" customHeight="1">
      <c r="A21" s="1187">
        <v>27.0</v>
      </c>
      <c r="B21" s="1188" t="s">
        <v>1859</v>
      </c>
      <c r="C21" s="1189" t="s">
        <v>70</v>
      </c>
      <c r="D21" s="1190" t="s">
        <v>68</v>
      </c>
      <c r="E21" s="1191" t="str">
        <f t="shared" ref="E21:E22" si="12">IMAGE("https://flagcdn.com/w320/cz.png")</f>
        <v/>
      </c>
      <c r="F21" s="1192">
        <v>36950.0</v>
      </c>
      <c r="G21" s="1193">
        <f t="shared" si="2"/>
        <v>24</v>
      </c>
      <c r="H21" s="1195">
        <f>1+1+1+1+1</f>
        <v>5</v>
      </c>
      <c r="I21" s="1195">
        <f>90+87+69+31+45</f>
        <v>322</v>
      </c>
      <c r="J21" s="1194"/>
      <c r="K21" s="1194"/>
      <c r="L21" s="1194"/>
      <c r="M21" s="1194"/>
      <c r="N21" s="1194"/>
      <c r="O21" s="1194"/>
      <c r="P21" s="1194">
        <f t="shared" si="3"/>
        <v>0</v>
      </c>
      <c r="Q21" s="1194"/>
    </row>
    <row r="22" ht="22.5" customHeight="1">
      <c r="A22" s="1197">
        <v>30.0</v>
      </c>
      <c r="B22" s="1198" t="s">
        <v>1860</v>
      </c>
      <c r="C22" s="1199" t="s">
        <v>82</v>
      </c>
      <c r="D22" s="1200" t="s">
        <v>68</v>
      </c>
      <c r="E22" s="1201" t="str">
        <f t="shared" si="12"/>
        <v/>
      </c>
      <c r="F22" s="1202">
        <v>38399.0</v>
      </c>
      <c r="G22" s="1203">
        <f t="shared" si="2"/>
        <v>20</v>
      </c>
      <c r="H22" s="1204">
        <v>0.0</v>
      </c>
      <c r="I22" s="1204">
        <v>0.0</v>
      </c>
      <c r="J22" s="1205"/>
      <c r="K22" s="1205"/>
      <c r="L22" s="1205"/>
      <c r="M22" s="1205"/>
      <c r="N22" s="1205"/>
      <c r="O22" s="1205"/>
      <c r="P22" s="1205">
        <f t="shared" si="3"/>
        <v>0</v>
      </c>
      <c r="Q22" s="120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 ht="22.5" customHeight="1">
      <c r="A23" s="1187">
        <v>31.0</v>
      </c>
      <c r="B23" s="1188" t="s">
        <v>1861</v>
      </c>
      <c r="C23" s="1189" t="s">
        <v>82</v>
      </c>
      <c r="D23" s="1190" t="s">
        <v>411</v>
      </c>
      <c r="E23" s="1191" t="str">
        <f>IMAGE("https://flagcdn.com/w320/sk.png")</f>
        <v/>
      </c>
      <c r="F23" s="1192">
        <v>35711.0</v>
      </c>
      <c r="G23" s="1193">
        <f t="shared" si="2"/>
        <v>28</v>
      </c>
      <c r="H23" s="1195">
        <f t="shared" ref="H23:H24" si="13">1+1</f>
        <v>2</v>
      </c>
      <c r="I23" s="1195">
        <f>3+31</f>
        <v>34</v>
      </c>
      <c r="J23" s="1194"/>
      <c r="K23" s="1194"/>
      <c r="L23" s="1194">
        <f>1</f>
        <v>1</v>
      </c>
      <c r="M23" s="1194"/>
      <c r="N23" s="1194"/>
      <c r="O23" s="1194"/>
      <c r="P23" s="1194">
        <f t="shared" si="3"/>
        <v>0</v>
      </c>
      <c r="Q23" s="1194"/>
    </row>
    <row r="24" ht="22.5" customHeight="1">
      <c r="A24" s="1187">
        <v>35.0</v>
      </c>
      <c r="B24" s="1188" t="s">
        <v>1862</v>
      </c>
      <c r="C24" s="1189" t="s">
        <v>67</v>
      </c>
      <c r="D24" s="1190" t="s">
        <v>68</v>
      </c>
      <c r="E24" s="1191" t="str">
        <f t="shared" ref="E24:E32" si="14">IMAGE("https://flagcdn.com/w320/cz.png")</f>
        <v/>
      </c>
      <c r="F24" s="1192">
        <v>37085.0</v>
      </c>
      <c r="G24" s="1193">
        <f t="shared" si="2"/>
        <v>24</v>
      </c>
      <c r="H24" s="1195">
        <f t="shared" si="13"/>
        <v>2</v>
      </c>
      <c r="I24" s="1195">
        <f>90+90</f>
        <v>180</v>
      </c>
      <c r="J24" s="1194"/>
      <c r="K24" s="1194"/>
      <c r="L24" s="1194"/>
      <c r="M24" s="1194"/>
      <c r="N24" s="1194">
        <f t="shared" ref="N24:N25" si="15">1</f>
        <v>1</v>
      </c>
      <c r="O24" s="1194"/>
      <c r="P24" s="1194">
        <f t="shared" si="3"/>
        <v>0</v>
      </c>
      <c r="Q24" s="1194"/>
    </row>
    <row r="25" ht="22.5" customHeight="1">
      <c r="A25" s="1187">
        <v>36.0</v>
      </c>
      <c r="B25" s="1188" t="s">
        <v>1863</v>
      </c>
      <c r="C25" s="1189" t="s">
        <v>67</v>
      </c>
      <c r="D25" s="1190" t="s">
        <v>68</v>
      </c>
      <c r="E25" s="1191" t="str">
        <f t="shared" si="14"/>
        <v/>
      </c>
      <c r="F25" s="1192">
        <v>35182.0</v>
      </c>
      <c r="G25" s="1193">
        <f t="shared" si="2"/>
        <v>29</v>
      </c>
      <c r="H25" s="1194">
        <f>1+1+1+1+1</f>
        <v>5</v>
      </c>
      <c r="I25" s="1194">
        <f>90+90+90+90+90</f>
        <v>450</v>
      </c>
      <c r="J25" s="1194"/>
      <c r="K25" s="1194"/>
      <c r="L25" s="1194"/>
      <c r="M25" s="1194"/>
      <c r="N25" s="1194">
        <f t="shared" si="15"/>
        <v>1</v>
      </c>
      <c r="O25" s="1194"/>
      <c r="P25" s="1194">
        <f t="shared" si="3"/>
        <v>0</v>
      </c>
      <c r="Q25" s="1194">
        <f>1</f>
        <v>1</v>
      </c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22.5" customHeight="1">
      <c r="A26" s="1197">
        <v>40.0</v>
      </c>
      <c r="B26" s="1198" t="s">
        <v>1864</v>
      </c>
      <c r="C26" s="1199" t="s">
        <v>67</v>
      </c>
      <c r="D26" s="1200" t="s">
        <v>68</v>
      </c>
      <c r="E26" s="1201" t="str">
        <f t="shared" si="14"/>
        <v/>
      </c>
      <c r="F26" s="1202">
        <v>38677.0</v>
      </c>
      <c r="G26" s="1203">
        <f t="shared" si="2"/>
        <v>20</v>
      </c>
      <c r="H26" s="1204">
        <v>0.0</v>
      </c>
      <c r="I26" s="1204">
        <v>0.0</v>
      </c>
      <c r="J26" s="1205"/>
      <c r="K26" s="1205"/>
      <c r="L26" s="1205"/>
      <c r="M26" s="1205"/>
      <c r="N26" s="1205"/>
      <c r="O26" s="1205"/>
      <c r="P26" s="1205">
        <f t="shared" si="3"/>
        <v>0</v>
      </c>
      <c r="Q26" s="120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ht="22.5" hidden="1" customHeight="1">
      <c r="A27" s="1197">
        <v>41.0</v>
      </c>
      <c r="B27" s="1198" t="s">
        <v>1865</v>
      </c>
      <c r="C27" s="1199" t="s">
        <v>70</v>
      </c>
      <c r="D27" s="1200" t="s">
        <v>68</v>
      </c>
      <c r="E27" s="1201" t="str">
        <f t="shared" si="14"/>
        <v/>
      </c>
      <c r="F27" s="1202">
        <v>38976.0</v>
      </c>
      <c r="G27" s="1203">
        <f t="shared" si="2"/>
        <v>19</v>
      </c>
      <c r="H27" s="1205"/>
      <c r="I27" s="1205"/>
      <c r="J27" s="1205"/>
      <c r="K27" s="1205"/>
      <c r="L27" s="1205"/>
      <c r="M27" s="1205"/>
      <c r="N27" s="1205"/>
      <c r="O27" s="1205"/>
      <c r="P27" s="1205">
        <f t="shared" si="3"/>
        <v>0</v>
      </c>
      <c r="Q27" s="120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ht="22.5" hidden="1" customHeight="1">
      <c r="A28" s="1197">
        <v>42.0</v>
      </c>
      <c r="B28" s="1198" t="s">
        <v>1866</v>
      </c>
      <c r="C28" s="1199" t="s">
        <v>82</v>
      </c>
      <c r="D28" s="1200" t="s">
        <v>68</v>
      </c>
      <c r="E28" s="1201" t="str">
        <f t="shared" si="14"/>
        <v/>
      </c>
      <c r="F28" s="1202">
        <v>38873.0</v>
      </c>
      <c r="G28" s="1203">
        <f t="shared" si="2"/>
        <v>19</v>
      </c>
      <c r="H28" s="1205"/>
      <c r="I28" s="1205"/>
      <c r="J28" s="1205"/>
      <c r="K28" s="1205"/>
      <c r="L28" s="1205"/>
      <c r="M28" s="1205"/>
      <c r="N28" s="1205"/>
      <c r="O28" s="1205"/>
      <c r="P28" s="1205">
        <f t="shared" si="3"/>
        <v>0</v>
      </c>
      <c r="Q28" s="120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ht="22.5" customHeight="1">
      <c r="A29" s="1197">
        <v>43.0</v>
      </c>
      <c r="B29" s="1198" t="s">
        <v>1867</v>
      </c>
      <c r="C29" s="1199" t="s">
        <v>82</v>
      </c>
      <c r="D29" s="1200" t="s">
        <v>68</v>
      </c>
      <c r="E29" s="1201" t="str">
        <f t="shared" si="14"/>
        <v/>
      </c>
      <c r="F29" s="1202">
        <v>38713.0</v>
      </c>
      <c r="G29" s="1203">
        <f t="shared" si="2"/>
        <v>20</v>
      </c>
      <c r="H29" s="1204">
        <v>0.0</v>
      </c>
      <c r="I29" s="1204">
        <v>0.0</v>
      </c>
      <c r="J29" s="1205"/>
      <c r="K29" s="1205"/>
      <c r="L29" s="1205"/>
      <c r="M29" s="1205"/>
      <c r="N29" s="1205"/>
      <c r="O29" s="1205"/>
      <c r="P29" s="1205">
        <f t="shared" si="3"/>
        <v>0</v>
      </c>
      <c r="Q29" s="120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ht="22.5" customHeight="1">
      <c r="A30" s="1197">
        <v>44.0</v>
      </c>
      <c r="B30" s="1198" t="s">
        <v>1868</v>
      </c>
      <c r="C30" s="1199" t="s">
        <v>70</v>
      </c>
      <c r="D30" s="1200" t="s">
        <v>68</v>
      </c>
      <c r="E30" s="1201" t="str">
        <f t="shared" si="14"/>
        <v/>
      </c>
      <c r="F30" s="1202">
        <v>39308.0</v>
      </c>
      <c r="G30" s="1203">
        <f t="shared" si="2"/>
        <v>18</v>
      </c>
      <c r="H30" s="1205"/>
      <c r="I30" s="1205"/>
      <c r="J30" s="1205"/>
      <c r="K30" s="1205"/>
      <c r="L30" s="1205"/>
      <c r="M30" s="1205"/>
      <c r="N30" s="1205"/>
      <c r="O30" s="1205"/>
      <c r="P30" s="1205">
        <f t="shared" si="3"/>
        <v>0</v>
      </c>
      <c r="Q30" s="120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ht="22.5" customHeight="1">
      <c r="A31" s="1197">
        <v>45.0</v>
      </c>
      <c r="B31" s="1198" t="s">
        <v>1869</v>
      </c>
      <c r="C31" s="1199" t="s">
        <v>70</v>
      </c>
      <c r="D31" s="1200" t="s">
        <v>68</v>
      </c>
      <c r="E31" s="1201" t="str">
        <f t="shared" si="14"/>
        <v/>
      </c>
      <c r="F31" s="1202">
        <v>39485.0</v>
      </c>
      <c r="G31" s="1203">
        <f t="shared" si="2"/>
        <v>17</v>
      </c>
      <c r="H31" s="1204">
        <v>0.0</v>
      </c>
      <c r="I31" s="1204">
        <v>0.0</v>
      </c>
      <c r="J31" s="1205"/>
      <c r="K31" s="1205"/>
      <c r="L31" s="1205"/>
      <c r="M31" s="1205"/>
      <c r="N31" s="1205"/>
      <c r="O31" s="1205"/>
      <c r="P31" s="1205">
        <f t="shared" si="3"/>
        <v>0</v>
      </c>
      <c r="Q31" s="120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ht="22.5" hidden="1" customHeight="1">
      <c r="A32" s="1197">
        <v>46.0</v>
      </c>
      <c r="B32" s="1198" t="s">
        <v>1870</v>
      </c>
      <c r="C32" s="1199" t="s">
        <v>79</v>
      </c>
      <c r="D32" s="1200" t="s">
        <v>68</v>
      </c>
      <c r="E32" s="1201" t="str">
        <f t="shared" si="14"/>
        <v/>
      </c>
      <c r="F32" s="1202">
        <v>39262.0</v>
      </c>
      <c r="G32" s="1203">
        <f t="shared" si="2"/>
        <v>18</v>
      </c>
      <c r="H32" s="1205"/>
      <c r="I32" s="1205"/>
      <c r="J32" s="1205"/>
      <c r="K32" s="1205"/>
      <c r="L32" s="1205"/>
      <c r="M32" s="1205"/>
      <c r="N32" s="1205"/>
      <c r="O32" s="1205"/>
      <c r="P32" s="1205">
        <f t="shared" si="3"/>
        <v>0</v>
      </c>
      <c r="Q32" s="120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ht="22.5" hidden="1" customHeight="1">
      <c r="A33" s="1197">
        <v>47.0</v>
      </c>
      <c r="B33" s="1198" t="s">
        <v>1871</v>
      </c>
      <c r="C33" s="1199" t="s">
        <v>79</v>
      </c>
      <c r="D33" s="1200" t="s">
        <v>800</v>
      </c>
      <c r="E33" s="1201" t="str">
        <f>IMAGE("https://flagcdn.com/w320/ng.png")</f>
        <v/>
      </c>
      <c r="F33" s="1202">
        <v>38123.0</v>
      </c>
      <c r="G33" s="1203">
        <f t="shared" si="2"/>
        <v>21</v>
      </c>
      <c r="H33" s="1205"/>
      <c r="I33" s="1205"/>
      <c r="J33" s="1205"/>
      <c r="K33" s="1205"/>
      <c r="L33" s="1205"/>
      <c r="M33" s="1205"/>
      <c r="N33" s="1205"/>
      <c r="O33" s="1205"/>
      <c r="P33" s="1205">
        <f t="shared" si="3"/>
        <v>0</v>
      </c>
      <c r="Q33" s="120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ht="22.5" hidden="1" customHeight="1">
      <c r="A34" s="1197">
        <v>48.0</v>
      </c>
      <c r="B34" s="1198" t="s">
        <v>1872</v>
      </c>
      <c r="C34" s="1199" t="s">
        <v>79</v>
      </c>
      <c r="D34" s="1200" t="s">
        <v>68</v>
      </c>
      <c r="E34" s="1201" t="str">
        <f t="shared" ref="E34:E40" si="16">IMAGE("https://flagcdn.com/w320/cz.png")</f>
        <v/>
      </c>
      <c r="F34" s="1202">
        <v>39532.0</v>
      </c>
      <c r="G34" s="1203">
        <f t="shared" si="2"/>
        <v>17</v>
      </c>
      <c r="H34" s="1205"/>
      <c r="I34" s="1205"/>
      <c r="J34" s="1205"/>
      <c r="K34" s="1205"/>
      <c r="L34" s="1205"/>
      <c r="M34" s="1205"/>
      <c r="N34" s="1205"/>
      <c r="O34" s="1205"/>
      <c r="P34" s="1205">
        <f t="shared" si="3"/>
        <v>0</v>
      </c>
      <c r="Q34" s="120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ht="22.5" hidden="1" customHeight="1">
      <c r="A35" s="1197">
        <v>49.0</v>
      </c>
      <c r="B35" s="1198" t="s">
        <v>1873</v>
      </c>
      <c r="C35" s="1199" t="s">
        <v>82</v>
      </c>
      <c r="D35" s="1200" t="s">
        <v>68</v>
      </c>
      <c r="E35" s="1201" t="str">
        <f t="shared" si="16"/>
        <v/>
      </c>
      <c r="F35" s="1202">
        <v>38781.0</v>
      </c>
      <c r="G35" s="1203">
        <f t="shared" si="2"/>
        <v>19</v>
      </c>
      <c r="H35" s="1205"/>
      <c r="I35" s="1205"/>
      <c r="J35" s="1205"/>
      <c r="K35" s="1205"/>
      <c r="L35" s="1205"/>
      <c r="M35" s="1205"/>
      <c r="N35" s="1205"/>
      <c r="O35" s="1205"/>
      <c r="P35" s="1205">
        <f t="shared" si="3"/>
        <v>0</v>
      </c>
      <c r="Q35" s="120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ht="22.5" hidden="1" customHeight="1">
      <c r="A36" s="1197">
        <v>50.0</v>
      </c>
      <c r="B36" s="1198" t="s">
        <v>1874</v>
      </c>
      <c r="C36" s="1199" t="s">
        <v>67</v>
      </c>
      <c r="D36" s="1200" t="s">
        <v>68</v>
      </c>
      <c r="E36" s="1201" t="str">
        <f t="shared" si="16"/>
        <v/>
      </c>
      <c r="F36" s="1202">
        <v>39543.0</v>
      </c>
      <c r="G36" s="1203">
        <f t="shared" si="2"/>
        <v>17</v>
      </c>
      <c r="H36" s="1205"/>
      <c r="I36" s="1205"/>
      <c r="J36" s="1205"/>
      <c r="K36" s="1205"/>
      <c r="L36" s="1205"/>
      <c r="M36" s="1205"/>
      <c r="N36" s="1205"/>
      <c r="O36" s="1205"/>
      <c r="P36" s="1205">
        <f t="shared" si="3"/>
        <v>0</v>
      </c>
      <c r="Q36" s="120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 ht="22.5" hidden="1" customHeight="1">
      <c r="A37" s="1197">
        <v>51.0</v>
      </c>
      <c r="B37" s="1198" t="s">
        <v>1875</v>
      </c>
      <c r="C37" s="1199" t="s">
        <v>70</v>
      </c>
      <c r="D37" s="1200" t="s">
        <v>68</v>
      </c>
      <c r="E37" s="1201" t="str">
        <f t="shared" si="16"/>
        <v/>
      </c>
      <c r="F37" s="1202">
        <v>38804.0</v>
      </c>
      <c r="G37" s="1203">
        <f t="shared" si="2"/>
        <v>19</v>
      </c>
      <c r="H37" s="1205"/>
      <c r="I37" s="1205"/>
      <c r="J37" s="1205"/>
      <c r="K37" s="1205"/>
      <c r="L37" s="1205"/>
      <c r="M37" s="1205"/>
      <c r="N37" s="1205"/>
      <c r="O37" s="1205"/>
      <c r="P37" s="1205">
        <f t="shared" si="3"/>
        <v>0</v>
      </c>
      <c r="Q37" s="120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 ht="22.5" hidden="1" customHeight="1">
      <c r="A38" s="1197">
        <v>52.0</v>
      </c>
      <c r="B38" s="1198" t="s">
        <v>1876</v>
      </c>
      <c r="C38" s="1199" t="s">
        <v>82</v>
      </c>
      <c r="D38" s="1200" t="s">
        <v>68</v>
      </c>
      <c r="E38" s="1201" t="str">
        <f t="shared" si="16"/>
        <v/>
      </c>
      <c r="F38" s="1202">
        <v>39466.0</v>
      </c>
      <c r="G38" s="1203">
        <f t="shared" si="2"/>
        <v>18</v>
      </c>
      <c r="H38" s="1205"/>
      <c r="I38" s="1205"/>
      <c r="J38" s="1205"/>
      <c r="K38" s="1205"/>
      <c r="L38" s="1205"/>
      <c r="M38" s="1205"/>
      <c r="N38" s="1205"/>
      <c r="O38" s="1205"/>
      <c r="P38" s="1205">
        <f t="shared" si="3"/>
        <v>0</v>
      </c>
      <c r="Q38" s="120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 ht="22.5" customHeight="1">
      <c r="A39" s="1197">
        <v>53.0</v>
      </c>
      <c r="B39" s="1198" t="s">
        <v>1877</v>
      </c>
      <c r="C39" s="1199" t="s">
        <v>79</v>
      </c>
      <c r="D39" s="1200" t="s">
        <v>68</v>
      </c>
      <c r="E39" s="1201" t="str">
        <f t="shared" si="16"/>
        <v/>
      </c>
      <c r="F39" s="1202">
        <v>39217.0</v>
      </c>
      <c r="G39" s="1203">
        <f t="shared" si="2"/>
        <v>18</v>
      </c>
      <c r="H39" s="1204">
        <v>0.0</v>
      </c>
      <c r="I39" s="1204">
        <v>0.0</v>
      </c>
      <c r="J39" s="1205"/>
      <c r="K39" s="1205"/>
      <c r="L39" s="1205"/>
      <c r="M39" s="1205"/>
      <c r="N39" s="1205"/>
      <c r="O39" s="1205"/>
      <c r="P39" s="1205">
        <f t="shared" si="3"/>
        <v>0</v>
      </c>
      <c r="Q39" s="120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 ht="22.5" customHeight="1">
      <c r="A40" s="1197">
        <v>54.0</v>
      </c>
      <c r="B40" s="1198" t="s">
        <v>1878</v>
      </c>
      <c r="C40" s="1199" t="s">
        <v>79</v>
      </c>
      <c r="D40" s="1200" t="s">
        <v>68</v>
      </c>
      <c r="E40" s="1201" t="str">
        <f t="shared" si="16"/>
        <v/>
      </c>
      <c r="F40" s="1202">
        <v>40057.0</v>
      </c>
      <c r="G40" s="1203">
        <f t="shared" si="2"/>
        <v>16</v>
      </c>
      <c r="H40" s="1205"/>
      <c r="I40" s="1205"/>
      <c r="J40" s="1205"/>
      <c r="K40" s="1205"/>
      <c r="L40" s="1205"/>
      <c r="M40" s="1205"/>
      <c r="N40" s="1205"/>
      <c r="O40" s="1205"/>
      <c r="P40" s="1205">
        <f t="shared" si="3"/>
        <v>0</v>
      </c>
      <c r="Q40" s="1205"/>
    </row>
    <row r="41">
      <c r="A41" s="11"/>
      <c r="B41" s="18"/>
      <c r="C41" s="18"/>
      <c r="D41" s="64"/>
      <c r="E41" s="65"/>
      <c r="F41" s="66"/>
      <c r="G41" s="18"/>
      <c r="H41" s="73">
        <f t="shared" ref="H41:Q41" si="17">SUM(H2:H40)</f>
        <v>110</v>
      </c>
      <c r="I41" s="73">
        <f t="shared" si="17"/>
        <v>6930</v>
      </c>
      <c r="J41" s="73">
        <f t="shared" si="17"/>
        <v>3</v>
      </c>
      <c r="K41" s="73">
        <f t="shared" si="17"/>
        <v>3</v>
      </c>
      <c r="L41" s="73">
        <f t="shared" si="17"/>
        <v>14</v>
      </c>
      <c r="M41" s="73">
        <f t="shared" si="17"/>
        <v>0</v>
      </c>
      <c r="N41" s="73">
        <f t="shared" si="17"/>
        <v>2</v>
      </c>
      <c r="O41" s="73">
        <f t="shared" si="17"/>
        <v>1</v>
      </c>
      <c r="P41" s="73">
        <f t="shared" si="17"/>
        <v>6</v>
      </c>
      <c r="Q41" s="73">
        <f t="shared" si="17"/>
        <v>1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ht="22.5" customHeight="1">
      <c r="A42" s="1181" t="s">
        <v>150</v>
      </c>
      <c r="B42" s="1182" t="s">
        <v>49</v>
      </c>
      <c r="C42" s="1182" t="s">
        <v>265</v>
      </c>
      <c r="D42" s="1206" t="s">
        <v>56</v>
      </c>
      <c r="E42" s="1207" t="s">
        <v>57</v>
      </c>
      <c r="F42" s="1182" t="s">
        <v>52</v>
      </c>
      <c r="G42" s="1182" t="s">
        <v>53</v>
      </c>
      <c r="H42" s="1182" t="s">
        <v>4</v>
      </c>
      <c r="I42" s="1182" t="s">
        <v>5</v>
      </c>
      <c r="J42" s="1182" t="s">
        <v>6</v>
      </c>
      <c r="K42" s="1182" t="s">
        <v>7</v>
      </c>
      <c r="L42" s="1182" t="s">
        <v>8</v>
      </c>
      <c r="M42" s="1182" t="s">
        <v>9</v>
      </c>
      <c r="N42" s="1182" t="s">
        <v>10</v>
      </c>
    </row>
    <row r="43" ht="22.5" customHeight="1">
      <c r="A43" s="1208"/>
      <c r="B43" s="1188" t="s">
        <v>1879</v>
      </c>
      <c r="C43" s="1188" t="s">
        <v>153</v>
      </c>
      <c r="D43" s="1190" t="s">
        <v>68</v>
      </c>
      <c r="E43" s="1209" t="str">
        <f>IMAGE("https://flagcdn.com/w320/cz.png")</f>
        <v/>
      </c>
      <c r="F43" s="1192">
        <v>27817.0</v>
      </c>
      <c r="G43" s="1193">
        <f>DATEDIF(F43,TODAY(),"Y")</f>
        <v>49</v>
      </c>
      <c r="H43" s="1210">
        <f>L43+M43+N43</f>
        <v>7</v>
      </c>
      <c r="I43" s="1210">
        <f>(3*L43)+M43</f>
        <v>3</v>
      </c>
      <c r="J43" s="1210">
        <f>2+2</f>
        <v>4</v>
      </c>
      <c r="K43" s="1210">
        <f>2+3+3+3+4</f>
        <v>15</v>
      </c>
      <c r="L43" s="1211">
        <v>0.0</v>
      </c>
      <c r="M43" s="1212">
        <f>1+1+1</f>
        <v>3</v>
      </c>
      <c r="N43" s="1213">
        <f>1+1+1+1</f>
        <v>4</v>
      </c>
    </row>
    <row r="44">
      <c r="A44" s="11"/>
      <c r="B44" s="18"/>
      <c r="C44" s="18"/>
      <c r="D44" s="64"/>
      <c r="E44" s="65"/>
      <c r="F44" s="66"/>
      <c r="G44" s="18"/>
      <c r="H44" s="73">
        <f>SUM(trenerSlavia[mecze])</f>
        <v>7</v>
      </c>
      <c r="I44" s="73">
        <f>SUM(trenerSlavia[punkty])</f>
        <v>3</v>
      </c>
      <c r="J44" s="73">
        <f>SUM(trenerSlavia[strzelone])</f>
        <v>4</v>
      </c>
      <c r="K44" s="73">
        <f>SUM(trenerSlavia[stracone])</f>
        <v>15</v>
      </c>
      <c r="L44" s="73">
        <f>SUM(trenerSlavia[wygrane])</f>
        <v>0</v>
      </c>
      <c r="M44" s="73">
        <f>SUM(trenerSlavia[remisy])</f>
        <v>3</v>
      </c>
      <c r="N44" s="73">
        <f>SUM(trenerSlavia[porażki])</f>
        <v>4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ht="22.5" customHeight="1">
      <c r="A45" s="1181" t="s">
        <v>156</v>
      </c>
      <c r="B45" s="1181" t="s">
        <v>157</v>
      </c>
      <c r="C45" s="1181" t="s">
        <v>158</v>
      </c>
      <c r="D45" s="1185" t="s">
        <v>1880</v>
      </c>
      <c r="E45" s="1181" t="s">
        <v>160</v>
      </c>
      <c r="F45" s="1181" t="s">
        <v>161</v>
      </c>
    </row>
    <row r="46" ht="22.5" customHeight="1">
      <c r="A46" s="197">
        <v>1.0</v>
      </c>
      <c r="B46" s="198" t="s">
        <v>45</v>
      </c>
      <c r="C46" s="198" t="s">
        <v>44</v>
      </c>
      <c r="D46" s="264" t="s">
        <v>1881</v>
      </c>
      <c r="E46" s="265">
        <v>45690.0</v>
      </c>
      <c r="F46" s="198" t="s">
        <v>276</v>
      </c>
    </row>
    <row r="47" ht="22.5" customHeight="1">
      <c r="A47" s="77">
        <v>2.0</v>
      </c>
      <c r="B47" s="697" t="s">
        <v>16</v>
      </c>
      <c r="C47" s="78" t="s">
        <v>45</v>
      </c>
      <c r="D47" s="79"/>
      <c r="E47" s="80" t="s">
        <v>560</v>
      </c>
      <c r="F47" s="78" t="s">
        <v>281</v>
      </c>
    </row>
    <row r="48" ht="22.5" customHeight="1">
      <c r="A48" s="197">
        <v>3.0</v>
      </c>
      <c r="B48" s="727" t="s">
        <v>14</v>
      </c>
      <c r="C48" s="727" t="s">
        <v>45</v>
      </c>
      <c r="D48" s="199"/>
      <c r="E48" s="200" t="s">
        <v>331</v>
      </c>
      <c r="F48" s="198" t="s">
        <v>330</v>
      </c>
    </row>
    <row r="49" ht="22.5" customHeight="1">
      <c r="A49" s="77">
        <v>4.0</v>
      </c>
      <c r="B49" s="697" t="s">
        <v>45</v>
      </c>
      <c r="C49" s="697" t="s">
        <v>12</v>
      </c>
      <c r="D49" s="79"/>
      <c r="E49" s="80" t="s">
        <v>168</v>
      </c>
      <c r="F49" s="78" t="s">
        <v>276</v>
      </c>
    </row>
    <row r="50" ht="22.5" customHeight="1">
      <c r="A50" s="197">
        <v>5.0</v>
      </c>
      <c r="B50" s="198" t="s">
        <v>45</v>
      </c>
      <c r="C50" s="727" t="s">
        <v>40</v>
      </c>
      <c r="D50" s="199"/>
      <c r="E50" s="200" t="s">
        <v>331</v>
      </c>
      <c r="F50" s="198" t="s">
        <v>276</v>
      </c>
    </row>
    <row r="51" ht="22.5" customHeight="1">
      <c r="A51" s="77">
        <v>6.0</v>
      </c>
      <c r="B51" s="697" t="s">
        <v>20</v>
      </c>
      <c r="C51" s="78" t="s">
        <v>45</v>
      </c>
      <c r="D51" s="79"/>
      <c r="E51" s="80" t="s">
        <v>560</v>
      </c>
      <c r="F51" s="78" t="s">
        <v>510</v>
      </c>
    </row>
    <row r="52" ht="22.5" customHeight="1">
      <c r="A52" s="77">
        <v>7.0</v>
      </c>
      <c r="B52" s="78" t="s">
        <v>45</v>
      </c>
      <c r="C52" s="697" t="s">
        <v>25</v>
      </c>
      <c r="D52" s="83" t="s">
        <v>1882</v>
      </c>
      <c r="E52" s="84">
        <v>46057.0</v>
      </c>
      <c r="F52" s="78" t="s">
        <v>276</v>
      </c>
    </row>
    <row r="53" ht="22.5" customHeight="1">
      <c r="A53" s="90">
        <v>8.0</v>
      </c>
      <c r="B53" s="925" t="s">
        <v>36</v>
      </c>
      <c r="C53" s="91" t="s">
        <v>45</v>
      </c>
      <c r="D53" s="92"/>
      <c r="E53" s="93"/>
      <c r="F53" s="94" t="s">
        <v>619</v>
      </c>
    </row>
    <row r="54">
      <c r="A54" s="12"/>
      <c r="D54" s="95"/>
      <c r="E54" s="14"/>
      <c r="F54" s="96"/>
    </row>
    <row r="55">
      <c r="A55" s="12"/>
      <c r="D55" s="95"/>
      <c r="E55" s="14"/>
      <c r="F55" s="96"/>
    </row>
    <row r="56">
      <c r="A56" s="12"/>
      <c r="D56" s="95"/>
      <c r="E56" s="14"/>
      <c r="F56" s="96"/>
    </row>
    <row r="57">
      <c r="A57" s="12"/>
      <c r="D57" s="95"/>
      <c r="E57" s="14"/>
      <c r="F57" s="96"/>
    </row>
    <row r="58">
      <c r="A58" s="12"/>
      <c r="D58" s="95"/>
      <c r="E58" s="14"/>
      <c r="F58" s="96"/>
    </row>
    <row r="59">
      <c r="A59" s="12"/>
      <c r="D59" s="95"/>
      <c r="E59" s="14"/>
      <c r="F59" s="96"/>
    </row>
    <row r="60">
      <c r="A60" s="12"/>
      <c r="D60" s="95"/>
      <c r="E60" s="14"/>
      <c r="F60" s="96"/>
    </row>
    <row r="61">
      <c r="A61" s="12"/>
      <c r="D61" s="95"/>
      <c r="E61" s="14"/>
      <c r="F61" s="96"/>
    </row>
    <row r="62">
      <c r="A62" s="12"/>
      <c r="D62" s="95"/>
      <c r="E62" s="14"/>
      <c r="F62" s="96"/>
    </row>
    <row r="63">
      <c r="A63" s="12"/>
      <c r="D63" s="95"/>
      <c r="E63" s="14"/>
      <c r="F63" s="96"/>
    </row>
    <row r="64">
      <c r="A64" s="12"/>
      <c r="D64" s="95"/>
      <c r="E64" s="14"/>
      <c r="F64" s="96"/>
    </row>
    <row r="65">
      <c r="A65" s="12"/>
      <c r="D65" s="95"/>
      <c r="E65" s="14"/>
      <c r="F65" s="96"/>
    </row>
    <row r="66">
      <c r="A66" s="12"/>
      <c r="D66" s="95"/>
      <c r="E66" s="14"/>
      <c r="F66" s="96"/>
    </row>
    <row r="67">
      <c r="A67" s="12"/>
      <c r="D67" s="95"/>
      <c r="E67" s="14"/>
      <c r="F67" s="96"/>
    </row>
    <row r="68">
      <c r="A68" s="12"/>
      <c r="D68" s="95"/>
      <c r="E68" s="14"/>
      <c r="F68" s="96"/>
    </row>
    <row r="69">
      <c r="A69" s="12"/>
      <c r="D69" s="95"/>
      <c r="E69" s="14"/>
      <c r="F69" s="96"/>
    </row>
    <row r="70">
      <c r="A70" s="12"/>
      <c r="D70" s="95"/>
      <c r="E70" s="14"/>
      <c r="F70" s="96"/>
    </row>
    <row r="71">
      <c r="A71" s="12"/>
      <c r="D71" s="95"/>
      <c r="E71" s="14"/>
      <c r="F71" s="96"/>
    </row>
    <row r="72">
      <c r="A72" s="12"/>
      <c r="D72" s="95"/>
      <c r="E72" s="14"/>
      <c r="F72" s="96"/>
    </row>
    <row r="73">
      <c r="A73" s="12"/>
      <c r="D73" s="95"/>
      <c r="E73" s="14"/>
      <c r="F73" s="96"/>
    </row>
    <row r="74">
      <c r="A74" s="12"/>
      <c r="D74" s="95"/>
      <c r="E74" s="14"/>
      <c r="F74" s="96"/>
    </row>
    <row r="75">
      <c r="A75" s="12"/>
      <c r="D75" s="95"/>
      <c r="E75" s="14"/>
      <c r="F75" s="96"/>
    </row>
    <row r="76">
      <c r="A76" s="12"/>
      <c r="D76" s="95"/>
      <c r="E76" s="14"/>
      <c r="F76" s="96"/>
    </row>
    <row r="77">
      <c r="A77" s="12"/>
      <c r="D77" s="95"/>
      <c r="E77" s="14"/>
      <c r="F77" s="96"/>
    </row>
    <row r="78">
      <c r="A78" s="12"/>
      <c r="D78" s="95"/>
      <c r="E78" s="14"/>
      <c r="F78" s="96"/>
    </row>
    <row r="79">
      <c r="A79" s="12"/>
      <c r="D79" s="95"/>
      <c r="E79" s="14"/>
      <c r="F79" s="96"/>
    </row>
    <row r="80">
      <c r="A80" s="12"/>
      <c r="D80" s="95"/>
      <c r="E80" s="14"/>
      <c r="F80" s="96"/>
    </row>
    <row r="81">
      <c r="A81" s="12"/>
      <c r="D81" s="95"/>
      <c r="E81" s="14"/>
      <c r="F81" s="96"/>
    </row>
    <row r="82">
      <c r="A82" s="12"/>
      <c r="D82" s="95"/>
      <c r="E82" s="14"/>
      <c r="F82" s="96"/>
    </row>
    <row r="83">
      <c r="A83" s="12"/>
      <c r="D83" s="95"/>
      <c r="E83" s="14"/>
      <c r="F83" s="96"/>
    </row>
    <row r="84">
      <c r="A84" s="12"/>
      <c r="D84" s="95"/>
      <c r="E84" s="14"/>
      <c r="F84" s="96"/>
    </row>
    <row r="85">
      <c r="A85" s="12"/>
      <c r="D85" s="95"/>
      <c r="E85" s="14"/>
      <c r="F85" s="96"/>
    </row>
    <row r="86">
      <c r="A86" s="12"/>
      <c r="D86" s="95"/>
      <c r="E86" s="14"/>
      <c r="F86" s="96"/>
    </row>
    <row r="87">
      <c r="A87" s="12"/>
      <c r="D87" s="95"/>
      <c r="E87" s="14"/>
      <c r="F87" s="96"/>
    </row>
    <row r="88">
      <c r="A88" s="12"/>
      <c r="D88" s="95"/>
      <c r="E88" s="14"/>
      <c r="F88" s="96"/>
    </row>
    <row r="89">
      <c r="A89" s="12"/>
      <c r="D89" s="95"/>
      <c r="E89" s="14"/>
      <c r="F89" s="96"/>
    </row>
    <row r="90">
      <c r="A90" s="12"/>
      <c r="D90" s="95"/>
      <c r="E90" s="14"/>
      <c r="F90" s="96"/>
    </row>
    <row r="91">
      <c r="A91" s="12"/>
      <c r="D91" s="95"/>
      <c r="E91" s="14"/>
      <c r="F91" s="96"/>
    </row>
    <row r="92">
      <c r="A92" s="12"/>
      <c r="D92" s="95"/>
      <c r="E92" s="14"/>
      <c r="F92" s="96"/>
    </row>
    <row r="93">
      <c r="A93" s="12"/>
      <c r="D93" s="95"/>
      <c r="E93" s="14"/>
      <c r="F93" s="96"/>
    </row>
    <row r="94">
      <c r="A94" s="12"/>
      <c r="D94" s="95"/>
      <c r="E94" s="14"/>
      <c r="F94" s="96"/>
    </row>
    <row r="95">
      <c r="A95" s="12"/>
      <c r="D95" s="95"/>
      <c r="E95" s="14"/>
      <c r="F95" s="96"/>
    </row>
    <row r="96">
      <c r="A96" s="12"/>
      <c r="D96" s="95"/>
      <c r="E96" s="14"/>
      <c r="F96" s="96"/>
    </row>
    <row r="97">
      <c r="A97" s="12"/>
      <c r="D97" s="95"/>
      <c r="E97" s="14"/>
      <c r="F97" s="96"/>
    </row>
    <row r="98">
      <c r="A98" s="12"/>
      <c r="D98" s="95"/>
      <c r="E98" s="14"/>
      <c r="F98" s="96"/>
    </row>
    <row r="99">
      <c r="A99" s="12"/>
      <c r="D99" s="95"/>
      <c r="E99" s="14"/>
      <c r="F99" s="96"/>
    </row>
    <row r="100">
      <c r="A100" s="12"/>
      <c r="D100" s="95"/>
      <c r="E100" s="14"/>
      <c r="F100" s="96"/>
    </row>
    <row r="101">
      <c r="A101" s="12"/>
      <c r="D101" s="95"/>
      <c r="E101" s="14"/>
      <c r="F101" s="96"/>
    </row>
    <row r="102">
      <c r="A102" s="12"/>
      <c r="D102" s="95"/>
      <c r="E102" s="14"/>
      <c r="F102" s="96"/>
    </row>
    <row r="103">
      <c r="A103" s="12"/>
      <c r="D103" s="95"/>
      <c r="E103" s="14"/>
      <c r="F103" s="96"/>
    </row>
    <row r="104">
      <c r="A104" s="12"/>
      <c r="D104" s="95"/>
      <c r="E104" s="14"/>
      <c r="F104" s="96"/>
    </row>
    <row r="105">
      <c r="A105" s="12"/>
      <c r="D105" s="95"/>
      <c r="E105" s="14"/>
      <c r="F105" s="96"/>
    </row>
    <row r="106">
      <c r="A106" s="12"/>
      <c r="D106" s="95"/>
      <c r="E106" s="14"/>
      <c r="F106" s="96"/>
    </row>
    <row r="107">
      <c r="A107" s="12"/>
      <c r="D107" s="95"/>
      <c r="E107" s="14"/>
      <c r="F107" s="96"/>
    </row>
    <row r="108">
      <c r="A108" s="12"/>
      <c r="D108" s="95"/>
      <c r="E108" s="14"/>
      <c r="F108" s="96"/>
    </row>
    <row r="109">
      <c r="A109" s="12"/>
      <c r="D109" s="95"/>
      <c r="E109" s="14"/>
      <c r="F109" s="96"/>
    </row>
    <row r="110">
      <c r="A110" s="12"/>
      <c r="D110" s="95"/>
      <c r="E110" s="14"/>
      <c r="F110" s="96"/>
    </row>
    <row r="111">
      <c r="A111" s="12"/>
      <c r="D111" s="95"/>
      <c r="E111" s="14"/>
      <c r="F111" s="96"/>
    </row>
    <row r="112">
      <c r="A112" s="12"/>
      <c r="D112" s="95"/>
      <c r="E112" s="14"/>
      <c r="F112" s="96"/>
    </row>
    <row r="113">
      <c r="A113" s="12"/>
      <c r="D113" s="95"/>
      <c r="E113" s="14"/>
      <c r="F113" s="96"/>
    </row>
    <row r="114">
      <c r="A114" s="12"/>
      <c r="D114" s="95"/>
      <c r="E114" s="14"/>
      <c r="F114" s="96"/>
    </row>
    <row r="115">
      <c r="A115" s="12"/>
      <c r="D115" s="95"/>
      <c r="E115" s="14"/>
      <c r="F115" s="96"/>
    </row>
    <row r="116">
      <c r="A116" s="12"/>
      <c r="D116" s="95"/>
      <c r="E116" s="14"/>
      <c r="F116" s="96"/>
    </row>
    <row r="117">
      <c r="A117" s="12"/>
      <c r="D117" s="95"/>
      <c r="E117" s="14"/>
      <c r="F117" s="96"/>
    </row>
    <row r="118">
      <c r="A118" s="12"/>
      <c r="D118" s="95"/>
      <c r="E118" s="14"/>
      <c r="F118" s="96"/>
    </row>
    <row r="119">
      <c r="A119" s="12"/>
      <c r="D119" s="95"/>
      <c r="E119" s="14"/>
      <c r="F119" s="96"/>
    </row>
    <row r="120">
      <c r="A120" s="12"/>
      <c r="D120" s="95"/>
      <c r="E120" s="14"/>
      <c r="F120" s="96"/>
    </row>
    <row r="121">
      <c r="A121" s="12"/>
      <c r="D121" s="95"/>
      <c r="E121" s="14"/>
      <c r="F121" s="96"/>
    </row>
    <row r="122">
      <c r="A122" s="12"/>
      <c r="D122" s="95"/>
      <c r="E122" s="14"/>
      <c r="F122" s="96"/>
    </row>
    <row r="123">
      <c r="A123" s="12"/>
      <c r="D123" s="95"/>
      <c r="E123" s="14"/>
      <c r="F123" s="96"/>
    </row>
    <row r="124">
      <c r="A124" s="12"/>
      <c r="D124" s="95"/>
      <c r="E124" s="14"/>
      <c r="F124" s="96"/>
    </row>
    <row r="125">
      <c r="A125" s="12"/>
      <c r="D125" s="95"/>
      <c r="E125" s="14"/>
      <c r="F125" s="96"/>
    </row>
    <row r="126">
      <c r="A126" s="12"/>
      <c r="D126" s="95"/>
      <c r="E126" s="14"/>
      <c r="F126" s="96"/>
    </row>
    <row r="127">
      <c r="A127" s="12"/>
      <c r="D127" s="95"/>
      <c r="E127" s="14"/>
      <c r="F127" s="96"/>
    </row>
    <row r="128">
      <c r="A128" s="12"/>
      <c r="D128" s="95"/>
      <c r="E128" s="14"/>
      <c r="F128" s="96"/>
    </row>
    <row r="129">
      <c r="A129" s="12"/>
      <c r="D129" s="95"/>
      <c r="E129" s="14"/>
      <c r="F129" s="96"/>
    </row>
    <row r="130">
      <c r="A130" s="12"/>
      <c r="D130" s="95"/>
      <c r="E130" s="14"/>
      <c r="F130" s="96"/>
    </row>
    <row r="131">
      <c r="A131" s="12"/>
      <c r="D131" s="95"/>
      <c r="E131" s="14"/>
      <c r="F131" s="96"/>
    </row>
    <row r="132">
      <c r="A132" s="12"/>
      <c r="D132" s="95"/>
      <c r="E132" s="14"/>
      <c r="F132" s="96"/>
    </row>
    <row r="133">
      <c r="A133" s="12"/>
      <c r="D133" s="95"/>
      <c r="E133" s="14"/>
      <c r="F133" s="96"/>
    </row>
    <row r="134">
      <c r="A134" s="12"/>
      <c r="D134" s="95"/>
      <c r="E134" s="14"/>
      <c r="F134" s="96"/>
    </row>
    <row r="135">
      <c r="A135" s="12"/>
      <c r="D135" s="95"/>
      <c r="E135" s="14"/>
      <c r="F135" s="96"/>
    </row>
    <row r="136">
      <c r="A136" s="12"/>
      <c r="D136" s="95"/>
      <c r="E136" s="14"/>
      <c r="F136" s="96"/>
    </row>
    <row r="137">
      <c r="A137" s="12"/>
      <c r="D137" s="95"/>
      <c r="E137" s="14"/>
      <c r="F137" s="96"/>
    </row>
    <row r="138">
      <c r="A138" s="12"/>
      <c r="D138" s="95"/>
      <c r="E138" s="14"/>
      <c r="F138" s="96"/>
    </row>
    <row r="139">
      <c r="A139" s="12"/>
      <c r="D139" s="95"/>
      <c r="E139" s="14"/>
      <c r="F139" s="96"/>
    </row>
    <row r="140">
      <c r="A140" s="12"/>
      <c r="D140" s="95"/>
      <c r="E140" s="14"/>
      <c r="F140" s="96"/>
    </row>
    <row r="141">
      <c r="A141" s="12"/>
      <c r="D141" s="95"/>
      <c r="E141" s="14"/>
      <c r="F141" s="96"/>
    </row>
    <row r="142">
      <c r="A142" s="12"/>
      <c r="D142" s="95"/>
      <c r="E142" s="14"/>
      <c r="F142" s="96"/>
    </row>
    <row r="143">
      <c r="A143" s="12"/>
      <c r="D143" s="95"/>
      <c r="E143" s="14"/>
      <c r="F143" s="96"/>
    </row>
    <row r="144">
      <c r="A144" s="12"/>
      <c r="D144" s="95"/>
      <c r="E144" s="14"/>
      <c r="F144" s="96"/>
    </row>
    <row r="145">
      <c r="A145" s="12"/>
      <c r="D145" s="95"/>
      <c r="E145" s="14"/>
      <c r="F145" s="96"/>
    </row>
    <row r="146">
      <c r="A146" s="12"/>
      <c r="D146" s="95"/>
      <c r="E146" s="14"/>
      <c r="F146" s="96"/>
    </row>
    <row r="147">
      <c r="A147" s="12"/>
      <c r="D147" s="95"/>
      <c r="E147" s="14"/>
      <c r="F147" s="96"/>
    </row>
    <row r="148">
      <c r="A148" s="12"/>
      <c r="D148" s="95"/>
      <c r="E148" s="14"/>
      <c r="F148" s="96"/>
    </row>
    <row r="149">
      <c r="A149" s="12"/>
      <c r="D149" s="95"/>
      <c r="E149" s="14"/>
      <c r="F149" s="96"/>
    </row>
    <row r="150">
      <c r="A150" s="12"/>
      <c r="D150" s="95"/>
      <c r="E150" s="14"/>
      <c r="F150" s="96"/>
    </row>
    <row r="151">
      <c r="A151" s="12"/>
      <c r="D151" s="95"/>
      <c r="E151" s="14"/>
      <c r="F151" s="96"/>
    </row>
    <row r="152">
      <c r="A152" s="12"/>
      <c r="D152" s="95"/>
      <c r="E152" s="14"/>
      <c r="F152" s="96"/>
    </row>
    <row r="153">
      <c r="A153" s="12"/>
      <c r="D153" s="95"/>
      <c r="E153" s="14"/>
      <c r="F153" s="96"/>
    </row>
    <row r="154">
      <c r="A154" s="12"/>
      <c r="D154" s="95"/>
      <c r="E154" s="14"/>
      <c r="F154" s="96"/>
    </row>
    <row r="155">
      <c r="A155" s="12"/>
      <c r="D155" s="95"/>
      <c r="E155" s="14"/>
      <c r="F155" s="96"/>
    </row>
    <row r="156">
      <c r="A156" s="12"/>
      <c r="D156" s="95"/>
      <c r="E156" s="14"/>
      <c r="F156" s="96"/>
    </row>
    <row r="157">
      <c r="A157" s="12"/>
      <c r="D157" s="95"/>
      <c r="E157" s="14"/>
      <c r="F157" s="96"/>
    </row>
    <row r="158">
      <c r="A158" s="12"/>
      <c r="D158" s="95"/>
      <c r="E158" s="14"/>
      <c r="F158" s="96"/>
    </row>
    <row r="159">
      <c r="A159" s="12"/>
      <c r="D159" s="95"/>
      <c r="E159" s="14"/>
      <c r="F159" s="96"/>
    </row>
    <row r="160">
      <c r="A160" s="12"/>
      <c r="D160" s="95"/>
      <c r="E160" s="14"/>
      <c r="F160" s="96"/>
    </row>
    <row r="161">
      <c r="A161" s="12"/>
      <c r="D161" s="95"/>
      <c r="E161" s="14"/>
      <c r="F161" s="96"/>
    </row>
    <row r="162">
      <c r="A162" s="12"/>
      <c r="D162" s="95"/>
      <c r="E162" s="14"/>
      <c r="F162" s="96"/>
    </row>
    <row r="163">
      <c r="A163" s="12"/>
      <c r="D163" s="95"/>
      <c r="E163" s="14"/>
      <c r="F163" s="96"/>
    </row>
    <row r="164">
      <c r="A164" s="12"/>
      <c r="D164" s="95"/>
      <c r="E164" s="14"/>
      <c r="F164" s="96"/>
    </row>
    <row r="165">
      <c r="A165" s="12"/>
      <c r="D165" s="95"/>
      <c r="E165" s="14"/>
      <c r="F165" s="96"/>
    </row>
    <row r="166">
      <c r="A166" s="12"/>
      <c r="D166" s="95"/>
      <c r="E166" s="14"/>
      <c r="F166" s="96"/>
    </row>
    <row r="167">
      <c r="A167" s="12"/>
      <c r="D167" s="95"/>
      <c r="E167" s="14"/>
      <c r="F167" s="96"/>
    </row>
    <row r="168">
      <c r="A168" s="12"/>
      <c r="D168" s="95"/>
      <c r="E168" s="14"/>
      <c r="F168" s="96"/>
    </row>
    <row r="169">
      <c r="A169" s="12"/>
      <c r="D169" s="95"/>
      <c r="E169" s="14"/>
      <c r="F169" s="96"/>
    </row>
    <row r="170">
      <c r="A170" s="12"/>
      <c r="D170" s="95"/>
      <c r="E170" s="14"/>
      <c r="F170" s="96"/>
    </row>
    <row r="171">
      <c r="A171" s="12"/>
      <c r="D171" s="95"/>
      <c r="E171" s="14"/>
      <c r="F171" s="96"/>
    </row>
    <row r="172">
      <c r="A172" s="12"/>
      <c r="D172" s="95"/>
      <c r="E172" s="14"/>
      <c r="F172" s="96"/>
    </row>
    <row r="173">
      <c r="A173" s="12"/>
      <c r="D173" s="95"/>
      <c r="E173" s="14"/>
      <c r="F173" s="96"/>
    </row>
    <row r="174">
      <c r="A174" s="12"/>
      <c r="D174" s="95"/>
      <c r="E174" s="14"/>
      <c r="F174" s="96"/>
    </row>
    <row r="175">
      <c r="A175" s="12"/>
      <c r="D175" s="95"/>
      <c r="E175" s="14"/>
      <c r="F175" s="96"/>
    </row>
    <row r="176">
      <c r="A176" s="12"/>
      <c r="D176" s="95"/>
      <c r="E176" s="14"/>
      <c r="F176" s="96"/>
    </row>
    <row r="177">
      <c r="A177" s="12"/>
      <c r="D177" s="95"/>
      <c r="E177" s="14"/>
      <c r="F177" s="96"/>
    </row>
    <row r="178">
      <c r="A178" s="12"/>
      <c r="D178" s="95"/>
      <c r="E178" s="14"/>
      <c r="F178" s="96"/>
    </row>
    <row r="179">
      <c r="A179" s="12"/>
      <c r="D179" s="95"/>
      <c r="E179" s="14"/>
      <c r="F179" s="96"/>
    </row>
    <row r="180">
      <c r="A180" s="12"/>
      <c r="D180" s="95"/>
      <c r="E180" s="14"/>
      <c r="F180" s="96"/>
    </row>
    <row r="181">
      <c r="A181" s="12"/>
      <c r="D181" s="95"/>
      <c r="E181" s="14"/>
      <c r="F181" s="96"/>
    </row>
    <row r="182">
      <c r="A182" s="12"/>
      <c r="D182" s="95"/>
      <c r="E182" s="14"/>
      <c r="F182" s="96"/>
    </row>
    <row r="183">
      <c r="A183" s="12"/>
      <c r="D183" s="95"/>
      <c r="E183" s="14"/>
      <c r="F183" s="96"/>
    </row>
    <row r="184">
      <c r="A184" s="12"/>
      <c r="D184" s="95"/>
      <c r="E184" s="14"/>
      <c r="F184" s="96"/>
    </row>
    <row r="185">
      <c r="A185" s="12"/>
      <c r="D185" s="95"/>
      <c r="E185" s="14"/>
      <c r="F185" s="96"/>
    </row>
    <row r="186">
      <c r="A186" s="12"/>
      <c r="D186" s="95"/>
      <c r="E186" s="14"/>
      <c r="F186" s="96"/>
    </row>
    <row r="187">
      <c r="A187" s="12"/>
      <c r="D187" s="95"/>
      <c r="E187" s="14"/>
      <c r="F187" s="96"/>
    </row>
    <row r="188">
      <c r="A188" s="12"/>
      <c r="D188" s="95"/>
      <c r="E188" s="14"/>
      <c r="F188" s="96"/>
    </row>
    <row r="189">
      <c r="A189" s="12"/>
      <c r="D189" s="95"/>
      <c r="E189" s="14"/>
      <c r="F189" s="96"/>
    </row>
    <row r="190">
      <c r="A190" s="12"/>
      <c r="D190" s="95"/>
      <c r="E190" s="14"/>
      <c r="F190" s="96"/>
    </row>
    <row r="191">
      <c r="A191" s="12"/>
      <c r="D191" s="95"/>
      <c r="E191" s="14"/>
      <c r="F191" s="96"/>
    </row>
    <row r="192">
      <c r="A192" s="12"/>
      <c r="D192" s="95"/>
      <c r="E192" s="14"/>
      <c r="F192" s="96"/>
    </row>
    <row r="193">
      <c r="A193" s="12"/>
      <c r="D193" s="95"/>
      <c r="E193" s="14"/>
      <c r="F193" s="96"/>
    </row>
    <row r="194">
      <c r="A194" s="12"/>
      <c r="D194" s="95"/>
      <c r="E194" s="14"/>
      <c r="F194" s="96"/>
    </row>
    <row r="195">
      <c r="A195" s="12"/>
      <c r="D195" s="95"/>
      <c r="E195" s="14"/>
      <c r="F195" s="96"/>
    </row>
    <row r="196">
      <c r="A196" s="12"/>
      <c r="D196" s="95"/>
      <c r="E196" s="14"/>
      <c r="F196" s="96"/>
    </row>
    <row r="197">
      <c r="A197" s="12"/>
      <c r="D197" s="95"/>
      <c r="E197" s="14"/>
      <c r="F197" s="96"/>
    </row>
    <row r="198">
      <c r="A198" s="12"/>
      <c r="D198" s="95"/>
      <c r="E198" s="14"/>
      <c r="F198" s="96"/>
    </row>
    <row r="199">
      <c r="A199" s="12"/>
      <c r="D199" s="95"/>
      <c r="E199" s="14"/>
      <c r="F199" s="96"/>
    </row>
    <row r="200">
      <c r="A200" s="12"/>
      <c r="D200" s="95"/>
      <c r="E200" s="14"/>
      <c r="F200" s="96"/>
    </row>
    <row r="201">
      <c r="A201" s="12"/>
      <c r="D201" s="95"/>
      <c r="E201" s="14"/>
      <c r="F201" s="96"/>
    </row>
    <row r="202">
      <c r="A202" s="12"/>
      <c r="D202" s="95"/>
      <c r="E202" s="14"/>
      <c r="F202" s="96"/>
    </row>
    <row r="203">
      <c r="A203" s="12"/>
      <c r="D203" s="95"/>
      <c r="E203" s="14"/>
      <c r="F203" s="96"/>
    </row>
    <row r="204">
      <c r="A204" s="12"/>
      <c r="D204" s="95"/>
      <c r="E204" s="14"/>
      <c r="F204" s="96"/>
    </row>
    <row r="205">
      <c r="A205" s="12"/>
      <c r="D205" s="95"/>
      <c r="E205" s="14"/>
      <c r="F205" s="96"/>
    </row>
    <row r="206">
      <c r="A206" s="12"/>
      <c r="D206" s="95"/>
      <c r="E206" s="14"/>
      <c r="F206" s="96"/>
    </row>
    <row r="207">
      <c r="A207" s="12"/>
      <c r="D207" s="95"/>
      <c r="E207" s="14"/>
      <c r="F207" s="96"/>
    </row>
    <row r="208">
      <c r="A208" s="12"/>
      <c r="D208" s="95"/>
      <c r="E208" s="14"/>
      <c r="F208" s="96"/>
    </row>
    <row r="209">
      <c r="A209" s="12"/>
      <c r="D209" s="95"/>
      <c r="E209" s="14"/>
      <c r="F209" s="96"/>
    </row>
    <row r="210">
      <c r="A210" s="12"/>
      <c r="D210" s="95"/>
      <c r="E210" s="14"/>
      <c r="F210" s="96"/>
    </row>
    <row r="211">
      <c r="A211" s="12"/>
      <c r="D211" s="95"/>
      <c r="E211" s="14"/>
      <c r="F211" s="96"/>
    </row>
    <row r="212">
      <c r="A212" s="12"/>
      <c r="D212" s="95"/>
      <c r="E212" s="14"/>
      <c r="F212" s="96"/>
    </row>
    <row r="213">
      <c r="A213" s="12"/>
      <c r="D213" s="95"/>
      <c r="E213" s="14"/>
      <c r="F213" s="96"/>
    </row>
    <row r="214">
      <c r="A214" s="12"/>
      <c r="D214" s="95"/>
      <c r="E214" s="14"/>
      <c r="F214" s="96"/>
    </row>
    <row r="215">
      <c r="A215" s="12"/>
      <c r="D215" s="95"/>
      <c r="E215" s="14"/>
      <c r="F215" s="96"/>
    </row>
    <row r="216">
      <c r="A216" s="12"/>
      <c r="D216" s="95"/>
      <c r="E216" s="14"/>
      <c r="F216" s="96"/>
    </row>
    <row r="217">
      <c r="A217" s="12"/>
      <c r="D217" s="95"/>
      <c r="E217" s="14"/>
      <c r="F217" s="96"/>
    </row>
    <row r="218">
      <c r="A218" s="12"/>
      <c r="D218" s="95"/>
      <c r="E218" s="14"/>
      <c r="F218" s="96"/>
    </row>
    <row r="219">
      <c r="A219" s="12"/>
      <c r="D219" s="95"/>
      <c r="E219" s="14"/>
      <c r="F219" s="96"/>
    </row>
    <row r="220">
      <c r="A220" s="12"/>
      <c r="D220" s="95"/>
      <c r="E220" s="14"/>
      <c r="F220" s="96"/>
    </row>
    <row r="221">
      <c r="A221" s="12"/>
      <c r="D221" s="95"/>
      <c r="E221" s="14"/>
      <c r="F221" s="96"/>
    </row>
    <row r="222">
      <c r="A222" s="12"/>
      <c r="D222" s="95"/>
      <c r="E222" s="14"/>
      <c r="F222" s="96"/>
    </row>
    <row r="223">
      <c r="A223" s="12"/>
      <c r="D223" s="95"/>
      <c r="E223" s="14"/>
      <c r="F223" s="96"/>
    </row>
    <row r="224">
      <c r="A224" s="12"/>
      <c r="D224" s="95"/>
      <c r="E224" s="14"/>
      <c r="F224" s="96"/>
    </row>
    <row r="225">
      <c r="A225" s="12"/>
      <c r="D225" s="95"/>
      <c r="E225" s="14"/>
      <c r="F225" s="96"/>
    </row>
    <row r="226">
      <c r="A226" s="12"/>
      <c r="D226" s="95"/>
      <c r="E226" s="14"/>
      <c r="F226" s="96"/>
    </row>
    <row r="227">
      <c r="A227" s="12"/>
      <c r="D227" s="95"/>
      <c r="E227" s="14"/>
      <c r="F227" s="96"/>
    </row>
    <row r="228">
      <c r="A228" s="12"/>
      <c r="D228" s="95"/>
      <c r="E228" s="14"/>
      <c r="F228" s="96"/>
    </row>
    <row r="229">
      <c r="A229" s="12"/>
      <c r="D229" s="95"/>
      <c r="E229" s="14"/>
      <c r="F229" s="96"/>
    </row>
    <row r="230">
      <c r="A230" s="12"/>
      <c r="D230" s="95"/>
      <c r="E230" s="14"/>
      <c r="F230" s="96"/>
    </row>
    <row r="231">
      <c r="A231" s="12"/>
      <c r="D231" s="95"/>
      <c r="E231" s="14"/>
      <c r="F231" s="96"/>
    </row>
    <row r="232">
      <c r="A232" s="12"/>
      <c r="D232" s="95"/>
      <c r="E232" s="14"/>
      <c r="F232" s="96"/>
    </row>
    <row r="233">
      <c r="A233" s="12"/>
      <c r="D233" s="95"/>
      <c r="E233" s="14"/>
      <c r="F233" s="96"/>
    </row>
    <row r="234">
      <c r="A234" s="12"/>
      <c r="D234" s="95"/>
      <c r="E234" s="14"/>
      <c r="F234" s="96"/>
    </row>
    <row r="235">
      <c r="A235" s="12"/>
      <c r="D235" s="95"/>
      <c r="E235" s="14"/>
      <c r="F235" s="96"/>
    </row>
    <row r="236">
      <c r="A236" s="12"/>
      <c r="D236" s="95"/>
      <c r="E236" s="14"/>
      <c r="F236" s="96"/>
    </row>
    <row r="237">
      <c r="A237" s="12"/>
      <c r="D237" s="95"/>
      <c r="E237" s="14"/>
      <c r="F237" s="96"/>
    </row>
    <row r="238">
      <c r="A238" s="12"/>
      <c r="D238" s="95"/>
      <c r="E238" s="14"/>
      <c r="F238" s="96"/>
    </row>
    <row r="239">
      <c r="A239" s="12"/>
      <c r="D239" s="95"/>
      <c r="E239" s="14"/>
      <c r="F239" s="96"/>
    </row>
    <row r="240">
      <c r="A240" s="12"/>
      <c r="D240" s="95"/>
      <c r="E240" s="14"/>
      <c r="F240" s="96"/>
    </row>
    <row r="241">
      <c r="A241" s="12"/>
      <c r="D241" s="95"/>
      <c r="E241" s="14"/>
      <c r="F241" s="96"/>
    </row>
    <row r="242">
      <c r="A242" s="12"/>
      <c r="D242" s="95"/>
      <c r="E242" s="14"/>
      <c r="F242" s="96"/>
    </row>
    <row r="243">
      <c r="A243" s="12"/>
      <c r="D243" s="95"/>
      <c r="E243" s="14"/>
      <c r="F243" s="96"/>
    </row>
    <row r="244">
      <c r="A244" s="12"/>
      <c r="D244" s="95"/>
      <c r="E244" s="14"/>
      <c r="F244" s="96"/>
    </row>
    <row r="245">
      <c r="A245" s="12"/>
      <c r="D245" s="95"/>
      <c r="E245" s="14"/>
      <c r="F245" s="96"/>
    </row>
    <row r="246">
      <c r="A246" s="12"/>
      <c r="D246" s="95"/>
      <c r="E246" s="14"/>
      <c r="F246" s="96"/>
    </row>
    <row r="247">
      <c r="A247" s="12"/>
      <c r="D247" s="95"/>
      <c r="E247" s="14"/>
      <c r="F247" s="96"/>
    </row>
    <row r="248">
      <c r="A248" s="12"/>
      <c r="D248" s="95"/>
      <c r="E248" s="14"/>
      <c r="F248" s="96"/>
    </row>
    <row r="249">
      <c r="A249" s="12"/>
      <c r="D249" s="95"/>
      <c r="E249" s="14"/>
      <c r="F249" s="96"/>
    </row>
    <row r="250">
      <c r="A250" s="12"/>
      <c r="D250" s="95"/>
      <c r="E250" s="14"/>
      <c r="F250" s="96"/>
    </row>
    <row r="251">
      <c r="A251" s="12"/>
      <c r="D251" s="95"/>
      <c r="E251" s="14"/>
      <c r="F251" s="96"/>
    </row>
    <row r="252">
      <c r="A252" s="12"/>
      <c r="D252" s="95"/>
      <c r="E252" s="14"/>
      <c r="F252" s="96"/>
    </row>
    <row r="253">
      <c r="A253" s="12"/>
      <c r="D253" s="95"/>
      <c r="E253" s="14"/>
      <c r="F253" s="96"/>
    </row>
    <row r="254">
      <c r="A254" s="12"/>
      <c r="D254" s="95"/>
      <c r="E254" s="14"/>
      <c r="F254" s="96"/>
    </row>
    <row r="255">
      <c r="A255" s="12"/>
      <c r="D255" s="95"/>
      <c r="E255" s="14"/>
      <c r="F255" s="96"/>
    </row>
    <row r="256">
      <c r="A256" s="12"/>
      <c r="D256" s="95"/>
      <c r="E256" s="14"/>
      <c r="F256" s="96"/>
    </row>
    <row r="257">
      <c r="A257" s="12"/>
      <c r="D257" s="95"/>
      <c r="E257" s="14"/>
      <c r="F257" s="96"/>
    </row>
    <row r="258">
      <c r="A258" s="12"/>
      <c r="D258" s="95"/>
      <c r="E258" s="14"/>
      <c r="F258" s="96"/>
    </row>
    <row r="259">
      <c r="A259" s="12"/>
      <c r="D259" s="95"/>
      <c r="E259" s="14"/>
      <c r="F259" s="96"/>
    </row>
    <row r="260">
      <c r="A260" s="12"/>
      <c r="D260" s="95"/>
      <c r="E260" s="14"/>
      <c r="F260" s="96"/>
    </row>
    <row r="261">
      <c r="A261" s="12"/>
      <c r="D261" s="95"/>
      <c r="E261" s="14"/>
      <c r="F261" s="96"/>
    </row>
    <row r="262">
      <c r="A262" s="12"/>
      <c r="D262" s="95"/>
      <c r="E262" s="14"/>
      <c r="F262" s="96"/>
    </row>
    <row r="263">
      <c r="A263" s="12"/>
      <c r="D263" s="95"/>
      <c r="E263" s="14"/>
      <c r="F263" s="96"/>
    </row>
    <row r="264">
      <c r="A264" s="12"/>
      <c r="D264" s="95"/>
      <c r="E264" s="14"/>
      <c r="F264" s="96"/>
    </row>
    <row r="265">
      <c r="A265" s="12"/>
      <c r="D265" s="95"/>
      <c r="E265" s="14"/>
      <c r="F265" s="96"/>
    </row>
    <row r="266">
      <c r="A266" s="12"/>
      <c r="D266" s="95"/>
      <c r="E266" s="14"/>
      <c r="F266" s="96"/>
    </row>
    <row r="267">
      <c r="A267" s="12"/>
      <c r="D267" s="95"/>
      <c r="E267" s="14"/>
      <c r="F267" s="96"/>
    </row>
    <row r="268">
      <c r="A268" s="12"/>
      <c r="D268" s="95"/>
      <c r="E268" s="14"/>
      <c r="F268" s="96"/>
    </row>
    <row r="269">
      <c r="A269" s="12"/>
      <c r="D269" s="95"/>
      <c r="E269" s="14"/>
      <c r="F269" s="96"/>
    </row>
    <row r="270">
      <c r="A270" s="12"/>
      <c r="D270" s="95"/>
      <c r="E270" s="14"/>
      <c r="F270" s="96"/>
    </row>
    <row r="271">
      <c r="A271" s="12"/>
      <c r="D271" s="95"/>
      <c r="E271" s="14"/>
      <c r="F271" s="96"/>
    </row>
    <row r="272">
      <c r="A272" s="12"/>
      <c r="D272" s="95"/>
      <c r="E272" s="14"/>
      <c r="F272" s="96"/>
    </row>
    <row r="273">
      <c r="A273" s="12"/>
      <c r="D273" s="95"/>
      <c r="E273" s="14"/>
      <c r="F273" s="96"/>
    </row>
    <row r="274">
      <c r="A274" s="12"/>
      <c r="D274" s="95"/>
      <c r="E274" s="14"/>
      <c r="F274" s="96"/>
    </row>
    <row r="275">
      <c r="A275" s="12"/>
      <c r="D275" s="95"/>
      <c r="E275" s="14"/>
      <c r="F275" s="96"/>
    </row>
    <row r="276">
      <c r="A276" s="12"/>
      <c r="D276" s="95"/>
      <c r="E276" s="14"/>
      <c r="F276" s="96"/>
    </row>
    <row r="277">
      <c r="A277" s="12"/>
      <c r="D277" s="95"/>
      <c r="E277" s="14"/>
      <c r="F277" s="96"/>
    </row>
    <row r="278">
      <c r="A278" s="12"/>
      <c r="D278" s="95"/>
      <c r="E278" s="14"/>
      <c r="F278" s="96"/>
    </row>
    <row r="279">
      <c r="A279" s="12"/>
      <c r="D279" s="95"/>
      <c r="E279" s="14"/>
      <c r="F279" s="96"/>
    </row>
    <row r="280">
      <c r="A280" s="12"/>
      <c r="D280" s="95"/>
      <c r="E280" s="14"/>
      <c r="F280" s="96"/>
    </row>
    <row r="281">
      <c r="A281" s="12"/>
      <c r="D281" s="95"/>
      <c r="E281" s="14"/>
      <c r="F281" s="96"/>
    </row>
    <row r="282">
      <c r="A282" s="12"/>
      <c r="D282" s="95"/>
      <c r="E282" s="14"/>
      <c r="F282" s="96"/>
    </row>
    <row r="283">
      <c r="A283" s="12"/>
      <c r="D283" s="95"/>
      <c r="E283" s="14"/>
      <c r="F283" s="96"/>
    </row>
    <row r="284">
      <c r="A284" s="12"/>
      <c r="D284" s="95"/>
      <c r="E284" s="14"/>
      <c r="F284" s="96"/>
    </row>
    <row r="285">
      <c r="A285" s="12"/>
      <c r="D285" s="95"/>
      <c r="E285" s="14"/>
      <c r="F285" s="96"/>
    </row>
    <row r="286">
      <c r="A286" s="12"/>
      <c r="D286" s="95"/>
      <c r="E286" s="14"/>
      <c r="F286" s="96"/>
    </row>
    <row r="287">
      <c r="A287" s="12"/>
      <c r="D287" s="95"/>
      <c r="E287" s="14"/>
      <c r="F287" s="96"/>
    </row>
    <row r="288">
      <c r="A288" s="12"/>
      <c r="D288" s="95"/>
      <c r="E288" s="14"/>
      <c r="F288" s="96"/>
    </row>
    <row r="289">
      <c r="A289" s="12"/>
      <c r="D289" s="95"/>
      <c r="E289" s="14"/>
      <c r="F289" s="96"/>
    </row>
    <row r="290">
      <c r="A290" s="12"/>
      <c r="D290" s="95"/>
      <c r="E290" s="14"/>
      <c r="F290" s="96"/>
    </row>
    <row r="291">
      <c r="A291" s="12"/>
      <c r="D291" s="95"/>
      <c r="E291" s="14"/>
      <c r="F291" s="96"/>
    </row>
    <row r="292">
      <c r="A292" s="12"/>
      <c r="D292" s="95"/>
      <c r="E292" s="14"/>
      <c r="F292" s="96"/>
    </row>
    <row r="293">
      <c r="A293" s="12"/>
      <c r="D293" s="95"/>
      <c r="E293" s="14"/>
      <c r="F293" s="96"/>
    </row>
    <row r="294">
      <c r="A294" s="12"/>
      <c r="D294" s="95"/>
      <c r="E294" s="14"/>
      <c r="F294" s="96"/>
    </row>
    <row r="295">
      <c r="A295" s="12"/>
      <c r="D295" s="95"/>
      <c r="E295" s="14"/>
      <c r="F295" s="96"/>
    </row>
    <row r="296">
      <c r="A296" s="12"/>
      <c r="D296" s="95"/>
      <c r="E296" s="14"/>
      <c r="F296" s="96"/>
    </row>
    <row r="297">
      <c r="A297" s="12"/>
      <c r="D297" s="95"/>
      <c r="E297" s="14"/>
      <c r="F297" s="96"/>
    </row>
    <row r="298">
      <c r="A298" s="12"/>
      <c r="D298" s="95"/>
      <c r="E298" s="14"/>
      <c r="F298" s="96"/>
    </row>
    <row r="299">
      <c r="A299" s="12"/>
      <c r="D299" s="95"/>
      <c r="E299" s="14"/>
      <c r="F299" s="96"/>
    </row>
    <row r="300">
      <c r="A300" s="12"/>
      <c r="D300" s="95"/>
      <c r="E300" s="14"/>
      <c r="F300" s="96"/>
    </row>
    <row r="301">
      <c r="A301" s="12"/>
      <c r="D301" s="95"/>
      <c r="E301" s="14"/>
      <c r="F301" s="96"/>
    </row>
    <row r="302">
      <c r="A302" s="12"/>
      <c r="D302" s="95"/>
      <c r="E302" s="14"/>
      <c r="F302" s="96"/>
    </row>
    <row r="303">
      <c r="A303" s="12"/>
      <c r="D303" s="95"/>
      <c r="E303" s="14"/>
      <c r="F303" s="96"/>
    </row>
    <row r="304">
      <c r="A304" s="12"/>
      <c r="D304" s="95"/>
      <c r="E304" s="14"/>
      <c r="F304" s="96"/>
    </row>
    <row r="305">
      <c r="A305" s="12"/>
      <c r="D305" s="95"/>
      <c r="E305" s="14"/>
      <c r="F305" s="96"/>
    </row>
    <row r="306">
      <c r="A306" s="12"/>
      <c r="D306" s="95"/>
      <c r="E306" s="14"/>
      <c r="F306" s="96"/>
    </row>
    <row r="307">
      <c r="A307" s="12"/>
      <c r="D307" s="95"/>
      <c r="E307" s="14"/>
      <c r="F307" s="96"/>
    </row>
    <row r="308">
      <c r="A308" s="12"/>
      <c r="D308" s="95"/>
      <c r="E308" s="14"/>
      <c r="F308" s="96"/>
    </row>
    <row r="309">
      <c r="A309" s="12"/>
      <c r="D309" s="95"/>
      <c r="E309" s="14"/>
      <c r="F309" s="96"/>
    </row>
    <row r="310">
      <c r="A310" s="12"/>
      <c r="D310" s="95"/>
      <c r="E310" s="14"/>
      <c r="F310" s="96"/>
    </row>
    <row r="311">
      <c r="A311" s="12"/>
      <c r="D311" s="95"/>
      <c r="E311" s="14"/>
      <c r="F311" s="96"/>
    </row>
    <row r="312">
      <c r="A312" s="12"/>
      <c r="D312" s="95"/>
      <c r="E312" s="14"/>
      <c r="F312" s="96"/>
    </row>
    <row r="313">
      <c r="A313" s="12"/>
      <c r="D313" s="95"/>
      <c r="E313" s="14"/>
      <c r="F313" s="96"/>
    </row>
    <row r="314">
      <c r="A314" s="12"/>
      <c r="D314" s="95"/>
      <c r="E314" s="14"/>
      <c r="F314" s="96"/>
    </row>
    <row r="315">
      <c r="A315" s="12"/>
      <c r="D315" s="95"/>
      <c r="E315" s="14"/>
      <c r="F315" s="96"/>
    </row>
    <row r="316">
      <c r="A316" s="12"/>
      <c r="D316" s="95"/>
      <c r="E316" s="14"/>
      <c r="F316" s="96"/>
    </row>
    <row r="317">
      <c r="A317" s="12"/>
      <c r="D317" s="95"/>
      <c r="E317" s="14"/>
      <c r="F317" s="96"/>
    </row>
    <row r="318">
      <c r="A318" s="12"/>
      <c r="D318" s="95"/>
      <c r="E318" s="14"/>
      <c r="F318" s="96"/>
    </row>
    <row r="319">
      <c r="A319" s="12"/>
      <c r="D319" s="95"/>
      <c r="E319" s="14"/>
      <c r="F319" s="96"/>
    </row>
    <row r="320">
      <c r="A320" s="12"/>
      <c r="D320" s="95"/>
      <c r="E320" s="14"/>
      <c r="F320" s="96"/>
    </row>
    <row r="321">
      <c r="A321" s="12"/>
      <c r="D321" s="95"/>
      <c r="E321" s="14"/>
      <c r="F321" s="96"/>
    </row>
    <row r="322">
      <c r="A322" s="12"/>
      <c r="D322" s="95"/>
      <c r="E322" s="14"/>
      <c r="F322" s="96"/>
    </row>
    <row r="323">
      <c r="A323" s="12"/>
      <c r="D323" s="95"/>
      <c r="E323" s="14"/>
      <c r="F323" s="96"/>
    </row>
    <row r="324">
      <c r="A324" s="12"/>
      <c r="D324" s="95"/>
      <c r="E324" s="14"/>
      <c r="F324" s="96"/>
    </row>
    <row r="325">
      <c r="A325" s="12"/>
      <c r="D325" s="95"/>
      <c r="E325" s="14"/>
      <c r="F325" s="96"/>
    </row>
    <row r="326">
      <c r="A326" s="12"/>
      <c r="D326" s="95"/>
      <c r="E326" s="14"/>
      <c r="F326" s="96"/>
    </row>
    <row r="327">
      <c r="A327" s="12"/>
      <c r="D327" s="95"/>
      <c r="E327" s="14"/>
      <c r="F327" s="96"/>
    </row>
    <row r="328">
      <c r="A328" s="12"/>
      <c r="D328" s="95"/>
      <c r="E328" s="14"/>
      <c r="F328" s="96"/>
    </row>
    <row r="329">
      <c r="A329" s="12"/>
      <c r="D329" s="95"/>
      <c r="E329" s="14"/>
      <c r="F329" s="96"/>
    </row>
    <row r="330">
      <c r="A330" s="12"/>
      <c r="D330" s="95"/>
      <c r="E330" s="14"/>
      <c r="F330" s="96"/>
    </row>
    <row r="331">
      <c r="A331" s="12"/>
      <c r="D331" s="95"/>
      <c r="E331" s="14"/>
      <c r="F331" s="96"/>
    </row>
    <row r="332">
      <c r="A332" s="12"/>
      <c r="D332" s="95"/>
      <c r="E332" s="14"/>
      <c r="F332" s="96"/>
    </row>
    <row r="333">
      <c r="A333" s="12"/>
      <c r="D333" s="95"/>
      <c r="E333" s="14"/>
      <c r="F333" s="96"/>
    </row>
    <row r="334">
      <c r="A334" s="12"/>
      <c r="D334" s="95"/>
      <c r="E334" s="14"/>
      <c r="F334" s="96"/>
    </row>
    <row r="335">
      <c r="A335" s="12"/>
      <c r="D335" s="95"/>
      <c r="E335" s="14"/>
      <c r="F335" s="96"/>
    </row>
    <row r="336">
      <c r="A336" s="12"/>
      <c r="D336" s="95"/>
      <c r="E336" s="14"/>
      <c r="F336" s="96"/>
    </row>
    <row r="337">
      <c r="A337" s="12"/>
      <c r="D337" s="95"/>
      <c r="E337" s="14"/>
      <c r="F337" s="96"/>
    </row>
    <row r="338">
      <c r="A338" s="12"/>
      <c r="D338" s="95"/>
      <c r="E338" s="14"/>
      <c r="F338" s="96"/>
    </row>
    <row r="339">
      <c r="A339" s="12"/>
      <c r="D339" s="95"/>
      <c r="E339" s="14"/>
      <c r="F339" s="96"/>
    </row>
    <row r="340">
      <c r="A340" s="12"/>
      <c r="D340" s="95"/>
      <c r="E340" s="14"/>
      <c r="F340" s="96"/>
    </row>
    <row r="341">
      <c r="A341" s="12"/>
      <c r="D341" s="95"/>
      <c r="E341" s="14"/>
      <c r="F341" s="96"/>
    </row>
    <row r="342">
      <c r="A342" s="12"/>
      <c r="D342" s="95"/>
      <c r="E342" s="14"/>
      <c r="F342" s="96"/>
    </row>
    <row r="343">
      <c r="A343" s="12"/>
      <c r="D343" s="95"/>
      <c r="E343" s="14"/>
      <c r="F343" s="96"/>
    </row>
    <row r="344">
      <c r="A344" s="12"/>
      <c r="D344" s="95"/>
      <c r="E344" s="14"/>
      <c r="F344" s="96"/>
    </row>
    <row r="345">
      <c r="A345" s="12"/>
      <c r="D345" s="95"/>
      <c r="E345" s="14"/>
      <c r="F345" s="96"/>
    </row>
    <row r="346">
      <c r="A346" s="12"/>
      <c r="D346" s="95"/>
      <c r="E346" s="14"/>
      <c r="F346" s="96"/>
    </row>
    <row r="347">
      <c r="A347" s="12"/>
      <c r="D347" s="95"/>
      <c r="E347" s="14"/>
      <c r="F347" s="96"/>
    </row>
    <row r="348">
      <c r="A348" s="12"/>
      <c r="D348" s="95"/>
      <c r="E348" s="14"/>
      <c r="F348" s="96"/>
    </row>
    <row r="349">
      <c r="A349" s="12"/>
      <c r="D349" s="95"/>
      <c r="E349" s="14"/>
      <c r="F349" s="96"/>
    </row>
    <row r="350">
      <c r="A350" s="12"/>
      <c r="D350" s="95"/>
      <c r="E350" s="14"/>
      <c r="F350" s="96"/>
    </row>
    <row r="351">
      <c r="A351" s="12"/>
      <c r="D351" s="95"/>
      <c r="E351" s="14"/>
      <c r="F351" s="96"/>
    </row>
    <row r="352">
      <c r="A352" s="12"/>
      <c r="D352" s="95"/>
      <c r="E352" s="14"/>
      <c r="F352" s="96"/>
    </row>
    <row r="353">
      <c r="A353" s="12"/>
      <c r="D353" s="95"/>
      <c r="E353" s="14"/>
      <c r="F353" s="96"/>
    </row>
    <row r="354">
      <c r="A354" s="12"/>
      <c r="D354" s="95"/>
      <c r="E354" s="14"/>
      <c r="F354" s="96"/>
    </row>
    <row r="355">
      <c r="A355" s="12"/>
      <c r="D355" s="95"/>
      <c r="E355" s="14"/>
      <c r="F355" s="96"/>
    </row>
    <row r="356">
      <c r="A356" s="12"/>
      <c r="D356" s="95"/>
      <c r="E356" s="14"/>
      <c r="F356" s="96"/>
    </row>
    <row r="357">
      <c r="A357" s="12"/>
      <c r="D357" s="95"/>
      <c r="E357" s="14"/>
      <c r="F357" s="96"/>
    </row>
    <row r="358">
      <c r="A358" s="12"/>
      <c r="D358" s="95"/>
      <c r="E358" s="14"/>
      <c r="F358" s="96"/>
    </row>
    <row r="359">
      <c r="A359" s="12"/>
      <c r="D359" s="95"/>
      <c r="E359" s="14"/>
      <c r="F359" s="96"/>
    </row>
    <row r="360">
      <c r="A360" s="12"/>
      <c r="D360" s="95"/>
      <c r="E360" s="14"/>
      <c r="F360" s="96"/>
    </row>
    <row r="361">
      <c r="A361" s="12"/>
      <c r="D361" s="95"/>
      <c r="E361" s="14"/>
      <c r="F361" s="96"/>
    </row>
    <row r="362">
      <c r="A362" s="12"/>
      <c r="D362" s="95"/>
      <c r="E362" s="14"/>
      <c r="F362" s="96"/>
    </row>
    <row r="363">
      <c r="A363" s="12"/>
      <c r="D363" s="95"/>
      <c r="E363" s="14"/>
      <c r="F363" s="96"/>
    </row>
    <row r="364">
      <c r="A364" s="12"/>
      <c r="D364" s="95"/>
      <c r="E364" s="14"/>
      <c r="F364" s="96"/>
    </row>
    <row r="365">
      <c r="A365" s="12"/>
      <c r="D365" s="95"/>
      <c r="E365" s="14"/>
      <c r="F365" s="96"/>
    </row>
    <row r="366">
      <c r="A366" s="12"/>
      <c r="D366" s="95"/>
      <c r="E366" s="14"/>
      <c r="F366" s="96"/>
    </row>
    <row r="367">
      <c r="A367" s="12"/>
      <c r="D367" s="95"/>
      <c r="E367" s="14"/>
      <c r="F367" s="96"/>
    </row>
    <row r="368">
      <c r="A368" s="12"/>
      <c r="D368" s="95"/>
      <c r="E368" s="14"/>
      <c r="F368" s="96"/>
    </row>
    <row r="369">
      <c r="A369" s="12"/>
      <c r="D369" s="95"/>
      <c r="E369" s="14"/>
      <c r="F369" s="96"/>
    </row>
    <row r="370">
      <c r="A370" s="12"/>
      <c r="D370" s="95"/>
      <c r="E370" s="14"/>
      <c r="F370" s="96"/>
    </row>
    <row r="371">
      <c r="A371" s="12"/>
      <c r="D371" s="95"/>
      <c r="E371" s="14"/>
      <c r="F371" s="96"/>
    </row>
    <row r="372">
      <c r="A372" s="12"/>
      <c r="D372" s="95"/>
      <c r="E372" s="14"/>
      <c r="F372" s="96"/>
    </row>
    <row r="373">
      <c r="A373" s="12"/>
      <c r="D373" s="95"/>
      <c r="E373" s="14"/>
      <c r="F373" s="96"/>
    </row>
    <row r="374">
      <c r="A374" s="12"/>
      <c r="D374" s="95"/>
      <c r="E374" s="14"/>
      <c r="F374" s="96"/>
    </row>
    <row r="375">
      <c r="A375" s="12"/>
      <c r="D375" s="95"/>
      <c r="E375" s="14"/>
      <c r="F375" s="96"/>
    </row>
    <row r="376">
      <c r="A376" s="12"/>
      <c r="D376" s="95"/>
      <c r="E376" s="14"/>
      <c r="F376" s="96"/>
    </row>
    <row r="377">
      <c r="A377" s="12"/>
      <c r="D377" s="95"/>
      <c r="E377" s="14"/>
      <c r="F377" s="96"/>
    </row>
    <row r="378">
      <c r="A378" s="12"/>
      <c r="D378" s="95"/>
      <c r="E378" s="14"/>
      <c r="F378" s="96"/>
    </row>
    <row r="379">
      <c r="A379" s="12"/>
      <c r="D379" s="95"/>
      <c r="E379" s="14"/>
      <c r="F379" s="96"/>
    </row>
    <row r="380">
      <c r="A380" s="12"/>
      <c r="D380" s="95"/>
      <c r="E380" s="14"/>
      <c r="F380" s="96"/>
    </row>
    <row r="381">
      <c r="A381" s="12"/>
      <c r="D381" s="95"/>
      <c r="E381" s="14"/>
      <c r="F381" s="96"/>
    </row>
    <row r="382">
      <c r="A382" s="12"/>
      <c r="D382" s="95"/>
      <c r="E382" s="14"/>
      <c r="F382" s="96"/>
    </row>
    <row r="383">
      <c r="A383" s="12"/>
      <c r="D383" s="95"/>
      <c r="E383" s="14"/>
      <c r="F383" s="96"/>
    </row>
    <row r="384">
      <c r="A384" s="12"/>
      <c r="D384" s="95"/>
      <c r="E384" s="14"/>
      <c r="F384" s="96"/>
    </row>
    <row r="385">
      <c r="A385" s="12"/>
      <c r="D385" s="95"/>
      <c r="E385" s="14"/>
      <c r="F385" s="96"/>
    </row>
    <row r="386">
      <c r="A386" s="12"/>
      <c r="D386" s="95"/>
      <c r="E386" s="14"/>
      <c r="F386" s="96"/>
    </row>
    <row r="387">
      <c r="A387" s="12"/>
      <c r="D387" s="95"/>
      <c r="E387" s="14"/>
      <c r="F387" s="96"/>
    </row>
    <row r="388">
      <c r="A388" s="12"/>
      <c r="D388" s="95"/>
      <c r="E388" s="14"/>
      <c r="F388" s="96"/>
    </row>
    <row r="389">
      <c r="A389" s="12"/>
      <c r="D389" s="95"/>
      <c r="E389" s="14"/>
      <c r="F389" s="96"/>
    </row>
    <row r="390">
      <c r="A390" s="12"/>
      <c r="D390" s="95"/>
      <c r="E390" s="14"/>
      <c r="F390" s="96"/>
    </row>
    <row r="391">
      <c r="A391" s="12"/>
      <c r="D391" s="95"/>
      <c r="E391" s="14"/>
      <c r="F391" s="96"/>
    </row>
    <row r="392">
      <c r="A392" s="12"/>
      <c r="D392" s="95"/>
      <c r="E392" s="14"/>
      <c r="F392" s="96"/>
    </row>
    <row r="393">
      <c r="A393" s="12"/>
      <c r="D393" s="95"/>
      <c r="E393" s="14"/>
      <c r="F393" s="96"/>
    </row>
    <row r="394">
      <c r="A394" s="12"/>
      <c r="D394" s="95"/>
      <c r="E394" s="14"/>
      <c r="F394" s="96"/>
    </row>
    <row r="395">
      <c r="A395" s="12"/>
      <c r="D395" s="95"/>
      <c r="E395" s="14"/>
      <c r="F395" s="96"/>
    </row>
    <row r="396">
      <c r="A396" s="12"/>
      <c r="D396" s="95"/>
      <c r="E396" s="14"/>
      <c r="F396" s="96"/>
    </row>
    <row r="397">
      <c r="A397" s="12"/>
      <c r="D397" s="95"/>
      <c r="E397" s="14"/>
      <c r="F397" s="96"/>
    </row>
    <row r="398">
      <c r="A398" s="12"/>
      <c r="D398" s="95"/>
      <c r="E398" s="14"/>
      <c r="F398" s="96"/>
    </row>
    <row r="399">
      <c r="A399" s="12"/>
      <c r="D399" s="95"/>
      <c r="E399" s="14"/>
      <c r="F399" s="96"/>
    </row>
    <row r="400">
      <c r="A400" s="12"/>
      <c r="D400" s="95"/>
      <c r="E400" s="14"/>
      <c r="F400" s="96"/>
    </row>
    <row r="401">
      <c r="A401" s="12"/>
      <c r="D401" s="95"/>
      <c r="E401" s="14"/>
      <c r="F401" s="96"/>
    </row>
    <row r="402">
      <c r="A402" s="12"/>
      <c r="D402" s="95"/>
      <c r="E402" s="14"/>
      <c r="F402" s="96"/>
    </row>
    <row r="403">
      <c r="A403" s="12"/>
      <c r="D403" s="95"/>
      <c r="E403" s="14"/>
      <c r="F403" s="96"/>
    </row>
    <row r="404">
      <c r="A404" s="12"/>
      <c r="D404" s="95"/>
      <c r="E404" s="14"/>
      <c r="F404" s="96"/>
    </row>
    <row r="405">
      <c r="A405" s="12"/>
      <c r="D405" s="95"/>
      <c r="E405" s="14"/>
      <c r="F405" s="96"/>
    </row>
    <row r="406">
      <c r="A406" s="12"/>
      <c r="D406" s="95"/>
      <c r="E406" s="14"/>
      <c r="F406" s="96"/>
    </row>
    <row r="407">
      <c r="A407" s="12"/>
      <c r="D407" s="95"/>
      <c r="E407" s="14"/>
      <c r="F407" s="96"/>
    </row>
    <row r="408">
      <c r="A408" s="12"/>
      <c r="D408" s="95"/>
      <c r="E408" s="14"/>
      <c r="F408" s="96"/>
    </row>
    <row r="409">
      <c r="A409" s="12"/>
      <c r="D409" s="95"/>
      <c r="E409" s="14"/>
      <c r="F409" s="96"/>
    </row>
    <row r="410">
      <c r="A410" s="12"/>
      <c r="D410" s="95"/>
      <c r="E410" s="14"/>
      <c r="F410" s="96"/>
    </row>
    <row r="411">
      <c r="A411" s="12"/>
      <c r="D411" s="95"/>
      <c r="E411" s="14"/>
      <c r="F411" s="96"/>
    </row>
    <row r="412">
      <c r="A412" s="12"/>
      <c r="D412" s="95"/>
      <c r="E412" s="14"/>
      <c r="F412" s="96"/>
    </row>
    <row r="413">
      <c r="A413" s="12"/>
      <c r="D413" s="95"/>
      <c r="E413" s="14"/>
      <c r="F413" s="96"/>
    </row>
    <row r="414">
      <c r="A414" s="12"/>
      <c r="D414" s="95"/>
      <c r="E414" s="14"/>
      <c r="F414" s="96"/>
    </row>
    <row r="415">
      <c r="A415" s="12"/>
      <c r="D415" s="95"/>
      <c r="E415" s="14"/>
      <c r="F415" s="96"/>
    </row>
    <row r="416">
      <c r="A416" s="12"/>
      <c r="D416" s="95"/>
      <c r="E416" s="14"/>
      <c r="F416" s="96"/>
    </row>
    <row r="417">
      <c r="A417" s="12"/>
      <c r="D417" s="95"/>
      <c r="E417" s="14"/>
      <c r="F417" s="96"/>
    </row>
    <row r="418">
      <c r="A418" s="12"/>
      <c r="D418" s="95"/>
      <c r="E418" s="14"/>
      <c r="F418" s="96"/>
    </row>
    <row r="419">
      <c r="A419" s="12"/>
      <c r="D419" s="95"/>
      <c r="E419" s="14"/>
      <c r="F419" s="96"/>
    </row>
    <row r="420">
      <c r="A420" s="12"/>
      <c r="D420" s="95"/>
      <c r="E420" s="14"/>
      <c r="F420" s="96"/>
    </row>
    <row r="421">
      <c r="A421" s="12"/>
      <c r="D421" s="95"/>
      <c r="E421" s="14"/>
      <c r="F421" s="96"/>
    </row>
    <row r="422">
      <c r="A422" s="12"/>
      <c r="D422" s="95"/>
      <c r="E422" s="14"/>
      <c r="F422" s="96"/>
    </row>
    <row r="423">
      <c r="A423" s="12"/>
      <c r="D423" s="95"/>
      <c r="E423" s="14"/>
      <c r="F423" s="96"/>
    </row>
    <row r="424">
      <c r="A424" s="12"/>
      <c r="D424" s="95"/>
      <c r="E424" s="14"/>
      <c r="F424" s="96"/>
    </row>
    <row r="425">
      <c r="A425" s="12"/>
      <c r="D425" s="95"/>
      <c r="E425" s="14"/>
      <c r="F425" s="96"/>
    </row>
    <row r="426">
      <c r="A426" s="12"/>
      <c r="D426" s="95"/>
      <c r="E426" s="14"/>
      <c r="F426" s="96"/>
    </row>
    <row r="427">
      <c r="A427" s="12"/>
      <c r="D427" s="95"/>
      <c r="E427" s="14"/>
      <c r="F427" s="96"/>
    </row>
    <row r="428">
      <c r="A428" s="12"/>
      <c r="D428" s="95"/>
      <c r="E428" s="14"/>
      <c r="F428" s="96"/>
    </row>
    <row r="429">
      <c r="A429" s="12"/>
      <c r="D429" s="95"/>
      <c r="E429" s="14"/>
      <c r="F429" s="96"/>
    </row>
    <row r="430">
      <c r="A430" s="12"/>
      <c r="D430" s="95"/>
      <c r="E430" s="14"/>
      <c r="F430" s="96"/>
    </row>
    <row r="431">
      <c r="A431" s="12"/>
      <c r="D431" s="95"/>
      <c r="E431" s="14"/>
      <c r="F431" s="96"/>
    </row>
    <row r="432">
      <c r="A432" s="12"/>
      <c r="D432" s="95"/>
      <c r="E432" s="14"/>
      <c r="F432" s="96"/>
    </row>
    <row r="433">
      <c r="A433" s="12"/>
      <c r="D433" s="95"/>
      <c r="E433" s="14"/>
      <c r="F433" s="96"/>
    </row>
    <row r="434">
      <c r="A434" s="12"/>
      <c r="D434" s="95"/>
      <c r="E434" s="14"/>
      <c r="F434" s="96"/>
    </row>
    <row r="435">
      <c r="A435" s="12"/>
      <c r="D435" s="95"/>
      <c r="E435" s="14"/>
      <c r="F435" s="96"/>
    </row>
    <row r="436">
      <c r="A436" s="12"/>
      <c r="D436" s="95"/>
      <c r="E436" s="14"/>
      <c r="F436" s="96"/>
    </row>
    <row r="437">
      <c r="A437" s="12"/>
      <c r="D437" s="95"/>
      <c r="E437" s="14"/>
      <c r="F437" s="96"/>
    </row>
    <row r="438">
      <c r="A438" s="12"/>
      <c r="D438" s="95"/>
      <c r="E438" s="14"/>
      <c r="F438" s="96"/>
    </row>
    <row r="439">
      <c r="A439" s="12"/>
      <c r="D439" s="95"/>
      <c r="E439" s="14"/>
      <c r="F439" s="96"/>
    </row>
    <row r="440">
      <c r="A440" s="12"/>
      <c r="D440" s="95"/>
      <c r="E440" s="14"/>
      <c r="F440" s="96"/>
    </row>
    <row r="441">
      <c r="A441" s="12"/>
      <c r="D441" s="95"/>
      <c r="E441" s="14"/>
      <c r="F441" s="96"/>
    </row>
    <row r="442">
      <c r="A442" s="12"/>
      <c r="D442" s="95"/>
      <c r="E442" s="14"/>
      <c r="F442" s="96"/>
    </row>
    <row r="443">
      <c r="A443" s="12"/>
      <c r="D443" s="95"/>
      <c r="E443" s="14"/>
      <c r="F443" s="96"/>
    </row>
    <row r="444">
      <c r="A444" s="12"/>
      <c r="D444" s="95"/>
      <c r="E444" s="14"/>
      <c r="F444" s="96"/>
    </row>
    <row r="445">
      <c r="A445" s="12"/>
      <c r="D445" s="95"/>
      <c r="E445" s="14"/>
      <c r="F445" s="96"/>
    </row>
    <row r="446">
      <c r="A446" s="12"/>
      <c r="D446" s="95"/>
      <c r="E446" s="14"/>
      <c r="F446" s="96"/>
    </row>
    <row r="447">
      <c r="A447" s="12"/>
      <c r="D447" s="95"/>
      <c r="E447" s="14"/>
      <c r="F447" s="96"/>
    </row>
    <row r="448">
      <c r="A448" s="12"/>
      <c r="D448" s="95"/>
      <c r="E448" s="14"/>
      <c r="F448" s="96"/>
    </row>
    <row r="449">
      <c r="A449" s="12"/>
      <c r="D449" s="95"/>
      <c r="E449" s="14"/>
      <c r="F449" s="96"/>
    </row>
    <row r="450">
      <c r="A450" s="12"/>
      <c r="D450" s="95"/>
      <c r="E450" s="14"/>
      <c r="F450" s="96"/>
    </row>
    <row r="451">
      <c r="A451" s="12"/>
      <c r="D451" s="95"/>
      <c r="E451" s="14"/>
      <c r="F451" s="96"/>
    </row>
    <row r="452">
      <c r="A452" s="12"/>
      <c r="D452" s="95"/>
      <c r="E452" s="14"/>
      <c r="F452" s="96"/>
    </row>
    <row r="453">
      <c r="A453" s="12"/>
      <c r="D453" s="95"/>
      <c r="E453" s="14"/>
      <c r="F453" s="96"/>
    </row>
    <row r="454">
      <c r="A454" s="12"/>
      <c r="D454" s="95"/>
      <c r="E454" s="14"/>
      <c r="F454" s="96"/>
    </row>
    <row r="455">
      <c r="A455" s="12"/>
      <c r="D455" s="95"/>
      <c r="E455" s="14"/>
      <c r="F455" s="96"/>
    </row>
    <row r="456">
      <c r="A456" s="12"/>
      <c r="D456" s="95"/>
      <c r="E456" s="14"/>
      <c r="F456" s="96"/>
    </row>
    <row r="457">
      <c r="A457" s="12"/>
      <c r="D457" s="95"/>
      <c r="E457" s="14"/>
      <c r="F457" s="96"/>
    </row>
    <row r="458">
      <c r="A458" s="12"/>
      <c r="D458" s="95"/>
      <c r="E458" s="14"/>
      <c r="F458" s="96"/>
    </row>
    <row r="459">
      <c r="A459" s="12"/>
      <c r="D459" s="95"/>
      <c r="E459" s="14"/>
      <c r="F459" s="96"/>
    </row>
    <row r="460">
      <c r="A460" s="12"/>
      <c r="D460" s="95"/>
      <c r="E460" s="14"/>
      <c r="F460" s="96"/>
    </row>
    <row r="461">
      <c r="A461" s="12"/>
      <c r="D461" s="95"/>
      <c r="E461" s="14"/>
      <c r="F461" s="96"/>
    </row>
    <row r="462">
      <c r="A462" s="12"/>
      <c r="D462" s="95"/>
      <c r="E462" s="14"/>
      <c r="F462" s="96"/>
    </row>
    <row r="463">
      <c r="A463" s="12"/>
      <c r="D463" s="95"/>
      <c r="E463" s="14"/>
      <c r="F463" s="96"/>
    </row>
    <row r="464">
      <c r="A464" s="12"/>
      <c r="D464" s="95"/>
      <c r="E464" s="14"/>
      <c r="F464" s="96"/>
    </row>
    <row r="465">
      <c r="A465" s="12"/>
      <c r="D465" s="95"/>
      <c r="E465" s="14"/>
      <c r="F465" s="96"/>
    </row>
    <row r="466">
      <c r="A466" s="12"/>
      <c r="D466" s="95"/>
      <c r="E466" s="14"/>
      <c r="F466" s="96"/>
    </row>
    <row r="467">
      <c r="A467" s="12"/>
      <c r="D467" s="95"/>
      <c r="E467" s="14"/>
      <c r="F467" s="96"/>
    </row>
    <row r="468">
      <c r="A468" s="12"/>
      <c r="D468" s="95"/>
      <c r="E468" s="14"/>
      <c r="F468" s="96"/>
    </row>
    <row r="469">
      <c r="A469" s="12"/>
      <c r="D469" s="95"/>
      <c r="E469" s="14"/>
      <c r="F469" s="96"/>
    </row>
    <row r="470">
      <c r="A470" s="12"/>
      <c r="D470" s="95"/>
      <c r="E470" s="14"/>
      <c r="F470" s="96"/>
    </row>
    <row r="471">
      <c r="A471" s="12"/>
      <c r="D471" s="95"/>
      <c r="E471" s="14"/>
      <c r="F471" s="96"/>
    </row>
    <row r="472">
      <c r="A472" s="12"/>
      <c r="D472" s="95"/>
      <c r="E472" s="14"/>
      <c r="F472" s="96"/>
    </row>
    <row r="473">
      <c r="A473" s="12"/>
      <c r="D473" s="95"/>
      <c r="E473" s="14"/>
      <c r="F473" s="96"/>
    </row>
    <row r="474">
      <c r="A474" s="12"/>
      <c r="D474" s="95"/>
      <c r="E474" s="14"/>
      <c r="F474" s="96"/>
    </row>
    <row r="475">
      <c r="A475" s="12"/>
      <c r="D475" s="95"/>
      <c r="E475" s="14"/>
      <c r="F475" s="96"/>
    </row>
    <row r="476">
      <c r="A476" s="12"/>
      <c r="D476" s="95"/>
      <c r="E476" s="14"/>
      <c r="F476" s="96"/>
    </row>
    <row r="477">
      <c r="A477" s="12"/>
      <c r="D477" s="95"/>
      <c r="E477" s="14"/>
      <c r="F477" s="96"/>
    </row>
    <row r="478">
      <c r="A478" s="12"/>
      <c r="D478" s="95"/>
      <c r="E478" s="14"/>
      <c r="F478" s="96"/>
    </row>
    <row r="479">
      <c r="A479" s="12"/>
      <c r="D479" s="95"/>
      <c r="E479" s="14"/>
      <c r="F479" s="96"/>
    </row>
    <row r="480">
      <c r="A480" s="12"/>
      <c r="D480" s="95"/>
      <c r="E480" s="14"/>
      <c r="F480" s="96"/>
    </row>
    <row r="481">
      <c r="A481" s="12"/>
      <c r="D481" s="95"/>
      <c r="E481" s="14"/>
      <c r="F481" s="96"/>
    </row>
    <row r="482">
      <c r="A482" s="12"/>
      <c r="D482" s="95"/>
      <c r="E482" s="14"/>
      <c r="F482" s="96"/>
    </row>
    <row r="483">
      <c r="A483" s="12"/>
      <c r="D483" s="95"/>
      <c r="E483" s="14"/>
      <c r="F483" s="96"/>
    </row>
    <row r="484">
      <c r="A484" s="12"/>
      <c r="D484" s="95"/>
      <c r="E484" s="14"/>
      <c r="F484" s="96"/>
    </row>
    <row r="485">
      <c r="A485" s="12"/>
      <c r="D485" s="95"/>
      <c r="E485" s="14"/>
      <c r="F485" s="96"/>
    </row>
    <row r="486">
      <c r="A486" s="12"/>
      <c r="D486" s="95"/>
      <c r="E486" s="14"/>
      <c r="F486" s="96"/>
    </row>
    <row r="487">
      <c r="A487" s="12"/>
      <c r="D487" s="95"/>
      <c r="E487" s="14"/>
      <c r="F487" s="96"/>
    </row>
    <row r="488">
      <c r="A488" s="12"/>
      <c r="D488" s="95"/>
      <c r="E488" s="14"/>
      <c r="F488" s="96"/>
    </row>
    <row r="489">
      <c r="A489" s="12"/>
      <c r="D489" s="95"/>
      <c r="E489" s="14"/>
      <c r="F489" s="96"/>
    </row>
    <row r="490">
      <c r="A490" s="12"/>
      <c r="D490" s="95"/>
      <c r="E490" s="14"/>
      <c r="F490" s="96"/>
    </row>
    <row r="491">
      <c r="A491" s="12"/>
      <c r="D491" s="95"/>
      <c r="E491" s="14"/>
      <c r="F491" s="96"/>
    </row>
    <row r="492">
      <c r="A492" s="12"/>
      <c r="D492" s="95"/>
      <c r="E492" s="14"/>
      <c r="F492" s="96"/>
    </row>
    <row r="493">
      <c r="A493" s="12"/>
      <c r="D493" s="95"/>
      <c r="E493" s="14"/>
      <c r="F493" s="96"/>
    </row>
    <row r="494">
      <c r="A494" s="12"/>
      <c r="D494" s="95"/>
      <c r="E494" s="14"/>
      <c r="F494" s="96"/>
    </row>
    <row r="495">
      <c r="A495" s="12"/>
      <c r="D495" s="95"/>
      <c r="E495" s="14"/>
      <c r="F495" s="96"/>
    </row>
    <row r="496">
      <c r="A496" s="12"/>
      <c r="D496" s="95"/>
      <c r="E496" s="14"/>
      <c r="F496" s="96"/>
    </row>
    <row r="497">
      <c r="A497" s="12"/>
      <c r="D497" s="95"/>
      <c r="E497" s="14"/>
      <c r="F497" s="96"/>
    </row>
    <row r="498">
      <c r="A498" s="12"/>
      <c r="D498" s="95"/>
      <c r="E498" s="14"/>
      <c r="F498" s="96"/>
    </row>
    <row r="499">
      <c r="A499" s="12"/>
      <c r="D499" s="95"/>
      <c r="E499" s="14"/>
      <c r="F499" s="96"/>
    </row>
    <row r="500">
      <c r="A500" s="12"/>
      <c r="D500" s="95"/>
      <c r="E500" s="14"/>
      <c r="F500" s="96"/>
    </row>
    <row r="501">
      <c r="A501" s="12"/>
      <c r="D501" s="95"/>
      <c r="E501" s="14"/>
      <c r="F501" s="96"/>
    </row>
    <row r="502">
      <c r="A502" s="12"/>
      <c r="D502" s="95"/>
      <c r="E502" s="14"/>
      <c r="F502" s="96"/>
    </row>
    <row r="503">
      <c r="A503" s="12"/>
      <c r="D503" s="95"/>
      <c r="E503" s="14"/>
      <c r="F503" s="96"/>
    </row>
    <row r="504">
      <c r="A504" s="12"/>
      <c r="D504" s="95"/>
      <c r="E504" s="14"/>
      <c r="F504" s="96"/>
    </row>
    <row r="505">
      <c r="A505" s="12"/>
      <c r="D505" s="95"/>
      <c r="E505" s="14"/>
      <c r="F505" s="96"/>
    </row>
    <row r="506">
      <c r="A506" s="12"/>
      <c r="D506" s="95"/>
      <c r="E506" s="14"/>
      <c r="F506" s="96"/>
    </row>
    <row r="507">
      <c r="A507" s="12"/>
      <c r="D507" s="95"/>
      <c r="E507" s="14"/>
      <c r="F507" s="96"/>
    </row>
    <row r="508">
      <c r="A508" s="12"/>
      <c r="D508" s="95"/>
      <c r="E508" s="14"/>
      <c r="F508" s="96"/>
    </row>
    <row r="509">
      <c r="A509" s="12"/>
      <c r="D509" s="95"/>
      <c r="E509" s="14"/>
      <c r="F509" s="96"/>
    </row>
    <row r="510">
      <c r="A510" s="12"/>
      <c r="D510" s="95"/>
      <c r="E510" s="14"/>
      <c r="F510" s="96"/>
    </row>
    <row r="511">
      <c r="A511" s="12"/>
      <c r="D511" s="95"/>
      <c r="E511" s="14"/>
      <c r="F511" s="96"/>
    </row>
    <row r="512">
      <c r="A512" s="12"/>
      <c r="D512" s="95"/>
      <c r="E512" s="14"/>
      <c r="F512" s="96"/>
    </row>
    <row r="513">
      <c r="A513" s="12"/>
      <c r="D513" s="95"/>
      <c r="E513" s="14"/>
      <c r="F513" s="96"/>
    </row>
    <row r="514">
      <c r="A514" s="12"/>
      <c r="D514" s="95"/>
      <c r="E514" s="14"/>
      <c r="F514" s="96"/>
    </row>
    <row r="515">
      <c r="A515" s="12"/>
      <c r="D515" s="95"/>
      <c r="E515" s="14"/>
      <c r="F515" s="96"/>
    </row>
    <row r="516">
      <c r="A516" s="12"/>
      <c r="D516" s="95"/>
      <c r="E516" s="14"/>
      <c r="F516" s="96"/>
    </row>
    <row r="517">
      <c r="A517" s="12"/>
      <c r="D517" s="95"/>
      <c r="E517" s="14"/>
      <c r="F517" s="96"/>
    </row>
    <row r="518">
      <c r="A518" s="12"/>
      <c r="D518" s="95"/>
      <c r="E518" s="14"/>
      <c r="F518" s="96"/>
    </row>
    <row r="519">
      <c r="A519" s="12"/>
      <c r="D519" s="95"/>
      <c r="E519" s="14"/>
      <c r="F519" s="96"/>
    </row>
    <row r="520">
      <c r="A520" s="12"/>
      <c r="D520" s="95"/>
      <c r="E520" s="14"/>
      <c r="F520" s="96"/>
    </row>
    <row r="521">
      <c r="A521" s="12"/>
      <c r="D521" s="95"/>
      <c r="E521" s="14"/>
      <c r="F521" s="96"/>
    </row>
    <row r="522">
      <c r="A522" s="12"/>
      <c r="D522" s="95"/>
      <c r="E522" s="14"/>
      <c r="F522" s="96"/>
    </row>
    <row r="523">
      <c r="A523" s="12"/>
      <c r="D523" s="95"/>
      <c r="E523" s="14"/>
      <c r="F523" s="96"/>
    </row>
    <row r="524">
      <c r="A524" s="12"/>
      <c r="D524" s="95"/>
      <c r="E524" s="14"/>
      <c r="F524" s="96"/>
    </row>
    <row r="525">
      <c r="A525" s="12"/>
      <c r="D525" s="95"/>
      <c r="E525" s="14"/>
      <c r="F525" s="96"/>
    </row>
    <row r="526">
      <c r="A526" s="12"/>
      <c r="D526" s="95"/>
      <c r="E526" s="14"/>
      <c r="F526" s="96"/>
    </row>
    <row r="527">
      <c r="A527" s="12"/>
      <c r="D527" s="95"/>
      <c r="E527" s="14"/>
      <c r="F527" s="96"/>
    </row>
    <row r="528">
      <c r="A528" s="12"/>
      <c r="D528" s="95"/>
      <c r="E528" s="14"/>
      <c r="F528" s="96"/>
    </row>
    <row r="529">
      <c r="A529" s="12"/>
      <c r="D529" s="95"/>
      <c r="E529" s="14"/>
      <c r="F529" s="96"/>
    </row>
    <row r="530">
      <c r="A530" s="12"/>
      <c r="D530" s="95"/>
      <c r="E530" s="14"/>
      <c r="F530" s="96"/>
    </row>
    <row r="531">
      <c r="A531" s="12"/>
      <c r="D531" s="95"/>
      <c r="E531" s="14"/>
      <c r="F531" s="96"/>
    </row>
    <row r="532">
      <c r="A532" s="12"/>
      <c r="D532" s="95"/>
      <c r="E532" s="14"/>
      <c r="F532" s="96"/>
    </row>
    <row r="533">
      <c r="A533" s="12"/>
      <c r="D533" s="95"/>
      <c r="E533" s="14"/>
      <c r="F533" s="96"/>
    </row>
    <row r="534">
      <c r="A534" s="12"/>
      <c r="D534" s="95"/>
      <c r="E534" s="14"/>
      <c r="F534" s="96"/>
    </row>
    <row r="535">
      <c r="A535" s="12"/>
      <c r="D535" s="95"/>
      <c r="E535" s="14"/>
      <c r="F535" s="96"/>
    </row>
    <row r="536">
      <c r="A536" s="12"/>
      <c r="D536" s="95"/>
      <c r="E536" s="14"/>
      <c r="F536" s="96"/>
    </row>
    <row r="537">
      <c r="A537" s="12"/>
      <c r="D537" s="95"/>
      <c r="E537" s="14"/>
      <c r="F537" s="96"/>
    </row>
    <row r="538">
      <c r="A538" s="12"/>
      <c r="D538" s="95"/>
      <c r="E538" s="14"/>
      <c r="F538" s="96"/>
    </row>
    <row r="539">
      <c r="A539" s="12"/>
      <c r="D539" s="95"/>
      <c r="E539" s="14"/>
      <c r="F539" s="96"/>
    </row>
    <row r="540">
      <c r="A540" s="12"/>
      <c r="D540" s="95"/>
      <c r="E540" s="14"/>
      <c r="F540" s="96"/>
    </row>
    <row r="541">
      <c r="A541" s="12"/>
      <c r="D541" s="95"/>
      <c r="E541" s="14"/>
      <c r="F541" s="96"/>
    </row>
    <row r="542">
      <c r="A542" s="12"/>
      <c r="D542" s="95"/>
      <c r="E542" s="14"/>
      <c r="F542" s="96"/>
    </row>
    <row r="543">
      <c r="A543" s="12"/>
      <c r="D543" s="95"/>
      <c r="E543" s="14"/>
      <c r="F543" s="96"/>
    </row>
    <row r="544">
      <c r="A544" s="12"/>
      <c r="D544" s="95"/>
      <c r="E544" s="14"/>
      <c r="F544" s="96"/>
    </row>
    <row r="545">
      <c r="A545" s="12"/>
      <c r="D545" s="95"/>
      <c r="E545" s="14"/>
      <c r="F545" s="96"/>
    </row>
    <row r="546">
      <c r="A546" s="12"/>
      <c r="D546" s="95"/>
      <c r="E546" s="14"/>
      <c r="F546" s="96"/>
    </row>
    <row r="547">
      <c r="A547" s="12"/>
      <c r="D547" s="95"/>
      <c r="E547" s="14"/>
      <c r="F547" s="96"/>
    </row>
    <row r="548">
      <c r="A548" s="12"/>
      <c r="D548" s="95"/>
      <c r="E548" s="14"/>
      <c r="F548" s="96"/>
    </row>
    <row r="549">
      <c r="A549" s="12"/>
      <c r="D549" s="95"/>
      <c r="E549" s="14"/>
      <c r="F549" s="96"/>
    </row>
    <row r="550">
      <c r="A550" s="12"/>
      <c r="D550" s="95"/>
      <c r="E550" s="14"/>
      <c r="F550" s="96"/>
    </row>
    <row r="551">
      <c r="A551" s="12"/>
      <c r="D551" s="95"/>
      <c r="E551" s="14"/>
      <c r="F551" s="96"/>
    </row>
    <row r="552">
      <c r="A552" s="12"/>
      <c r="D552" s="95"/>
      <c r="E552" s="14"/>
      <c r="F552" s="96"/>
    </row>
    <row r="553">
      <c r="A553" s="12"/>
      <c r="D553" s="95"/>
      <c r="E553" s="14"/>
      <c r="F553" s="96"/>
    </row>
    <row r="554">
      <c r="A554" s="12"/>
      <c r="D554" s="95"/>
      <c r="E554" s="14"/>
      <c r="F554" s="96"/>
    </row>
    <row r="555">
      <c r="A555" s="12"/>
      <c r="D555" s="95"/>
      <c r="E555" s="14"/>
      <c r="F555" s="96"/>
    </row>
    <row r="556">
      <c r="A556" s="12"/>
      <c r="D556" s="95"/>
      <c r="E556" s="14"/>
      <c r="F556" s="96"/>
    </row>
    <row r="557">
      <c r="A557" s="12"/>
      <c r="D557" s="95"/>
      <c r="E557" s="14"/>
      <c r="F557" s="96"/>
    </row>
    <row r="558">
      <c r="A558" s="12"/>
      <c r="D558" s="95"/>
      <c r="E558" s="14"/>
      <c r="F558" s="96"/>
    </row>
    <row r="559">
      <c r="A559" s="12"/>
      <c r="D559" s="95"/>
      <c r="E559" s="14"/>
      <c r="F559" s="96"/>
    </row>
    <row r="560">
      <c r="A560" s="12"/>
      <c r="D560" s="95"/>
      <c r="E560" s="14"/>
      <c r="F560" s="96"/>
    </row>
    <row r="561">
      <c r="A561" s="12"/>
      <c r="D561" s="95"/>
      <c r="E561" s="14"/>
      <c r="F561" s="96"/>
    </row>
    <row r="562">
      <c r="A562" s="12"/>
      <c r="D562" s="95"/>
      <c r="E562" s="14"/>
      <c r="F562" s="96"/>
    </row>
    <row r="563">
      <c r="A563" s="12"/>
      <c r="D563" s="95"/>
      <c r="E563" s="14"/>
      <c r="F563" s="96"/>
    </row>
    <row r="564">
      <c r="A564" s="12"/>
      <c r="D564" s="95"/>
      <c r="E564" s="14"/>
      <c r="F564" s="96"/>
    </row>
    <row r="565">
      <c r="A565" s="12"/>
      <c r="D565" s="95"/>
      <c r="E565" s="14"/>
      <c r="F565" s="96"/>
    </row>
    <row r="566">
      <c r="A566" s="12"/>
      <c r="D566" s="95"/>
      <c r="E566" s="14"/>
      <c r="F566" s="96"/>
    </row>
    <row r="567">
      <c r="A567" s="12"/>
      <c r="D567" s="95"/>
      <c r="E567" s="14"/>
      <c r="F567" s="96"/>
    </row>
    <row r="568">
      <c r="A568" s="12"/>
      <c r="D568" s="95"/>
      <c r="E568" s="14"/>
      <c r="F568" s="96"/>
    </row>
    <row r="569">
      <c r="A569" s="12"/>
      <c r="D569" s="95"/>
      <c r="E569" s="14"/>
      <c r="F569" s="96"/>
    </row>
    <row r="570">
      <c r="A570" s="12"/>
      <c r="D570" s="95"/>
      <c r="E570" s="14"/>
      <c r="F570" s="96"/>
    </row>
    <row r="571">
      <c r="A571" s="12"/>
      <c r="D571" s="95"/>
      <c r="E571" s="14"/>
      <c r="F571" s="96"/>
    </row>
    <row r="572">
      <c r="A572" s="12"/>
      <c r="D572" s="95"/>
      <c r="E572" s="14"/>
      <c r="F572" s="96"/>
    </row>
    <row r="573">
      <c r="A573" s="12"/>
      <c r="D573" s="95"/>
      <c r="E573" s="14"/>
      <c r="F573" s="96"/>
    </row>
    <row r="574">
      <c r="A574" s="12"/>
      <c r="D574" s="95"/>
      <c r="E574" s="14"/>
      <c r="F574" s="96"/>
    </row>
    <row r="575">
      <c r="A575" s="12"/>
      <c r="D575" s="95"/>
      <c r="E575" s="14"/>
      <c r="F575" s="96"/>
    </row>
    <row r="576">
      <c r="A576" s="12"/>
      <c r="D576" s="95"/>
      <c r="E576" s="14"/>
      <c r="F576" s="96"/>
    </row>
    <row r="577">
      <c r="A577" s="12"/>
      <c r="D577" s="95"/>
      <c r="E577" s="14"/>
      <c r="F577" s="96"/>
    </row>
    <row r="578">
      <c r="A578" s="12"/>
      <c r="D578" s="95"/>
      <c r="E578" s="14"/>
      <c r="F578" s="96"/>
    </row>
    <row r="579">
      <c r="A579" s="12"/>
      <c r="D579" s="95"/>
      <c r="E579" s="14"/>
      <c r="F579" s="96"/>
    </row>
    <row r="580">
      <c r="A580" s="12"/>
      <c r="D580" s="95"/>
      <c r="E580" s="14"/>
      <c r="F580" s="96"/>
    </row>
    <row r="581">
      <c r="A581" s="12"/>
      <c r="D581" s="95"/>
      <c r="E581" s="14"/>
      <c r="F581" s="96"/>
    </row>
    <row r="582">
      <c r="A582" s="12"/>
      <c r="D582" s="95"/>
      <c r="E582" s="14"/>
      <c r="F582" s="96"/>
    </row>
    <row r="583">
      <c r="A583" s="12"/>
      <c r="D583" s="95"/>
      <c r="E583" s="14"/>
      <c r="F583" s="96"/>
    </row>
    <row r="584">
      <c r="A584" s="12"/>
      <c r="D584" s="95"/>
      <c r="E584" s="14"/>
      <c r="F584" s="96"/>
    </row>
    <row r="585">
      <c r="A585" s="12"/>
      <c r="D585" s="95"/>
      <c r="E585" s="14"/>
      <c r="F585" s="96"/>
    </row>
    <row r="586">
      <c r="A586" s="12"/>
      <c r="D586" s="95"/>
      <c r="E586" s="14"/>
      <c r="F586" s="96"/>
    </row>
    <row r="587">
      <c r="A587" s="12"/>
      <c r="D587" s="95"/>
      <c r="E587" s="14"/>
      <c r="F587" s="96"/>
    </row>
    <row r="588">
      <c r="A588" s="12"/>
      <c r="D588" s="95"/>
      <c r="E588" s="14"/>
      <c r="F588" s="96"/>
    </row>
    <row r="589">
      <c r="A589" s="12"/>
      <c r="D589" s="95"/>
      <c r="E589" s="14"/>
      <c r="F589" s="96"/>
    </row>
    <row r="590">
      <c r="A590" s="12"/>
      <c r="D590" s="95"/>
      <c r="E590" s="14"/>
      <c r="F590" s="96"/>
    </row>
    <row r="591">
      <c r="A591" s="12"/>
      <c r="D591" s="95"/>
      <c r="E591" s="14"/>
      <c r="F591" s="96"/>
    </row>
    <row r="592">
      <c r="A592" s="12"/>
      <c r="D592" s="95"/>
      <c r="E592" s="14"/>
      <c r="F592" s="96"/>
    </row>
    <row r="593">
      <c r="A593" s="12"/>
      <c r="D593" s="95"/>
      <c r="E593" s="14"/>
      <c r="F593" s="96"/>
    </row>
    <row r="594">
      <c r="A594" s="12"/>
      <c r="D594" s="95"/>
      <c r="E594" s="14"/>
      <c r="F594" s="96"/>
    </row>
    <row r="595">
      <c r="A595" s="12"/>
      <c r="D595" s="95"/>
      <c r="E595" s="14"/>
      <c r="F595" s="96"/>
    </row>
    <row r="596">
      <c r="A596" s="12"/>
      <c r="D596" s="95"/>
      <c r="E596" s="14"/>
      <c r="F596" s="96"/>
    </row>
    <row r="597">
      <c r="A597" s="12"/>
      <c r="D597" s="95"/>
      <c r="E597" s="14"/>
      <c r="F597" s="96"/>
    </row>
    <row r="598">
      <c r="A598" s="12"/>
      <c r="D598" s="95"/>
      <c r="E598" s="14"/>
      <c r="F598" s="96"/>
    </row>
    <row r="599">
      <c r="A599" s="12"/>
      <c r="D599" s="95"/>
      <c r="E599" s="14"/>
      <c r="F599" s="96"/>
    </row>
    <row r="600">
      <c r="A600" s="12"/>
      <c r="D600" s="95"/>
      <c r="E600" s="14"/>
      <c r="F600" s="96"/>
    </row>
    <row r="601">
      <c r="A601" s="12"/>
      <c r="D601" s="95"/>
      <c r="E601" s="14"/>
      <c r="F601" s="96"/>
    </row>
    <row r="602">
      <c r="A602" s="12"/>
      <c r="D602" s="95"/>
      <c r="E602" s="14"/>
      <c r="F602" s="96"/>
    </row>
    <row r="603">
      <c r="A603" s="12"/>
      <c r="D603" s="95"/>
      <c r="E603" s="14"/>
      <c r="F603" s="96"/>
    </row>
    <row r="604">
      <c r="A604" s="12"/>
      <c r="D604" s="95"/>
      <c r="E604" s="14"/>
      <c r="F604" s="96"/>
    </row>
    <row r="605">
      <c r="A605" s="12"/>
      <c r="D605" s="95"/>
      <c r="E605" s="14"/>
      <c r="F605" s="96"/>
    </row>
    <row r="606">
      <c r="A606" s="12"/>
      <c r="D606" s="95"/>
      <c r="E606" s="14"/>
      <c r="F606" s="96"/>
    </row>
    <row r="607">
      <c r="A607" s="12"/>
      <c r="D607" s="95"/>
      <c r="E607" s="14"/>
      <c r="F607" s="96"/>
    </row>
    <row r="608">
      <c r="A608" s="12"/>
      <c r="D608" s="95"/>
      <c r="E608" s="14"/>
      <c r="F608" s="96"/>
    </row>
    <row r="609">
      <c r="A609" s="12"/>
      <c r="D609" s="95"/>
      <c r="E609" s="14"/>
      <c r="F609" s="96"/>
    </row>
    <row r="610">
      <c r="A610" s="12"/>
      <c r="D610" s="95"/>
      <c r="E610" s="14"/>
      <c r="F610" s="96"/>
    </row>
    <row r="611">
      <c r="A611" s="12"/>
      <c r="D611" s="95"/>
      <c r="E611" s="14"/>
      <c r="F611" s="96"/>
    </row>
    <row r="612">
      <c r="A612" s="12"/>
      <c r="D612" s="95"/>
      <c r="E612" s="14"/>
      <c r="F612" s="96"/>
    </row>
    <row r="613">
      <c r="A613" s="12"/>
      <c r="D613" s="95"/>
      <c r="E613" s="14"/>
      <c r="F613" s="96"/>
    </row>
    <row r="614">
      <c r="A614" s="12"/>
      <c r="D614" s="95"/>
      <c r="E614" s="14"/>
      <c r="F614" s="96"/>
    </row>
    <row r="615">
      <c r="A615" s="12"/>
      <c r="D615" s="95"/>
      <c r="E615" s="14"/>
      <c r="F615" s="96"/>
    </row>
    <row r="616">
      <c r="A616" s="12"/>
      <c r="D616" s="95"/>
      <c r="E616" s="14"/>
      <c r="F616" s="96"/>
    </row>
    <row r="617">
      <c r="A617" s="12"/>
      <c r="D617" s="95"/>
      <c r="E617" s="14"/>
      <c r="F617" s="96"/>
    </row>
    <row r="618">
      <c r="A618" s="12"/>
      <c r="D618" s="95"/>
      <c r="E618" s="14"/>
      <c r="F618" s="96"/>
    </row>
    <row r="619">
      <c r="A619" s="12"/>
      <c r="D619" s="95"/>
      <c r="E619" s="14"/>
      <c r="F619" s="96"/>
    </row>
    <row r="620">
      <c r="A620" s="12"/>
      <c r="D620" s="95"/>
      <c r="E620" s="14"/>
      <c r="F620" s="96"/>
    </row>
    <row r="621">
      <c r="A621" s="12"/>
      <c r="D621" s="95"/>
      <c r="E621" s="14"/>
      <c r="F621" s="96"/>
    </row>
    <row r="622">
      <c r="A622" s="12"/>
      <c r="D622" s="95"/>
      <c r="E622" s="14"/>
      <c r="F622" s="96"/>
    </row>
    <row r="623">
      <c r="A623" s="12"/>
      <c r="D623" s="95"/>
      <c r="E623" s="14"/>
      <c r="F623" s="96"/>
    </row>
    <row r="624">
      <c r="A624" s="12"/>
      <c r="D624" s="95"/>
      <c r="E624" s="14"/>
      <c r="F624" s="96"/>
    </row>
    <row r="625">
      <c r="A625" s="12"/>
      <c r="D625" s="95"/>
      <c r="E625" s="14"/>
      <c r="F625" s="96"/>
    </row>
    <row r="626">
      <c r="A626" s="12"/>
      <c r="D626" s="95"/>
      <c r="E626" s="14"/>
      <c r="F626" s="96"/>
    </row>
    <row r="627">
      <c r="A627" s="12"/>
      <c r="D627" s="95"/>
      <c r="E627" s="14"/>
      <c r="F627" s="96"/>
    </row>
    <row r="628">
      <c r="A628" s="12"/>
      <c r="D628" s="95"/>
      <c r="E628" s="14"/>
      <c r="F628" s="96"/>
    </row>
    <row r="629">
      <c r="A629" s="12"/>
      <c r="D629" s="95"/>
      <c r="E629" s="14"/>
      <c r="F629" s="96"/>
    </row>
    <row r="630">
      <c r="A630" s="12"/>
      <c r="D630" s="95"/>
      <c r="E630" s="14"/>
      <c r="F630" s="96"/>
    </row>
    <row r="631">
      <c r="A631" s="12"/>
      <c r="D631" s="95"/>
      <c r="E631" s="14"/>
      <c r="F631" s="96"/>
    </row>
    <row r="632">
      <c r="A632" s="12"/>
      <c r="D632" s="95"/>
      <c r="E632" s="14"/>
      <c r="F632" s="96"/>
    </row>
    <row r="633">
      <c r="A633" s="12"/>
      <c r="D633" s="95"/>
      <c r="E633" s="14"/>
      <c r="F633" s="96"/>
    </row>
    <row r="634">
      <c r="A634" s="12"/>
      <c r="D634" s="95"/>
      <c r="E634" s="14"/>
      <c r="F634" s="96"/>
    </row>
    <row r="635">
      <c r="A635" s="12"/>
      <c r="D635" s="95"/>
      <c r="E635" s="14"/>
      <c r="F635" s="96"/>
    </row>
    <row r="636">
      <c r="A636" s="12"/>
      <c r="D636" s="95"/>
      <c r="E636" s="14"/>
      <c r="F636" s="96"/>
    </row>
    <row r="637">
      <c r="A637" s="12"/>
      <c r="D637" s="95"/>
      <c r="E637" s="14"/>
      <c r="F637" s="96"/>
    </row>
    <row r="638">
      <c r="A638" s="12"/>
      <c r="D638" s="95"/>
      <c r="E638" s="14"/>
      <c r="F638" s="96"/>
    </row>
    <row r="639">
      <c r="A639" s="12"/>
      <c r="D639" s="95"/>
      <c r="E639" s="14"/>
      <c r="F639" s="96"/>
    </row>
    <row r="640">
      <c r="A640" s="12"/>
      <c r="D640" s="95"/>
      <c r="E640" s="14"/>
      <c r="F640" s="96"/>
    </row>
    <row r="641">
      <c r="A641" s="12"/>
      <c r="D641" s="95"/>
      <c r="E641" s="14"/>
      <c r="F641" s="96"/>
    </row>
    <row r="642">
      <c r="A642" s="12"/>
      <c r="D642" s="95"/>
      <c r="E642" s="14"/>
      <c r="F642" s="96"/>
    </row>
    <row r="643">
      <c r="A643" s="12"/>
      <c r="D643" s="95"/>
      <c r="E643" s="14"/>
      <c r="F643" s="96"/>
    </row>
    <row r="644">
      <c r="A644" s="12"/>
      <c r="D644" s="95"/>
      <c r="E644" s="14"/>
      <c r="F644" s="96"/>
    </row>
    <row r="645">
      <c r="A645" s="12"/>
      <c r="D645" s="95"/>
      <c r="E645" s="14"/>
      <c r="F645" s="96"/>
    </row>
    <row r="646">
      <c r="A646" s="12"/>
      <c r="D646" s="95"/>
      <c r="E646" s="14"/>
      <c r="F646" s="96"/>
    </row>
    <row r="647">
      <c r="A647" s="12"/>
      <c r="D647" s="95"/>
      <c r="E647" s="14"/>
      <c r="F647" s="96"/>
    </row>
    <row r="648">
      <c r="A648" s="12"/>
      <c r="D648" s="95"/>
      <c r="E648" s="14"/>
      <c r="F648" s="96"/>
    </row>
    <row r="649">
      <c r="A649" s="12"/>
      <c r="D649" s="95"/>
      <c r="E649" s="14"/>
      <c r="F649" s="96"/>
    </row>
    <row r="650">
      <c r="A650" s="12"/>
      <c r="D650" s="95"/>
      <c r="E650" s="14"/>
      <c r="F650" s="96"/>
    </row>
    <row r="651">
      <c r="A651" s="12"/>
      <c r="D651" s="95"/>
      <c r="E651" s="14"/>
      <c r="F651" s="96"/>
    </row>
    <row r="652">
      <c r="A652" s="12"/>
      <c r="D652" s="95"/>
      <c r="E652" s="14"/>
      <c r="F652" s="96"/>
    </row>
    <row r="653">
      <c r="A653" s="12"/>
      <c r="D653" s="95"/>
      <c r="E653" s="14"/>
      <c r="F653" s="96"/>
    </row>
    <row r="654">
      <c r="A654" s="12"/>
      <c r="D654" s="95"/>
      <c r="E654" s="14"/>
      <c r="F654" s="96"/>
    </row>
    <row r="655">
      <c r="A655" s="12"/>
      <c r="D655" s="95"/>
      <c r="E655" s="14"/>
      <c r="F655" s="96"/>
    </row>
    <row r="656">
      <c r="A656" s="12"/>
      <c r="D656" s="95"/>
      <c r="E656" s="14"/>
      <c r="F656" s="96"/>
    </row>
    <row r="657">
      <c r="A657" s="12"/>
      <c r="D657" s="95"/>
      <c r="E657" s="14"/>
      <c r="F657" s="96"/>
    </row>
    <row r="658">
      <c r="A658" s="12"/>
      <c r="D658" s="95"/>
      <c r="E658" s="14"/>
      <c r="F658" s="96"/>
    </row>
    <row r="659">
      <c r="A659" s="12"/>
      <c r="D659" s="95"/>
      <c r="E659" s="14"/>
      <c r="F659" s="96"/>
    </row>
    <row r="660">
      <c r="A660" s="12"/>
      <c r="D660" s="95"/>
      <c r="E660" s="14"/>
      <c r="F660" s="96"/>
    </row>
    <row r="661">
      <c r="A661" s="12"/>
      <c r="D661" s="95"/>
      <c r="E661" s="14"/>
      <c r="F661" s="96"/>
    </row>
    <row r="662">
      <c r="A662" s="12"/>
      <c r="D662" s="95"/>
      <c r="E662" s="14"/>
      <c r="F662" s="96"/>
    </row>
    <row r="663">
      <c r="A663" s="12"/>
      <c r="D663" s="95"/>
      <c r="E663" s="14"/>
      <c r="F663" s="96"/>
    </row>
    <row r="664">
      <c r="A664" s="12"/>
      <c r="D664" s="95"/>
      <c r="E664" s="14"/>
      <c r="F664" s="96"/>
    </row>
    <row r="665">
      <c r="A665" s="12"/>
      <c r="D665" s="95"/>
      <c r="E665" s="14"/>
      <c r="F665" s="96"/>
    </row>
    <row r="666">
      <c r="A666" s="12"/>
      <c r="D666" s="95"/>
      <c r="E666" s="14"/>
      <c r="F666" s="96"/>
    </row>
    <row r="667">
      <c r="A667" s="12"/>
      <c r="D667" s="95"/>
      <c r="E667" s="14"/>
      <c r="F667" s="96"/>
    </row>
    <row r="668">
      <c r="A668" s="12"/>
      <c r="D668" s="95"/>
      <c r="E668" s="14"/>
      <c r="F668" s="96"/>
    </row>
    <row r="669">
      <c r="A669" s="12"/>
      <c r="D669" s="95"/>
      <c r="E669" s="14"/>
      <c r="F669" s="96"/>
    </row>
    <row r="670">
      <c r="A670" s="12"/>
      <c r="D670" s="95"/>
      <c r="E670" s="14"/>
      <c r="F670" s="96"/>
    </row>
    <row r="671">
      <c r="A671" s="12"/>
      <c r="D671" s="95"/>
      <c r="E671" s="14"/>
      <c r="F671" s="96"/>
    </row>
    <row r="672">
      <c r="A672" s="12"/>
      <c r="D672" s="95"/>
      <c r="E672" s="14"/>
      <c r="F672" s="96"/>
    </row>
    <row r="673">
      <c r="A673" s="12"/>
      <c r="D673" s="95"/>
      <c r="E673" s="14"/>
      <c r="F673" s="96"/>
    </row>
    <row r="674">
      <c r="A674" s="12"/>
      <c r="D674" s="95"/>
      <c r="E674" s="14"/>
      <c r="F674" s="96"/>
    </row>
    <row r="675">
      <c r="A675" s="12"/>
      <c r="D675" s="95"/>
      <c r="E675" s="14"/>
      <c r="F675" s="96"/>
    </row>
    <row r="676">
      <c r="A676" s="12"/>
      <c r="D676" s="95"/>
      <c r="E676" s="14"/>
      <c r="F676" s="96"/>
    </row>
    <row r="677">
      <c r="A677" s="12"/>
      <c r="D677" s="95"/>
      <c r="E677" s="14"/>
      <c r="F677" s="96"/>
    </row>
    <row r="678">
      <c r="A678" s="12"/>
      <c r="D678" s="95"/>
      <c r="E678" s="14"/>
      <c r="F678" s="96"/>
    </row>
    <row r="679">
      <c r="A679" s="12"/>
      <c r="D679" s="95"/>
      <c r="E679" s="14"/>
      <c r="F679" s="96"/>
    </row>
    <row r="680">
      <c r="A680" s="12"/>
      <c r="D680" s="95"/>
      <c r="E680" s="14"/>
      <c r="F680" s="96"/>
    </row>
    <row r="681">
      <c r="A681" s="12"/>
      <c r="D681" s="95"/>
      <c r="E681" s="14"/>
      <c r="F681" s="96"/>
    </row>
    <row r="682">
      <c r="A682" s="12"/>
      <c r="D682" s="95"/>
      <c r="E682" s="14"/>
      <c r="F682" s="96"/>
    </row>
    <row r="683">
      <c r="A683" s="12"/>
      <c r="D683" s="95"/>
      <c r="E683" s="14"/>
      <c r="F683" s="96"/>
    </row>
    <row r="684">
      <c r="A684" s="12"/>
      <c r="D684" s="95"/>
      <c r="E684" s="14"/>
      <c r="F684" s="96"/>
    </row>
    <row r="685">
      <c r="A685" s="12"/>
      <c r="D685" s="95"/>
      <c r="E685" s="14"/>
      <c r="F685" s="96"/>
    </row>
    <row r="686">
      <c r="A686" s="12"/>
      <c r="D686" s="95"/>
      <c r="E686" s="14"/>
      <c r="F686" s="96"/>
    </row>
    <row r="687">
      <c r="A687" s="12"/>
      <c r="D687" s="95"/>
      <c r="E687" s="14"/>
      <c r="F687" s="96"/>
    </row>
    <row r="688">
      <c r="A688" s="12"/>
      <c r="D688" s="95"/>
      <c r="E688" s="14"/>
      <c r="F688" s="96"/>
    </row>
    <row r="689">
      <c r="A689" s="12"/>
      <c r="D689" s="95"/>
      <c r="E689" s="14"/>
      <c r="F689" s="96"/>
    </row>
    <row r="690">
      <c r="A690" s="12"/>
      <c r="D690" s="95"/>
      <c r="E690" s="14"/>
      <c r="F690" s="96"/>
    </row>
    <row r="691">
      <c r="A691" s="12"/>
      <c r="D691" s="95"/>
      <c r="E691" s="14"/>
      <c r="F691" s="96"/>
    </row>
    <row r="692">
      <c r="A692" s="12"/>
      <c r="D692" s="95"/>
      <c r="E692" s="14"/>
      <c r="F692" s="96"/>
    </row>
    <row r="693">
      <c r="A693" s="12"/>
      <c r="D693" s="95"/>
      <c r="E693" s="14"/>
      <c r="F693" s="96"/>
    </row>
    <row r="694">
      <c r="A694" s="12"/>
      <c r="D694" s="95"/>
      <c r="E694" s="14"/>
      <c r="F694" s="96"/>
    </row>
    <row r="695">
      <c r="A695" s="12"/>
      <c r="D695" s="95"/>
      <c r="E695" s="14"/>
      <c r="F695" s="96"/>
    </row>
    <row r="696">
      <c r="A696" s="12"/>
      <c r="D696" s="95"/>
      <c r="E696" s="14"/>
      <c r="F696" s="96"/>
    </row>
    <row r="697">
      <c r="A697" s="12"/>
      <c r="D697" s="95"/>
      <c r="E697" s="14"/>
      <c r="F697" s="96"/>
    </row>
    <row r="698">
      <c r="A698" s="12"/>
      <c r="D698" s="95"/>
      <c r="E698" s="14"/>
      <c r="F698" s="96"/>
    </row>
    <row r="699">
      <c r="A699" s="12"/>
      <c r="D699" s="95"/>
      <c r="E699" s="14"/>
      <c r="F699" s="96"/>
    </row>
    <row r="700">
      <c r="A700" s="12"/>
      <c r="D700" s="95"/>
      <c r="E700" s="14"/>
      <c r="F700" s="96"/>
    </row>
    <row r="701">
      <c r="A701" s="12"/>
      <c r="D701" s="95"/>
      <c r="E701" s="14"/>
      <c r="F701" s="96"/>
    </row>
    <row r="702">
      <c r="A702" s="12"/>
      <c r="D702" s="95"/>
      <c r="E702" s="14"/>
      <c r="F702" s="96"/>
    </row>
    <row r="703">
      <c r="A703" s="12"/>
      <c r="D703" s="95"/>
      <c r="E703" s="14"/>
      <c r="F703" s="96"/>
    </row>
    <row r="704">
      <c r="A704" s="12"/>
      <c r="D704" s="95"/>
      <c r="E704" s="14"/>
      <c r="F704" s="96"/>
    </row>
    <row r="705">
      <c r="A705" s="12"/>
      <c r="D705" s="95"/>
      <c r="E705" s="14"/>
      <c r="F705" s="96"/>
    </row>
    <row r="706">
      <c r="A706" s="12"/>
      <c r="D706" s="95"/>
      <c r="E706" s="14"/>
      <c r="F706" s="96"/>
    </row>
    <row r="707">
      <c r="A707" s="12"/>
      <c r="D707" s="95"/>
      <c r="E707" s="14"/>
      <c r="F707" s="96"/>
    </row>
    <row r="708">
      <c r="A708" s="12"/>
      <c r="D708" s="95"/>
      <c r="E708" s="14"/>
      <c r="F708" s="96"/>
    </row>
    <row r="709">
      <c r="A709" s="12"/>
      <c r="D709" s="95"/>
      <c r="E709" s="14"/>
      <c r="F709" s="96"/>
    </row>
    <row r="710">
      <c r="A710" s="12"/>
      <c r="D710" s="95"/>
      <c r="E710" s="14"/>
      <c r="F710" s="96"/>
    </row>
    <row r="711">
      <c r="A711" s="12"/>
      <c r="D711" s="95"/>
      <c r="E711" s="14"/>
      <c r="F711" s="96"/>
    </row>
    <row r="712">
      <c r="A712" s="12"/>
      <c r="D712" s="95"/>
      <c r="E712" s="14"/>
      <c r="F712" s="96"/>
    </row>
    <row r="713">
      <c r="A713" s="12"/>
      <c r="D713" s="95"/>
      <c r="E713" s="14"/>
      <c r="F713" s="96"/>
    </row>
    <row r="714">
      <c r="A714" s="12"/>
      <c r="D714" s="95"/>
      <c r="E714" s="14"/>
      <c r="F714" s="96"/>
    </row>
    <row r="715">
      <c r="A715" s="12"/>
      <c r="D715" s="95"/>
      <c r="E715" s="14"/>
      <c r="F715" s="96"/>
    </row>
    <row r="716">
      <c r="A716" s="12"/>
      <c r="D716" s="95"/>
      <c r="E716" s="14"/>
      <c r="F716" s="96"/>
    </row>
    <row r="717">
      <c r="A717" s="12"/>
      <c r="D717" s="95"/>
      <c r="E717" s="14"/>
      <c r="F717" s="96"/>
    </row>
    <row r="718">
      <c r="A718" s="12"/>
      <c r="D718" s="95"/>
      <c r="E718" s="14"/>
      <c r="F718" s="96"/>
    </row>
    <row r="719">
      <c r="A719" s="12"/>
      <c r="D719" s="95"/>
      <c r="E719" s="14"/>
      <c r="F719" s="96"/>
    </row>
    <row r="720">
      <c r="A720" s="12"/>
      <c r="D720" s="95"/>
      <c r="E720" s="14"/>
      <c r="F720" s="96"/>
    </row>
    <row r="721">
      <c r="A721" s="12"/>
      <c r="D721" s="95"/>
      <c r="E721" s="14"/>
      <c r="F721" s="96"/>
    </row>
    <row r="722">
      <c r="A722" s="12"/>
      <c r="D722" s="95"/>
      <c r="E722" s="14"/>
      <c r="F722" s="96"/>
    </row>
    <row r="723">
      <c r="A723" s="12"/>
      <c r="D723" s="95"/>
      <c r="E723" s="14"/>
      <c r="F723" s="96"/>
    </row>
    <row r="724">
      <c r="A724" s="12"/>
      <c r="D724" s="95"/>
      <c r="E724" s="14"/>
      <c r="F724" s="96"/>
    </row>
    <row r="725">
      <c r="A725" s="12"/>
      <c r="D725" s="95"/>
      <c r="E725" s="14"/>
      <c r="F725" s="96"/>
    </row>
    <row r="726">
      <c r="A726" s="12"/>
      <c r="D726" s="95"/>
      <c r="E726" s="14"/>
      <c r="F726" s="96"/>
    </row>
    <row r="727">
      <c r="A727" s="12"/>
      <c r="D727" s="95"/>
      <c r="E727" s="14"/>
      <c r="F727" s="96"/>
    </row>
    <row r="728">
      <c r="A728" s="12"/>
      <c r="D728" s="95"/>
      <c r="E728" s="14"/>
      <c r="F728" s="96"/>
    </row>
    <row r="729">
      <c r="A729" s="12"/>
      <c r="D729" s="95"/>
      <c r="E729" s="14"/>
      <c r="F729" s="96"/>
    </row>
    <row r="730">
      <c r="A730" s="12"/>
      <c r="D730" s="95"/>
      <c r="E730" s="14"/>
      <c r="F730" s="96"/>
    </row>
    <row r="731">
      <c r="A731" s="12"/>
      <c r="D731" s="95"/>
      <c r="E731" s="14"/>
      <c r="F731" s="96"/>
    </row>
    <row r="732">
      <c r="A732" s="12"/>
      <c r="D732" s="95"/>
      <c r="E732" s="14"/>
      <c r="F732" s="96"/>
    </row>
    <row r="733">
      <c r="A733" s="12"/>
      <c r="D733" s="95"/>
      <c r="E733" s="14"/>
      <c r="F733" s="96"/>
    </row>
    <row r="734">
      <c r="A734" s="12"/>
      <c r="D734" s="95"/>
      <c r="E734" s="14"/>
      <c r="F734" s="96"/>
    </row>
    <row r="735">
      <c r="A735" s="12"/>
      <c r="D735" s="95"/>
      <c r="E735" s="14"/>
      <c r="F735" s="96"/>
    </row>
    <row r="736">
      <c r="A736" s="12"/>
      <c r="D736" s="95"/>
      <c r="E736" s="14"/>
      <c r="F736" s="96"/>
    </row>
    <row r="737">
      <c r="A737" s="12"/>
      <c r="D737" s="95"/>
      <c r="E737" s="14"/>
      <c r="F737" s="96"/>
    </row>
    <row r="738">
      <c r="A738" s="12"/>
      <c r="D738" s="95"/>
      <c r="E738" s="14"/>
      <c r="F738" s="96"/>
    </row>
    <row r="739">
      <c r="A739" s="12"/>
      <c r="D739" s="95"/>
      <c r="E739" s="14"/>
      <c r="F739" s="96"/>
    </row>
    <row r="740">
      <c r="A740" s="12"/>
      <c r="D740" s="95"/>
      <c r="E740" s="14"/>
      <c r="F740" s="96"/>
    </row>
    <row r="741">
      <c r="A741" s="12"/>
      <c r="D741" s="95"/>
      <c r="E741" s="14"/>
      <c r="F741" s="96"/>
    </row>
    <row r="742">
      <c r="A742" s="12"/>
      <c r="D742" s="95"/>
      <c r="E742" s="14"/>
      <c r="F742" s="96"/>
    </row>
    <row r="743">
      <c r="A743" s="12"/>
      <c r="D743" s="95"/>
      <c r="E743" s="14"/>
      <c r="F743" s="96"/>
    </row>
    <row r="744">
      <c r="A744" s="12"/>
      <c r="D744" s="95"/>
      <c r="E744" s="14"/>
      <c r="F744" s="96"/>
    </row>
    <row r="745">
      <c r="A745" s="12"/>
      <c r="D745" s="95"/>
      <c r="E745" s="14"/>
      <c r="F745" s="96"/>
    </row>
    <row r="746">
      <c r="A746" s="12"/>
      <c r="D746" s="95"/>
      <c r="E746" s="14"/>
      <c r="F746" s="96"/>
    </row>
    <row r="747">
      <c r="A747" s="12"/>
      <c r="D747" s="95"/>
      <c r="E747" s="14"/>
      <c r="F747" s="96"/>
    </row>
    <row r="748">
      <c r="A748" s="12"/>
      <c r="D748" s="95"/>
      <c r="E748" s="14"/>
      <c r="F748" s="96"/>
    </row>
    <row r="749">
      <c r="A749" s="12"/>
      <c r="D749" s="95"/>
      <c r="E749" s="14"/>
      <c r="F749" s="96"/>
    </row>
    <row r="750">
      <c r="A750" s="12"/>
      <c r="D750" s="95"/>
      <c r="E750" s="14"/>
      <c r="F750" s="96"/>
    </row>
    <row r="751">
      <c r="A751" s="12"/>
      <c r="D751" s="95"/>
      <c r="E751" s="14"/>
      <c r="F751" s="96"/>
    </row>
    <row r="752">
      <c r="A752" s="12"/>
      <c r="D752" s="95"/>
      <c r="E752" s="14"/>
      <c r="F752" s="96"/>
    </row>
    <row r="753">
      <c r="A753" s="12"/>
      <c r="D753" s="95"/>
      <c r="E753" s="14"/>
      <c r="F753" s="96"/>
    </row>
    <row r="754">
      <c r="A754" s="12"/>
      <c r="D754" s="95"/>
      <c r="E754" s="14"/>
      <c r="F754" s="96"/>
    </row>
    <row r="755">
      <c r="A755" s="12"/>
      <c r="D755" s="95"/>
      <c r="E755" s="14"/>
      <c r="F755" s="96"/>
    </row>
    <row r="756">
      <c r="A756" s="12"/>
      <c r="D756" s="95"/>
      <c r="E756" s="14"/>
      <c r="F756" s="96"/>
    </row>
    <row r="757">
      <c r="A757" s="12"/>
      <c r="D757" s="95"/>
      <c r="E757" s="14"/>
      <c r="F757" s="96"/>
    </row>
    <row r="758">
      <c r="A758" s="12"/>
      <c r="D758" s="95"/>
      <c r="E758" s="14"/>
      <c r="F758" s="96"/>
    </row>
    <row r="759">
      <c r="A759" s="12"/>
      <c r="D759" s="95"/>
      <c r="E759" s="14"/>
      <c r="F759" s="96"/>
    </row>
    <row r="760">
      <c r="A760" s="12"/>
      <c r="D760" s="95"/>
      <c r="E760" s="14"/>
      <c r="F760" s="96"/>
    </row>
    <row r="761">
      <c r="A761" s="12"/>
      <c r="D761" s="95"/>
      <c r="E761" s="14"/>
      <c r="F761" s="96"/>
    </row>
    <row r="762">
      <c r="A762" s="12"/>
      <c r="D762" s="95"/>
      <c r="E762" s="14"/>
      <c r="F762" s="96"/>
    </row>
    <row r="763">
      <c r="A763" s="12"/>
      <c r="D763" s="95"/>
      <c r="E763" s="14"/>
      <c r="F763" s="96"/>
    </row>
    <row r="764">
      <c r="A764" s="12"/>
      <c r="D764" s="95"/>
      <c r="E764" s="14"/>
      <c r="F764" s="96"/>
    </row>
    <row r="765">
      <c r="A765" s="12"/>
      <c r="D765" s="95"/>
      <c r="E765" s="14"/>
      <c r="F765" s="96"/>
    </row>
    <row r="766">
      <c r="A766" s="12"/>
      <c r="D766" s="95"/>
      <c r="E766" s="14"/>
      <c r="F766" s="96"/>
    </row>
    <row r="767">
      <c r="A767" s="12"/>
      <c r="D767" s="95"/>
      <c r="E767" s="14"/>
      <c r="F767" s="96"/>
    </row>
    <row r="768">
      <c r="A768" s="12"/>
      <c r="D768" s="95"/>
      <c r="E768" s="14"/>
      <c r="F768" s="96"/>
    </row>
    <row r="769">
      <c r="A769" s="12"/>
      <c r="D769" s="95"/>
      <c r="E769" s="14"/>
      <c r="F769" s="96"/>
    </row>
    <row r="770">
      <c r="A770" s="12"/>
      <c r="D770" s="95"/>
      <c r="E770" s="14"/>
      <c r="F770" s="96"/>
    </row>
    <row r="771">
      <c r="A771" s="12"/>
      <c r="D771" s="95"/>
      <c r="E771" s="14"/>
      <c r="F771" s="96"/>
    </row>
    <row r="772">
      <c r="A772" s="12"/>
      <c r="D772" s="95"/>
      <c r="E772" s="14"/>
      <c r="F772" s="96"/>
    </row>
    <row r="773">
      <c r="A773" s="12"/>
      <c r="D773" s="95"/>
      <c r="E773" s="14"/>
      <c r="F773" s="96"/>
    </row>
    <row r="774">
      <c r="A774" s="12"/>
      <c r="D774" s="95"/>
      <c r="E774" s="14"/>
      <c r="F774" s="96"/>
    </row>
    <row r="775">
      <c r="A775" s="12"/>
      <c r="D775" s="95"/>
      <c r="E775" s="14"/>
      <c r="F775" s="96"/>
    </row>
    <row r="776">
      <c r="A776" s="12"/>
      <c r="D776" s="95"/>
      <c r="E776" s="14"/>
      <c r="F776" s="96"/>
    </row>
    <row r="777">
      <c r="A777" s="12"/>
      <c r="D777" s="95"/>
      <c r="E777" s="14"/>
      <c r="F777" s="96"/>
    </row>
    <row r="778">
      <c r="A778" s="12"/>
      <c r="D778" s="95"/>
      <c r="E778" s="14"/>
      <c r="F778" s="96"/>
    </row>
    <row r="779">
      <c r="A779" s="12"/>
      <c r="D779" s="95"/>
      <c r="E779" s="14"/>
      <c r="F779" s="96"/>
    </row>
    <row r="780">
      <c r="A780" s="12"/>
      <c r="D780" s="95"/>
      <c r="E780" s="14"/>
      <c r="F780" s="96"/>
    </row>
    <row r="781">
      <c r="A781" s="12"/>
      <c r="D781" s="95"/>
      <c r="E781" s="14"/>
      <c r="F781" s="96"/>
    </row>
    <row r="782">
      <c r="A782" s="12"/>
      <c r="D782" s="95"/>
      <c r="E782" s="14"/>
      <c r="F782" s="96"/>
    </row>
    <row r="783">
      <c r="A783" s="12"/>
      <c r="D783" s="95"/>
      <c r="E783" s="14"/>
      <c r="F783" s="96"/>
    </row>
    <row r="784">
      <c r="A784" s="12"/>
      <c r="D784" s="95"/>
      <c r="E784" s="14"/>
      <c r="F784" s="96"/>
    </row>
    <row r="785">
      <c r="A785" s="12"/>
      <c r="D785" s="95"/>
      <c r="E785" s="14"/>
      <c r="F785" s="96"/>
    </row>
    <row r="786">
      <c r="A786" s="12"/>
      <c r="D786" s="95"/>
      <c r="E786" s="14"/>
      <c r="F786" s="96"/>
    </row>
    <row r="787">
      <c r="A787" s="12"/>
      <c r="D787" s="95"/>
      <c r="E787" s="14"/>
      <c r="F787" s="96"/>
    </row>
    <row r="788">
      <c r="A788" s="12"/>
      <c r="D788" s="95"/>
      <c r="E788" s="14"/>
      <c r="F788" s="96"/>
    </row>
    <row r="789">
      <c r="A789" s="12"/>
      <c r="D789" s="95"/>
      <c r="E789" s="14"/>
      <c r="F789" s="96"/>
    </row>
    <row r="790">
      <c r="A790" s="12"/>
      <c r="D790" s="95"/>
      <c r="E790" s="14"/>
      <c r="F790" s="96"/>
    </row>
    <row r="791">
      <c r="A791" s="12"/>
      <c r="D791" s="95"/>
      <c r="E791" s="14"/>
      <c r="F791" s="96"/>
    </row>
    <row r="792">
      <c r="A792" s="12"/>
      <c r="D792" s="95"/>
      <c r="E792" s="14"/>
      <c r="F792" s="96"/>
    </row>
    <row r="793">
      <c r="A793" s="12"/>
      <c r="D793" s="95"/>
      <c r="E793" s="14"/>
      <c r="F793" s="96"/>
    </row>
    <row r="794">
      <c r="A794" s="12"/>
      <c r="D794" s="95"/>
      <c r="E794" s="14"/>
      <c r="F794" s="96"/>
    </row>
    <row r="795">
      <c r="A795" s="12"/>
      <c r="D795" s="95"/>
      <c r="E795" s="14"/>
      <c r="F795" s="96"/>
    </row>
    <row r="796">
      <c r="A796" s="12"/>
      <c r="D796" s="95"/>
      <c r="E796" s="14"/>
      <c r="F796" s="96"/>
    </row>
    <row r="797">
      <c r="A797" s="12"/>
      <c r="D797" s="95"/>
      <c r="E797" s="14"/>
      <c r="F797" s="96"/>
    </row>
    <row r="798">
      <c r="A798" s="12"/>
      <c r="D798" s="95"/>
      <c r="E798" s="14"/>
      <c r="F798" s="96"/>
    </row>
    <row r="799">
      <c r="A799" s="12"/>
      <c r="D799" s="95"/>
      <c r="E799" s="14"/>
      <c r="F799" s="96"/>
    </row>
    <row r="800">
      <c r="A800" s="12"/>
      <c r="D800" s="95"/>
      <c r="E800" s="14"/>
      <c r="F800" s="96"/>
    </row>
    <row r="801">
      <c r="A801" s="12"/>
      <c r="D801" s="95"/>
      <c r="E801" s="14"/>
      <c r="F801" s="96"/>
    </row>
    <row r="802">
      <c r="A802" s="12"/>
      <c r="D802" s="95"/>
      <c r="E802" s="14"/>
      <c r="F802" s="96"/>
    </row>
    <row r="803">
      <c r="A803" s="12"/>
      <c r="D803" s="95"/>
      <c r="E803" s="14"/>
      <c r="F803" s="96"/>
    </row>
    <row r="804">
      <c r="A804" s="12"/>
      <c r="D804" s="95"/>
      <c r="E804" s="14"/>
      <c r="F804" s="96"/>
    </row>
    <row r="805">
      <c r="A805" s="12"/>
      <c r="D805" s="95"/>
      <c r="E805" s="14"/>
      <c r="F805" s="96"/>
    </row>
    <row r="806">
      <c r="A806" s="12"/>
      <c r="D806" s="95"/>
      <c r="E806" s="14"/>
      <c r="F806" s="96"/>
    </row>
    <row r="807">
      <c r="A807" s="12"/>
      <c r="D807" s="95"/>
      <c r="E807" s="14"/>
      <c r="F807" s="96"/>
    </row>
    <row r="808">
      <c r="A808" s="12"/>
      <c r="D808" s="95"/>
      <c r="E808" s="14"/>
      <c r="F808" s="96"/>
    </row>
    <row r="809">
      <c r="A809" s="12"/>
      <c r="D809" s="95"/>
      <c r="E809" s="14"/>
      <c r="F809" s="96"/>
    </row>
    <row r="810">
      <c r="A810" s="12"/>
      <c r="D810" s="95"/>
      <c r="E810" s="14"/>
      <c r="F810" s="96"/>
    </row>
    <row r="811">
      <c r="A811" s="12"/>
      <c r="D811" s="95"/>
      <c r="E811" s="14"/>
      <c r="F811" s="96"/>
    </row>
    <row r="812">
      <c r="A812" s="12"/>
      <c r="D812" s="95"/>
      <c r="E812" s="14"/>
      <c r="F812" s="96"/>
    </row>
    <row r="813">
      <c r="A813" s="12"/>
      <c r="D813" s="95"/>
      <c r="E813" s="14"/>
      <c r="F813" s="96"/>
    </row>
    <row r="814">
      <c r="A814" s="12"/>
      <c r="D814" s="95"/>
      <c r="E814" s="14"/>
      <c r="F814" s="96"/>
    </row>
    <row r="815">
      <c r="A815" s="12"/>
      <c r="D815" s="95"/>
      <c r="E815" s="14"/>
      <c r="F815" s="96"/>
    </row>
    <row r="816">
      <c r="A816" s="12"/>
      <c r="D816" s="95"/>
      <c r="E816" s="14"/>
      <c r="F816" s="96"/>
    </row>
    <row r="817">
      <c r="A817" s="12"/>
      <c r="D817" s="95"/>
      <c r="E817" s="14"/>
      <c r="F817" s="96"/>
    </row>
    <row r="818">
      <c r="A818" s="12"/>
      <c r="D818" s="95"/>
      <c r="E818" s="14"/>
      <c r="F818" s="96"/>
    </row>
    <row r="819">
      <c r="A819" s="12"/>
      <c r="D819" s="95"/>
      <c r="E819" s="14"/>
      <c r="F819" s="96"/>
    </row>
    <row r="820">
      <c r="A820" s="12"/>
      <c r="D820" s="95"/>
      <c r="E820" s="14"/>
      <c r="F820" s="96"/>
    </row>
    <row r="821">
      <c r="A821" s="12"/>
      <c r="D821" s="95"/>
      <c r="E821" s="14"/>
      <c r="F821" s="96"/>
    </row>
    <row r="822">
      <c r="A822" s="12"/>
      <c r="D822" s="95"/>
      <c r="E822" s="14"/>
      <c r="F822" s="96"/>
    </row>
    <row r="823">
      <c r="A823" s="12"/>
      <c r="D823" s="95"/>
      <c r="E823" s="14"/>
      <c r="F823" s="96"/>
    </row>
    <row r="824">
      <c r="A824" s="12"/>
      <c r="D824" s="95"/>
      <c r="E824" s="14"/>
      <c r="F824" s="96"/>
    </row>
    <row r="825">
      <c r="A825" s="12"/>
      <c r="D825" s="95"/>
      <c r="E825" s="14"/>
      <c r="F825" s="96"/>
    </row>
    <row r="826">
      <c r="A826" s="12"/>
      <c r="D826" s="95"/>
      <c r="E826" s="14"/>
      <c r="F826" s="96"/>
    </row>
    <row r="827">
      <c r="A827" s="12"/>
      <c r="D827" s="95"/>
      <c r="E827" s="14"/>
      <c r="F827" s="96"/>
    </row>
    <row r="828">
      <c r="A828" s="12"/>
      <c r="D828" s="95"/>
      <c r="E828" s="14"/>
      <c r="F828" s="96"/>
    </row>
    <row r="829">
      <c r="A829" s="12"/>
      <c r="D829" s="95"/>
      <c r="E829" s="14"/>
      <c r="F829" s="96"/>
    </row>
    <row r="830">
      <c r="A830" s="12"/>
      <c r="D830" s="95"/>
      <c r="E830" s="14"/>
      <c r="F830" s="96"/>
    </row>
    <row r="831">
      <c r="A831" s="12"/>
      <c r="D831" s="95"/>
      <c r="E831" s="14"/>
      <c r="F831" s="96"/>
    </row>
    <row r="832">
      <c r="A832" s="12"/>
      <c r="D832" s="95"/>
      <c r="E832" s="14"/>
      <c r="F832" s="96"/>
    </row>
    <row r="833">
      <c r="A833" s="12"/>
      <c r="D833" s="95"/>
      <c r="E833" s="14"/>
      <c r="F833" s="96"/>
    </row>
    <row r="834">
      <c r="A834" s="12"/>
      <c r="D834" s="95"/>
      <c r="E834" s="14"/>
      <c r="F834" s="96"/>
    </row>
    <row r="835">
      <c r="A835" s="12"/>
      <c r="D835" s="95"/>
      <c r="E835" s="14"/>
      <c r="F835" s="96"/>
    </row>
    <row r="836">
      <c r="A836" s="12"/>
      <c r="D836" s="95"/>
      <c r="E836" s="14"/>
      <c r="F836" s="96"/>
    </row>
    <row r="837">
      <c r="A837" s="12"/>
      <c r="D837" s="95"/>
      <c r="E837" s="14"/>
      <c r="F837" s="96"/>
    </row>
    <row r="838">
      <c r="A838" s="12"/>
      <c r="D838" s="95"/>
      <c r="E838" s="14"/>
      <c r="F838" s="96"/>
    </row>
    <row r="839">
      <c r="A839" s="12"/>
      <c r="D839" s="95"/>
      <c r="E839" s="14"/>
      <c r="F839" s="96"/>
    </row>
    <row r="840">
      <c r="A840" s="12"/>
      <c r="D840" s="95"/>
      <c r="E840" s="14"/>
      <c r="F840" s="96"/>
    </row>
    <row r="841">
      <c r="A841" s="12"/>
      <c r="D841" s="95"/>
      <c r="E841" s="14"/>
      <c r="F841" s="96"/>
    </row>
    <row r="842">
      <c r="A842" s="12"/>
      <c r="D842" s="95"/>
      <c r="E842" s="14"/>
      <c r="F842" s="96"/>
    </row>
    <row r="843">
      <c r="A843" s="12"/>
      <c r="D843" s="95"/>
      <c r="E843" s="14"/>
      <c r="F843" s="96"/>
    </row>
    <row r="844">
      <c r="A844" s="12"/>
      <c r="D844" s="95"/>
      <c r="E844" s="14"/>
      <c r="F844" s="96"/>
    </row>
    <row r="845">
      <c r="A845" s="12"/>
      <c r="D845" s="95"/>
      <c r="E845" s="14"/>
      <c r="F845" s="96"/>
    </row>
    <row r="846">
      <c r="A846" s="12"/>
      <c r="D846" s="95"/>
      <c r="E846" s="14"/>
      <c r="F846" s="96"/>
    </row>
    <row r="847">
      <c r="A847" s="12"/>
      <c r="D847" s="95"/>
      <c r="E847" s="14"/>
      <c r="F847" s="96"/>
    </row>
    <row r="848">
      <c r="A848" s="12"/>
      <c r="D848" s="95"/>
      <c r="E848" s="14"/>
      <c r="F848" s="96"/>
    </row>
    <row r="849">
      <c r="A849" s="12"/>
      <c r="D849" s="95"/>
      <c r="E849" s="14"/>
      <c r="F849" s="96"/>
    </row>
    <row r="850">
      <c r="A850" s="12"/>
      <c r="D850" s="95"/>
      <c r="E850" s="14"/>
      <c r="F850" s="96"/>
    </row>
    <row r="851">
      <c r="A851" s="12"/>
      <c r="D851" s="95"/>
      <c r="E851" s="14"/>
      <c r="F851" s="96"/>
    </row>
    <row r="852">
      <c r="A852" s="12"/>
      <c r="D852" s="95"/>
      <c r="E852" s="14"/>
      <c r="F852" s="96"/>
    </row>
    <row r="853">
      <c r="A853" s="12"/>
      <c r="D853" s="95"/>
      <c r="E853" s="14"/>
      <c r="F853" s="96"/>
    </row>
    <row r="854">
      <c r="A854" s="12"/>
      <c r="D854" s="95"/>
      <c r="E854" s="14"/>
      <c r="F854" s="96"/>
    </row>
    <row r="855">
      <c r="A855" s="12"/>
      <c r="D855" s="95"/>
      <c r="E855" s="14"/>
      <c r="F855" s="96"/>
    </row>
    <row r="856">
      <c r="A856" s="12"/>
      <c r="D856" s="95"/>
      <c r="E856" s="14"/>
      <c r="F856" s="96"/>
    </row>
    <row r="857">
      <c r="A857" s="12"/>
      <c r="D857" s="95"/>
      <c r="E857" s="14"/>
      <c r="F857" s="96"/>
    </row>
    <row r="858">
      <c r="A858" s="12"/>
      <c r="D858" s="95"/>
      <c r="E858" s="14"/>
      <c r="F858" s="96"/>
    </row>
    <row r="859">
      <c r="A859" s="12"/>
      <c r="D859" s="95"/>
      <c r="E859" s="14"/>
      <c r="F859" s="96"/>
    </row>
    <row r="860">
      <c r="A860" s="12"/>
      <c r="D860" s="95"/>
      <c r="E860" s="14"/>
      <c r="F860" s="96"/>
    </row>
    <row r="861">
      <c r="A861" s="12"/>
      <c r="D861" s="95"/>
      <c r="E861" s="14"/>
      <c r="F861" s="96"/>
    </row>
    <row r="862">
      <c r="A862" s="12"/>
      <c r="D862" s="95"/>
      <c r="E862" s="14"/>
      <c r="F862" s="96"/>
    </row>
    <row r="863">
      <c r="A863" s="12"/>
      <c r="D863" s="95"/>
      <c r="E863" s="14"/>
      <c r="F863" s="96"/>
    </row>
    <row r="864">
      <c r="A864" s="12"/>
      <c r="D864" s="95"/>
      <c r="E864" s="14"/>
      <c r="F864" s="96"/>
    </row>
    <row r="865">
      <c r="A865" s="12"/>
      <c r="D865" s="95"/>
      <c r="E865" s="14"/>
      <c r="F865" s="96"/>
    </row>
    <row r="866">
      <c r="A866" s="12"/>
      <c r="D866" s="95"/>
      <c r="E866" s="14"/>
      <c r="F866" s="96"/>
    </row>
    <row r="867">
      <c r="A867" s="12"/>
      <c r="D867" s="95"/>
      <c r="E867" s="14"/>
      <c r="F867" s="96"/>
    </row>
    <row r="868">
      <c r="A868" s="12"/>
      <c r="D868" s="95"/>
      <c r="E868" s="14"/>
      <c r="F868" s="96"/>
    </row>
    <row r="869">
      <c r="A869" s="12"/>
      <c r="D869" s="95"/>
      <c r="E869" s="14"/>
      <c r="F869" s="96"/>
    </row>
    <row r="870">
      <c r="A870" s="12"/>
      <c r="D870" s="95"/>
      <c r="E870" s="14"/>
      <c r="F870" s="96"/>
    </row>
    <row r="871">
      <c r="A871" s="12"/>
      <c r="D871" s="95"/>
      <c r="E871" s="14"/>
      <c r="F871" s="96"/>
    </row>
    <row r="872">
      <c r="A872" s="12"/>
      <c r="D872" s="95"/>
      <c r="E872" s="14"/>
      <c r="F872" s="96"/>
    </row>
    <row r="873">
      <c r="A873" s="12"/>
      <c r="D873" s="95"/>
      <c r="E873" s="14"/>
      <c r="F873" s="96"/>
    </row>
    <row r="874">
      <c r="A874" s="12"/>
      <c r="D874" s="95"/>
      <c r="E874" s="14"/>
      <c r="F874" s="96"/>
    </row>
    <row r="875">
      <c r="A875" s="12"/>
      <c r="D875" s="95"/>
      <c r="E875" s="14"/>
      <c r="F875" s="96"/>
    </row>
    <row r="876">
      <c r="A876" s="12"/>
      <c r="D876" s="95"/>
      <c r="E876" s="14"/>
      <c r="F876" s="96"/>
    </row>
    <row r="877">
      <c r="A877" s="12"/>
      <c r="D877" s="95"/>
      <c r="E877" s="14"/>
      <c r="F877" s="96"/>
    </row>
    <row r="878">
      <c r="A878" s="12"/>
      <c r="D878" s="95"/>
      <c r="E878" s="14"/>
      <c r="F878" s="96"/>
    </row>
    <row r="879">
      <c r="A879" s="12"/>
      <c r="D879" s="95"/>
      <c r="E879" s="14"/>
      <c r="F879" s="96"/>
    </row>
    <row r="880">
      <c r="A880" s="12"/>
      <c r="D880" s="95"/>
      <c r="E880" s="14"/>
      <c r="F880" s="96"/>
    </row>
    <row r="881">
      <c r="A881" s="12"/>
      <c r="D881" s="95"/>
      <c r="E881" s="14"/>
      <c r="F881" s="96"/>
    </row>
    <row r="882">
      <c r="A882" s="12"/>
      <c r="D882" s="95"/>
      <c r="E882" s="14"/>
      <c r="F882" s="96"/>
    </row>
    <row r="883">
      <c r="A883" s="12"/>
      <c r="D883" s="95"/>
      <c r="E883" s="14"/>
      <c r="F883" s="96"/>
    </row>
    <row r="884">
      <c r="A884" s="12"/>
      <c r="D884" s="95"/>
      <c r="E884" s="14"/>
      <c r="F884" s="96"/>
    </row>
    <row r="885">
      <c r="A885" s="12"/>
      <c r="D885" s="95"/>
      <c r="E885" s="14"/>
      <c r="F885" s="96"/>
    </row>
    <row r="886">
      <c r="A886" s="12"/>
      <c r="D886" s="95"/>
      <c r="E886" s="14"/>
      <c r="F886" s="96"/>
    </row>
    <row r="887">
      <c r="A887" s="12"/>
      <c r="D887" s="95"/>
      <c r="E887" s="14"/>
      <c r="F887" s="96"/>
    </row>
    <row r="888">
      <c r="A888" s="12"/>
      <c r="D888" s="95"/>
      <c r="E888" s="14"/>
      <c r="F888" s="96"/>
    </row>
    <row r="889">
      <c r="A889" s="12"/>
      <c r="D889" s="95"/>
      <c r="E889" s="14"/>
      <c r="F889" s="96"/>
    </row>
    <row r="890">
      <c r="A890" s="12"/>
      <c r="D890" s="95"/>
      <c r="E890" s="14"/>
      <c r="F890" s="96"/>
    </row>
    <row r="891">
      <c r="A891" s="12"/>
      <c r="D891" s="95"/>
      <c r="E891" s="14"/>
      <c r="F891" s="96"/>
    </row>
    <row r="892">
      <c r="A892" s="12"/>
      <c r="D892" s="95"/>
      <c r="E892" s="14"/>
      <c r="F892" s="96"/>
    </row>
    <row r="893">
      <c r="A893" s="12"/>
      <c r="D893" s="95"/>
      <c r="E893" s="14"/>
      <c r="F893" s="96"/>
    </row>
    <row r="894">
      <c r="A894" s="12"/>
      <c r="D894" s="95"/>
      <c r="E894" s="14"/>
      <c r="F894" s="96"/>
    </row>
    <row r="895">
      <c r="A895" s="12"/>
      <c r="D895" s="95"/>
      <c r="E895" s="14"/>
      <c r="F895" s="96"/>
    </row>
    <row r="896">
      <c r="A896" s="12"/>
      <c r="D896" s="95"/>
      <c r="E896" s="14"/>
      <c r="F896" s="96"/>
    </row>
    <row r="897">
      <c r="A897" s="12"/>
      <c r="D897" s="95"/>
      <c r="E897" s="14"/>
      <c r="F897" s="96"/>
    </row>
    <row r="898">
      <c r="A898" s="12"/>
      <c r="D898" s="95"/>
      <c r="E898" s="14"/>
      <c r="F898" s="96"/>
    </row>
    <row r="899">
      <c r="A899" s="12"/>
      <c r="D899" s="95"/>
      <c r="E899" s="14"/>
      <c r="F899" s="96"/>
    </row>
    <row r="900">
      <c r="A900" s="12"/>
      <c r="D900" s="95"/>
      <c r="E900" s="14"/>
      <c r="F900" s="96"/>
    </row>
    <row r="901">
      <c r="A901" s="12"/>
      <c r="D901" s="95"/>
      <c r="E901" s="14"/>
      <c r="F901" s="96"/>
    </row>
    <row r="902">
      <c r="A902" s="12"/>
      <c r="D902" s="95"/>
      <c r="E902" s="14"/>
      <c r="F902" s="96"/>
    </row>
    <row r="903">
      <c r="A903" s="12"/>
      <c r="D903" s="95"/>
      <c r="E903" s="14"/>
      <c r="F903" s="96"/>
    </row>
    <row r="904">
      <c r="A904" s="12"/>
      <c r="D904" s="95"/>
      <c r="E904" s="14"/>
      <c r="F904" s="96"/>
    </row>
    <row r="905">
      <c r="A905" s="12"/>
      <c r="D905" s="95"/>
      <c r="E905" s="14"/>
      <c r="F905" s="96"/>
    </row>
    <row r="906">
      <c r="A906" s="12"/>
      <c r="D906" s="95"/>
      <c r="E906" s="14"/>
      <c r="F906" s="96"/>
    </row>
    <row r="907">
      <c r="A907" s="12"/>
      <c r="D907" s="95"/>
      <c r="E907" s="14"/>
      <c r="F907" s="96"/>
    </row>
    <row r="908">
      <c r="A908" s="12"/>
      <c r="D908" s="95"/>
      <c r="E908" s="14"/>
      <c r="F908" s="96"/>
    </row>
    <row r="909">
      <c r="A909" s="12"/>
      <c r="D909" s="95"/>
      <c r="E909" s="14"/>
      <c r="F909" s="96"/>
    </row>
    <row r="910">
      <c r="A910" s="12"/>
      <c r="D910" s="95"/>
      <c r="E910" s="14"/>
      <c r="F910" s="96"/>
    </row>
    <row r="911">
      <c r="A911" s="12"/>
      <c r="D911" s="95"/>
      <c r="E911" s="14"/>
      <c r="F911" s="96"/>
    </row>
    <row r="912">
      <c r="A912" s="12"/>
      <c r="D912" s="95"/>
      <c r="E912" s="14"/>
      <c r="F912" s="96"/>
    </row>
    <row r="913">
      <c r="A913" s="12"/>
      <c r="D913" s="95"/>
      <c r="E913" s="14"/>
      <c r="F913" s="96"/>
    </row>
    <row r="914">
      <c r="A914" s="12"/>
      <c r="D914" s="95"/>
      <c r="E914" s="14"/>
      <c r="F914" s="96"/>
    </row>
    <row r="915">
      <c r="A915" s="12"/>
      <c r="D915" s="95"/>
      <c r="E915" s="14"/>
      <c r="F915" s="96"/>
    </row>
    <row r="916">
      <c r="A916" s="12"/>
      <c r="D916" s="95"/>
      <c r="E916" s="14"/>
      <c r="F916" s="96"/>
    </row>
    <row r="917">
      <c r="A917" s="12"/>
      <c r="D917" s="95"/>
      <c r="E917" s="14"/>
      <c r="F917" s="96"/>
    </row>
    <row r="918">
      <c r="A918" s="12"/>
      <c r="D918" s="95"/>
      <c r="E918" s="14"/>
      <c r="F918" s="96"/>
    </row>
    <row r="919">
      <c r="A919" s="12"/>
      <c r="D919" s="95"/>
      <c r="E919" s="14"/>
      <c r="F919" s="96"/>
    </row>
    <row r="920">
      <c r="A920" s="12"/>
      <c r="D920" s="95"/>
      <c r="E920" s="14"/>
      <c r="F920" s="96"/>
    </row>
    <row r="921">
      <c r="A921" s="12"/>
      <c r="D921" s="95"/>
      <c r="E921" s="14"/>
      <c r="F921" s="96"/>
    </row>
    <row r="922">
      <c r="A922" s="12"/>
      <c r="D922" s="95"/>
      <c r="E922" s="14"/>
      <c r="F922" s="96"/>
    </row>
    <row r="923">
      <c r="A923" s="12"/>
      <c r="D923" s="95"/>
      <c r="E923" s="14"/>
      <c r="F923" s="96"/>
    </row>
    <row r="924">
      <c r="A924" s="12"/>
      <c r="D924" s="95"/>
      <c r="E924" s="14"/>
      <c r="F924" s="96"/>
    </row>
    <row r="925">
      <c r="A925" s="12"/>
      <c r="D925" s="95"/>
      <c r="E925" s="14"/>
      <c r="F925" s="96"/>
    </row>
    <row r="926">
      <c r="A926" s="12"/>
      <c r="D926" s="95"/>
      <c r="E926" s="14"/>
      <c r="F926" s="96"/>
    </row>
    <row r="927">
      <c r="A927" s="12"/>
      <c r="D927" s="95"/>
      <c r="E927" s="14"/>
      <c r="F927" s="96"/>
    </row>
    <row r="928">
      <c r="A928" s="12"/>
      <c r="D928" s="95"/>
      <c r="E928" s="14"/>
      <c r="F928" s="96"/>
    </row>
    <row r="929">
      <c r="A929" s="12"/>
      <c r="D929" s="95"/>
      <c r="E929" s="14"/>
      <c r="F929" s="96"/>
    </row>
    <row r="930">
      <c r="A930" s="12"/>
      <c r="D930" s="95"/>
      <c r="E930" s="14"/>
      <c r="F930" s="96"/>
    </row>
    <row r="931">
      <c r="A931" s="12"/>
      <c r="D931" s="95"/>
      <c r="E931" s="14"/>
      <c r="F931" s="96"/>
    </row>
    <row r="932">
      <c r="A932" s="12"/>
      <c r="D932" s="95"/>
      <c r="E932" s="14"/>
      <c r="F932" s="96"/>
    </row>
    <row r="933">
      <c r="A933" s="12"/>
      <c r="D933" s="95"/>
      <c r="E933" s="14"/>
      <c r="F933" s="96"/>
    </row>
    <row r="934">
      <c r="A934" s="12"/>
      <c r="D934" s="95"/>
      <c r="E934" s="14"/>
      <c r="F934" s="96"/>
    </row>
    <row r="935">
      <c r="A935" s="12"/>
      <c r="D935" s="95"/>
      <c r="E935" s="14"/>
      <c r="F935" s="96"/>
    </row>
    <row r="936">
      <c r="A936" s="12"/>
      <c r="D936" s="95"/>
      <c r="E936" s="14"/>
      <c r="F936" s="96"/>
    </row>
    <row r="937">
      <c r="A937" s="12"/>
      <c r="D937" s="95"/>
      <c r="E937" s="14"/>
      <c r="F937" s="96"/>
    </row>
    <row r="938">
      <c r="A938" s="12"/>
      <c r="D938" s="95"/>
      <c r="E938" s="14"/>
      <c r="F938" s="96"/>
    </row>
    <row r="939">
      <c r="A939" s="12"/>
      <c r="D939" s="95"/>
      <c r="E939" s="14"/>
      <c r="F939" s="96"/>
    </row>
    <row r="940">
      <c r="A940" s="12"/>
      <c r="D940" s="95"/>
      <c r="E940" s="14"/>
      <c r="F940" s="96"/>
    </row>
    <row r="941">
      <c r="A941" s="12"/>
      <c r="D941" s="95"/>
      <c r="E941" s="14"/>
      <c r="F941" s="96"/>
    </row>
    <row r="942">
      <c r="A942" s="12"/>
      <c r="D942" s="95"/>
      <c r="E942" s="14"/>
      <c r="F942" s="96"/>
    </row>
    <row r="943">
      <c r="A943" s="12"/>
      <c r="D943" s="95"/>
      <c r="E943" s="14"/>
      <c r="F943" s="96"/>
    </row>
    <row r="944">
      <c r="A944" s="12"/>
      <c r="D944" s="95"/>
      <c r="E944" s="14"/>
      <c r="F944" s="96"/>
    </row>
    <row r="945">
      <c r="A945" s="12"/>
      <c r="D945" s="95"/>
      <c r="E945" s="14"/>
      <c r="F945" s="96"/>
    </row>
    <row r="946">
      <c r="A946" s="12"/>
      <c r="D946" s="95"/>
      <c r="E946" s="14"/>
      <c r="F946" s="96"/>
    </row>
    <row r="947">
      <c r="A947" s="12"/>
      <c r="D947" s="95"/>
      <c r="E947" s="14"/>
      <c r="F947" s="96"/>
    </row>
    <row r="948">
      <c r="A948" s="12"/>
      <c r="D948" s="95"/>
      <c r="E948" s="14"/>
      <c r="F948" s="96"/>
    </row>
    <row r="949">
      <c r="A949" s="12"/>
      <c r="D949" s="95"/>
      <c r="E949" s="14"/>
      <c r="F949" s="96"/>
    </row>
    <row r="950">
      <c r="A950" s="12"/>
      <c r="D950" s="95"/>
      <c r="E950" s="14"/>
      <c r="F950" s="96"/>
    </row>
    <row r="951">
      <c r="A951" s="12"/>
      <c r="D951" s="95"/>
      <c r="E951" s="14"/>
      <c r="F951" s="96"/>
    </row>
    <row r="952">
      <c r="A952" s="12"/>
      <c r="D952" s="95"/>
      <c r="E952" s="14"/>
      <c r="F952" s="96"/>
    </row>
    <row r="953">
      <c r="A953" s="12"/>
      <c r="D953" s="95"/>
      <c r="E953" s="14"/>
      <c r="F953" s="96"/>
    </row>
    <row r="954">
      <c r="A954" s="12"/>
      <c r="D954" s="95"/>
      <c r="E954" s="14"/>
      <c r="F954" s="96"/>
    </row>
    <row r="955">
      <c r="A955" s="12"/>
      <c r="D955" s="95"/>
      <c r="E955" s="14"/>
      <c r="F955" s="96"/>
    </row>
    <row r="956">
      <c r="A956" s="12"/>
      <c r="D956" s="95"/>
      <c r="E956" s="14"/>
      <c r="F956" s="96"/>
    </row>
    <row r="957">
      <c r="A957" s="12"/>
      <c r="D957" s="95"/>
      <c r="E957" s="14"/>
      <c r="F957" s="96"/>
    </row>
    <row r="958">
      <c r="A958" s="12"/>
      <c r="D958" s="95"/>
      <c r="E958" s="14"/>
      <c r="F958" s="96"/>
    </row>
    <row r="959">
      <c r="A959" s="12"/>
      <c r="D959" s="95"/>
      <c r="E959" s="14"/>
      <c r="F959" s="96"/>
    </row>
    <row r="960">
      <c r="A960" s="12"/>
      <c r="D960" s="95"/>
      <c r="E960" s="14"/>
      <c r="F960" s="96"/>
    </row>
    <row r="961">
      <c r="A961" s="12"/>
      <c r="D961" s="95"/>
      <c r="E961" s="14"/>
      <c r="F961" s="96"/>
    </row>
    <row r="962">
      <c r="A962" s="12"/>
      <c r="D962" s="95"/>
      <c r="E962" s="14"/>
      <c r="F962" s="96"/>
    </row>
    <row r="963">
      <c r="A963" s="12"/>
      <c r="D963" s="95"/>
      <c r="E963" s="14"/>
      <c r="F963" s="96"/>
    </row>
    <row r="964">
      <c r="A964" s="12"/>
      <c r="D964" s="95"/>
      <c r="E964" s="14"/>
      <c r="F964" s="96"/>
    </row>
    <row r="965">
      <c r="A965" s="12"/>
      <c r="D965" s="95"/>
      <c r="E965" s="14"/>
      <c r="F965" s="96"/>
    </row>
    <row r="966">
      <c r="A966" s="12"/>
      <c r="D966" s="95"/>
      <c r="E966" s="14"/>
      <c r="F966" s="96"/>
    </row>
    <row r="967">
      <c r="A967" s="12"/>
      <c r="D967" s="95"/>
      <c r="E967" s="14"/>
      <c r="F967" s="96"/>
    </row>
    <row r="968">
      <c r="A968" s="12"/>
      <c r="D968" s="95"/>
      <c r="E968" s="14"/>
      <c r="F968" s="96"/>
    </row>
    <row r="969">
      <c r="A969" s="12"/>
      <c r="D969" s="95"/>
      <c r="E969" s="14"/>
      <c r="F969" s="96"/>
    </row>
    <row r="970">
      <c r="A970" s="12"/>
      <c r="D970" s="95"/>
      <c r="E970" s="14"/>
      <c r="F970" s="96"/>
    </row>
    <row r="971">
      <c r="A971" s="12"/>
      <c r="D971" s="95"/>
      <c r="E971" s="14"/>
      <c r="F971" s="96"/>
    </row>
    <row r="972">
      <c r="A972" s="12"/>
      <c r="D972" s="95"/>
      <c r="E972" s="14"/>
      <c r="F972" s="96"/>
    </row>
    <row r="973">
      <c r="A973" s="12"/>
      <c r="D973" s="95"/>
      <c r="E973" s="14"/>
      <c r="F973" s="96"/>
    </row>
    <row r="974">
      <c r="A974" s="12"/>
      <c r="D974" s="95"/>
      <c r="E974" s="14"/>
      <c r="F974" s="96"/>
    </row>
    <row r="975">
      <c r="A975" s="12"/>
      <c r="D975" s="95"/>
      <c r="E975" s="14"/>
      <c r="F975" s="96"/>
    </row>
    <row r="976">
      <c r="A976" s="12"/>
      <c r="D976" s="95"/>
      <c r="E976" s="14"/>
      <c r="F976" s="96"/>
    </row>
    <row r="977">
      <c r="A977" s="12"/>
      <c r="D977" s="95"/>
      <c r="E977" s="14"/>
      <c r="F977" s="96"/>
    </row>
    <row r="978">
      <c r="A978" s="12"/>
      <c r="D978" s="95"/>
      <c r="E978" s="14"/>
      <c r="F978" s="96"/>
    </row>
    <row r="979">
      <c r="A979" s="12"/>
      <c r="D979" s="95"/>
      <c r="E979" s="14"/>
      <c r="F979" s="96"/>
    </row>
    <row r="980">
      <c r="A980" s="12"/>
      <c r="D980" s="95"/>
      <c r="E980" s="14"/>
      <c r="F980" s="96"/>
    </row>
    <row r="981">
      <c r="A981" s="12"/>
      <c r="D981" s="95"/>
      <c r="E981" s="14"/>
      <c r="F981" s="96"/>
    </row>
    <row r="982">
      <c r="A982" s="12"/>
      <c r="D982" s="95"/>
      <c r="E982" s="14"/>
      <c r="F982" s="96"/>
    </row>
    <row r="983">
      <c r="A983" s="12"/>
      <c r="D983" s="95"/>
      <c r="E983" s="14"/>
      <c r="F983" s="96"/>
    </row>
    <row r="984">
      <c r="A984" s="12"/>
      <c r="D984" s="95"/>
      <c r="E984" s="14"/>
      <c r="F984" s="96"/>
    </row>
    <row r="985">
      <c r="A985" s="12"/>
      <c r="D985" s="95"/>
      <c r="E985" s="14"/>
      <c r="F985" s="96"/>
    </row>
    <row r="986">
      <c r="A986" s="12"/>
      <c r="D986" s="95"/>
      <c r="E986" s="14"/>
      <c r="F986" s="96"/>
    </row>
    <row r="987">
      <c r="A987" s="12"/>
      <c r="D987" s="95"/>
      <c r="E987" s="14"/>
      <c r="F987" s="96"/>
    </row>
    <row r="988">
      <c r="A988" s="12"/>
      <c r="D988" s="95"/>
      <c r="E988" s="14"/>
      <c r="F988" s="96"/>
    </row>
    <row r="989">
      <c r="A989" s="12"/>
      <c r="D989" s="95"/>
      <c r="E989" s="14"/>
      <c r="F989" s="96"/>
    </row>
    <row r="990">
      <c r="A990" s="12"/>
      <c r="D990" s="95"/>
      <c r="E990" s="14"/>
      <c r="F990" s="96"/>
    </row>
    <row r="991">
      <c r="A991" s="12"/>
      <c r="D991" s="95"/>
      <c r="E991" s="14"/>
      <c r="F991" s="96"/>
    </row>
    <row r="992">
      <c r="A992" s="12"/>
      <c r="D992" s="95"/>
      <c r="E992" s="14"/>
      <c r="F992" s="96"/>
    </row>
    <row r="993">
      <c r="A993" s="12"/>
      <c r="D993" s="95"/>
      <c r="E993" s="14"/>
      <c r="F993" s="96"/>
    </row>
    <row r="994">
      <c r="A994" s="12"/>
      <c r="D994" s="95"/>
      <c r="E994" s="14"/>
      <c r="F994" s="96"/>
    </row>
    <row r="995">
      <c r="A995" s="12"/>
      <c r="D995" s="95"/>
      <c r="E995" s="14"/>
      <c r="F995" s="96"/>
    </row>
    <row r="996">
      <c r="A996" s="12"/>
      <c r="D996" s="95"/>
      <c r="E996" s="14"/>
      <c r="F996" s="96"/>
    </row>
    <row r="997">
      <c r="A997" s="12"/>
      <c r="D997" s="95"/>
      <c r="E997" s="14"/>
      <c r="F997" s="96"/>
    </row>
    <row r="998">
      <c r="A998" s="12"/>
      <c r="D998" s="95"/>
      <c r="E998" s="14"/>
      <c r="F998" s="96"/>
    </row>
    <row r="999">
      <c r="A999" s="12"/>
      <c r="D999" s="95"/>
      <c r="E999" s="14"/>
      <c r="F999" s="96"/>
    </row>
    <row r="1000">
      <c r="A1000" s="12"/>
      <c r="D1000" s="95"/>
      <c r="E1000" s="14"/>
      <c r="F1000" s="96"/>
    </row>
    <row r="1001">
      <c r="A1001" s="12"/>
      <c r="D1001" s="95"/>
      <c r="E1001" s="14"/>
      <c r="F1001" s="96"/>
    </row>
    <row r="1002">
      <c r="A1002" s="12"/>
      <c r="D1002" s="95"/>
      <c r="E1002" s="14"/>
      <c r="F1002" s="96"/>
    </row>
    <row r="1003">
      <c r="A1003" s="12"/>
      <c r="D1003" s="95"/>
      <c r="E1003" s="14"/>
      <c r="F1003" s="96"/>
    </row>
    <row r="1004">
      <c r="A1004" s="12"/>
      <c r="D1004" s="95"/>
      <c r="E1004" s="14"/>
      <c r="F1004" s="96"/>
    </row>
    <row r="1005">
      <c r="A1005" s="12"/>
      <c r="D1005" s="95"/>
      <c r="E1005" s="14"/>
      <c r="F1005" s="96"/>
    </row>
    <row r="1006">
      <c r="A1006" s="12"/>
      <c r="D1006" s="95"/>
      <c r="E1006" s="14"/>
      <c r="F1006" s="96"/>
    </row>
    <row r="1007">
      <c r="A1007" s="12"/>
      <c r="D1007" s="95"/>
      <c r="E1007" s="14"/>
      <c r="F1007" s="96"/>
    </row>
    <row r="1008">
      <c r="A1008" s="12"/>
      <c r="D1008" s="95"/>
      <c r="E1008" s="14"/>
      <c r="F1008" s="96"/>
    </row>
    <row r="1009">
      <c r="A1009" s="12"/>
      <c r="D1009" s="95"/>
      <c r="E1009" s="14"/>
      <c r="F1009" s="96"/>
    </row>
    <row r="1010">
      <c r="A1010" s="12"/>
      <c r="D1010" s="95"/>
      <c r="E1010" s="14"/>
      <c r="F1010" s="96"/>
    </row>
    <row r="1011">
      <c r="A1011" s="12"/>
      <c r="D1011" s="95"/>
      <c r="E1011" s="14"/>
      <c r="F1011" s="96"/>
    </row>
    <row r="1012">
      <c r="A1012" s="12"/>
      <c r="D1012" s="95"/>
      <c r="E1012" s="14"/>
      <c r="F1012" s="96"/>
    </row>
    <row r="1013">
      <c r="A1013" s="12"/>
      <c r="D1013" s="95"/>
      <c r="E1013" s="14"/>
      <c r="F1013" s="96"/>
    </row>
    <row r="1014">
      <c r="A1014" s="12"/>
      <c r="D1014" s="95"/>
      <c r="E1014" s="14"/>
      <c r="F1014" s="96"/>
    </row>
    <row r="1015">
      <c r="A1015" s="12"/>
      <c r="D1015" s="95"/>
      <c r="E1015" s="14"/>
      <c r="F1015" s="96"/>
    </row>
    <row r="1016">
      <c r="A1016" s="12"/>
      <c r="D1016" s="95"/>
      <c r="E1016" s="14"/>
      <c r="F1016" s="96"/>
    </row>
  </sheetData>
  <conditionalFormatting sqref="H2:Q40">
    <cfRule type="cellIs" dxfId="39" priority="1" operator="equal">
      <formula>0</formula>
    </cfRule>
  </conditionalFormatting>
  <conditionalFormatting sqref="H2:H40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40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40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40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40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40">
    <cfRule type="colorScale" priority="7">
      <colorScale>
        <cfvo type="min"/>
        <cfvo type="percentile" val="50"/>
        <cfvo type="max"/>
        <color rgb="FF34A853"/>
        <color rgb="FFFFFF00"/>
        <color rgb="FFEA4335"/>
      </colorScale>
    </cfRule>
  </conditionalFormatting>
  <conditionalFormatting sqref="N2:N40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40">
    <cfRule type="colorScale" priority="9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P2:P40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Q2:Q40">
    <cfRule type="colorScale" priority="11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6:C5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6:F5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43">
      <formula1>OR(NOT(ISERROR(DATEVALUE(F43))), AND(ISNUMBER(F43), LEFT(CELL("format", F43))="D"))</formula1>
    </dataValidation>
    <dataValidation type="list" allowBlank="1" showDropDown="1" sqref="C2:C40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18.13"/>
    <col customWidth="1" min="3" max="3" width="16.13"/>
    <col customWidth="1" min="4" max="4" width="34.0"/>
    <col customWidth="1" min="5" max="5" width="9.88"/>
    <col customWidth="1" min="6" max="6" width="32.63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214" t="s">
        <v>48</v>
      </c>
      <c r="B1" s="1215" t="s">
        <v>49</v>
      </c>
      <c r="C1" s="1215" t="s">
        <v>50</v>
      </c>
      <c r="D1" s="1216" t="s">
        <v>56</v>
      </c>
      <c r="E1" s="1214" t="s">
        <v>57</v>
      </c>
      <c r="F1" s="1217" t="s">
        <v>52</v>
      </c>
      <c r="G1" s="1218" t="s">
        <v>53</v>
      </c>
      <c r="H1" s="1214" t="s">
        <v>4</v>
      </c>
      <c r="I1" s="1214" t="s">
        <v>58</v>
      </c>
      <c r="J1" s="1214" t="s">
        <v>59</v>
      </c>
      <c r="K1" s="1214" t="s">
        <v>60</v>
      </c>
      <c r="L1" s="1214" t="s">
        <v>61</v>
      </c>
      <c r="M1" s="1214" t="s">
        <v>62</v>
      </c>
      <c r="N1" s="1214" t="s">
        <v>63</v>
      </c>
      <c r="O1" s="1219" t="s">
        <v>64</v>
      </c>
      <c r="P1" s="1214" t="s">
        <v>65</v>
      </c>
    </row>
    <row r="2" ht="22.5" customHeight="1">
      <c r="A2" s="1220">
        <v>1.0</v>
      </c>
      <c r="B2" s="1221" t="s">
        <v>1883</v>
      </c>
      <c r="C2" s="1222" t="s">
        <v>67</v>
      </c>
      <c r="D2" s="1223" t="s">
        <v>477</v>
      </c>
      <c r="E2" s="1224" t="str">
        <f>IMAGE("https://flagcdn.com/w320/pt.png")</f>
        <v/>
      </c>
      <c r="F2" s="1225">
        <v>34372.0</v>
      </c>
      <c r="G2" s="1226">
        <f t="shared" ref="G2:G37" si="1">DATEDIF(F2,TODAY(),"Y")</f>
        <v>31</v>
      </c>
      <c r="H2" s="1227">
        <f>1+1+1+1+1+1</f>
        <v>6</v>
      </c>
      <c r="I2" s="1227">
        <f>90+90+90+90+90+90</f>
        <v>540</v>
      </c>
      <c r="J2" s="1227"/>
      <c r="K2" s="1227"/>
      <c r="L2" s="1227">
        <f>1</f>
        <v>1</v>
      </c>
      <c r="M2" s="1227"/>
      <c r="N2" s="1227">
        <f>1</f>
        <v>1</v>
      </c>
      <c r="O2" s="1227">
        <f t="shared" ref="O2:O37" si="2">J2+K2</f>
        <v>0</v>
      </c>
      <c r="P2" s="1227"/>
    </row>
    <row r="3" ht="22.5" customHeight="1">
      <c r="A3" s="1220">
        <v>2.0</v>
      </c>
      <c r="B3" s="1221" t="s">
        <v>1884</v>
      </c>
      <c r="C3" s="1222" t="s">
        <v>70</v>
      </c>
      <c r="D3" s="1223" t="s">
        <v>182</v>
      </c>
      <c r="E3" s="1224" t="str">
        <f>IMAGE("https://flagcdn.com/w320/br.png")</f>
        <v/>
      </c>
      <c r="F3" s="1225">
        <v>34748.0</v>
      </c>
      <c r="G3" s="1226">
        <f t="shared" si="1"/>
        <v>30</v>
      </c>
      <c r="H3" s="1227">
        <f>1+1+1+1+1</f>
        <v>5</v>
      </c>
      <c r="I3" s="1227">
        <f>26+1+5+90+90</f>
        <v>212</v>
      </c>
      <c r="J3" s="1227"/>
      <c r="K3" s="1227"/>
      <c r="L3" s="1227"/>
      <c r="M3" s="1227"/>
      <c r="N3" s="1227"/>
      <c r="O3" s="1227">
        <f t="shared" si="2"/>
        <v>0</v>
      </c>
      <c r="P3" s="1227"/>
    </row>
    <row r="4" ht="22.5" customHeight="1">
      <c r="A4" s="1220">
        <v>3.0</v>
      </c>
      <c r="B4" s="1228" t="s">
        <v>1885</v>
      </c>
      <c r="C4" s="1222" t="s">
        <v>70</v>
      </c>
      <c r="D4" s="1223" t="s">
        <v>1886</v>
      </c>
      <c r="E4" s="1224" t="str">
        <f>IMAGE("https://flagcdn.com/w320/nl.png")</f>
        <v/>
      </c>
      <c r="F4" s="1225">
        <v>35357.0</v>
      </c>
      <c r="G4" s="1226">
        <f t="shared" si="1"/>
        <v>29</v>
      </c>
      <c r="H4" s="1227"/>
      <c r="I4" s="1227"/>
      <c r="J4" s="1227"/>
      <c r="K4" s="1227"/>
      <c r="L4" s="1227"/>
      <c r="M4" s="1227"/>
      <c r="N4" s="1227"/>
      <c r="O4" s="1227">
        <f t="shared" si="2"/>
        <v>0</v>
      </c>
      <c r="P4" s="1227"/>
    </row>
    <row r="5" ht="22.5" customHeight="1">
      <c r="A5" s="1220">
        <v>5.0</v>
      </c>
      <c r="B5" s="1228" t="s">
        <v>1887</v>
      </c>
      <c r="C5" s="1222" t="s">
        <v>79</v>
      </c>
      <c r="D5" s="1223" t="s">
        <v>75</v>
      </c>
      <c r="E5" s="1224" t="str">
        <f>IMAGE("https://flagcdn.com/w320/jp.png")</f>
        <v/>
      </c>
      <c r="F5" s="1225">
        <v>34829.0</v>
      </c>
      <c r="G5" s="1226">
        <f t="shared" si="1"/>
        <v>30</v>
      </c>
      <c r="H5" s="1227">
        <f>1+1+1+1+1+1</f>
        <v>6</v>
      </c>
      <c r="I5" s="1227">
        <f>30+13+9+28+1+90</f>
        <v>171</v>
      </c>
      <c r="J5" s="1227"/>
      <c r="K5" s="1227"/>
      <c r="L5" s="1227"/>
      <c r="M5" s="1227"/>
      <c r="N5" s="1227"/>
      <c r="O5" s="1227">
        <f t="shared" si="2"/>
        <v>0</v>
      </c>
      <c r="P5" s="1227"/>
    </row>
    <row r="6" ht="22.5" customHeight="1">
      <c r="A6" s="1220">
        <v>6.0</v>
      </c>
      <c r="B6" s="1228" t="s">
        <v>1888</v>
      </c>
      <c r="C6" s="1222" t="s">
        <v>70</v>
      </c>
      <c r="D6" s="1223" t="s">
        <v>89</v>
      </c>
      <c r="E6" s="1224" t="str">
        <f>IMAGE("https://flagcdn.com/w320/be.png")</f>
        <v/>
      </c>
      <c r="F6" s="1225">
        <v>37918.0</v>
      </c>
      <c r="G6" s="1226">
        <f t="shared" si="1"/>
        <v>22</v>
      </c>
      <c r="H6" s="1227">
        <f>1+1+1</f>
        <v>3</v>
      </c>
      <c r="I6" s="1227">
        <f>21+24+79</f>
        <v>124</v>
      </c>
      <c r="J6" s="1227"/>
      <c r="K6" s="1227"/>
      <c r="L6" s="1227">
        <f t="shared" ref="L6:L7" si="4">1</f>
        <v>1</v>
      </c>
      <c r="M6" s="1227"/>
      <c r="N6" s="1227"/>
      <c r="O6" s="1227">
        <f t="shared" si="2"/>
        <v>0</v>
      </c>
      <c r="P6" s="1227"/>
    </row>
    <row r="7" ht="22.5" customHeight="1">
      <c r="A7" s="1229">
        <v>7.0</v>
      </c>
      <c r="B7" s="1230" t="s">
        <v>1889</v>
      </c>
      <c r="C7" s="1231" t="s">
        <v>82</v>
      </c>
      <c r="D7" s="1232" t="s">
        <v>1890</v>
      </c>
      <c r="E7" s="1233" t="str">
        <f t="shared" ref="E7:E8" si="5">IMAGE("https://flagcdn.com/w320/pt.png")</f>
        <v/>
      </c>
      <c r="F7" s="1234">
        <v>39202.0</v>
      </c>
      <c r="G7" s="1235">
        <f t="shared" si="1"/>
        <v>18</v>
      </c>
      <c r="H7" s="1236">
        <f>1+1+1+1+1</f>
        <v>5</v>
      </c>
      <c r="I7" s="1236">
        <f>90+90+63+66+75</f>
        <v>384</v>
      </c>
      <c r="J7" s="1236">
        <f t="shared" ref="J7:K7" si="3">1+1</f>
        <v>2</v>
      </c>
      <c r="K7" s="1236">
        <f t="shared" si="3"/>
        <v>2</v>
      </c>
      <c r="L7" s="1236">
        <f t="shared" si="4"/>
        <v>1</v>
      </c>
      <c r="M7" s="1236"/>
      <c r="N7" s="1236"/>
      <c r="O7" s="1236">
        <f t="shared" si="2"/>
        <v>4</v>
      </c>
      <c r="P7" s="123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ht="22.5" customHeight="1">
      <c r="A8" s="1220">
        <v>8.0</v>
      </c>
      <c r="B8" s="1221" t="s">
        <v>1891</v>
      </c>
      <c r="C8" s="1222" t="s">
        <v>82</v>
      </c>
      <c r="D8" s="1223" t="s">
        <v>477</v>
      </c>
      <c r="E8" s="1224" t="str">
        <f t="shared" si="5"/>
        <v/>
      </c>
      <c r="F8" s="1225">
        <v>35974.0</v>
      </c>
      <c r="G8" s="1226">
        <f t="shared" si="1"/>
        <v>27</v>
      </c>
      <c r="H8" s="1227">
        <f>1+1+1+1</f>
        <v>4</v>
      </c>
      <c r="I8" s="1227">
        <f>60+45+90+81</f>
        <v>276</v>
      </c>
      <c r="J8" s="1227"/>
      <c r="K8" s="1227">
        <f>1</f>
        <v>1</v>
      </c>
      <c r="L8" s="1227">
        <f>1+1</f>
        <v>2</v>
      </c>
      <c r="M8" s="1227"/>
      <c r="N8" s="1227"/>
      <c r="O8" s="1227">
        <f t="shared" si="2"/>
        <v>1</v>
      </c>
      <c r="P8" s="1227"/>
    </row>
    <row r="9" ht="22.5" customHeight="1">
      <c r="A9" s="1220">
        <v>10.0</v>
      </c>
      <c r="B9" s="1221" t="s">
        <v>1892</v>
      </c>
      <c r="C9" s="1222" t="s">
        <v>82</v>
      </c>
      <c r="D9" s="1223" t="s">
        <v>1610</v>
      </c>
      <c r="E9" s="1224" t="str">
        <f>IMAGE("https://flagcdn.com/w320/mz.png")</f>
        <v/>
      </c>
      <c r="F9" s="1225">
        <v>36917.0</v>
      </c>
      <c r="G9" s="1226">
        <f t="shared" si="1"/>
        <v>25</v>
      </c>
      <c r="H9" s="1227">
        <f>1+1+1+1+1+1</f>
        <v>6</v>
      </c>
      <c r="I9" s="1227">
        <f>45+27+24+75+79+86</f>
        <v>336</v>
      </c>
      <c r="J9" s="1227">
        <f>1</f>
        <v>1</v>
      </c>
      <c r="K9" s="1227">
        <f>2</f>
        <v>2</v>
      </c>
      <c r="L9" s="1227"/>
      <c r="M9" s="1227"/>
      <c r="N9" s="1227"/>
      <c r="O9" s="1227">
        <f t="shared" si="2"/>
        <v>3</v>
      </c>
      <c r="P9" s="1227"/>
    </row>
    <row r="10" ht="22.5" customHeight="1">
      <c r="A10" s="1220">
        <v>11.0</v>
      </c>
      <c r="B10" s="1221" t="s">
        <v>1893</v>
      </c>
      <c r="C10" s="1222" t="s">
        <v>70</v>
      </c>
      <c r="D10" s="1223" t="s">
        <v>477</v>
      </c>
      <c r="E10" s="1224" t="str">
        <f t="shared" ref="E10:E11" si="6">IMAGE("https://flagcdn.com/w320/pt.png")</f>
        <v/>
      </c>
      <c r="F10" s="1225">
        <v>34743.0</v>
      </c>
      <c r="G10" s="1226">
        <f t="shared" si="1"/>
        <v>30</v>
      </c>
      <c r="H10" s="1227"/>
      <c r="I10" s="1227"/>
      <c r="J10" s="1227"/>
      <c r="K10" s="1227"/>
      <c r="L10" s="1227"/>
      <c r="M10" s="1227"/>
      <c r="N10" s="1227"/>
      <c r="O10" s="1227">
        <f t="shared" si="2"/>
        <v>0</v>
      </c>
      <c r="P10" s="1227"/>
    </row>
    <row r="11" ht="22.5" customHeight="1">
      <c r="A11" s="1220">
        <v>12.0</v>
      </c>
      <c r="B11" s="1221" t="s">
        <v>1894</v>
      </c>
      <c r="C11" s="1222" t="s">
        <v>67</v>
      </c>
      <c r="D11" s="1223" t="s">
        <v>477</v>
      </c>
      <c r="E11" s="1224" t="str">
        <f t="shared" si="6"/>
        <v/>
      </c>
      <c r="F11" s="1225">
        <v>36443.0</v>
      </c>
      <c r="G11" s="1226">
        <f t="shared" si="1"/>
        <v>26</v>
      </c>
      <c r="H11" s="1227">
        <f>1</f>
        <v>1</v>
      </c>
      <c r="I11" s="1227">
        <f>90</f>
        <v>90</v>
      </c>
      <c r="J11" s="1227"/>
      <c r="K11" s="1227"/>
      <c r="L11" s="1227"/>
      <c r="M11" s="1227"/>
      <c r="N11" s="1227"/>
      <c r="O11" s="1227">
        <f t="shared" si="2"/>
        <v>0</v>
      </c>
      <c r="P11" s="1227"/>
    </row>
    <row r="12" ht="22.5" customHeight="1">
      <c r="A12" s="1220">
        <v>13.0</v>
      </c>
      <c r="B12" s="1228" t="s">
        <v>1895</v>
      </c>
      <c r="C12" s="1222" t="s">
        <v>70</v>
      </c>
      <c r="D12" s="1223" t="s">
        <v>640</v>
      </c>
      <c r="E12" s="1224" t="str">
        <f>IMAGE("https://flagcdn.com/w320/gr.png")</f>
        <v/>
      </c>
      <c r="F12" s="1225">
        <v>37146.0</v>
      </c>
      <c r="G12" s="1226">
        <f t="shared" si="1"/>
        <v>24</v>
      </c>
      <c r="H12" s="1237">
        <f>1+1+1</f>
        <v>3</v>
      </c>
      <c r="I12" s="1237">
        <f>66+11+28</f>
        <v>105</v>
      </c>
      <c r="J12" s="1227"/>
      <c r="K12" s="1227"/>
      <c r="L12" s="1227"/>
      <c r="M12" s="1227"/>
      <c r="N12" s="1227"/>
      <c r="O12" s="1227">
        <f t="shared" si="2"/>
        <v>0</v>
      </c>
      <c r="P12" s="1227"/>
    </row>
    <row r="13" ht="22.5" customHeight="1">
      <c r="A13" s="1220">
        <v>14.0</v>
      </c>
      <c r="B13" s="1228" t="s">
        <v>1896</v>
      </c>
      <c r="C13" s="1222" t="s">
        <v>79</v>
      </c>
      <c r="D13" s="1223" t="s">
        <v>1059</v>
      </c>
      <c r="E13" s="1224" t="str">
        <f>IMAGE("https://flagcdn.com/w320/ge.png")</f>
        <v/>
      </c>
      <c r="F13" s="1225">
        <v>36340.0</v>
      </c>
      <c r="G13" s="1226">
        <f t="shared" si="1"/>
        <v>26</v>
      </c>
      <c r="H13" s="1227">
        <f>1+1</f>
        <v>2</v>
      </c>
      <c r="I13" s="1227">
        <f>60+1</f>
        <v>61</v>
      </c>
      <c r="J13" s="1227"/>
      <c r="K13" s="1227">
        <f t="shared" ref="K13:L13" si="7">1</f>
        <v>1</v>
      </c>
      <c r="L13" s="1227">
        <f t="shared" si="7"/>
        <v>1</v>
      </c>
      <c r="M13" s="1227"/>
      <c r="N13" s="1227"/>
      <c r="O13" s="1227">
        <f t="shared" si="2"/>
        <v>1</v>
      </c>
      <c r="P13" s="1227"/>
    </row>
    <row r="14" ht="22.5" customHeight="1">
      <c r="A14" s="1220">
        <v>17.0</v>
      </c>
      <c r="B14" s="1221" t="s">
        <v>1897</v>
      </c>
      <c r="C14" s="1222" t="s">
        <v>82</v>
      </c>
      <c r="D14" s="1223" t="s">
        <v>477</v>
      </c>
      <c r="E14" s="1224" t="str">
        <f>IMAGE("https://flagcdn.com/w320/pt.png")</f>
        <v/>
      </c>
      <c r="F14" s="1225">
        <v>36523.0</v>
      </c>
      <c r="G14" s="1226">
        <f t="shared" si="1"/>
        <v>26</v>
      </c>
      <c r="H14" s="1227">
        <f>1+1+1+1+1+1</f>
        <v>6</v>
      </c>
      <c r="I14" s="1227">
        <f>90+45+90+90+90+89</f>
        <v>494</v>
      </c>
      <c r="J14" s="1227">
        <f>2+1</f>
        <v>3</v>
      </c>
      <c r="K14" s="1227">
        <f>1+1</f>
        <v>2</v>
      </c>
      <c r="L14" s="1227"/>
      <c r="M14" s="1227"/>
      <c r="N14" s="1227"/>
      <c r="O14" s="1227">
        <f t="shared" si="2"/>
        <v>5</v>
      </c>
      <c r="P14" s="1227"/>
    </row>
    <row r="15" ht="22.5" customHeight="1">
      <c r="A15" s="1220">
        <v>20.0</v>
      </c>
      <c r="B15" s="1228" t="s">
        <v>1898</v>
      </c>
      <c r="C15" s="1222" t="s">
        <v>79</v>
      </c>
      <c r="D15" s="1223" t="s">
        <v>1899</v>
      </c>
      <c r="E15" s="1224" t="str">
        <f>IMAGE("https://flagcdn.com/w320/uy.png")</f>
        <v/>
      </c>
      <c r="F15" s="1225">
        <v>36571.0</v>
      </c>
      <c r="G15" s="1226">
        <f t="shared" si="1"/>
        <v>25</v>
      </c>
      <c r="H15" s="1227">
        <f>1+1+1+1+1+1+1</f>
        <v>7</v>
      </c>
      <c r="I15" s="1227">
        <f>64+90+89+90+85+89+90</f>
        <v>597</v>
      </c>
      <c r="J15" s="1227">
        <f>1</f>
        <v>1</v>
      </c>
      <c r="K15" s="1227"/>
      <c r="L15" s="1227">
        <f>1+1</f>
        <v>2</v>
      </c>
      <c r="M15" s="1227"/>
      <c r="N15" s="1227"/>
      <c r="O15" s="1227">
        <f t="shared" si="2"/>
        <v>1</v>
      </c>
      <c r="P15" s="1227"/>
    </row>
    <row r="16" ht="22.5" customHeight="1">
      <c r="A16" s="1220">
        <v>22.0</v>
      </c>
      <c r="B16" s="1228" t="s">
        <v>1900</v>
      </c>
      <c r="C16" s="1222" t="s">
        <v>70</v>
      </c>
      <c r="D16" s="1223" t="s">
        <v>83</v>
      </c>
      <c r="E16" s="1224" t="str">
        <f>IMAGE("https://flagcdn.com/w320/es.png")</f>
        <v/>
      </c>
      <c r="F16" s="1225">
        <v>38258.0</v>
      </c>
      <c r="G16" s="1226">
        <f t="shared" si="1"/>
        <v>21</v>
      </c>
      <c r="H16" s="1227">
        <f>1+1+1+1+1+1</f>
        <v>6</v>
      </c>
      <c r="I16" s="1227">
        <f>90+90+79+90+90+90</f>
        <v>529</v>
      </c>
      <c r="J16" s="1227"/>
      <c r="K16" s="1227"/>
      <c r="L16" s="1227"/>
      <c r="M16" s="1227"/>
      <c r="N16" s="1227"/>
      <c r="O16" s="1227">
        <f t="shared" si="2"/>
        <v>0</v>
      </c>
      <c r="P16" s="1227"/>
    </row>
    <row r="17" ht="22.5" customHeight="1">
      <c r="A17" s="1220">
        <v>23.0</v>
      </c>
      <c r="B17" s="1221" t="s">
        <v>1901</v>
      </c>
      <c r="C17" s="1222" t="s">
        <v>79</v>
      </c>
      <c r="D17" s="1223" t="s">
        <v>477</v>
      </c>
      <c r="E17" s="1224" t="str">
        <f t="shared" ref="E17:E18" si="8">IMAGE("https://flagcdn.com/w320/pt.png")</f>
        <v/>
      </c>
      <c r="F17" s="1225">
        <v>36307.0</v>
      </c>
      <c r="G17" s="1226">
        <f t="shared" si="1"/>
        <v>26</v>
      </c>
      <c r="H17" s="1227">
        <f>1</f>
        <v>1</v>
      </c>
      <c r="I17" s="1227">
        <f>4</f>
        <v>4</v>
      </c>
      <c r="J17" s="1227"/>
      <c r="K17" s="1227"/>
      <c r="L17" s="1227"/>
      <c r="M17" s="1227"/>
      <c r="N17" s="1227"/>
      <c r="O17" s="1227">
        <f t="shared" si="2"/>
        <v>0</v>
      </c>
      <c r="P17" s="1227"/>
    </row>
    <row r="18" ht="22.5" customHeight="1">
      <c r="A18" s="1220">
        <v>25.0</v>
      </c>
      <c r="B18" s="1221" t="s">
        <v>1902</v>
      </c>
      <c r="C18" s="1222" t="s">
        <v>70</v>
      </c>
      <c r="D18" s="1223" t="s">
        <v>477</v>
      </c>
      <c r="E18" s="1224" t="str">
        <f t="shared" si="8"/>
        <v/>
      </c>
      <c r="F18" s="1225">
        <v>37128.0</v>
      </c>
      <c r="G18" s="1226">
        <f t="shared" si="1"/>
        <v>24</v>
      </c>
      <c r="H18" s="1227">
        <f>1+1+1+1+1+1</f>
        <v>6</v>
      </c>
      <c r="I18" s="1227">
        <f>90+90+90+90+90+90</f>
        <v>540</v>
      </c>
      <c r="J18" s="1227"/>
      <c r="K18" s="1227"/>
      <c r="L18" s="1227"/>
      <c r="M18" s="1227"/>
      <c r="N18" s="1227"/>
      <c r="O18" s="1227">
        <f t="shared" si="2"/>
        <v>0</v>
      </c>
      <c r="P18" s="1227"/>
    </row>
    <row r="19" ht="22.5" customHeight="1">
      <c r="A19" s="1220">
        <v>26.0</v>
      </c>
      <c r="B19" s="1228" t="s">
        <v>1903</v>
      </c>
      <c r="C19" s="1222" t="s">
        <v>70</v>
      </c>
      <c r="D19" s="1223" t="s">
        <v>284</v>
      </c>
      <c r="E19" s="1224" t="str">
        <f>IMAGE("https://flagcdn.com/w320/ci.png")</f>
        <v/>
      </c>
      <c r="F19" s="1225">
        <v>37959.0</v>
      </c>
      <c r="G19" s="1226">
        <f t="shared" si="1"/>
        <v>22</v>
      </c>
      <c r="H19" s="1237">
        <f>1+1+1+1</f>
        <v>4</v>
      </c>
      <c r="I19" s="1237">
        <f>11+90+90+90</f>
        <v>281</v>
      </c>
      <c r="J19" s="1227"/>
      <c r="K19" s="1227"/>
      <c r="L19" s="1227"/>
      <c r="M19" s="1227"/>
      <c r="N19" s="1227"/>
      <c r="O19" s="1227">
        <f t="shared" si="2"/>
        <v>0</v>
      </c>
      <c r="P19" s="1227"/>
    </row>
    <row r="20" ht="22.5" customHeight="1">
      <c r="A20" s="1220">
        <v>27.0</v>
      </c>
      <c r="B20" s="1221" t="s">
        <v>1904</v>
      </c>
      <c r="C20" s="1222" t="s">
        <v>82</v>
      </c>
      <c r="D20" s="1223" t="s">
        <v>182</v>
      </c>
      <c r="E20" s="1224" t="str">
        <f>IMAGE("https://flagcdn.com/w320/br.png")</f>
        <v/>
      </c>
      <c r="F20" s="1225">
        <v>37526.0</v>
      </c>
      <c r="G20" s="1226">
        <f t="shared" si="1"/>
        <v>23</v>
      </c>
      <c r="H20" s="1227">
        <f>1+1+1+1+1+1+1</f>
        <v>7</v>
      </c>
      <c r="I20" s="1227">
        <f>30+24+11+9+15+65+4</f>
        <v>158</v>
      </c>
      <c r="J20" s="1227">
        <f>1+1</f>
        <v>2</v>
      </c>
      <c r="K20" s="1227"/>
      <c r="L20" s="1227"/>
      <c r="M20" s="1227"/>
      <c r="N20" s="1227"/>
      <c r="O20" s="1227">
        <f t="shared" si="2"/>
        <v>2</v>
      </c>
      <c r="P20" s="1227"/>
    </row>
    <row r="21" ht="22.5" customHeight="1">
      <c r="A21" s="1229">
        <v>28.0</v>
      </c>
      <c r="B21" s="1230" t="s">
        <v>1905</v>
      </c>
      <c r="C21" s="1231" t="s">
        <v>82</v>
      </c>
      <c r="D21" s="1232" t="s">
        <v>477</v>
      </c>
      <c r="E21" s="1233" t="str">
        <f>IMAGE("https://flagcdn.com/w320/pt.png")</f>
        <v/>
      </c>
      <c r="F21" s="1234">
        <v>38470.0</v>
      </c>
      <c r="G21" s="1235">
        <f t="shared" si="1"/>
        <v>20</v>
      </c>
      <c r="H21" s="1238">
        <f>1</f>
        <v>1</v>
      </c>
      <c r="I21" s="1238">
        <f>5</f>
        <v>5</v>
      </c>
      <c r="J21" s="1236"/>
      <c r="K21" s="1236"/>
      <c r="L21" s="1236"/>
      <c r="M21" s="1236"/>
      <c r="N21" s="1236"/>
      <c r="O21" s="1236">
        <f t="shared" si="2"/>
        <v>0</v>
      </c>
      <c r="P21" s="1236"/>
    </row>
    <row r="22" ht="22.5" customHeight="1">
      <c r="A22" s="1229">
        <v>41.0</v>
      </c>
      <c r="B22" s="1230" t="s">
        <v>1906</v>
      </c>
      <c r="C22" s="1231" t="s">
        <v>67</v>
      </c>
      <c r="D22" s="1232" t="s">
        <v>1907</v>
      </c>
      <c r="E22" s="1233" t="str">
        <f>IMAGE("https://flagcdn.com/w320/br.png")</f>
        <v/>
      </c>
      <c r="F22" s="1234">
        <v>38186.0</v>
      </c>
      <c r="G22" s="1235">
        <f t="shared" si="1"/>
        <v>21</v>
      </c>
      <c r="H22" s="1238">
        <v>0.0</v>
      </c>
      <c r="I22" s="1238">
        <v>0.0</v>
      </c>
      <c r="J22" s="1236"/>
      <c r="K22" s="1236"/>
      <c r="L22" s="1236"/>
      <c r="M22" s="1236"/>
      <c r="N22" s="1236"/>
      <c r="O22" s="1236">
        <f t="shared" si="2"/>
        <v>0</v>
      </c>
      <c r="P22" s="1236"/>
    </row>
    <row r="23" ht="22.5" customHeight="1">
      <c r="A23" s="1220">
        <v>42.0</v>
      </c>
      <c r="B23" s="1228" t="s">
        <v>1908</v>
      </c>
      <c r="C23" s="1222" t="s">
        <v>79</v>
      </c>
      <c r="D23" s="1223" t="s">
        <v>73</v>
      </c>
      <c r="E23" s="1224" t="str">
        <f>IMAGE("https://flagcdn.com/w320/dk.png")</f>
        <v/>
      </c>
      <c r="F23" s="1225">
        <v>36336.0</v>
      </c>
      <c r="G23" s="1226">
        <f t="shared" si="1"/>
        <v>26</v>
      </c>
      <c r="H23" s="1227">
        <f>1+1+1+1+1+1</f>
        <v>6</v>
      </c>
      <c r="I23" s="1227">
        <f>69+90+90+90+90+90</f>
        <v>519</v>
      </c>
      <c r="J23" s="1227"/>
      <c r="K23" s="1227"/>
      <c r="L23" s="1227">
        <f>1+1+1</f>
        <v>3</v>
      </c>
      <c r="M23" s="1227"/>
      <c r="N23" s="1227"/>
      <c r="O23" s="1227">
        <f t="shared" si="2"/>
        <v>0</v>
      </c>
      <c r="P23" s="1227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22.5" customHeight="1">
      <c r="A24" s="1229">
        <v>45.0</v>
      </c>
      <c r="B24" s="1230" t="s">
        <v>1909</v>
      </c>
      <c r="C24" s="1231" t="s">
        <v>70</v>
      </c>
      <c r="D24" s="1232" t="s">
        <v>1910</v>
      </c>
      <c r="E24" s="1233" t="str">
        <f>IMAGE("https://flagcdn.com/w320/cv.png")</f>
        <v/>
      </c>
      <c r="F24" s="1234">
        <v>38095.0</v>
      </c>
      <c r="G24" s="1235">
        <f t="shared" si="1"/>
        <v>21</v>
      </c>
      <c r="H24" s="1238">
        <v>0.0</v>
      </c>
      <c r="I24" s="1238">
        <v>0.0</v>
      </c>
      <c r="J24" s="1236"/>
      <c r="K24" s="1236"/>
      <c r="L24" s="1236"/>
      <c r="M24" s="1236"/>
      <c r="N24" s="1236"/>
      <c r="O24" s="1236">
        <f t="shared" si="2"/>
        <v>0</v>
      </c>
      <c r="P24" s="1236"/>
    </row>
    <row r="25" ht="22.5" customHeight="1">
      <c r="A25" s="1229">
        <v>52.0</v>
      </c>
      <c r="B25" s="1230" t="s">
        <v>1911</v>
      </c>
      <c r="C25" s="1231" t="s">
        <v>79</v>
      </c>
      <c r="D25" s="1232" t="s">
        <v>477</v>
      </c>
      <c r="E25" s="1233" t="str">
        <f>IMAGE("https://flagcdn.com/w320/pt.png")</f>
        <v/>
      </c>
      <c r="F25" s="1234">
        <v>39088.0</v>
      </c>
      <c r="G25" s="1235">
        <f t="shared" si="1"/>
        <v>19</v>
      </c>
      <c r="H25" s="1238">
        <f>1+1+1+1+1+1</f>
        <v>6</v>
      </c>
      <c r="I25" s="1238">
        <f>77+63+81+62+89+86</f>
        <v>458</v>
      </c>
      <c r="J25" s="1236"/>
      <c r="K25" s="1236"/>
      <c r="L25" s="1236"/>
      <c r="M25" s="1236"/>
      <c r="N25" s="1236"/>
      <c r="O25" s="1236">
        <f t="shared" si="2"/>
        <v>0</v>
      </c>
      <c r="P25" s="1236"/>
    </row>
    <row r="26" ht="22.5" customHeight="1">
      <c r="A26" s="1220">
        <v>54.0</v>
      </c>
      <c r="B26" s="1221" t="s">
        <v>1912</v>
      </c>
      <c r="C26" s="1222" t="s">
        <v>70</v>
      </c>
      <c r="D26" s="1223" t="s">
        <v>182</v>
      </c>
      <c r="E26" s="1224" t="str">
        <f>IMAGE("https://flagcdn.com/w320/br.png")</f>
        <v/>
      </c>
      <c r="F26" s="1225">
        <v>38370.0</v>
      </c>
      <c r="G26" s="1226">
        <f t="shared" si="1"/>
        <v>21</v>
      </c>
      <c r="H26" s="1237">
        <v>0.0</v>
      </c>
      <c r="I26" s="1237">
        <v>0.0</v>
      </c>
      <c r="J26" s="1227"/>
      <c r="K26" s="1227"/>
      <c r="L26" s="1227"/>
      <c r="M26" s="1227"/>
      <c r="N26" s="1227"/>
      <c r="O26" s="1227">
        <f t="shared" si="2"/>
        <v>0</v>
      </c>
      <c r="P26" s="1227"/>
    </row>
    <row r="27" ht="22.5" customHeight="1">
      <c r="A27" s="1229">
        <v>58.0</v>
      </c>
      <c r="B27" s="1230" t="s">
        <v>1913</v>
      </c>
      <c r="C27" s="1231" t="s">
        <v>79</v>
      </c>
      <c r="D27" s="1232" t="s">
        <v>1914</v>
      </c>
      <c r="E27" s="1233" t="str">
        <f>IMAGE("https://flagcdn.com/w320/pt.png")</f>
        <v/>
      </c>
      <c r="F27" s="1234">
        <v>39232.0</v>
      </c>
      <c r="G27" s="1235">
        <f t="shared" si="1"/>
        <v>18</v>
      </c>
      <c r="H27" s="1238">
        <v>0.0</v>
      </c>
      <c r="I27" s="1238">
        <v>0.0</v>
      </c>
      <c r="J27" s="1236"/>
      <c r="K27" s="1236"/>
      <c r="L27" s="1236"/>
      <c r="M27" s="1236"/>
      <c r="N27" s="1236"/>
      <c r="O27" s="1236">
        <f t="shared" si="2"/>
        <v>0</v>
      </c>
      <c r="P27" s="1236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1220">
        <v>60.0</v>
      </c>
      <c r="B28" s="1221" t="s">
        <v>1915</v>
      </c>
      <c r="C28" s="1222" t="s">
        <v>79</v>
      </c>
      <c r="D28" s="1223" t="s">
        <v>182</v>
      </c>
      <c r="E28" s="1224" t="str">
        <f>IMAGE("https://flagcdn.com/w320/br.png")</f>
        <v/>
      </c>
      <c r="F28" s="1225">
        <v>38355.0</v>
      </c>
      <c r="G28" s="1226">
        <f t="shared" si="1"/>
        <v>21</v>
      </c>
      <c r="H28" s="1237">
        <v>0.0</v>
      </c>
      <c r="I28" s="1237">
        <v>0.0</v>
      </c>
      <c r="J28" s="1227"/>
      <c r="K28" s="1227"/>
      <c r="L28" s="1227"/>
      <c r="M28" s="1227"/>
      <c r="N28" s="1227"/>
      <c r="O28" s="1227">
        <f t="shared" si="2"/>
        <v>0</v>
      </c>
      <c r="P28" s="122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22.5" customHeight="1">
      <c r="A29" s="1229">
        <v>67.0</v>
      </c>
      <c r="B29" s="1230" t="s">
        <v>1916</v>
      </c>
      <c r="C29" s="1231" t="s">
        <v>82</v>
      </c>
      <c r="D29" s="1232" t="s">
        <v>1917</v>
      </c>
      <c r="E29" s="1233" t="str">
        <f t="shared" ref="E29:E33" si="9">IMAGE("https://flagcdn.com/w320/pt.png")</f>
        <v/>
      </c>
      <c r="F29" s="1234">
        <v>38175.0</v>
      </c>
      <c r="G29" s="1235">
        <f t="shared" si="1"/>
        <v>21</v>
      </c>
      <c r="H29" s="1238">
        <v>0.0</v>
      </c>
      <c r="I29" s="1238">
        <v>0.0</v>
      </c>
      <c r="J29" s="1236"/>
      <c r="K29" s="1236"/>
      <c r="L29" s="1236"/>
      <c r="M29" s="1236"/>
      <c r="N29" s="1236"/>
      <c r="O29" s="1236">
        <f t="shared" si="2"/>
        <v>0</v>
      </c>
      <c r="P29" s="1236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22.5" customHeight="1">
      <c r="A30" s="1229">
        <v>70.0</v>
      </c>
      <c r="B30" s="1230" t="s">
        <v>1918</v>
      </c>
      <c r="C30" s="1231" t="s">
        <v>79</v>
      </c>
      <c r="D30" s="1232" t="s">
        <v>477</v>
      </c>
      <c r="E30" s="1233" t="str">
        <f t="shared" si="9"/>
        <v/>
      </c>
      <c r="F30" s="1234">
        <v>39246.0</v>
      </c>
      <c r="G30" s="1235">
        <f t="shared" si="1"/>
        <v>18</v>
      </c>
      <c r="H30" s="1238">
        <f>1+1</f>
        <v>2</v>
      </c>
      <c r="I30" s="1238">
        <f>15+1</f>
        <v>16</v>
      </c>
      <c r="J30" s="1236"/>
      <c r="K30" s="1236"/>
      <c r="L30" s="1236"/>
      <c r="M30" s="1236"/>
      <c r="N30" s="1236"/>
      <c r="O30" s="1236">
        <f t="shared" si="2"/>
        <v>0</v>
      </c>
      <c r="P30" s="1236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ht="22.5" customHeight="1">
      <c r="A31" s="1220">
        <v>72.0</v>
      </c>
      <c r="B31" s="1221" t="s">
        <v>1919</v>
      </c>
      <c r="C31" s="1222" t="s">
        <v>70</v>
      </c>
      <c r="D31" s="1223" t="s">
        <v>477</v>
      </c>
      <c r="E31" s="1224" t="str">
        <f t="shared" si="9"/>
        <v/>
      </c>
      <c r="F31" s="1225">
        <v>37317.0</v>
      </c>
      <c r="G31" s="1226">
        <f t="shared" si="1"/>
        <v>23</v>
      </c>
      <c r="H31" s="1227">
        <f>1+1+1+1</f>
        <v>4</v>
      </c>
      <c r="I31" s="1227">
        <f>90+66+24+79</f>
        <v>259</v>
      </c>
      <c r="J31" s="1227"/>
      <c r="K31" s="1227"/>
      <c r="L31" s="1227"/>
      <c r="M31" s="1227"/>
      <c r="N31" s="1227"/>
      <c r="O31" s="1227">
        <f t="shared" si="2"/>
        <v>0</v>
      </c>
      <c r="P31" s="1227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ht="22.5" customHeight="1">
      <c r="A32" s="1229">
        <v>73.0</v>
      </c>
      <c r="B32" s="1230" t="s">
        <v>1920</v>
      </c>
      <c r="C32" s="1231" t="s">
        <v>70</v>
      </c>
      <c r="D32" s="1232" t="s">
        <v>477</v>
      </c>
      <c r="E32" s="1233" t="str">
        <f t="shared" si="9"/>
        <v/>
      </c>
      <c r="F32" s="1234">
        <v>39090.0</v>
      </c>
      <c r="G32" s="1235">
        <f t="shared" si="1"/>
        <v>19</v>
      </c>
      <c r="H32" s="1238">
        <v>0.0</v>
      </c>
      <c r="I32" s="1238">
        <v>0.0</v>
      </c>
      <c r="J32" s="1236"/>
      <c r="K32" s="1236"/>
      <c r="L32" s="1236"/>
      <c r="M32" s="1236"/>
      <c r="N32" s="1236"/>
      <c r="O32" s="1236">
        <f t="shared" si="2"/>
        <v>0</v>
      </c>
      <c r="P32" s="1236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ht="22.5" customHeight="1">
      <c r="A33" s="1229">
        <v>78.0</v>
      </c>
      <c r="B33" s="1230" t="s">
        <v>1921</v>
      </c>
      <c r="C33" s="1231" t="s">
        <v>82</v>
      </c>
      <c r="D33" s="1232" t="s">
        <v>477</v>
      </c>
      <c r="E33" s="1233" t="str">
        <f t="shared" si="9"/>
        <v/>
      </c>
      <c r="F33" s="1234">
        <v>38671.0</v>
      </c>
      <c r="G33" s="1235">
        <f t="shared" si="1"/>
        <v>20</v>
      </c>
      <c r="H33" s="1238">
        <v>0.0</v>
      </c>
      <c r="I33" s="1238">
        <v>0.0</v>
      </c>
      <c r="J33" s="1236"/>
      <c r="K33" s="1236"/>
      <c r="L33" s="1236"/>
      <c r="M33" s="1236"/>
      <c r="N33" s="1236"/>
      <c r="O33" s="1236">
        <f t="shared" si="2"/>
        <v>0</v>
      </c>
      <c r="P33" s="1236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ht="22.5" customHeight="1">
      <c r="A34" s="1220">
        <v>89.0</v>
      </c>
      <c r="B34" s="1228" t="s">
        <v>1922</v>
      </c>
      <c r="C34" s="1222" t="s">
        <v>82</v>
      </c>
      <c r="D34" s="1223" t="s">
        <v>640</v>
      </c>
      <c r="E34" s="1224" t="str">
        <f>IMAGE("https://flagcdn.com/w320/gr.png")</f>
        <v/>
      </c>
      <c r="F34" s="1225">
        <v>36535.0</v>
      </c>
      <c r="G34" s="1226">
        <f t="shared" si="1"/>
        <v>26</v>
      </c>
      <c r="H34" s="1227">
        <f>1+1+1+1+1</f>
        <v>5</v>
      </c>
      <c r="I34" s="1227">
        <f>30+66+27+71+11</f>
        <v>205</v>
      </c>
      <c r="J34" s="1227"/>
      <c r="K34" s="1227">
        <f>1</f>
        <v>1</v>
      </c>
      <c r="L34" s="1227"/>
      <c r="M34" s="1227"/>
      <c r="N34" s="1227"/>
      <c r="O34" s="1227">
        <f t="shared" si="2"/>
        <v>1</v>
      </c>
      <c r="P34" s="1227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ht="22.5" customHeight="1">
      <c r="A35" s="1229">
        <v>90.0</v>
      </c>
      <c r="B35" s="1230" t="s">
        <v>1923</v>
      </c>
      <c r="C35" s="1231" t="s">
        <v>82</v>
      </c>
      <c r="D35" s="1232" t="s">
        <v>477</v>
      </c>
      <c r="E35" s="1233" t="str">
        <f t="shared" ref="E35:E36" si="10">IMAGE("https://flagcdn.com/w320/pt.png")</f>
        <v/>
      </c>
      <c r="F35" s="1234">
        <v>38445.0</v>
      </c>
      <c r="G35" s="1235">
        <f t="shared" si="1"/>
        <v>20</v>
      </c>
      <c r="H35" s="1238">
        <v>0.0</v>
      </c>
      <c r="I35" s="1238">
        <v>0.0</v>
      </c>
      <c r="J35" s="1236"/>
      <c r="K35" s="1236"/>
      <c r="L35" s="1236"/>
      <c r="M35" s="1236"/>
      <c r="N35" s="1236"/>
      <c r="O35" s="1236">
        <f t="shared" si="2"/>
        <v>0</v>
      </c>
      <c r="P35" s="1236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ht="22.5" customHeight="1">
      <c r="A36" s="1220">
        <v>91.0</v>
      </c>
      <c r="B36" s="1221" t="s">
        <v>1924</v>
      </c>
      <c r="C36" s="1222" t="s">
        <v>70</v>
      </c>
      <c r="D36" s="1223" t="s">
        <v>477</v>
      </c>
      <c r="E36" s="1224" t="str">
        <f t="shared" si="10"/>
        <v/>
      </c>
      <c r="F36" s="1225">
        <v>35873.0</v>
      </c>
      <c r="G36" s="1226">
        <f t="shared" si="1"/>
        <v>27</v>
      </c>
      <c r="H36" s="1227">
        <f>1+1</f>
        <v>2</v>
      </c>
      <c r="I36" s="1227">
        <f>25+62</f>
        <v>87</v>
      </c>
      <c r="J36" s="1227"/>
      <c r="K36" s="1227"/>
      <c r="L36" s="1227">
        <f>1</f>
        <v>1</v>
      </c>
      <c r="M36" s="1227"/>
      <c r="N36" s="1227"/>
      <c r="O36" s="1227">
        <f t="shared" si="2"/>
        <v>0</v>
      </c>
      <c r="P36" s="1227"/>
    </row>
    <row r="37" ht="22.5" customHeight="1">
      <c r="A37" s="1220">
        <v>97.0</v>
      </c>
      <c r="B37" s="1228" t="s">
        <v>1925</v>
      </c>
      <c r="C37" s="1222" t="s">
        <v>82</v>
      </c>
      <c r="D37" s="1223" t="s">
        <v>1926</v>
      </c>
      <c r="E37" s="1224" t="str">
        <f>IMAGE("https://flagcdn.com/w320/co.png")</f>
        <v/>
      </c>
      <c r="F37" s="1225">
        <v>35766.0</v>
      </c>
      <c r="G37" s="1226">
        <f t="shared" si="1"/>
        <v>28</v>
      </c>
      <c r="H37" s="1227">
        <f>1+1+1+1+1+1+1</f>
        <v>7</v>
      </c>
      <c r="I37" s="1227">
        <f>60+45+90+19+85+90+90</f>
        <v>479</v>
      </c>
      <c r="J37" s="1227">
        <f>1+1+2</f>
        <v>4</v>
      </c>
      <c r="K37" s="1227"/>
      <c r="L37" s="1227">
        <f>1+1</f>
        <v>2</v>
      </c>
      <c r="M37" s="1227"/>
      <c r="N37" s="1227"/>
      <c r="O37" s="1227">
        <f t="shared" si="2"/>
        <v>4</v>
      </c>
      <c r="P37" s="1227"/>
    </row>
    <row r="38">
      <c r="A38" s="11"/>
      <c r="B38" s="18"/>
      <c r="C38" s="18"/>
      <c r="D38" s="64"/>
      <c r="E38" s="65"/>
      <c r="F38" s="66"/>
      <c r="G38" s="18"/>
      <c r="H38" s="11">
        <f t="shared" ref="H38:P38" si="11">SUM(H2:H37)</f>
        <v>111</v>
      </c>
      <c r="I38" s="11">
        <f t="shared" si="11"/>
        <v>6930</v>
      </c>
      <c r="J38" s="11">
        <f t="shared" si="11"/>
        <v>13</v>
      </c>
      <c r="K38" s="11">
        <f t="shared" si="11"/>
        <v>9</v>
      </c>
      <c r="L38" s="11">
        <f t="shared" si="11"/>
        <v>14</v>
      </c>
      <c r="M38" s="11">
        <f t="shared" si="11"/>
        <v>0</v>
      </c>
      <c r="N38" s="11">
        <f t="shared" si="11"/>
        <v>1</v>
      </c>
      <c r="O38" s="11">
        <f t="shared" si="11"/>
        <v>22</v>
      </c>
      <c r="P38" s="11">
        <f t="shared" si="11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22.5" customHeight="1">
      <c r="A39" s="1214" t="s">
        <v>150</v>
      </c>
      <c r="B39" s="1215" t="s">
        <v>49</v>
      </c>
      <c r="C39" s="1215" t="s">
        <v>265</v>
      </c>
      <c r="D39" s="1239" t="s">
        <v>56</v>
      </c>
      <c r="E39" s="1240" t="s">
        <v>57</v>
      </c>
      <c r="F39" s="1215" t="s">
        <v>52</v>
      </c>
      <c r="G39" s="1215" t="s">
        <v>53</v>
      </c>
      <c r="H39" s="1240" t="s">
        <v>4</v>
      </c>
      <c r="I39" s="1240" t="s">
        <v>5</v>
      </c>
      <c r="J39" s="1240" t="s">
        <v>6</v>
      </c>
      <c r="K39" s="1240" t="s">
        <v>7</v>
      </c>
      <c r="L39" s="1240" t="s">
        <v>8</v>
      </c>
      <c r="M39" s="1240" t="s">
        <v>9</v>
      </c>
      <c r="N39" s="1240" t="s">
        <v>10</v>
      </c>
      <c r="O39" s="12"/>
      <c r="P39" s="12"/>
    </row>
    <row r="40" ht="22.5" customHeight="1">
      <c r="A40" s="1241"/>
      <c r="B40" s="1221" t="s">
        <v>1927</v>
      </c>
      <c r="C40" s="1228" t="s">
        <v>153</v>
      </c>
      <c r="D40" s="1223" t="s">
        <v>477</v>
      </c>
      <c r="E40" s="1242" t="str">
        <f>IMAGE("https://flagcdn.com/w320/pt.png")</f>
        <v/>
      </c>
      <c r="F40" s="1225">
        <v>29774.0</v>
      </c>
      <c r="G40" s="1226">
        <f>DATEDIF(F40,TODAY(),"Y")</f>
        <v>44</v>
      </c>
      <c r="H40" s="157">
        <f>L40+M40+N40</f>
        <v>7</v>
      </c>
      <c r="I40" s="157">
        <f>(3*L40)+M40</f>
        <v>13</v>
      </c>
      <c r="J40" s="157">
        <f>4+1+2+1+3+1+2</f>
        <v>14</v>
      </c>
      <c r="K40" s="157">
        <f>1+2+1+1+3+1</f>
        <v>9</v>
      </c>
      <c r="L40" s="158">
        <f>1+1+1+1</f>
        <v>4</v>
      </c>
      <c r="M40" s="159">
        <f>1</f>
        <v>1</v>
      </c>
      <c r="N40" s="487">
        <f>1+1</f>
        <v>2</v>
      </c>
      <c r="O40" s="12"/>
      <c r="P40" s="12"/>
    </row>
    <row r="41">
      <c r="A41" s="11"/>
      <c r="B41" s="18"/>
      <c r="C41" s="18"/>
      <c r="D41" s="64"/>
      <c r="E41" s="65"/>
      <c r="F41" s="66"/>
      <c r="G41" s="18"/>
      <c r="H41" s="11">
        <f t="shared" ref="H41:N41" si="12">SUM(H40)</f>
        <v>7</v>
      </c>
      <c r="I41" s="11">
        <f t="shared" si="12"/>
        <v>13</v>
      </c>
      <c r="J41" s="11">
        <f t="shared" si="12"/>
        <v>14</v>
      </c>
      <c r="K41" s="11">
        <f t="shared" si="12"/>
        <v>9</v>
      </c>
      <c r="L41" s="11">
        <f t="shared" si="12"/>
        <v>4</v>
      </c>
      <c r="M41" s="11">
        <f t="shared" si="12"/>
        <v>1</v>
      </c>
      <c r="N41" s="11">
        <f t="shared" si="12"/>
        <v>2</v>
      </c>
      <c r="O41" s="11"/>
      <c r="P41" s="11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22.5" customHeight="1">
      <c r="A42" s="1214" t="s">
        <v>156</v>
      </c>
      <c r="B42" s="1214" t="s">
        <v>157</v>
      </c>
      <c r="C42" s="1214" t="s">
        <v>158</v>
      </c>
      <c r="D42" s="1218" t="s">
        <v>1928</v>
      </c>
      <c r="E42" s="1214" t="s">
        <v>160</v>
      </c>
      <c r="F42" s="1214" t="s">
        <v>161</v>
      </c>
      <c r="H42" s="12"/>
      <c r="I42" s="12"/>
      <c r="J42" s="12"/>
      <c r="K42" s="12"/>
      <c r="L42" s="12"/>
      <c r="M42" s="12"/>
      <c r="N42" s="12"/>
      <c r="O42" s="12"/>
      <c r="P42" s="12"/>
    </row>
    <row r="43" ht="22.5" customHeight="1">
      <c r="A43" s="86">
        <v>1.0</v>
      </c>
      <c r="B43" s="87" t="s">
        <v>24</v>
      </c>
      <c r="C43" s="87" t="s">
        <v>47</v>
      </c>
      <c r="D43" s="88" t="s">
        <v>1929</v>
      </c>
      <c r="E43" s="89">
        <v>45748.0</v>
      </c>
      <c r="F43" s="522" t="s">
        <v>837</v>
      </c>
      <c r="H43" s="12"/>
      <c r="I43" s="12"/>
      <c r="J43" s="12"/>
      <c r="K43" s="12"/>
      <c r="L43" s="12"/>
      <c r="M43" s="12"/>
      <c r="N43" s="12"/>
      <c r="O43" s="12"/>
      <c r="P43" s="12"/>
    </row>
    <row r="44" ht="22.5" customHeight="1">
      <c r="A44" s="77">
        <v>2.0</v>
      </c>
      <c r="B44" s="697" t="s">
        <v>33</v>
      </c>
      <c r="C44" s="78" t="s">
        <v>24</v>
      </c>
      <c r="D44" s="83" t="s">
        <v>1930</v>
      </c>
      <c r="E44" s="84">
        <v>45689.0</v>
      </c>
      <c r="F44" s="82" t="s">
        <v>785</v>
      </c>
      <c r="H44" s="12"/>
      <c r="I44" s="12"/>
      <c r="J44" s="12"/>
      <c r="K44" s="12"/>
      <c r="L44" s="12"/>
      <c r="M44" s="12"/>
      <c r="N44" s="12"/>
      <c r="O44" s="12"/>
      <c r="P44" s="12"/>
    </row>
    <row r="45" ht="22.5" customHeight="1">
      <c r="A45" s="86">
        <v>3.0</v>
      </c>
      <c r="B45" s="847" t="s">
        <v>24</v>
      </c>
      <c r="C45" s="847" t="s">
        <v>28</v>
      </c>
      <c r="D45" s="88" t="s">
        <v>1931</v>
      </c>
      <c r="E45" s="89">
        <v>45689.0</v>
      </c>
      <c r="F45" s="522" t="s">
        <v>837</v>
      </c>
      <c r="H45" s="12"/>
      <c r="I45" s="12"/>
      <c r="J45" s="12"/>
      <c r="K45" s="12"/>
      <c r="L45" s="12"/>
      <c r="M45" s="12"/>
      <c r="N45" s="12"/>
      <c r="O45" s="12"/>
      <c r="P45" s="12"/>
    </row>
    <row r="46" ht="22.5" customHeight="1">
      <c r="A46" s="197">
        <v>4.0</v>
      </c>
      <c r="B46" s="727" t="s">
        <v>35</v>
      </c>
      <c r="C46" s="727" t="s">
        <v>24</v>
      </c>
      <c r="D46" s="264" t="s">
        <v>1932</v>
      </c>
      <c r="E46" s="265">
        <v>45658.0</v>
      </c>
      <c r="F46" s="523" t="s">
        <v>502</v>
      </c>
      <c r="H46" s="12"/>
      <c r="I46" s="12"/>
      <c r="J46" s="12"/>
      <c r="K46" s="12"/>
      <c r="L46" s="12"/>
      <c r="M46" s="12"/>
      <c r="N46" s="12"/>
      <c r="O46" s="12"/>
      <c r="P46" s="12"/>
    </row>
    <row r="47" ht="22.5" customHeight="1">
      <c r="A47" s="86">
        <v>5.0</v>
      </c>
      <c r="B47" s="87" t="s">
        <v>24</v>
      </c>
      <c r="C47" s="847" t="s">
        <v>39</v>
      </c>
      <c r="D47" s="88" t="s">
        <v>1933</v>
      </c>
      <c r="E47" s="161" t="s">
        <v>560</v>
      </c>
      <c r="F47" s="87" t="s">
        <v>837</v>
      </c>
      <c r="H47" s="12"/>
      <c r="I47" s="12"/>
      <c r="J47" s="12"/>
      <c r="K47" s="12"/>
      <c r="L47" s="12"/>
      <c r="M47" s="12"/>
      <c r="N47" s="12"/>
      <c r="O47" s="12"/>
      <c r="P47" s="12"/>
    </row>
    <row r="48" ht="22.5" customHeight="1">
      <c r="A48" s="77">
        <v>6.0</v>
      </c>
      <c r="B48" s="697" t="s">
        <v>13</v>
      </c>
      <c r="C48" s="78" t="s">
        <v>24</v>
      </c>
      <c r="D48" s="83" t="s">
        <v>1934</v>
      </c>
      <c r="E48" s="84">
        <v>45717.0</v>
      </c>
      <c r="F48" s="78" t="s">
        <v>617</v>
      </c>
      <c r="H48" s="12"/>
      <c r="I48" s="12"/>
      <c r="J48" s="12"/>
      <c r="K48" s="12"/>
      <c r="L48" s="12"/>
      <c r="M48" s="12"/>
      <c r="N48" s="12"/>
      <c r="O48" s="12"/>
      <c r="P48" s="12"/>
    </row>
    <row r="49" ht="22.5" customHeight="1">
      <c r="A49" s="86">
        <v>7.0</v>
      </c>
      <c r="B49" s="87" t="s">
        <v>24</v>
      </c>
      <c r="C49" s="847" t="s">
        <v>15</v>
      </c>
      <c r="D49" s="88" t="s">
        <v>1935</v>
      </c>
      <c r="E49" s="89">
        <v>46054.0</v>
      </c>
      <c r="F49" s="87" t="s">
        <v>837</v>
      </c>
      <c r="H49" s="12"/>
      <c r="I49" s="12"/>
      <c r="J49" s="12"/>
      <c r="K49" s="12"/>
      <c r="L49" s="12"/>
      <c r="M49" s="12"/>
      <c r="N49" s="12"/>
      <c r="O49" s="12"/>
      <c r="P49" s="12"/>
    </row>
    <row r="50" ht="22.5" customHeight="1">
      <c r="A50" s="90">
        <v>8.0</v>
      </c>
      <c r="B50" s="925" t="s">
        <v>40</v>
      </c>
      <c r="C50" s="91" t="s">
        <v>24</v>
      </c>
      <c r="D50" s="92"/>
      <c r="E50" s="93"/>
      <c r="F50" s="94" t="s">
        <v>269</v>
      </c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12"/>
      <c r="D51" s="95"/>
      <c r="E51" s="14"/>
      <c r="F51" s="96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2"/>
      <c r="D52" s="95"/>
      <c r="E52" s="14"/>
      <c r="F52" s="96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2"/>
      <c r="D53" s="95"/>
      <c r="E53" s="14"/>
      <c r="F53" s="96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2"/>
      <c r="D54" s="95"/>
      <c r="E54" s="14"/>
      <c r="F54" s="96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2"/>
      <c r="D55" s="95"/>
      <c r="E55" s="14"/>
      <c r="F55" s="96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2"/>
      <c r="D56" s="95"/>
      <c r="E56" s="14"/>
      <c r="F56" s="96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12"/>
      <c r="D57" s="95"/>
      <c r="E57" s="14"/>
      <c r="F57" s="96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12"/>
      <c r="D58" s="95"/>
      <c r="E58" s="14"/>
      <c r="F58" s="96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2"/>
      <c r="D59" s="95"/>
      <c r="E59" s="14"/>
      <c r="F59" s="96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12"/>
      <c r="D60" s="95"/>
      <c r="E60" s="14"/>
      <c r="F60" s="96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12"/>
      <c r="D61" s="95"/>
      <c r="E61" s="14"/>
      <c r="F61" s="96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12"/>
      <c r="D62" s="95"/>
      <c r="E62" s="14"/>
      <c r="F62" s="96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2"/>
      <c r="D63" s="95"/>
      <c r="E63" s="14"/>
      <c r="F63" s="96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12"/>
      <c r="D64" s="95"/>
      <c r="E64" s="14"/>
      <c r="F64" s="96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12"/>
      <c r="D65" s="95"/>
      <c r="E65" s="14"/>
      <c r="F65" s="96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12"/>
      <c r="D66" s="95"/>
      <c r="E66" s="14"/>
      <c r="F66" s="96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12"/>
      <c r="D67" s="95"/>
      <c r="E67" s="14"/>
      <c r="F67" s="96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2"/>
      <c r="D68" s="95"/>
      <c r="E68" s="14"/>
      <c r="F68" s="96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2"/>
      <c r="D69" s="95"/>
      <c r="E69" s="14"/>
      <c r="F69" s="96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12"/>
      <c r="D70" s="95"/>
      <c r="E70" s="14"/>
      <c r="F70" s="96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12"/>
      <c r="D71" s="95"/>
      <c r="E71" s="14"/>
      <c r="F71" s="96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12"/>
      <c r="D72" s="95"/>
      <c r="E72" s="14"/>
      <c r="F72" s="96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12"/>
      <c r="D73" s="95"/>
      <c r="E73" s="14"/>
      <c r="F73" s="96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12"/>
      <c r="D74" s="95"/>
      <c r="E74" s="14"/>
      <c r="F74" s="96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12"/>
      <c r="D75" s="95"/>
      <c r="E75" s="14"/>
      <c r="F75" s="96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12"/>
      <c r="D76" s="95"/>
      <c r="E76" s="14"/>
      <c r="F76" s="96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2"/>
      <c r="D77" s="95"/>
      <c r="E77" s="14"/>
      <c r="F77" s="96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2"/>
      <c r="D78" s="95"/>
      <c r="E78" s="14"/>
      <c r="F78" s="96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2"/>
      <c r="D79" s="95"/>
      <c r="E79" s="14"/>
      <c r="F79" s="96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2"/>
      <c r="D80" s="95"/>
      <c r="E80" s="14"/>
      <c r="F80" s="96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2"/>
      <c r="D81" s="95"/>
      <c r="E81" s="14"/>
      <c r="F81" s="96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2"/>
      <c r="D82" s="95"/>
      <c r="E82" s="14"/>
      <c r="F82" s="96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12"/>
      <c r="D83" s="95"/>
      <c r="E83" s="14"/>
      <c r="F83" s="96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12"/>
      <c r="D84" s="95"/>
      <c r="E84" s="14"/>
      <c r="F84" s="96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2"/>
      <c r="D85" s="95"/>
      <c r="E85" s="14"/>
      <c r="F85" s="96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12"/>
      <c r="D86" s="95"/>
      <c r="E86" s="14"/>
      <c r="F86" s="96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2"/>
      <c r="D87" s="95"/>
      <c r="E87" s="14"/>
      <c r="F87" s="96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12"/>
      <c r="D88" s="95"/>
      <c r="E88" s="14"/>
      <c r="F88" s="96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12"/>
      <c r="D89" s="95"/>
      <c r="E89" s="14"/>
      <c r="F89" s="96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2"/>
      <c r="D90" s="95"/>
      <c r="E90" s="14"/>
      <c r="F90" s="96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12"/>
      <c r="D91" s="95"/>
      <c r="E91" s="14"/>
      <c r="F91" s="96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12"/>
      <c r="D92" s="95"/>
      <c r="E92" s="14"/>
      <c r="F92" s="96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12"/>
      <c r="D93" s="95"/>
      <c r="E93" s="14"/>
      <c r="F93" s="96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12"/>
      <c r="D94" s="95"/>
      <c r="E94" s="14"/>
      <c r="F94" s="96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12"/>
      <c r="D95" s="95"/>
      <c r="E95" s="14"/>
      <c r="F95" s="96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2"/>
      <c r="D96" s="95"/>
      <c r="E96" s="14"/>
      <c r="F96" s="96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12"/>
      <c r="D97" s="95"/>
      <c r="E97" s="14"/>
      <c r="F97" s="96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12"/>
      <c r="D98" s="95"/>
      <c r="E98" s="14"/>
      <c r="F98" s="96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12"/>
      <c r="D99" s="95"/>
      <c r="E99" s="14"/>
      <c r="F99" s="96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2"/>
      <c r="D100" s="95"/>
      <c r="E100" s="14"/>
      <c r="F100" s="96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A101" s="12"/>
      <c r="D101" s="95"/>
      <c r="E101" s="14"/>
      <c r="F101" s="96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A102" s="12"/>
      <c r="D102" s="95"/>
      <c r="E102" s="14"/>
      <c r="F102" s="96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2"/>
      <c r="D103" s="95"/>
      <c r="E103" s="14"/>
      <c r="F103" s="96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A104" s="12"/>
      <c r="D104" s="95"/>
      <c r="E104" s="14"/>
      <c r="F104" s="96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A105" s="12"/>
      <c r="D105" s="95"/>
      <c r="E105" s="14"/>
      <c r="F105" s="96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A106" s="12"/>
      <c r="D106" s="95"/>
      <c r="E106" s="14"/>
      <c r="F106" s="96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A107" s="12"/>
      <c r="D107" s="95"/>
      <c r="E107" s="14"/>
      <c r="F107" s="96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A108" s="12"/>
      <c r="D108" s="95"/>
      <c r="E108" s="14"/>
      <c r="F108" s="96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A109" s="12"/>
      <c r="D109" s="95"/>
      <c r="E109" s="14"/>
      <c r="F109" s="96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A110" s="12"/>
      <c r="D110" s="95"/>
      <c r="E110" s="14"/>
      <c r="F110" s="96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A111" s="12"/>
      <c r="D111" s="95"/>
      <c r="E111" s="14"/>
      <c r="F111" s="96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A112" s="12"/>
      <c r="D112" s="95"/>
      <c r="E112" s="14"/>
      <c r="F112" s="96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A113" s="12"/>
      <c r="D113" s="95"/>
      <c r="E113" s="14"/>
      <c r="F113" s="96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A114" s="12"/>
      <c r="D114" s="95"/>
      <c r="E114" s="14"/>
      <c r="F114" s="96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A115" s="12"/>
      <c r="D115" s="95"/>
      <c r="E115" s="14"/>
      <c r="F115" s="96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A116" s="12"/>
      <c r="D116" s="95"/>
      <c r="E116" s="14"/>
      <c r="F116" s="96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A117" s="12"/>
      <c r="D117" s="95"/>
      <c r="E117" s="14"/>
      <c r="F117" s="96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A118" s="12"/>
      <c r="D118" s="95"/>
      <c r="E118" s="14"/>
      <c r="F118" s="96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A119" s="12"/>
      <c r="D119" s="95"/>
      <c r="E119" s="14"/>
      <c r="F119" s="96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A120" s="12"/>
      <c r="D120" s="95"/>
      <c r="E120" s="14"/>
      <c r="F120" s="96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A121" s="12"/>
      <c r="D121" s="95"/>
      <c r="E121" s="14"/>
      <c r="F121" s="96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A122" s="12"/>
      <c r="D122" s="95"/>
      <c r="E122" s="14"/>
      <c r="F122" s="96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A123" s="12"/>
      <c r="D123" s="95"/>
      <c r="E123" s="14"/>
      <c r="F123" s="96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A124" s="12"/>
      <c r="D124" s="95"/>
      <c r="E124" s="14"/>
      <c r="F124" s="96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A125" s="12"/>
      <c r="D125" s="95"/>
      <c r="E125" s="14"/>
      <c r="F125" s="96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A126" s="12"/>
      <c r="D126" s="95"/>
      <c r="E126" s="14"/>
      <c r="F126" s="96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A127" s="12"/>
      <c r="D127" s="95"/>
      <c r="E127" s="14"/>
      <c r="F127" s="96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A128" s="12"/>
      <c r="D128" s="95"/>
      <c r="E128" s="14"/>
      <c r="F128" s="96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A129" s="12"/>
      <c r="D129" s="95"/>
      <c r="E129" s="14"/>
      <c r="F129" s="96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A130" s="12"/>
      <c r="D130" s="95"/>
      <c r="E130" s="14"/>
      <c r="F130" s="96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A131" s="12"/>
      <c r="D131" s="95"/>
      <c r="E131" s="14"/>
      <c r="F131" s="96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A132" s="12"/>
      <c r="D132" s="95"/>
      <c r="E132" s="14"/>
      <c r="F132" s="96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A133" s="12"/>
      <c r="D133" s="95"/>
      <c r="E133" s="14"/>
      <c r="F133" s="96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A134" s="12"/>
      <c r="D134" s="95"/>
      <c r="E134" s="14"/>
      <c r="F134" s="96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A135" s="12"/>
      <c r="D135" s="95"/>
      <c r="E135" s="14"/>
      <c r="F135" s="96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A136" s="12"/>
      <c r="D136" s="95"/>
      <c r="E136" s="14"/>
      <c r="F136" s="96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A137" s="12"/>
      <c r="D137" s="95"/>
      <c r="E137" s="14"/>
      <c r="F137" s="96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A138" s="12"/>
      <c r="D138" s="95"/>
      <c r="E138" s="14"/>
      <c r="F138" s="96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A139" s="12"/>
      <c r="D139" s="95"/>
      <c r="E139" s="14"/>
      <c r="F139" s="96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A140" s="12"/>
      <c r="D140" s="95"/>
      <c r="E140" s="14"/>
      <c r="F140" s="96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A141" s="12"/>
      <c r="D141" s="95"/>
      <c r="E141" s="14"/>
      <c r="F141" s="96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A142" s="12"/>
      <c r="D142" s="95"/>
      <c r="E142" s="14"/>
      <c r="F142" s="96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A143" s="12"/>
      <c r="D143" s="95"/>
      <c r="E143" s="14"/>
      <c r="F143" s="96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A144" s="12"/>
      <c r="D144" s="95"/>
      <c r="E144" s="14"/>
      <c r="F144" s="96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A145" s="12"/>
      <c r="D145" s="95"/>
      <c r="E145" s="14"/>
      <c r="F145" s="96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A146" s="12"/>
      <c r="D146" s="95"/>
      <c r="E146" s="14"/>
      <c r="F146" s="96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A147" s="12"/>
      <c r="D147" s="95"/>
      <c r="E147" s="14"/>
      <c r="F147" s="96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A148" s="12"/>
      <c r="D148" s="95"/>
      <c r="E148" s="14"/>
      <c r="F148" s="96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A149" s="12"/>
      <c r="D149" s="95"/>
      <c r="E149" s="14"/>
      <c r="F149" s="96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A150" s="12"/>
      <c r="D150" s="95"/>
      <c r="E150" s="14"/>
      <c r="F150" s="96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A151" s="12"/>
      <c r="D151" s="95"/>
      <c r="E151" s="14"/>
      <c r="F151" s="96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A152" s="12"/>
      <c r="D152" s="95"/>
      <c r="E152" s="14"/>
      <c r="F152" s="96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A153" s="12"/>
      <c r="D153" s="95"/>
      <c r="E153" s="14"/>
      <c r="F153" s="96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A154" s="12"/>
      <c r="D154" s="95"/>
      <c r="E154" s="14"/>
      <c r="F154" s="96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A155" s="12"/>
      <c r="D155" s="95"/>
      <c r="E155" s="14"/>
      <c r="F155" s="96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A156" s="12"/>
      <c r="D156" s="95"/>
      <c r="E156" s="14"/>
      <c r="F156" s="96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A157" s="12"/>
      <c r="D157" s="95"/>
      <c r="E157" s="14"/>
      <c r="F157" s="96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A158" s="12"/>
      <c r="D158" s="95"/>
      <c r="E158" s="14"/>
      <c r="F158" s="96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A159" s="12"/>
      <c r="D159" s="95"/>
      <c r="E159" s="14"/>
      <c r="F159" s="96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A160" s="12"/>
      <c r="D160" s="95"/>
      <c r="E160" s="14"/>
      <c r="F160" s="96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A161" s="12"/>
      <c r="D161" s="95"/>
      <c r="E161" s="14"/>
      <c r="F161" s="96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A162" s="12"/>
      <c r="D162" s="95"/>
      <c r="E162" s="14"/>
      <c r="F162" s="96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A163" s="12"/>
      <c r="D163" s="95"/>
      <c r="E163" s="14"/>
      <c r="F163" s="96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A164" s="12"/>
      <c r="D164" s="95"/>
      <c r="E164" s="14"/>
      <c r="F164" s="96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A165" s="12"/>
      <c r="D165" s="95"/>
      <c r="E165" s="14"/>
      <c r="F165" s="96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A166" s="12"/>
      <c r="D166" s="95"/>
      <c r="E166" s="14"/>
      <c r="F166" s="96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A167" s="12"/>
      <c r="D167" s="95"/>
      <c r="E167" s="14"/>
      <c r="F167" s="96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A168" s="12"/>
      <c r="D168" s="95"/>
      <c r="E168" s="14"/>
      <c r="F168" s="96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A169" s="12"/>
      <c r="D169" s="95"/>
      <c r="E169" s="14"/>
      <c r="F169" s="96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A170" s="12"/>
      <c r="D170" s="95"/>
      <c r="E170" s="14"/>
      <c r="F170" s="96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A171" s="12"/>
      <c r="D171" s="95"/>
      <c r="E171" s="14"/>
      <c r="F171" s="96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A172" s="12"/>
      <c r="D172" s="95"/>
      <c r="E172" s="14"/>
      <c r="F172" s="96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A173" s="12"/>
      <c r="D173" s="95"/>
      <c r="E173" s="14"/>
      <c r="F173" s="96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A174" s="12"/>
      <c r="D174" s="95"/>
      <c r="E174" s="14"/>
      <c r="F174" s="96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A175" s="12"/>
      <c r="D175" s="95"/>
      <c r="E175" s="14"/>
      <c r="F175" s="96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A176" s="12"/>
      <c r="D176" s="95"/>
      <c r="E176" s="14"/>
      <c r="F176" s="96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A177" s="12"/>
      <c r="D177" s="95"/>
      <c r="E177" s="14"/>
      <c r="F177" s="96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A178" s="12"/>
      <c r="D178" s="95"/>
      <c r="E178" s="14"/>
      <c r="F178" s="96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A179" s="12"/>
      <c r="D179" s="95"/>
      <c r="E179" s="14"/>
      <c r="F179" s="96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A180" s="12"/>
      <c r="D180" s="95"/>
      <c r="E180" s="14"/>
      <c r="F180" s="96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A181" s="12"/>
      <c r="D181" s="95"/>
      <c r="E181" s="14"/>
      <c r="F181" s="96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A182" s="12"/>
      <c r="D182" s="95"/>
      <c r="E182" s="14"/>
      <c r="F182" s="96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A183" s="12"/>
      <c r="D183" s="95"/>
      <c r="E183" s="14"/>
      <c r="F183" s="96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A184" s="12"/>
      <c r="D184" s="95"/>
      <c r="E184" s="14"/>
      <c r="F184" s="96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A185" s="12"/>
      <c r="D185" s="95"/>
      <c r="E185" s="14"/>
      <c r="F185" s="96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A186" s="12"/>
      <c r="D186" s="95"/>
      <c r="E186" s="14"/>
      <c r="F186" s="96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A187" s="12"/>
      <c r="D187" s="95"/>
      <c r="E187" s="14"/>
      <c r="F187" s="96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A188" s="12"/>
      <c r="D188" s="95"/>
      <c r="E188" s="14"/>
      <c r="F188" s="96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A189" s="12"/>
      <c r="D189" s="95"/>
      <c r="E189" s="14"/>
      <c r="F189" s="96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A190" s="12"/>
      <c r="D190" s="95"/>
      <c r="E190" s="14"/>
      <c r="F190" s="96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A191" s="12"/>
      <c r="D191" s="95"/>
      <c r="E191" s="14"/>
      <c r="F191" s="96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A192" s="12"/>
      <c r="D192" s="95"/>
      <c r="E192" s="14"/>
      <c r="F192" s="96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A193" s="12"/>
      <c r="D193" s="95"/>
      <c r="E193" s="14"/>
      <c r="F193" s="96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A194" s="12"/>
      <c r="D194" s="95"/>
      <c r="E194" s="14"/>
      <c r="F194" s="96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A195" s="12"/>
      <c r="D195" s="95"/>
      <c r="E195" s="14"/>
      <c r="F195" s="96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A196" s="12"/>
      <c r="D196" s="95"/>
      <c r="E196" s="14"/>
      <c r="F196" s="96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A197" s="12"/>
      <c r="D197" s="95"/>
      <c r="E197" s="14"/>
      <c r="F197" s="96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A198" s="12"/>
      <c r="D198" s="95"/>
      <c r="E198" s="14"/>
      <c r="F198" s="96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A199" s="12"/>
      <c r="D199" s="95"/>
      <c r="E199" s="14"/>
      <c r="F199" s="96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A200" s="12"/>
      <c r="D200" s="95"/>
      <c r="E200" s="14"/>
      <c r="F200" s="96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A201" s="12"/>
      <c r="D201" s="95"/>
      <c r="E201" s="14"/>
      <c r="F201" s="96"/>
      <c r="H201" s="12"/>
      <c r="I201" s="12"/>
      <c r="J201" s="12"/>
      <c r="K201" s="12"/>
      <c r="L201" s="12"/>
      <c r="M201" s="12"/>
      <c r="N201" s="12"/>
      <c r="O201" s="12"/>
      <c r="P201" s="12"/>
    </row>
    <row r="202">
      <c r="A202" s="12"/>
      <c r="D202" s="95"/>
      <c r="E202" s="14"/>
      <c r="F202" s="96"/>
      <c r="H202" s="12"/>
      <c r="I202" s="12"/>
      <c r="J202" s="12"/>
      <c r="K202" s="12"/>
      <c r="L202" s="12"/>
      <c r="M202" s="12"/>
      <c r="N202" s="12"/>
      <c r="O202" s="12"/>
      <c r="P202" s="12"/>
    </row>
    <row r="203">
      <c r="A203" s="12"/>
      <c r="D203" s="95"/>
      <c r="E203" s="14"/>
      <c r="F203" s="96"/>
      <c r="H203" s="12"/>
      <c r="I203" s="12"/>
      <c r="J203" s="12"/>
      <c r="K203" s="12"/>
      <c r="L203" s="12"/>
      <c r="M203" s="12"/>
      <c r="N203" s="12"/>
      <c r="O203" s="12"/>
      <c r="P203" s="12"/>
    </row>
    <row r="204">
      <c r="A204" s="12"/>
      <c r="D204" s="95"/>
      <c r="E204" s="14"/>
      <c r="F204" s="96"/>
      <c r="H204" s="12"/>
      <c r="I204" s="12"/>
      <c r="J204" s="12"/>
      <c r="K204" s="12"/>
      <c r="L204" s="12"/>
      <c r="M204" s="12"/>
      <c r="N204" s="12"/>
      <c r="O204" s="12"/>
      <c r="P204" s="12"/>
    </row>
    <row r="205">
      <c r="A205" s="12"/>
      <c r="D205" s="95"/>
      <c r="E205" s="14"/>
      <c r="F205" s="96"/>
      <c r="H205" s="12"/>
      <c r="I205" s="12"/>
      <c r="J205" s="12"/>
      <c r="K205" s="12"/>
      <c r="L205" s="12"/>
      <c r="M205" s="12"/>
      <c r="N205" s="12"/>
      <c r="O205" s="12"/>
      <c r="P205" s="12"/>
    </row>
    <row r="206">
      <c r="A206" s="12"/>
      <c r="D206" s="95"/>
      <c r="E206" s="14"/>
      <c r="F206" s="96"/>
      <c r="H206" s="12"/>
      <c r="I206" s="12"/>
      <c r="J206" s="12"/>
      <c r="K206" s="12"/>
      <c r="L206" s="12"/>
      <c r="M206" s="12"/>
      <c r="N206" s="12"/>
      <c r="O206" s="12"/>
      <c r="P206" s="12"/>
    </row>
    <row r="207">
      <c r="A207" s="12"/>
      <c r="D207" s="95"/>
      <c r="E207" s="14"/>
      <c r="F207" s="96"/>
      <c r="H207" s="12"/>
      <c r="I207" s="12"/>
      <c r="J207" s="12"/>
      <c r="K207" s="12"/>
      <c r="L207" s="12"/>
      <c r="M207" s="12"/>
      <c r="N207" s="12"/>
      <c r="O207" s="12"/>
      <c r="P207" s="12"/>
    </row>
    <row r="208">
      <c r="A208" s="12"/>
      <c r="D208" s="95"/>
      <c r="E208" s="14"/>
      <c r="F208" s="96"/>
      <c r="H208" s="12"/>
      <c r="I208" s="12"/>
      <c r="J208" s="12"/>
      <c r="K208" s="12"/>
      <c r="L208" s="12"/>
      <c r="M208" s="12"/>
      <c r="N208" s="12"/>
      <c r="O208" s="12"/>
      <c r="P208" s="12"/>
    </row>
    <row r="209">
      <c r="A209" s="12"/>
      <c r="D209" s="95"/>
      <c r="E209" s="14"/>
      <c r="F209" s="96"/>
      <c r="H209" s="12"/>
      <c r="I209" s="12"/>
      <c r="J209" s="12"/>
      <c r="K209" s="12"/>
      <c r="L209" s="12"/>
      <c r="M209" s="12"/>
      <c r="N209" s="12"/>
      <c r="O209" s="12"/>
      <c r="P209" s="12"/>
    </row>
    <row r="210">
      <c r="A210" s="12"/>
      <c r="D210" s="95"/>
      <c r="E210" s="14"/>
      <c r="F210" s="96"/>
      <c r="H210" s="12"/>
      <c r="I210" s="12"/>
      <c r="J210" s="12"/>
      <c r="K210" s="12"/>
      <c r="L210" s="12"/>
      <c r="M210" s="12"/>
      <c r="N210" s="12"/>
      <c r="O210" s="12"/>
      <c r="P210" s="12"/>
    </row>
    <row r="211">
      <c r="A211" s="12"/>
      <c r="D211" s="95"/>
      <c r="E211" s="14"/>
      <c r="F211" s="96"/>
      <c r="H211" s="12"/>
      <c r="I211" s="12"/>
      <c r="J211" s="12"/>
      <c r="K211" s="12"/>
      <c r="L211" s="12"/>
      <c r="M211" s="12"/>
      <c r="N211" s="12"/>
      <c r="O211" s="12"/>
      <c r="P211" s="12"/>
    </row>
    <row r="212">
      <c r="A212" s="12"/>
      <c r="D212" s="95"/>
      <c r="E212" s="14"/>
      <c r="F212" s="96"/>
      <c r="H212" s="12"/>
      <c r="I212" s="12"/>
      <c r="J212" s="12"/>
      <c r="K212" s="12"/>
      <c r="L212" s="12"/>
      <c r="M212" s="12"/>
      <c r="N212" s="12"/>
      <c r="O212" s="12"/>
      <c r="P212" s="12"/>
    </row>
    <row r="213">
      <c r="A213" s="12"/>
      <c r="D213" s="95"/>
      <c r="E213" s="14"/>
      <c r="F213" s="96"/>
      <c r="H213" s="12"/>
      <c r="I213" s="12"/>
      <c r="J213" s="12"/>
      <c r="K213" s="12"/>
      <c r="L213" s="12"/>
      <c r="M213" s="12"/>
      <c r="N213" s="12"/>
      <c r="O213" s="12"/>
      <c r="P213" s="12"/>
    </row>
    <row r="214">
      <c r="A214" s="12"/>
      <c r="D214" s="95"/>
      <c r="E214" s="14"/>
      <c r="F214" s="96"/>
      <c r="H214" s="12"/>
      <c r="I214" s="12"/>
      <c r="J214" s="12"/>
      <c r="K214" s="12"/>
      <c r="L214" s="12"/>
      <c r="M214" s="12"/>
      <c r="N214" s="12"/>
      <c r="O214" s="12"/>
      <c r="P214" s="12"/>
    </row>
    <row r="215">
      <c r="A215" s="12"/>
      <c r="D215" s="95"/>
      <c r="E215" s="14"/>
      <c r="F215" s="96"/>
      <c r="H215" s="12"/>
      <c r="I215" s="12"/>
      <c r="J215" s="12"/>
      <c r="K215" s="12"/>
      <c r="L215" s="12"/>
      <c r="M215" s="12"/>
      <c r="N215" s="12"/>
      <c r="O215" s="12"/>
      <c r="P215" s="12"/>
    </row>
    <row r="216">
      <c r="A216" s="12"/>
      <c r="D216" s="95"/>
      <c r="E216" s="14"/>
      <c r="F216" s="96"/>
      <c r="H216" s="12"/>
      <c r="I216" s="12"/>
      <c r="J216" s="12"/>
      <c r="K216" s="12"/>
      <c r="L216" s="12"/>
      <c r="M216" s="12"/>
      <c r="N216" s="12"/>
      <c r="O216" s="12"/>
      <c r="P216" s="12"/>
    </row>
    <row r="217">
      <c r="A217" s="12"/>
      <c r="D217" s="95"/>
      <c r="E217" s="14"/>
      <c r="F217" s="96"/>
      <c r="H217" s="12"/>
      <c r="I217" s="12"/>
      <c r="J217" s="12"/>
      <c r="K217" s="12"/>
      <c r="L217" s="12"/>
      <c r="M217" s="12"/>
      <c r="N217" s="12"/>
      <c r="O217" s="12"/>
      <c r="P217" s="12"/>
    </row>
    <row r="218">
      <c r="A218" s="12"/>
      <c r="D218" s="95"/>
      <c r="E218" s="14"/>
      <c r="F218" s="96"/>
      <c r="H218" s="12"/>
      <c r="I218" s="12"/>
      <c r="J218" s="12"/>
      <c r="K218" s="12"/>
      <c r="L218" s="12"/>
      <c r="M218" s="12"/>
      <c r="N218" s="12"/>
      <c r="O218" s="12"/>
      <c r="P218" s="12"/>
    </row>
    <row r="219">
      <c r="A219" s="12"/>
      <c r="D219" s="95"/>
      <c r="E219" s="14"/>
      <c r="F219" s="96"/>
      <c r="H219" s="12"/>
      <c r="I219" s="12"/>
      <c r="J219" s="12"/>
      <c r="K219" s="12"/>
      <c r="L219" s="12"/>
      <c r="M219" s="12"/>
      <c r="N219" s="12"/>
      <c r="O219" s="12"/>
      <c r="P219" s="12"/>
    </row>
    <row r="220">
      <c r="A220" s="12"/>
      <c r="D220" s="95"/>
      <c r="E220" s="14"/>
      <c r="F220" s="96"/>
      <c r="H220" s="12"/>
      <c r="I220" s="12"/>
      <c r="J220" s="12"/>
      <c r="K220" s="12"/>
      <c r="L220" s="12"/>
      <c r="M220" s="12"/>
      <c r="N220" s="12"/>
      <c r="O220" s="12"/>
      <c r="P220" s="12"/>
    </row>
    <row r="221">
      <c r="A221" s="12"/>
      <c r="D221" s="95"/>
      <c r="E221" s="14"/>
      <c r="F221" s="96"/>
      <c r="H221" s="12"/>
      <c r="I221" s="12"/>
      <c r="J221" s="12"/>
      <c r="K221" s="12"/>
      <c r="L221" s="12"/>
      <c r="M221" s="12"/>
      <c r="N221" s="12"/>
      <c r="O221" s="12"/>
      <c r="P221" s="12"/>
    </row>
    <row r="222">
      <c r="A222" s="12"/>
      <c r="D222" s="95"/>
      <c r="E222" s="14"/>
      <c r="F222" s="96"/>
      <c r="H222" s="12"/>
      <c r="I222" s="12"/>
      <c r="J222" s="12"/>
      <c r="K222" s="12"/>
      <c r="L222" s="12"/>
      <c r="M222" s="12"/>
      <c r="N222" s="12"/>
      <c r="O222" s="12"/>
      <c r="P222" s="12"/>
    </row>
    <row r="223">
      <c r="A223" s="12"/>
      <c r="D223" s="95"/>
      <c r="E223" s="14"/>
      <c r="F223" s="96"/>
      <c r="H223" s="12"/>
      <c r="I223" s="12"/>
      <c r="J223" s="12"/>
      <c r="K223" s="12"/>
      <c r="L223" s="12"/>
      <c r="M223" s="12"/>
      <c r="N223" s="12"/>
      <c r="O223" s="12"/>
      <c r="P223" s="12"/>
    </row>
    <row r="224">
      <c r="A224" s="12"/>
      <c r="D224" s="95"/>
      <c r="E224" s="14"/>
      <c r="F224" s="96"/>
      <c r="H224" s="12"/>
      <c r="I224" s="12"/>
      <c r="J224" s="12"/>
      <c r="K224" s="12"/>
      <c r="L224" s="12"/>
      <c r="M224" s="12"/>
      <c r="N224" s="12"/>
      <c r="O224" s="12"/>
      <c r="P224" s="12"/>
    </row>
    <row r="225">
      <c r="A225" s="12"/>
      <c r="D225" s="95"/>
      <c r="E225" s="14"/>
      <c r="F225" s="96"/>
      <c r="H225" s="12"/>
      <c r="I225" s="12"/>
      <c r="J225" s="12"/>
      <c r="K225" s="12"/>
      <c r="L225" s="12"/>
      <c r="M225" s="12"/>
      <c r="N225" s="12"/>
      <c r="O225" s="12"/>
      <c r="P225" s="12"/>
    </row>
    <row r="226">
      <c r="A226" s="12"/>
      <c r="D226" s="95"/>
      <c r="E226" s="14"/>
      <c r="F226" s="96"/>
      <c r="H226" s="12"/>
      <c r="I226" s="12"/>
      <c r="J226" s="12"/>
      <c r="K226" s="12"/>
      <c r="L226" s="12"/>
      <c r="M226" s="12"/>
      <c r="N226" s="12"/>
      <c r="O226" s="12"/>
      <c r="P226" s="12"/>
    </row>
    <row r="227">
      <c r="A227" s="12"/>
      <c r="D227" s="95"/>
      <c r="E227" s="14"/>
      <c r="F227" s="96"/>
      <c r="H227" s="12"/>
      <c r="I227" s="12"/>
      <c r="J227" s="12"/>
      <c r="K227" s="12"/>
      <c r="L227" s="12"/>
      <c r="M227" s="12"/>
      <c r="N227" s="12"/>
      <c r="O227" s="12"/>
      <c r="P227" s="12"/>
    </row>
    <row r="228">
      <c r="A228" s="12"/>
      <c r="D228" s="95"/>
      <c r="E228" s="14"/>
      <c r="F228" s="96"/>
      <c r="H228" s="12"/>
      <c r="I228" s="12"/>
      <c r="J228" s="12"/>
      <c r="K228" s="12"/>
      <c r="L228" s="12"/>
      <c r="M228" s="12"/>
      <c r="N228" s="12"/>
      <c r="O228" s="12"/>
      <c r="P228" s="12"/>
    </row>
    <row r="229">
      <c r="A229" s="12"/>
      <c r="D229" s="95"/>
      <c r="E229" s="14"/>
      <c r="F229" s="96"/>
      <c r="H229" s="12"/>
      <c r="I229" s="12"/>
      <c r="J229" s="12"/>
      <c r="K229" s="12"/>
      <c r="L229" s="12"/>
      <c r="M229" s="12"/>
      <c r="N229" s="12"/>
      <c r="O229" s="12"/>
      <c r="P229" s="12"/>
    </row>
    <row r="230">
      <c r="A230" s="12"/>
      <c r="D230" s="95"/>
      <c r="E230" s="14"/>
      <c r="F230" s="96"/>
      <c r="H230" s="12"/>
      <c r="I230" s="12"/>
      <c r="J230" s="12"/>
      <c r="K230" s="12"/>
      <c r="L230" s="12"/>
      <c r="M230" s="12"/>
      <c r="N230" s="12"/>
      <c r="O230" s="12"/>
      <c r="P230" s="12"/>
    </row>
    <row r="231">
      <c r="A231" s="12"/>
      <c r="D231" s="95"/>
      <c r="E231" s="14"/>
      <c r="F231" s="96"/>
      <c r="H231" s="12"/>
      <c r="I231" s="12"/>
      <c r="J231" s="12"/>
      <c r="K231" s="12"/>
      <c r="L231" s="12"/>
      <c r="M231" s="12"/>
      <c r="N231" s="12"/>
      <c r="O231" s="12"/>
      <c r="P231" s="12"/>
    </row>
    <row r="232">
      <c r="A232" s="12"/>
      <c r="D232" s="95"/>
      <c r="E232" s="14"/>
      <c r="F232" s="96"/>
      <c r="H232" s="12"/>
      <c r="I232" s="12"/>
      <c r="J232" s="12"/>
      <c r="K232" s="12"/>
      <c r="L232" s="12"/>
      <c r="M232" s="12"/>
      <c r="N232" s="12"/>
      <c r="O232" s="12"/>
      <c r="P232" s="12"/>
    </row>
    <row r="233">
      <c r="A233" s="12"/>
      <c r="D233" s="95"/>
      <c r="E233" s="14"/>
      <c r="F233" s="96"/>
      <c r="H233" s="12"/>
      <c r="I233" s="12"/>
      <c r="J233" s="12"/>
      <c r="K233" s="12"/>
      <c r="L233" s="12"/>
      <c r="M233" s="12"/>
      <c r="N233" s="12"/>
      <c r="O233" s="12"/>
      <c r="P233" s="12"/>
    </row>
    <row r="234">
      <c r="A234" s="12"/>
      <c r="D234" s="95"/>
      <c r="E234" s="14"/>
      <c r="F234" s="96"/>
      <c r="H234" s="12"/>
      <c r="I234" s="12"/>
      <c r="J234" s="12"/>
      <c r="K234" s="12"/>
      <c r="L234" s="12"/>
      <c r="M234" s="12"/>
      <c r="N234" s="12"/>
      <c r="O234" s="12"/>
      <c r="P234" s="12"/>
    </row>
    <row r="235">
      <c r="A235" s="12"/>
      <c r="D235" s="95"/>
      <c r="E235" s="14"/>
      <c r="F235" s="96"/>
      <c r="H235" s="12"/>
      <c r="I235" s="12"/>
      <c r="J235" s="12"/>
      <c r="K235" s="12"/>
      <c r="L235" s="12"/>
      <c r="M235" s="12"/>
      <c r="N235" s="12"/>
      <c r="O235" s="12"/>
      <c r="P235" s="12"/>
    </row>
    <row r="236">
      <c r="A236" s="12"/>
      <c r="D236" s="95"/>
      <c r="E236" s="14"/>
      <c r="F236" s="96"/>
      <c r="H236" s="12"/>
      <c r="I236" s="12"/>
      <c r="J236" s="12"/>
      <c r="K236" s="12"/>
      <c r="L236" s="12"/>
      <c r="M236" s="12"/>
      <c r="N236" s="12"/>
      <c r="O236" s="12"/>
      <c r="P236" s="12"/>
    </row>
    <row r="237">
      <c r="A237" s="12"/>
      <c r="D237" s="95"/>
      <c r="E237" s="14"/>
      <c r="F237" s="96"/>
      <c r="H237" s="12"/>
      <c r="I237" s="12"/>
      <c r="J237" s="12"/>
      <c r="K237" s="12"/>
      <c r="L237" s="12"/>
      <c r="M237" s="12"/>
      <c r="N237" s="12"/>
      <c r="O237" s="12"/>
      <c r="P237" s="12"/>
    </row>
    <row r="238">
      <c r="A238" s="12"/>
      <c r="D238" s="95"/>
      <c r="E238" s="14"/>
      <c r="F238" s="96"/>
      <c r="H238" s="12"/>
      <c r="I238" s="12"/>
      <c r="J238" s="12"/>
      <c r="K238" s="12"/>
      <c r="L238" s="12"/>
      <c r="M238" s="12"/>
      <c r="N238" s="12"/>
      <c r="O238" s="12"/>
      <c r="P238" s="12"/>
    </row>
    <row r="239">
      <c r="A239" s="12"/>
      <c r="D239" s="95"/>
      <c r="E239" s="14"/>
      <c r="F239" s="96"/>
      <c r="H239" s="12"/>
      <c r="I239" s="12"/>
      <c r="J239" s="12"/>
      <c r="K239" s="12"/>
      <c r="L239" s="12"/>
      <c r="M239" s="12"/>
      <c r="N239" s="12"/>
      <c r="O239" s="12"/>
      <c r="P239" s="12"/>
    </row>
    <row r="240">
      <c r="A240" s="12"/>
      <c r="D240" s="95"/>
      <c r="E240" s="14"/>
      <c r="F240" s="96"/>
      <c r="H240" s="12"/>
      <c r="I240" s="12"/>
      <c r="J240" s="12"/>
      <c r="K240" s="12"/>
      <c r="L240" s="12"/>
      <c r="M240" s="12"/>
      <c r="N240" s="12"/>
      <c r="O240" s="12"/>
      <c r="P240" s="12"/>
    </row>
    <row r="241">
      <c r="A241" s="12"/>
      <c r="D241" s="95"/>
      <c r="E241" s="14"/>
      <c r="F241" s="96"/>
      <c r="H241" s="12"/>
      <c r="I241" s="12"/>
      <c r="J241" s="12"/>
      <c r="K241" s="12"/>
      <c r="L241" s="12"/>
      <c r="M241" s="12"/>
      <c r="N241" s="12"/>
      <c r="O241" s="12"/>
      <c r="P241" s="12"/>
    </row>
    <row r="242">
      <c r="A242" s="12"/>
      <c r="D242" s="95"/>
      <c r="E242" s="14"/>
      <c r="F242" s="96"/>
      <c r="H242" s="12"/>
      <c r="I242" s="12"/>
      <c r="J242" s="12"/>
      <c r="K242" s="12"/>
      <c r="L242" s="12"/>
      <c r="M242" s="12"/>
      <c r="N242" s="12"/>
      <c r="O242" s="12"/>
      <c r="P242" s="12"/>
    </row>
    <row r="243">
      <c r="A243" s="12"/>
      <c r="D243" s="95"/>
      <c r="E243" s="14"/>
      <c r="F243" s="96"/>
      <c r="H243" s="12"/>
      <c r="I243" s="12"/>
      <c r="J243" s="12"/>
      <c r="K243" s="12"/>
      <c r="L243" s="12"/>
      <c r="M243" s="12"/>
      <c r="N243" s="12"/>
      <c r="O243" s="12"/>
      <c r="P243" s="12"/>
    </row>
    <row r="244">
      <c r="A244" s="12"/>
      <c r="D244" s="95"/>
      <c r="E244" s="14"/>
      <c r="F244" s="96"/>
      <c r="H244" s="12"/>
      <c r="I244" s="12"/>
      <c r="J244" s="12"/>
      <c r="K244" s="12"/>
      <c r="L244" s="12"/>
      <c r="M244" s="12"/>
      <c r="N244" s="12"/>
      <c r="O244" s="12"/>
      <c r="P244" s="12"/>
    </row>
    <row r="245">
      <c r="A245" s="12"/>
      <c r="D245" s="95"/>
      <c r="E245" s="14"/>
      <c r="F245" s="96"/>
      <c r="H245" s="12"/>
      <c r="I245" s="12"/>
      <c r="J245" s="12"/>
      <c r="K245" s="12"/>
      <c r="L245" s="12"/>
      <c r="M245" s="12"/>
      <c r="N245" s="12"/>
      <c r="O245" s="12"/>
      <c r="P245" s="12"/>
    </row>
    <row r="246">
      <c r="A246" s="12"/>
      <c r="D246" s="95"/>
      <c r="E246" s="14"/>
      <c r="F246" s="96"/>
      <c r="H246" s="12"/>
      <c r="I246" s="12"/>
      <c r="J246" s="12"/>
      <c r="K246" s="12"/>
      <c r="L246" s="12"/>
      <c r="M246" s="12"/>
      <c r="N246" s="12"/>
      <c r="O246" s="12"/>
      <c r="P246" s="12"/>
    </row>
    <row r="247">
      <c r="A247" s="12"/>
      <c r="D247" s="95"/>
      <c r="E247" s="14"/>
      <c r="F247" s="96"/>
      <c r="H247" s="12"/>
      <c r="I247" s="12"/>
      <c r="J247" s="12"/>
      <c r="K247" s="12"/>
      <c r="L247" s="12"/>
      <c r="M247" s="12"/>
      <c r="N247" s="12"/>
      <c r="O247" s="12"/>
      <c r="P247" s="12"/>
    </row>
    <row r="248">
      <c r="A248" s="12"/>
      <c r="D248" s="95"/>
      <c r="E248" s="14"/>
      <c r="F248" s="96"/>
      <c r="H248" s="12"/>
      <c r="I248" s="12"/>
      <c r="J248" s="12"/>
      <c r="K248" s="12"/>
      <c r="L248" s="12"/>
      <c r="M248" s="12"/>
      <c r="N248" s="12"/>
      <c r="O248" s="12"/>
      <c r="P248" s="12"/>
    </row>
    <row r="249">
      <c r="A249" s="12"/>
      <c r="D249" s="95"/>
      <c r="E249" s="14"/>
      <c r="F249" s="96"/>
      <c r="H249" s="12"/>
      <c r="I249" s="12"/>
      <c r="J249" s="12"/>
      <c r="K249" s="12"/>
      <c r="L249" s="12"/>
      <c r="M249" s="12"/>
      <c r="N249" s="12"/>
      <c r="O249" s="12"/>
      <c r="P249" s="12"/>
    </row>
    <row r="250">
      <c r="A250" s="12"/>
      <c r="D250" s="95"/>
      <c r="E250" s="14"/>
      <c r="F250" s="96"/>
      <c r="H250" s="12"/>
      <c r="I250" s="12"/>
      <c r="J250" s="12"/>
      <c r="K250" s="12"/>
      <c r="L250" s="12"/>
      <c r="M250" s="12"/>
      <c r="N250" s="12"/>
      <c r="O250" s="12"/>
      <c r="P250" s="12"/>
    </row>
    <row r="251">
      <c r="A251" s="12"/>
      <c r="D251" s="95"/>
      <c r="E251" s="14"/>
      <c r="F251" s="96"/>
      <c r="H251" s="12"/>
      <c r="I251" s="12"/>
      <c r="J251" s="12"/>
      <c r="K251" s="12"/>
      <c r="L251" s="12"/>
      <c r="M251" s="12"/>
      <c r="N251" s="12"/>
      <c r="O251" s="12"/>
      <c r="P251" s="12"/>
    </row>
    <row r="252">
      <c r="A252" s="12"/>
      <c r="D252" s="95"/>
      <c r="E252" s="14"/>
      <c r="F252" s="96"/>
      <c r="H252" s="12"/>
      <c r="I252" s="12"/>
      <c r="J252" s="12"/>
      <c r="K252" s="12"/>
      <c r="L252" s="12"/>
      <c r="M252" s="12"/>
      <c r="N252" s="12"/>
      <c r="O252" s="12"/>
      <c r="P252" s="12"/>
    </row>
    <row r="253">
      <c r="A253" s="12"/>
      <c r="D253" s="95"/>
      <c r="E253" s="14"/>
      <c r="F253" s="96"/>
      <c r="H253" s="12"/>
      <c r="I253" s="12"/>
      <c r="J253" s="12"/>
      <c r="K253" s="12"/>
      <c r="L253" s="12"/>
      <c r="M253" s="12"/>
      <c r="N253" s="12"/>
      <c r="O253" s="12"/>
      <c r="P253" s="12"/>
    </row>
    <row r="254">
      <c r="A254" s="12"/>
      <c r="D254" s="95"/>
      <c r="E254" s="14"/>
      <c r="F254" s="96"/>
      <c r="H254" s="12"/>
      <c r="I254" s="12"/>
      <c r="J254" s="12"/>
      <c r="K254" s="12"/>
      <c r="L254" s="12"/>
      <c r="M254" s="12"/>
      <c r="N254" s="12"/>
      <c r="O254" s="12"/>
      <c r="P254" s="12"/>
    </row>
    <row r="255">
      <c r="A255" s="12"/>
      <c r="D255" s="95"/>
      <c r="E255" s="14"/>
      <c r="F255" s="96"/>
      <c r="H255" s="12"/>
      <c r="I255" s="12"/>
      <c r="J255" s="12"/>
      <c r="K255" s="12"/>
      <c r="L255" s="12"/>
      <c r="M255" s="12"/>
      <c r="N255" s="12"/>
      <c r="O255" s="12"/>
      <c r="P255" s="12"/>
    </row>
    <row r="256">
      <c r="A256" s="12"/>
      <c r="D256" s="95"/>
      <c r="E256" s="14"/>
      <c r="F256" s="96"/>
      <c r="H256" s="12"/>
      <c r="I256" s="12"/>
      <c r="J256" s="12"/>
      <c r="K256" s="12"/>
      <c r="L256" s="12"/>
      <c r="M256" s="12"/>
      <c r="N256" s="12"/>
      <c r="O256" s="12"/>
      <c r="P256" s="12"/>
    </row>
    <row r="257">
      <c r="A257" s="12"/>
      <c r="D257" s="95"/>
      <c r="E257" s="14"/>
      <c r="F257" s="96"/>
      <c r="H257" s="12"/>
      <c r="I257" s="12"/>
      <c r="J257" s="12"/>
      <c r="K257" s="12"/>
      <c r="L257" s="12"/>
      <c r="M257" s="12"/>
      <c r="N257" s="12"/>
      <c r="O257" s="12"/>
      <c r="P257" s="12"/>
    </row>
    <row r="258">
      <c r="A258" s="12"/>
      <c r="D258" s="95"/>
      <c r="E258" s="14"/>
      <c r="F258" s="96"/>
      <c r="H258" s="12"/>
      <c r="I258" s="12"/>
      <c r="J258" s="12"/>
      <c r="K258" s="12"/>
      <c r="L258" s="12"/>
      <c r="M258" s="12"/>
      <c r="N258" s="12"/>
      <c r="O258" s="12"/>
      <c r="P258" s="12"/>
    </row>
    <row r="259">
      <c r="A259" s="12"/>
      <c r="D259" s="95"/>
      <c r="E259" s="14"/>
      <c r="F259" s="96"/>
      <c r="H259" s="12"/>
      <c r="I259" s="12"/>
      <c r="J259" s="12"/>
      <c r="K259" s="12"/>
      <c r="L259" s="12"/>
      <c r="M259" s="12"/>
      <c r="N259" s="12"/>
      <c r="O259" s="12"/>
      <c r="P259" s="12"/>
    </row>
    <row r="260">
      <c r="A260" s="12"/>
      <c r="D260" s="95"/>
      <c r="E260" s="14"/>
      <c r="F260" s="96"/>
      <c r="H260" s="12"/>
      <c r="I260" s="12"/>
      <c r="J260" s="12"/>
      <c r="K260" s="12"/>
      <c r="L260" s="12"/>
      <c r="M260" s="12"/>
      <c r="N260" s="12"/>
      <c r="O260" s="12"/>
      <c r="P260" s="12"/>
    </row>
    <row r="261">
      <c r="A261" s="12"/>
      <c r="D261" s="95"/>
      <c r="E261" s="14"/>
      <c r="F261" s="96"/>
      <c r="H261" s="12"/>
      <c r="I261" s="12"/>
      <c r="J261" s="12"/>
      <c r="K261" s="12"/>
      <c r="L261" s="12"/>
      <c r="M261" s="12"/>
      <c r="N261" s="12"/>
      <c r="O261" s="12"/>
      <c r="P261" s="12"/>
    </row>
    <row r="262">
      <c r="A262" s="12"/>
      <c r="D262" s="95"/>
      <c r="E262" s="14"/>
      <c r="F262" s="96"/>
      <c r="H262" s="12"/>
      <c r="I262" s="12"/>
      <c r="J262" s="12"/>
      <c r="K262" s="12"/>
      <c r="L262" s="12"/>
      <c r="M262" s="12"/>
      <c r="N262" s="12"/>
      <c r="O262" s="12"/>
      <c r="P262" s="12"/>
    </row>
    <row r="263">
      <c r="A263" s="12"/>
      <c r="D263" s="95"/>
      <c r="E263" s="14"/>
      <c r="F263" s="96"/>
      <c r="H263" s="12"/>
      <c r="I263" s="12"/>
      <c r="J263" s="12"/>
      <c r="K263" s="12"/>
      <c r="L263" s="12"/>
      <c r="M263" s="12"/>
      <c r="N263" s="12"/>
      <c r="O263" s="12"/>
      <c r="P263" s="12"/>
    </row>
    <row r="264">
      <c r="A264" s="12"/>
      <c r="D264" s="95"/>
      <c r="E264" s="14"/>
      <c r="F264" s="96"/>
      <c r="H264" s="12"/>
      <c r="I264" s="12"/>
      <c r="J264" s="12"/>
      <c r="K264" s="12"/>
      <c r="L264" s="12"/>
      <c r="M264" s="12"/>
      <c r="N264" s="12"/>
      <c r="O264" s="12"/>
      <c r="P264" s="12"/>
    </row>
    <row r="265">
      <c r="A265" s="12"/>
      <c r="D265" s="95"/>
      <c r="E265" s="14"/>
      <c r="F265" s="96"/>
      <c r="H265" s="12"/>
      <c r="I265" s="12"/>
      <c r="J265" s="12"/>
      <c r="K265" s="12"/>
      <c r="L265" s="12"/>
      <c r="M265" s="12"/>
      <c r="N265" s="12"/>
      <c r="O265" s="12"/>
      <c r="P265" s="12"/>
    </row>
    <row r="266">
      <c r="A266" s="12"/>
      <c r="D266" s="95"/>
      <c r="E266" s="14"/>
      <c r="F266" s="96"/>
      <c r="H266" s="12"/>
      <c r="I266" s="12"/>
      <c r="J266" s="12"/>
      <c r="K266" s="12"/>
      <c r="L266" s="12"/>
      <c r="M266" s="12"/>
      <c r="N266" s="12"/>
      <c r="O266" s="12"/>
      <c r="P266" s="12"/>
    </row>
    <row r="267">
      <c r="A267" s="12"/>
      <c r="D267" s="95"/>
      <c r="E267" s="14"/>
      <c r="F267" s="96"/>
      <c r="H267" s="12"/>
      <c r="I267" s="12"/>
      <c r="J267" s="12"/>
      <c r="K267" s="12"/>
      <c r="L267" s="12"/>
      <c r="M267" s="12"/>
      <c r="N267" s="12"/>
      <c r="O267" s="12"/>
      <c r="P267" s="12"/>
    </row>
    <row r="268">
      <c r="A268" s="12"/>
      <c r="D268" s="95"/>
      <c r="E268" s="14"/>
      <c r="F268" s="96"/>
      <c r="H268" s="12"/>
      <c r="I268" s="12"/>
      <c r="J268" s="12"/>
      <c r="K268" s="12"/>
      <c r="L268" s="12"/>
      <c r="M268" s="12"/>
      <c r="N268" s="12"/>
      <c r="O268" s="12"/>
      <c r="P268" s="12"/>
    </row>
    <row r="269">
      <c r="A269" s="12"/>
      <c r="D269" s="95"/>
      <c r="E269" s="14"/>
      <c r="F269" s="96"/>
      <c r="H269" s="12"/>
      <c r="I269" s="12"/>
      <c r="J269" s="12"/>
      <c r="K269" s="12"/>
      <c r="L269" s="12"/>
      <c r="M269" s="12"/>
      <c r="N269" s="12"/>
      <c r="O269" s="12"/>
      <c r="P269" s="12"/>
    </row>
    <row r="270">
      <c r="A270" s="12"/>
      <c r="D270" s="95"/>
      <c r="E270" s="14"/>
      <c r="F270" s="96"/>
      <c r="H270" s="12"/>
      <c r="I270" s="12"/>
      <c r="J270" s="12"/>
      <c r="K270" s="12"/>
      <c r="L270" s="12"/>
      <c r="M270" s="12"/>
      <c r="N270" s="12"/>
      <c r="O270" s="12"/>
      <c r="P270" s="12"/>
    </row>
    <row r="271">
      <c r="A271" s="12"/>
      <c r="D271" s="95"/>
      <c r="E271" s="14"/>
      <c r="F271" s="96"/>
      <c r="H271" s="12"/>
      <c r="I271" s="12"/>
      <c r="J271" s="12"/>
      <c r="K271" s="12"/>
      <c r="L271" s="12"/>
      <c r="M271" s="12"/>
      <c r="N271" s="12"/>
      <c r="O271" s="12"/>
      <c r="P271" s="12"/>
    </row>
    <row r="272">
      <c r="A272" s="12"/>
      <c r="D272" s="95"/>
      <c r="E272" s="14"/>
      <c r="F272" s="96"/>
      <c r="H272" s="12"/>
      <c r="I272" s="12"/>
      <c r="J272" s="12"/>
      <c r="K272" s="12"/>
      <c r="L272" s="12"/>
      <c r="M272" s="12"/>
      <c r="N272" s="12"/>
      <c r="O272" s="12"/>
      <c r="P272" s="12"/>
    </row>
    <row r="273">
      <c r="A273" s="12"/>
      <c r="D273" s="95"/>
      <c r="E273" s="14"/>
      <c r="F273" s="96"/>
      <c r="H273" s="12"/>
      <c r="I273" s="12"/>
      <c r="J273" s="12"/>
      <c r="K273" s="12"/>
      <c r="L273" s="12"/>
      <c r="M273" s="12"/>
      <c r="N273" s="12"/>
      <c r="O273" s="12"/>
      <c r="P273" s="12"/>
    </row>
    <row r="274">
      <c r="A274" s="12"/>
      <c r="D274" s="95"/>
      <c r="E274" s="14"/>
      <c r="F274" s="96"/>
      <c r="H274" s="12"/>
      <c r="I274" s="12"/>
      <c r="J274" s="12"/>
      <c r="K274" s="12"/>
      <c r="L274" s="12"/>
      <c r="M274" s="12"/>
      <c r="N274" s="12"/>
      <c r="O274" s="12"/>
      <c r="P274" s="12"/>
    </row>
    <row r="275">
      <c r="A275" s="12"/>
      <c r="D275" s="95"/>
      <c r="E275" s="14"/>
      <c r="F275" s="96"/>
      <c r="H275" s="12"/>
      <c r="I275" s="12"/>
      <c r="J275" s="12"/>
      <c r="K275" s="12"/>
      <c r="L275" s="12"/>
      <c r="M275" s="12"/>
      <c r="N275" s="12"/>
      <c r="O275" s="12"/>
      <c r="P275" s="12"/>
    </row>
    <row r="276">
      <c r="A276" s="12"/>
      <c r="D276" s="95"/>
      <c r="E276" s="14"/>
      <c r="F276" s="96"/>
      <c r="H276" s="12"/>
      <c r="I276" s="12"/>
      <c r="J276" s="12"/>
      <c r="K276" s="12"/>
      <c r="L276" s="12"/>
      <c r="M276" s="12"/>
      <c r="N276" s="12"/>
      <c r="O276" s="12"/>
      <c r="P276" s="12"/>
    </row>
    <row r="277">
      <c r="A277" s="12"/>
      <c r="D277" s="95"/>
      <c r="E277" s="14"/>
      <c r="F277" s="96"/>
      <c r="H277" s="12"/>
      <c r="I277" s="12"/>
      <c r="J277" s="12"/>
      <c r="K277" s="12"/>
      <c r="L277" s="12"/>
      <c r="M277" s="12"/>
      <c r="N277" s="12"/>
      <c r="O277" s="12"/>
      <c r="P277" s="12"/>
    </row>
    <row r="278">
      <c r="A278" s="12"/>
      <c r="D278" s="95"/>
      <c r="E278" s="14"/>
      <c r="F278" s="96"/>
      <c r="H278" s="12"/>
      <c r="I278" s="12"/>
      <c r="J278" s="12"/>
      <c r="K278" s="12"/>
      <c r="L278" s="12"/>
      <c r="M278" s="12"/>
      <c r="N278" s="12"/>
      <c r="O278" s="12"/>
      <c r="P278" s="12"/>
    </row>
    <row r="279">
      <c r="A279" s="12"/>
      <c r="D279" s="95"/>
      <c r="E279" s="14"/>
      <c r="F279" s="96"/>
      <c r="H279" s="12"/>
      <c r="I279" s="12"/>
      <c r="J279" s="12"/>
      <c r="K279" s="12"/>
      <c r="L279" s="12"/>
      <c r="M279" s="12"/>
      <c r="N279" s="12"/>
      <c r="O279" s="12"/>
      <c r="P279" s="12"/>
    </row>
    <row r="280">
      <c r="A280" s="12"/>
      <c r="D280" s="95"/>
      <c r="E280" s="14"/>
      <c r="F280" s="96"/>
      <c r="H280" s="12"/>
      <c r="I280" s="12"/>
      <c r="J280" s="12"/>
      <c r="K280" s="12"/>
      <c r="L280" s="12"/>
      <c r="M280" s="12"/>
      <c r="N280" s="12"/>
      <c r="O280" s="12"/>
      <c r="P280" s="12"/>
    </row>
    <row r="281">
      <c r="A281" s="12"/>
      <c r="D281" s="95"/>
      <c r="E281" s="14"/>
      <c r="F281" s="96"/>
      <c r="H281" s="12"/>
      <c r="I281" s="12"/>
      <c r="J281" s="12"/>
      <c r="K281" s="12"/>
      <c r="L281" s="12"/>
      <c r="M281" s="12"/>
      <c r="N281" s="12"/>
      <c r="O281" s="12"/>
      <c r="P281" s="12"/>
    </row>
    <row r="282">
      <c r="A282" s="12"/>
      <c r="D282" s="95"/>
      <c r="E282" s="14"/>
      <c r="F282" s="96"/>
      <c r="H282" s="12"/>
      <c r="I282" s="12"/>
      <c r="J282" s="12"/>
      <c r="K282" s="12"/>
      <c r="L282" s="12"/>
      <c r="M282" s="12"/>
      <c r="N282" s="12"/>
      <c r="O282" s="12"/>
      <c r="P282" s="12"/>
    </row>
    <row r="283">
      <c r="A283" s="12"/>
      <c r="D283" s="95"/>
      <c r="E283" s="14"/>
      <c r="F283" s="96"/>
      <c r="H283" s="12"/>
      <c r="I283" s="12"/>
      <c r="J283" s="12"/>
      <c r="K283" s="12"/>
      <c r="L283" s="12"/>
      <c r="M283" s="12"/>
      <c r="N283" s="12"/>
      <c r="O283" s="12"/>
      <c r="P283" s="12"/>
    </row>
    <row r="284">
      <c r="A284" s="12"/>
      <c r="D284" s="95"/>
      <c r="E284" s="14"/>
      <c r="F284" s="96"/>
      <c r="H284" s="12"/>
      <c r="I284" s="12"/>
      <c r="J284" s="12"/>
      <c r="K284" s="12"/>
      <c r="L284" s="12"/>
      <c r="M284" s="12"/>
      <c r="N284" s="12"/>
      <c r="O284" s="12"/>
      <c r="P284" s="12"/>
    </row>
    <row r="285">
      <c r="A285" s="12"/>
      <c r="D285" s="95"/>
      <c r="E285" s="14"/>
      <c r="F285" s="96"/>
      <c r="H285" s="12"/>
      <c r="I285" s="12"/>
      <c r="J285" s="12"/>
      <c r="K285" s="12"/>
      <c r="L285" s="12"/>
      <c r="M285" s="12"/>
      <c r="N285" s="12"/>
      <c r="O285" s="12"/>
      <c r="P285" s="12"/>
    </row>
    <row r="286">
      <c r="A286" s="12"/>
      <c r="D286" s="95"/>
      <c r="E286" s="14"/>
      <c r="F286" s="96"/>
      <c r="H286" s="12"/>
      <c r="I286" s="12"/>
      <c r="J286" s="12"/>
      <c r="K286" s="12"/>
      <c r="L286" s="12"/>
      <c r="M286" s="12"/>
      <c r="N286" s="12"/>
      <c r="O286" s="12"/>
      <c r="P286" s="12"/>
    </row>
    <row r="287">
      <c r="A287" s="12"/>
      <c r="D287" s="95"/>
      <c r="E287" s="14"/>
      <c r="F287" s="96"/>
      <c r="H287" s="12"/>
      <c r="I287" s="12"/>
      <c r="J287" s="12"/>
      <c r="K287" s="12"/>
      <c r="L287" s="12"/>
      <c r="M287" s="12"/>
      <c r="N287" s="12"/>
      <c r="O287" s="12"/>
      <c r="P287" s="12"/>
    </row>
    <row r="288">
      <c r="A288" s="12"/>
      <c r="D288" s="95"/>
      <c r="E288" s="14"/>
      <c r="F288" s="96"/>
      <c r="H288" s="12"/>
      <c r="I288" s="12"/>
      <c r="J288" s="12"/>
      <c r="K288" s="12"/>
      <c r="L288" s="12"/>
      <c r="M288" s="12"/>
      <c r="N288" s="12"/>
      <c r="O288" s="12"/>
      <c r="P288" s="12"/>
    </row>
    <row r="289">
      <c r="A289" s="12"/>
      <c r="D289" s="95"/>
      <c r="E289" s="14"/>
      <c r="F289" s="96"/>
      <c r="H289" s="12"/>
      <c r="I289" s="12"/>
      <c r="J289" s="12"/>
      <c r="K289" s="12"/>
      <c r="L289" s="12"/>
      <c r="M289" s="12"/>
      <c r="N289" s="12"/>
      <c r="O289" s="12"/>
      <c r="P289" s="12"/>
    </row>
    <row r="290">
      <c r="A290" s="12"/>
      <c r="D290" s="95"/>
      <c r="E290" s="14"/>
      <c r="F290" s="96"/>
      <c r="H290" s="12"/>
      <c r="I290" s="12"/>
      <c r="J290" s="12"/>
      <c r="K290" s="12"/>
      <c r="L290" s="12"/>
      <c r="M290" s="12"/>
      <c r="N290" s="12"/>
      <c r="O290" s="12"/>
      <c r="P290" s="12"/>
    </row>
    <row r="291">
      <c r="A291" s="12"/>
      <c r="D291" s="95"/>
      <c r="E291" s="14"/>
      <c r="F291" s="96"/>
      <c r="H291" s="12"/>
      <c r="I291" s="12"/>
      <c r="J291" s="12"/>
      <c r="K291" s="12"/>
      <c r="L291" s="12"/>
      <c r="M291" s="12"/>
      <c r="N291" s="12"/>
      <c r="O291" s="12"/>
      <c r="P291" s="12"/>
    </row>
    <row r="292">
      <c r="A292" s="12"/>
      <c r="D292" s="95"/>
      <c r="E292" s="14"/>
      <c r="F292" s="96"/>
      <c r="H292" s="12"/>
      <c r="I292" s="12"/>
      <c r="J292" s="12"/>
      <c r="K292" s="12"/>
      <c r="L292" s="12"/>
      <c r="M292" s="12"/>
      <c r="N292" s="12"/>
      <c r="O292" s="12"/>
      <c r="P292" s="12"/>
    </row>
    <row r="293">
      <c r="A293" s="12"/>
      <c r="D293" s="95"/>
      <c r="E293" s="14"/>
      <c r="F293" s="96"/>
      <c r="H293" s="12"/>
      <c r="I293" s="12"/>
      <c r="J293" s="12"/>
      <c r="K293" s="12"/>
      <c r="L293" s="12"/>
      <c r="M293" s="12"/>
      <c r="N293" s="12"/>
      <c r="O293" s="12"/>
      <c r="P293" s="12"/>
    </row>
    <row r="294">
      <c r="A294" s="12"/>
      <c r="D294" s="95"/>
      <c r="E294" s="14"/>
      <c r="F294" s="96"/>
      <c r="H294" s="12"/>
      <c r="I294" s="12"/>
      <c r="J294" s="12"/>
      <c r="K294" s="12"/>
      <c r="L294" s="12"/>
      <c r="M294" s="12"/>
      <c r="N294" s="12"/>
      <c r="O294" s="12"/>
      <c r="P294" s="12"/>
    </row>
    <row r="295">
      <c r="A295" s="12"/>
      <c r="D295" s="95"/>
      <c r="E295" s="14"/>
      <c r="F295" s="96"/>
      <c r="H295" s="12"/>
      <c r="I295" s="12"/>
      <c r="J295" s="12"/>
      <c r="K295" s="12"/>
      <c r="L295" s="12"/>
      <c r="M295" s="12"/>
      <c r="N295" s="12"/>
      <c r="O295" s="12"/>
      <c r="P295" s="12"/>
    </row>
    <row r="296">
      <c r="A296" s="12"/>
      <c r="D296" s="95"/>
      <c r="E296" s="14"/>
      <c r="F296" s="96"/>
      <c r="H296" s="12"/>
      <c r="I296" s="12"/>
      <c r="J296" s="12"/>
      <c r="K296" s="12"/>
      <c r="L296" s="12"/>
      <c r="M296" s="12"/>
      <c r="N296" s="12"/>
      <c r="O296" s="12"/>
      <c r="P296" s="12"/>
    </row>
    <row r="297">
      <c r="A297" s="12"/>
      <c r="D297" s="95"/>
      <c r="E297" s="14"/>
      <c r="F297" s="96"/>
      <c r="H297" s="12"/>
      <c r="I297" s="12"/>
      <c r="J297" s="12"/>
      <c r="K297" s="12"/>
      <c r="L297" s="12"/>
      <c r="M297" s="12"/>
      <c r="N297" s="12"/>
      <c r="O297" s="12"/>
      <c r="P297" s="12"/>
    </row>
    <row r="298">
      <c r="A298" s="12"/>
      <c r="D298" s="95"/>
      <c r="E298" s="14"/>
      <c r="F298" s="96"/>
      <c r="H298" s="12"/>
      <c r="I298" s="12"/>
      <c r="J298" s="12"/>
      <c r="K298" s="12"/>
      <c r="L298" s="12"/>
      <c r="M298" s="12"/>
      <c r="N298" s="12"/>
      <c r="O298" s="12"/>
      <c r="P298" s="12"/>
    </row>
    <row r="299">
      <c r="A299" s="12"/>
      <c r="D299" s="95"/>
      <c r="E299" s="14"/>
      <c r="F299" s="96"/>
      <c r="H299" s="12"/>
      <c r="I299" s="12"/>
      <c r="J299" s="12"/>
      <c r="K299" s="12"/>
      <c r="L299" s="12"/>
      <c r="M299" s="12"/>
      <c r="N299" s="12"/>
      <c r="O299" s="12"/>
      <c r="P299" s="12"/>
    </row>
    <row r="300">
      <c r="A300" s="12"/>
      <c r="D300" s="95"/>
      <c r="E300" s="14"/>
      <c r="F300" s="96"/>
      <c r="H300" s="12"/>
      <c r="I300" s="12"/>
      <c r="J300" s="12"/>
      <c r="K300" s="12"/>
      <c r="L300" s="12"/>
      <c r="M300" s="12"/>
      <c r="N300" s="12"/>
      <c r="O300" s="12"/>
      <c r="P300" s="12"/>
    </row>
    <row r="301">
      <c r="A301" s="12"/>
      <c r="D301" s="95"/>
      <c r="E301" s="14"/>
      <c r="F301" s="96"/>
      <c r="H301" s="12"/>
      <c r="I301" s="12"/>
      <c r="J301" s="12"/>
      <c r="K301" s="12"/>
      <c r="L301" s="12"/>
      <c r="M301" s="12"/>
      <c r="N301" s="12"/>
      <c r="O301" s="12"/>
      <c r="P301" s="12"/>
    </row>
    <row r="302">
      <c r="A302" s="12"/>
      <c r="D302" s="95"/>
      <c r="E302" s="14"/>
      <c r="F302" s="96"/>
      <c r="H302" s="12"/>
      <c r="I302" s="12"/>
      <c r="J302" s="12"/>
      <c r="K302" s="12"/>
      <c r="L302" s="12"/>
      <c r="M302" s="12"/>
      <c r="N302" s="12"/>
      <c r="O302" s="12"/>
      <c r="P302" s="12"/>
    </row>
    <row r="303">
      <c r="A303" s="12"/>
      <c r="D303" s="95"/>
      <c r="E303" s="14"/>
      <c r="F303" s="96"/>
      <c r="H303" s="12"/>
      <c r="I303" s="12"/>
      <c r="J303" s="12"/>
      <c r="K303" s="12"/>
      <c r="L303" s="12"/>
      <c r="M303" s="12"/>
      <c r="N303" s="12"/>
      <c r="O303" s="12"/>
      <c r="P303" s="12"/>
    </row>
    <row r="304">
      <c r="A304" s="12"/>
      <c r="D304" s="95"/>
      <c r="E304" s="14"/>
      <c r="F304" s="96"/>
      <c r="H304" s="12"/>
      <c r="I304" s="12"/>
      <c r="J304" s="12"/>
      <c r="K304" s="12"/>
      <c r="L304" s="12"/>
      <c r="M304" s="12"/>
      <c r="N304" s="12"/>
      <c r="O304" s="12"/>
      <c r="P304" s="12"/>
    </row>
    <row r="305">
      <c r="A305" s="12"/>
      <c r="D305" s="95"/>
      <c r="E305" s="14"/>
      <c r="F305" s="96"/>
      <c r="H305" s="12"/>
      <c r="I305" s="12"/>
      <c r="J305" s="12"/>
      <c r="K305" s="12"/>
      <c r="L305" s="12"/>
      <c r="M305" s="12"/>
      <c r="N305" s="12"/>
      <c r="O305" s="12"/>
      <c r="P305" s="12"/>
    </row>
    <row r="306">
      <c r="A306" s="12"/>
      <c r="D306" s="95"/>
      <c r="E306" s="14"/>
      <c r="F306" s="96"/>
      <c r="H306" s="12"/>
      <c r="I306" s="12"/>
      <c r="J306" s="12"/>
      <c r="K306" s="12"/>
      <c r="L306" s="12"/>
      <c r="M306" s="12"/>
      <c r="N306" s="12"/>
      <c r="O306" s="12"/>
      <c r="P306" s="12"/>
    </row>
    <row r="307">
      <c r="A307" s="12"/>
      <c r="D307" s="95"/>
      <c r="E307" s="14"/>
      <c r="F307" s="96"/>
      <c r="H307" s="12"/>
      <c r="I307" s="12"/>
      <c r="J307" s="12"/>
      <c r="K307" s="12"/>
      <c r="L307" s="12"/>
      <c r="M307" s="12"/>
      <c r="N307" s="12"/>
      <c r="O307" s="12"/>
      <c r="P307" s="12"/>
    </row>
    <row r="308">
      <c r="A308" s="12"/>
      <c r="D308" s="95"/>
      <c r="E308" s="14"/>
      <c r="F308" s="96"/>
      <c r="H308" s="12"/>
      <c r="I308" s="12"/>
      <c r="J308" s="12"/>
      <c r="K308" s="12"/>
      <c r="L308" s="12"/>
      <c r="M308" s="12"/>
      <c r="N308" s="12"/>
      <c r="O308" s="12"/>
      <c r="P308" s="12"/>
    </row>
    <row r="309">
      <c r="A309" s="12"/>
      <c r="D309" s="95"/>
      <c r="E309" s="14"/>
      <c r="F309" s="96"/>
      <c r="H309" s="12"/>
      <c r="I309" s="12"/>
      <c r="J309" s="12"/>
      <c r="K309" s="12"/>
      <c r="L309" s="12"/>
      <c r="M309" s="12"/>
      <c r="N309" s="12"/>
      <c r="O309" s="12"/>
      <c r="P309" s="12"/>
    </row>
    <row r="310">
      <c r="A310" s="12"/>
      <c r="D310" s="95"/>
      <c r="E310" s="14"/>
      <c r="F310" s="96"/>
      <c r="H310" s="12"/>
      <c r="I310" s="12"/>
      <c r="J310" s="12"/>
      <c r="K310" s="12"/>
      <c r="L310" s="12"/>
      <c r="M310" s="12"/>
      <c r="N310" s="12"/>
      <c r="O310" s="12"/>
      <c r="P310" s="12"/>
    </row>
    <row r="311">
      <c r="A311" s="12"/>
      <c r="D311" s="95"/>
      <c r="E311" s="14"/>
      <c r="F311" s="96"/>
      <c r="H311" s="12"/>
      <c r="I311" s="12"/>
      <c r="J311" s="12"/>
      <c r="K311" s="12"/>
      <c r="L311" s="12"/>
      <c r="M311" s="12"/>
      <c r="N311" s="12"/>
      <c r="O311" s="12"/>
      <c r="P311" s="12"/>
    </row>
    <row r="312">
      <c r="A312" s="12"/>
      <c r="D312" s="95"/>
      <c r="E312" s="14"/>
      <c r="F312" s="96"/>
      <c r="H312" s="12"/>
      <c r="I312" s="12"/>
      <c r="J312" s="12"/>
      <c r="K312" s="12"/>
      <c r="L312" s="12"/>
      <c r="M312" s="12"/>
      <c r="N312" s="12"/>
      <c r="O312" s="12"/>
      <c r="P312" s="12"/>
    </row>
    <row r="313">
      <c r="A313" s="12"/>
      <c r="D313" s="95"/>
      <c r="E313" s="14"/>
      <c r="F313" s="96"/>
      <c r="H313" s="12"/>
      <c r="I313" s="12"/>
      <c r="J313" s="12"/>
      <c r="K313" s="12"/>
      <c r="L313" s="12"/>
      <c r="M313" s="12"/>
      <c r="N313" s="12"/>
      <c r="O313" s="12"/>
      <c r="P313" s="12"/>
    </row>
    <row r="314">
      <c r="A314" s="12"/>
      <c r="D314" s="95"/>
      <c r="E314" s="14"/>
      <c r="F314" s="96"/>
      <c r="H314" s="12"/>
      <c r="I314" s="12"/>
      <c r="J314" s="12"/>
      <c r="K314" s="12"/>
      <c r="L314" s="12"/>
      <c r="M314" s="12"/>
      <c r="N314" s="12"/>
      <c r="O314" s="12"/>
      <c r="P314" s="12"/>
    </row>
    <row r="315">
      <c r="A315" s="12"/>
      <c r="D315" s="95"/>
      <c r="E315" s="14"/>
      <c r="F315" s="96"/>
      <c r="H315" s="12"/>
      <c r="I315" s="12"/>
      <c r="J315" s="12"/>
      <c r="K315" s="12"/>
      <c r="L315" s="12"/>
      <c r="M315" s="12"/>
      <c r="N315" s="12"/>
      <c r="O315" s="12"/>
      <c r="P315" s="12"/>
    </row>
    <row r="316">
      <c r="A316" s="12"/>
      <c r="D316" s="95"/>
      <c r="E316" s="14"/>
      <c r="F316" s="96"/>
      <c r="H316" s="12"/>
      <c r="I316" s="12"/>
      <c r="J316" s="12"/>
      <c r="K316" s="12"/>
      <c r="L316" s="12"/>
      <c r="M316" s="12"/>
      <c r="N316" s="12"/>
      <c r="O316" s="12"/>
      <c r="P316" s="12"/>
    </row>
    <row r="317">
      <c r="A317" s="12"/>
      <c r="D317" s="95"/>
      <c r="E317" s="14"/>
      <c r="F317" s="96"/>
      <c r="H317" s="12"/>
      <c r="I317" s="12"/>
      <c r="J317" s="12"/>
      <c r="K317" s="12"/>
      <c r="L317" s="12"/>
      <c r="M317" s="12"/>
      <c r="N317" s="12"/>
      <c r="O317" s="12"/>
      <c r="P317" s="12"/>
    </row>
    <row r="318">
      <c r="A318" s="12"/>
      <c r="D318" s="95"/>
      <c r="E318" s="14"/>
      <c r="F318" s="96"/>
      <c r="H318" s="12"/>
      <c r="I318" s="12"/>
      <c r="J318" s="12"/>
      <c r="K318" s="12"/>
      <c r="L318" s="12"/>
      <c r="M318" s="12"/>
      <c r="N318" s="12"/>
      <c r="O318" s="12"/>
      <c r="P318" s="12"/>
    </row>
    <row r="319">
      <c r="A319" s="12"/>
      <c r="D319" s="95"/>
      <c r="E319" s="14"/>
      <c r="F319" s="96"/>
      <c r="H319" s="12"/>
      <c r="I319" s="12"/>
      <c r="J319" s="12"/>
      <c r="K319" s="12"/>
      <c r="L319" s="12"/>
      <c r="M319" s="12"/>
      <c r="N319" s="12"/>
      <c r="O319" s="12"/>
      <c r="P319" s="12"/>
    </row>
    <row r="320">
      <c r="A320" s="12"/>
      <c r="D320" s="95"/>
      <c r="E320" s="14"/>
      <c r="F320" s="96"/>
      <c r="H320" s="12"/>
      <c r="I320" s="12"/>
      <c r="J320" s="12"/>
      <c r="K320" s="12"/>
      <c r="L320" s="12"/>
      <c r="M320" s="12"/>
      <c r="N320" s="12"/>
      <c r="O320" s="12"/>
      <c r="P320" s="12"/>
    </row>
    <row r="321">
      <c r="A321" s="12"/>
      <c r="D321" s="95"/>
      <c r="E321" s="14"/>
      <c r="F321" s="96"/>
      <c r="H321" s="12"/>
      <c r="I321" s="12"/>
      <c r="J321" s="12"/>
      <c r="K321" s="12"/>
      <c r="L321" s="12"/>
      <c r="M321" s="12"/>
      <c r="N321" s="12"/>
      <c r="O321" s="12"/>
      <c r="P321" s="12"/>
    </row>
    <row r="322">
      <c r="A322" s="12"/>
      <c r="D322" s="95"/>
      <c r="E322" s="14"/>
      <c r="F322" s="96"/>
      <c r="H322" s="12"/>
      <c r="I322" s="12"/>
      <c r="J322" s="12"/>
      <c r="K322" s="12"/>
      <c r="L322" s="12"/>
      <c r="M322" s="12"/>
      <c r="N322" s="12"/>
      <c r="O322" s="12"/>
      <c r="P322" s="12"/>
    </row>
    <row r="323">
      <c r="A323" s="12"/>
      <c r="D323" s="95"/>
      <c r="E323" s="14"/>
      <c r="F323" s="96"/>
      <c r="H323" s="12"/>
      <c r="I323" s="12"/>
      <c r="J323" s="12"/>
      <c r="K323" s="12"/>
      <c r="L323" s="12"/>
      <c r="M323" s="12"/>
      <c r="N323" s="12"/>
      <c r="O323" s="12"/>
      <c r="P323" s="12"/>
    </row>
    <row r="324">
      <c r="A324" s="12"/>
      <c r="D324" s="95"/>
      <c r="E324" s="14"/>
      <c r="F324" s="96"/>
      <c r="H324" s="12"/>
      <c r="I324" s="12"/>
      <c r="J324" s="12"/>
      <c r="K324" s="12"/>
      <c r="L324" s="12"/>
      <c r="M324" s="12"/>
      <c r="N324" s="12"/>
      <c r="O324" s="12"/>
      <c r="P324" s="12"/>
    </row>
    <row r="325">
      <c r="A325" s="12"/>
      <c r="D325" s="95"/>
      <c r="E325" s="14"/>
      <c r="F325" s="96"/>
      <c r="H325" s="12"/>
      <c r="I325" s="12"/>
      <c r="J325" s="12"/>
      <c r="K325" s="12"/>
      <c r="L325" s="12"/>
      <c r="M325" s="12"/>
      <c r="N325" s="12"/>
      <c r="O325" s="12"/>
      <c r="P325" s="12"/>
    </row>
    <row r="326">
      <c r="A326" s="12"/>
      <c r="D326" s="95"/>
      <c r="E326" s="14"/>
      <c r="F326" s="96"/>
      <c r="H326" s="12"/>
      <c r="I326" s="12"/>
      <c r="J326" s="12"/>
      <c r="K326" s="12"/>
      <c r="L326" s="12"/>
      <c r="M326" s="12"/>
      <c r="N326" s="12"/>
      <c r="O326" s="12"/>
      <c r="P326" s="12"/>
    </row>
    <row r="327">
      <c r="A327" s="12"/>
      <c r="D327" s="95"/>
      <c r="E327" s="14"/>
      <c r="F327" s="96"/>
      <c r="H327" s="12"/>
      <c r="I327" s="12"/>
      <c r="J327" s="12"/>
      <c r="K327" s="12"/>
      <c r="L327" s="12"/>
      <c r="M327" s="12"/>
      <c r="N327" s="12"/>
      <c r="O327" s="12"/>
      <c r="P327" s="12"/>
    </row>
    <row r="328">
      <c r="A328" s="12"/>
      <c r="D328" s="95"/>
      <c r="E328" s="14"/>
      <c r="F328" s="96"/>
      <c r="H328" s="12"/>
      <c r="I328" s="12"/>
      <c r="J328" s="12"/>
      <c r="K328" s="12"/>
      <c r="L328" s="12"/>
      <c r="M328" s="12"/>
      <c r="N328" s="12"/>
      <c r="O328" s="12"/>
      <c r="P328" s="12"/>
    </row>
    <row r="329">
      <c r="A329" s="12"/>
      <c r="D329" s="95"/>
      <c r="E329" s="14"/>
      <c r="F329" s="96"/>
      <c r="H329" s="12"/>
      <c r="I329" s="12"/>
      <c r="J329" s="12"/>
      <c r="K329" s="12"/>
      <c r="L329" s="12"/>
      <c r="M329" s="12"/>
      <c r="N329" s="12"/>
      <c r="O329" s="12"/>
      <c r="P329" s="12"/>
    </row>
    <row r="330">
      <c r="A330" s="12"/>
      <c r="D330" s="95"/>
      <c r="E330" s="14"/>
      <c r="F330" s="96"/>
      <c r="H330" s="12"/>
      <c r="I330" s="12"/>
      <c r="J330" s="12"/>
      <c r="K330" s="12"/>
      <c r="L330" s="12"/>
      <c r="M330" s="12"/>
      <c r="N330" s="12"/>
      <c r="O330" s="12"/>
      <c r="P330" s="12"/>
    </row>
    <row r="331">
      <c r="A331" s="12"/>
      <c r="D331" s="95"/>
      <c r="E331" s="14"/>
      <c r="F331" s="96"/>
      <c r="H331" s="12"/>
      <c r="I331" s="12"/>
      <c r="J331" s="12"/>
      <c r="K331" s="12"/>
      <c r="L331" s="12"/>
      <c r="M331" s="12"/>
      <c r="N331" s="12"/>
      <c r="O331" s="12"/>
      <c r="P331" s="12"/>
    </row>
    <row r="332">
      <c r="A332" s="12"/>
      <c r="D332" s="95"/>
      <c r="E332" s="14"/>
      <c r="F332" s="96"/>
      <c r="H332" s="12"/>
      <c r="I332" s="12"/>
      <c r="J332" s="12"/>
      <c r="K332" s="12"/>
      <c r="L332" s="12"/>
      <c r="M332" s="12"/>
      <c r="N332" s="12"/>
      <c r="O332" s="12"/>
      <c r="P332" s="12"/>
    </row>
    <row r="333">
      <c r="A333" s="12"/>
      <c r="D333" s="95"/>
      <c r="E333" s="14"/>
      <c r="F333" s="96"/>
      <c r="H333" s="12"/>
      <c r="I333" s="12"/>
      <c r="J333" s="12"/>
      <c r="K333" s="12"/>
      <c r="L333" s="12"/>
      <c r="M333" s="12"/>
      <c r="N333" s="12"/>
      <c r="O333" s="12"/>
      <c r="P333" s="12"/>
    </row>
    <row r="334">
      <c r="A334" s="12"/>
      <c r="D334" s="95"/>
      <c r="E334" s="14"/>
      <c r="F334" s="96"/>
      <c r="H334" s="12"/>
      <c r="I334" s="12"/>
      <c r="J334" s="12"/>
      <c r="K334" s="12"/>
      <c r="L334" s="12"/>
      <c r="M334" s="12"/>
      <c r="N334" s="12"/>
      <c r="O334" s="12"/>
      <c r="P334" s="12"/>
    </row>
    <row r="335">
      <c r="A335" s="12"/>
      <c r="D335" s="95"/>
      <c r="E335" s="14"/>
      <c r="F335" s="96"/>
      <c r="H335" s="12"/>
      <c r="I335" s="12"/>
      <c r="J335" s="12"/>
      <c r="K335" s="12"/>
      <c r="L335" s="12"/>
      <c r="M335" s="12"/>
      <c r="N335" s="12"/>
      <c r="O335" s="12"/>
      <c r="P335" s="12"/>
    </row>
    <row r="336">
      <c r="A336" s="12"/>
      <c r="D336" s="95"/>
      <c r="E336" s="14"/>
      <c r="F336" s="96"/>
      <c r="H336" s="12"/>
      <c r="I336" s="12"/>
      <c r="J336" s="12"/>
      <c r="K336" s="12"/>
      <c r="L336" s="12"/>
      <c r="M336" s="12"/>
      <c r="N336" s="12"/>
      <c r="O336" s="12"/>
      <c r="P336" s="12"/>
    </row>
    <row r="337">
      <c r="A337" s="12"/>
      <c r="D337" s="95"/>
      <c r="E337" s="14"/>
      <c r="F337" s="96"/>
      <c r="H337" s="12"/>
      <c r="I337" s="12"/>
      <c r="J337" s="12"/>
      <c r="K337" s="12"/>
      <c r="L337" s="12"/>
      <c r="M337" s="12"/>
      <c r="N337" s="12"/>
      <c r="O337" s="12"/>
      <c r="P337" s="12"/>
    </row>
    <row r="338">
      <c r="A338" s="12"/>
      <c r="D338" s="95"/>
      <c r="E338" s="14"/>
      <c r="F338" s="96"/>
      <c r="H338" s="12"/>
      <c r="I338" s="12"/>
      <c r="J338" s="12"/>
      <c r="K338" s="12"/>
      <c r="L338" s="12"/>
      <c r="M338" s="12"/>
      <c r="N338" s="12"/>
      <c r="O338" s="12"/>
      <c r="P338" s="12"/>
    </row>
    <row r="339">
      <c r="A339" s="12"/>
      <c r="D339" s="95"/>
      <c r="E339" s="14"/>
      <c r="F339" s="96"/>
      <c r="H339" s="12"/>
      <c r="I339" s="12"/>
      <c r="J339" s="12"/>
      <c r="K339" s="12"/>
      <c r="L339" s="12"/>
      <c r="M339" s="12"/>
      <c r="N339" s="12"/>
      <c r="O339" s="12"/>
      <c r="P339" s="12"/>
    </row>
    <row r="340">
      <c r="A340" s="12"/>
      <c r="D340" s="95"/>
      <c r="E340" s="14"/>
      <c r="F340" s="96"/>
      <c r="H340" s="12"/>
      <c r="I340" s="12"/>
      <c r="J340" s="12"/>
      <c r="K340" s="12"/>
      <c r="L340" s="12"/>
      <c r="M340" s="12"/>
      <c r="N340" s="12"/>
      <c r="O340" s="12"/>
      <c r="P340" s="12"/>
    </row>
    <row r="341">
      <c r="A341" s="12"/>
      <c r="D341" s="95"/>
      <c r="E341" s="14"/>
      <c r="F341" s="96"/>
      <c r="H341" s="12"/>
      <c r="I341" s="12"/>
      <c r="J341" s="12"/>
      <c r="K341" s="12"/>
      <c r="L341" s="12"/>
      <c r="M341" s="12"/>
      <c r="N341" s="12"/>
      <c r="O341" s="12"/>
      <c r="P341" s="12"/>
    </row>
    <row r="342">
      <c r="A342" s="12"/>
      <c r="D342" s="95"/>
      <c r="E342" s="14"/>
      <c r="F342" s="96"/>
      <c r="H342" s="12"/>
      <c r="I342" s="12"/>
      <c r="J342" s="12"/>
      <c r="K342" s="12"/>
      <c r="L342" s="12"/>
      <c r="M342" s="12"/>
      <c r="N342" s="12"/>
      <c r="O342" s="12"/>
      <c r="P342" s="12"/>
    </row>
    <row r="343">
      <c r="A343" s="12"/>
      <c r="D343" s="95"/>
      <c r="E343" s="14"/>
      <c r="F343" s="96"/>
      <c r="H343" s="12"/>
      <c r="I343" s="12"/>
      <c r="J343" s="12"/>
      <c r="K343" s="12"/>
      <c r="L343" s="12"/>
      <c r="M343" s="12"/>
      <c r="N343" s="12"/>
      <c r="O343" s="12"/>
      <c r="P343" s="12"/>
    </row>
    <row r="344">
      <c r="A344" s="12"/>
      <c r="D344" s="95"/>
      <c r="E344" s="14"/>
      <c r="F344" s="96"/>
      <c r="H344" s="12"/>
      <c r="I344" s="12"/>
      <c r="J344" s="12"/>
      <c r="K344" s="12"/>
      <c r="L344" s="12"/>
      <c r="M344" s="12"/>
      <c r="N344" s="12"/>
      <c r="O344" s="12"/>
      <c r="P344" s="12"/>
    </row>
    <row r="345">
      <c r="A345" s="12"/>
      <c r="D345" s="95"/>
      <c r="E345" s="14"/>
      <c r="F345" s="96"/>
      <c r="H345" s="12"/>
      <c r="I345" s="12"/>
      <c r="J345" s="12"/>
      <c r="K345" s="12"/>
      <c r="L345" s="12"/>
      <c r="M345" s="12"/>
      <c r="N345" s="12"/>
      <c r="O345" s="12"/>
      <c r="P345" s="12"/>
    </row>
    <row r="346">
      <c r="A346" s="12"/>
      <c r="D346" s="95"/>
      <c r="E346" s="14"/>
      <c r="F346" s="96"/>
      <c r="H346" s="12"/>
      <c r="I346" s="12"/>
      <c r="J346" s="12"/>
      <c r="K346" s="12"/>
      <c r="L346" s="12"/>
      <c r="M346" s="12"/>
      <c r="N346" s="12"/>
      <c r="O346" s="12"/>
      <c r="P346" s="12"/>
    </row>
    <row r="347">
      <c r="A347" s="12"/>
      <c r="D347" s="95"/>
      <c r="E347" s="14"/>
      <c r="F347" s="96"/>
      <c r="H347" s="12"/>
      <c r="I347" s="12"/>
      <c r="J347" s="12"/>
      <c r="K347" s="12"/>
      <c r="L347" s="12"/>
      <c r="M347" s="12"/>
      <c r="N347" s="12"/>
      <c r="O347" s="12"/>
      <c r="P347" s="12"/>
    </row>
    <row r="348">
      <c r="A348" s="12"/>
      <c r="D348" s="95"/>
      <c r="E348" s="14"/>
      <c r="F348" s="96"/>
      <c r="H348" s="12"/>
      <c r="I348" s="12"/>
      <c r="J348" s="12"/>
      <c r="K348" s="12"/>
      <c r="L348" s="12"/>
      <c r="M348" s="12"/>
      <c r="N348" s="12"/>
      <c r="O348" s="12"/>
      <c r="P348" s="12"/>
    </row>
    <row r="349">
      <c r="A349" s="12"/>
      <c r="D349" s="95"/>
      <c r="E349" s="14"/>
      <c r="F349" s="96"/>
      <c r="H349" s="12"/>
      <c r="I349" s="12"/>
      <c r="J349" s="12"/>
      <c r="K349" s="12"/>
      <c r="L349" s="12"/>
      <c r="M349" s="12"/>
      <c r="N349" s="12"/>
      <c r="O349" s="12"/>
      <c r="P349" s="12"/>
    </row>
    <row r="350">
      <c r="A350" s="12"/>
      <c r="D350" s="95"/>
      <c r="E350" s="14"/>
      <c r="F350" s="96"/>
      <c r="H350" s="12"/>
      <c r="I350" s="12"/>
      <c r="J350" s="12"/>
      <c r="K350" s="12"/>
      <c r="L350" s="12"/>
      <c r="M350" s="12"/>
      <c r="N350" s="12"/>
      <c r="O350" s="12"/>
      <c r="P350" s="12"/>
    </row>
    <row r="351">
      <c r="A351" s="12"/>
      <c r="D351" s="95"/>
      <c r="E351" s="14"/>
      <c r="F351" s="96"/>
      <c r="H351" s="12"/>
      <c r="I351" s="12"/>
      <c r="J351" s="12"/>
      <c r="K351" s="12"/>
      <c r="L351" s="12"/>
      <c r="M351" s="12"/>
      <c r="N351" s="12"/>
      <c r="O351" s="12"/>
      <c r="P351" s="12"/>
    </row>
    <row r="352">
      <c r="A352" s="12"/>
      <c r="D352" s="95"/>
      <c r="E352" s="14"/>
      <c r="F352" s="96"/>
      <c r="H352" s="12"/>
      <c r="I352" s="12"/>
      <c r="J352" s="12"/>
      <c r="K352" s="12"/>
      <c r="L352" s="12"/>
      <c r="M352" s="12"/>
      <c r="N352" s="12"/>
      <c r="O352" s="12"/>
      <c r="P352" s="12"/>
    </row>
    <row r="353">
      <c r="A353" s="12"/>
      <c r="D353" s="95"/>
      <c r="E353" s="14"/>
      <c r="F353" s="96"/>
      <c r="H353" s="12"/>
      <c r="I353" s="12"/>
      <c r="J353" s="12"/>
      <c r="K353" s="12"/>
      <c r="L353" s="12"/>
      <c r="M353" s="12"/>
      <c r="N353" s="12"/>
      <c r="O353" s="12"/>
      <c r="P353" s="12"/>
    </row>
    <row r="354">
      <c r="A354" s="12"/>
      <c r="D354" s="95"/>
      <c r="E354" s="14"/>
      <c r="F354" s="96"/>
      <c r="H354" s="12"/>
      <c r="I354" s="12"/>
      <c r="J354" s="12"/>
      <c r="K354" s="12"/>
      <c r="L354" s="12"/>
      <c r="M354" s="12"/>
      <c r="N354" s="12"/>
      <c r="O354" s="12"/>
      <c r="P354" s="12"/>
    </row>
    <row r="355">
      <c r="A355" s="12"/>
      <c r="D355" s="95"/>
      <c r="E355" s="14"/>
      <c r="F355" s="96"/>
      <c r="H355" s="12"/>
      <c r="I355" s="12"/>
      <c r="J355" s="12"/>
      <c r="K355" s="12"/>
      <c r="L355" s="12"/>
      <c r="M355" s="12"/>
      <c r="N355" s="12"/>
      <c r="O355" s="12"/>
      <c r="P355" s="12"/>
    </row>
    <row r="356">
      <c r="A356" s="12"/>
      <c r="D356" s="95"/>
      <c r="E356" s="14"/>
      <c r="F356" s="96"/>
      <c r="H356" s="12"/>
      <c r="I356" s="12"/>
      <c r="J356" s="12"/>
      <c r="K356" s="12"/>
      <c r="L356" s="12"/>
      <c r="M356" s="12"/>
      <c r="N356" s="12"/>
      <c r="O356" s="12"/>
      <c r="P356" s="12"/>
    </row>
    <row r="357">
      <c r="A357" s="12"/>
      <c r="D357" s="95"/>
      <c r="E357" s="14"/>
      <c r="F357" s="96"/>
      <c r="H357" s="12"/>
      <c r="I357" s="12"/>
      <c r="J357" s="12"/>
      <c r="K357" s="12"/>
      <c r="L357" s="12"/>
      <c r="M357" s="12"/>
      <c r="N357" s="12"/>
      <c r="O357" s="12"/>
      <c r="P357" s="12"/>
    </row>
    <row r="358">
      <c r="A358" s="12"/>
      <c r="D358" s="95"/>
      <c r="E358" s="14"/>
      <c r="F358" s="96"/>
      <c r="H358" s="12"/>
      <c r="I358" s="12"/>
      <c r="J358" s="12"/>
      <c r="K358" s="12"/>
      <c r="L358" s="12"/>
      <c r="M358" s="12"/>
      <c r="N358" s="12"/>
      <c r="O358" s="12"/>
      <c r="P358" s="12"/>
    </row>
    <row r="359">
      <c r="A359" s="12"/>
      <c r="D359" s="95"/>
      <c r="E359" s="14"/>
      <c r="F359" s="96"/>
      <c r="H359" s="12"/>
      <c r="I359" s="12"/>
      <c r="J359" s="12"/>
      <c r="K359" s="12"/>
      <c r="L359" s="12"/>
      <c r="M359" s="12"/>
      <c r="N359" s="12"/>
      <c r="O359" s="12"/>
      <c r="P359" s="12"/>
    </row>
    <row r="360">
      <c r="A360" s="12"/>
      <c r="D360" s="95"/>
      <c r="E360" s="14"/>
      <c r="F360" s="96"/>
      <c r="H360" s="12"/>
      <c r="I360" s="12"/>
      <c r="J360" s="12"/>
      <c r="K360" s="12"/>
      <c r="L360" s="12"/>
      <c r="M360" s="12"/>
      <c r="N360" s="12"/>
      <c r="O360" s="12"/>
      <c r="P360" s="12"/>
    </row>
    <row r="361">
      <c r="A361" s="12"/>
      <c r="D361" s="95"/>
      <c r="E361" s="14"/>
      <c r="F361" s="96"/>
      <c r="H361" s="12"/>
      <c r="I361" s="12"/>
      <c r="J361" s="12"/>
      <c r="K361" s="12"/>
      <c r="L361" s="12"/>
      <c r="M361" s="12"/>
      <c r="N361" s="12"/>
      <c r="O361" s="12"/>
      <c r="P361" s="12"/>
    </row>
    <row r="362">
      <c r="A362" s="12"/>
      <c r="D362" s="95"/>
      <c r="E362" s="14"/>
      <c r="F362" s="96"/>
      <c r="H362" s="12"/>
      <c r="I362" s="12"/>
      <c r="J362" s="12"/>
      <c r="K362" s="12"/>
      <c r="L362" s="12"/>
      <c r="M362" s="12"/>
      <c r="N362" s="12"/>
      <c r="O362" s="12"/>
      <c r="P362" s="12"/>
    </row>
    <row r="363">
      <c r="A363" s="12"/>
      <c r="D363" s="95"/>
      <c r="E363" s="14"/>
      <c r="F363" s="96"/>
      <c r="H363" s="12"/>
      <c r="I363" s="12"/>
      <c r="J363" s="12"/>
      <c r="K363" s="12"/>
      <c r="L363" s="12"/>
      <c r="M363" s="12"/>
      <c r="N363" s="12"/>
      <c r="O363" s="12"/>
      <c r="P363" s="12"/>
    </row>
    <row r="364">
      <c r="A364" s="12"/>
      <c r="D364" s="95"/>
      <c r="E364" s="14"/>
      <c r="F364" s="96"/>
      <c r="H364" s="12"/>
      <c r="I364" s="12"/>
      <c r="J364" s="12"/>
      <c r="K364" s="12"/>
      <c r="L364" s="12"/>
      <c r="M364" s="12"/>
      <c r="N364" s="12"/>
      <c r="O364" s="12"/>
      <c r="P364" s="12"/>
    </row>
    <row r="365">
      <c r="A365" s="12"/>
      <c r="D365" s="95"/>
      <c r="E365" s="14"/>
      <c r="F365" s="96"/>
      <c r="H365" s="12"/>
      <c r="I365" s="12"/>
      <c r="J365" s="12"/>
      <c r="K365" s="12"/>
      <c r="L365" s="12"/>
      <c r="M365" s="12"/>
      <c r="N365" s="12"/>
      <c r="O365" s="12"/>
      <c r="P365" s="12"/>
    </row>
    <row r="366">
      <c r="A366" s="12"/>
      <c r="D366" s="95"/>
      <c r="E366" s="14"/>
      <c r="F366" s="96"/>
      <c r="H366" s="12"/>
      <c r="I366" s="12"/>
      <c r="J366" s="12"/>
      <c r="K366" s="12"/>
      <c r="L366" s="12"/>
      <c r="M366" s="12"/>
      <c r="N366" s="12"/>
      <c r="O366" s="12"/>
      <c r="P366" s="12"/>
    </row>
    <row r="367">
      <c r="A367" s="12"/>
      <c r="D367" s="95"/>
      <c r="E367" s="14"/>
      <c r="F367" s="96"/>
      <c r="H367" s="12"/>
      <c r="I367" s="12"/>
      <c r="J367" s="12"/>
      <c r="K367" s="12"/>
      <c r="L367" s="12"/>
      <c r="M367" s="12"/>
      <c r="N367" s="12"/>
      <c r="O367" s="12"/>
      <c r="P367" s="12"/>
    </row>
    <row r="368">
      <c r="A368" s="12"/>
      <c r="D368" s="95"/>
      <c r="E368" s="14"/>
      <c r="F368" s="96"/>
      <c r="H368" s="12"/>
      <c r="I368" s="12"/>
      <c r="J368" s="12"/>
      <c r="K368" s="12"/>
      <c r="L368" s="12"/>
      <c r="M368" s="12"/>
      <c r="N368" s="12"/>
      <c r="O368" s="12"/>
      <c r="P368" s="12"/>
    </row>
    <row r="369">
      <c r="A369" s="12"/>
      <c r="D369" s="95"/>
      <c r="E369" s="14"/>
      <c r="F369" s="96"/>
      <c r="H369" s="12"/>
      <c r="I369" s="12"/>
      <c r="J369" s="12"/>
      <c r="K369" s="12"/>
      <c r="L369" s="12"/>
      <c r="M369" s="12"/>
      <c r="N369" s="12"/>
      <c r="O369" s="12"/>
      <c r="P369" s="12"/>
    </row>
    <row r="370">
      <c r="A370" s="12"/>
      <c r="D370" s="95"/>
      <c r="E370" s="14"/>
      <c r="F370" s="96"/>
      <c r="H370" s="12"/>
      <c r="I370" s="12"/>
      <c r="J370" s="12"/>
      <c r="K370" s="12"/>
      <c r="L370" s="12"/>
      <c r="M370" s="12"/>
      <c r="N370" s="12"/>
      <c r="O370" s="12"/>
      <c r="P370" s="12"/>
    </row>
    <row r="371">
      <c r="A371" s="12"/>
      <c r="D371" s="95"/>
      <c r="E371" s="14"/>
      <c r="F371" s="96"/>
      <c r="H371" s="12"/>
      <c r="I371" s="12"/>
      <c r="J371" s="12"/>
      <c r="K371" s="12"/>
      <c r="L371" s="12"/>
      <c r="M371" s="12"/>
      <c r="N371" s="12"/>
      <c r="O371" s="12"/>
      <c r="P371" s="12"/>
    </row>
    <row r="372">
      <c r="A372" s="12"/>
      <c r="D372" s="95"/>
      <c r="E372" s="14"/>
      <c r="F372" s="96"/>
      <c r="H372" s="12"/>
      <c r="I372" s="12"/>
      <c r="J372" s="12"/>
      <c r="K372" s="12"/>
      <c r="L372" s="12"/>
      <c r="M372" s="12"/>
      <c r="N372" s="12"/>
      <c r="O372" s="12"/>
      <c r="P372" s="12"/>
    </row>
    <row r="373">
      <c r="A373" s="12"/>
      <c r="D373" s="95"/>
      <c r="E373" s="14"/>
      <c r="F373" s="96"/>
      <c r="H373" s="12"/>
      <c r="I373" s="12"/>
      <c r="J373" s="12"/>
      <c r="K373" s="12"/>
      <c r="L373" s="12"/>
      <c r="M373" s="12"/>
      <c r="N373" s="12"/>
      <c r="O373" s="12"/>
      <c r="P373" s="12"/>
    </row>
    <row r="374">
      <c r="A374" s="12"/>
      <c r="D374" s="95"/>
      <c r="E374" s="14"/>
      <c r="F374" s="96"/>
      <c r="H374" s="12"/>
      <c r="I374" s="12"/>
      <c r="J374" s="12"/>
      <c r="K374" s="12"/>
      <c r="L374" s="12"/>
      <c r="M374" s="12"/>
      <c r="N374" s="12"/>
      <c r="O374" s="12"/>
      <c r="P374" s="12"/>
    </row>
    <row r="375">
      <c r="A375" s="12"/>
      <c r="D375" s="95"/>
      <c r="E375" s="14"/>
      <c r="F375" s="96"/>
      <c r="H375" s="12"/>
      <c r="I375" s="12"/>
      <c r="J375" s="12"/>
      <c r="K375" s="12"/>
      <c r="L375" s="12"/>
      <c r="M375" s="12"/>
      <c r="N375" s="12"/>
      <c r="O375" s="12"/>
      <c r="P375" s="12"/>
    </row>
    <row r="376">
      <c r="A376" s="12"/>
      <c r="D376" s="95"/>
      <c r="E376" s="14"/>
      <c r="F376" s="96"/>
      <c r="H376" s="12"/>
      <c r="I376" s="12"/>
      <c r="J376" s="12"/>
      <c r="K376" s="12"/>
      <c r="L376" s="12"/>
      <c r="M376" s="12"/>
      <c r="N376" s="12"/>
      <c r="O376" s="12"/>
      <c r="P376" s="12"/>
    </row>
    <row r="377">
      <c r="A377" s="12"/>
      <c r="D377" s="95"/>
      <c r="E377" s="14"/>
      <c r="F377" s="96"/>
      <c r="H377" s="12"/>
      <c r="I377" s="12"/>
      <c r="J377" s="12"/>
      <c r="K377" s="12"/>
      <c r="L377" s="12"/>
      <c r="M377" s="12"/>
      <c r="N377" s="12"/>
      <c r="O377" s="12"/>
      <c r="P377" s="12"/>
    </row>
    <row r="378">
      <c r="A378" s="12"/>
      <c r="D378" s="95"/>
      <c r="E378" s="14"/>
      <c r="F378" s="96"/>
      <c r="H378" s="12"/>
      <c r="I378" s="12"/>
      <c r="J378" s="12"/>
      <c r="K378" s="12"/>
      <c r="L378" s="12"/>
      <c r="M378" s="12"/>
      <c r="N378" s="12"/>
      <c r="O378" s="12"/>
      <c r="P378" s="12"/>
    </row>
    <row r="379">
      <c r="A379" s="12"/>
      <c r="D379" s="95"/>
      <c r="E379" s="14"/>
      <c r="F379" s="96"/>
      <c r="H379" s="12"/>
      <c r="I379" s="12"/>
      <c r="J379" s="12"/>
      <c r="K379" s="12"/>
      <c r="L379" s="12"/>
      <c r="M379" s="12"/>
      <c r="N379" s="12"/>
      <c r="O379" s="12"/>
      <c r="P379" s="12"/>
    </row>
    <row r="380">
      <c r="A380" s="12"/>
      <c r="D380" s="95"/>
      <c r="E380" s="14"/>
      <c r="F380" s="96"/>
      <c r="H380" s="12"/>
      <c r="I380" s="12"/>
      <c r="J380" s="12"/>
      <c r="K380" s="12"/>
      <c r="L380" s="12"/>
      <c r="M380" s="12"/>
      <c r="N380" s="12"/>
      <c r="O380" s="12"/>
      <c r="P380" s="12"/>
    </row>
    <row r="381">
      <c r="A381" s="12"/>
      <c r="D381" s="95"/>
      <c r="E381" s="14"/>
      <c r="F381" s="96"/>
      <c r="H381" s="12"/>
      <c r="I381" s="12"/>
      <c r="J381" s="12"/>
      <c r="K381" s="12"/>
      <c r="L381" s="12"/>
      <c r="M381" s="12"/>
      <c r="N381" s="12"/>
      <c r="O381" s="12"/>
      <c r="P381" s="12"/>
    </row>
    <row r="382">
      <c r="A382" s="12"/>
      <c r="D382" s="95"/>
      <c r="E382" s="14"/>
      <c r="F382" s="96"/>
      <c r="H382" s="12"/>
      <c r="I382" s="12"/>
      <c r="J382" s="12"/>
      <c r="K382" s="12"/>
      <c r="L382" s="12"/>
      <c r="M382" s="12"/>
      <c r="N382" s="12"/>
      <c r="O382" s="12"/>
      <c r="P382" s="12"/>
    </row>
    <row r="383">
      <c r="A383" s="12"/>
      <c r="D383" s="95"/>
      <c r="E383" s="14"/>
      <c r="F383" s="96"/>
      <c r="H383" s="12"/>
      <c r="I383" s="12"/>
      <c r="J383" s="12"/>
      <c r="K383" s="12"/>
      <c r="L383" s="12"/>
      <c r="M383" s="12"/>
      <c r="N383" s="12"/>
      <c r="O383" s="12"/>
      <c r="P383" s="12"/>
    </row>
    <row r="384">
      <c r="A384" s="12"/>
      <c r="D384" s="95"/>
      <c r="E384" s="14"/>
      <c r="F384" s="96"/>
      <c r="H384" s="12"/>
      <c r="I384" s="12"/>
      <c r="J384" s="12"/>
      <c r="K384" s="12"/>
      <c r="L384" s="12"/>
      <c r="M384" s="12"/>
      <c r="N384" s="12"/>
      <c r="O384" s="12"/>
      <c r="P384" s="12"/>
    </row>
    <row r="385">
      <c r="A385" s="12"/>
      <c r="D385" s="95"/>
      <c r="E385" s="14"/>
      <c r="F385" s="96"/>
      <c r="H385" s="12"/>
      <c r="I385" s="12"/>
      <c r="J385" s="12"/>
      <c r="K385" s="12"/>
      <c r="L385" s="12"/>
      <c r="M385" s="12"/>
      <c r="N385" s="12"/>
      <c r="O385" s="12"/>
      <c r="P385" s="12"/>
    </row>
    <row r="386">
      <c r="A386" s="12"/>
      <c r="D386" s="95"/>
      <c r="E386" s="14"/>
      <c r="F386" s="96"/>
      <c r="H386" s="12"/>
      <c r="I386" s="12"/>
      <c r="J386" s="12"/>
      <c r="K386" s="12"/>
      <c r="L386" s="12"/>
      <c r="M386" s="12"/>
      <c r="N386" s="12"/>
      <c r="O386" s="12"/>
      <c r="P386" s="12"/>
    </row>
    <row r="387">
      <c r="A387" s="12"/>
      <c r="D387" s="95"/>
      <c r="E387" s="14"/>
      <c r="F387" s="96"/>
      <c r="H387" s="12"/>
      <c r="I387" s="12"/>
      <c r="J387" s="12"/>
      <c r="K387" s="12"/>
      <c r="L387" s="12"/>
      <c r="M387" s="12"/>
      <c r="N387" s="12"/>
      <c r="O387" s="12"/>
      <c r="P387" s="12"/>
    </row>
    <row r="388">
      <c r="A388" s="12"/>
      <c r="D388" s="95"/>
      <c r="E388" s="14"/>
      <c r="F388" s="96"/>
      <c r="H388" s="12"/>
      <c r="I388" s="12"/>
      <c r="J388" s="12"/>
      <c r="K388" s="12"/>
      <c r="L388" s="12"/>
      <c r="M388" s="12"/>
      <c r="N388" s="12"/>
      <c r="O388" s="12"/>
      <c r="P388" s="12"/>
    </row>
    <row r="389">
      <c r="A389" s="12"/>
      <c r="D389" s="95"/>
      <c r="E389" s="14"/>
      <c r="F389" s="96"/>
      <c r="H389" s="12"/>
      <c r="I389" s="12"/>
      <c r="J389" s="12"/>
      <c r="K389" s="12"/>
      <c r="L389" s="12"/>
      <c r="M389" s="12"/>
      <c r="N389" s="12"/>
      <c r="O389" s="12"/>
      <c r="P389" s="12"/>
    </row>
    <row r="390">
      <c r="A390" s="12"/>
      <c r="D390" s="95"/>
      <c r="E390" s="14"/>
      <c r="F390" s="96"/>
      <c r="H390" s="12"/>
      <c r="I390" s="12"/>
      <c r="J390" s="12"/>
      <c r="K390" s="12"/>
      <c r="L390" s="12"/>
      <c r="M390" s="12"/>
      <c r="N390" s="12"/>
      <c r="O390" s="12"/>
      <c r="P390" s="12"/>
    </row>
    <row r="391">
      <c r="A391" s="12"/>
      <c r="D391" s="95"/>
      <c r="E391" s="14"/>
      <c r="F391" s="96"/>
      <c r="H391" s="12"/>
      <c r="I391" s="12"/>
      <c r="J391" s="12"/>
      <c r="K391" s="12"/>
      <c r="L391" s="12"/>
      <c r="M391" s="12"/>
      <c r="N391" s="12"/>
      <c r="O391" s="12"/>
      <c r="P391" s="12"/>
    </row>
    <row r="392">
      <c r="A392" s="12"/>
      <c r="D392" s="95"/>
      <c r="E392" s="14"/>
      <c r="F392" s="96"/>
      <c r="H392" s="12"/>
      <c r="I392" s="12"/>
      <c r="J392" s="12"/>
      <c r="K392" s="12"/>
      <c r="L392" s="12"/>
      <c r="M392" s="12"/>
      <c r="N392" s="12"/>
      <c r="O392" s="12"/>
      <c r="P392" s="12"/>
    </row>
    <row r="393">
      <c r="A393" s="12"/>
      <c r="D393" s="95"/>
      <c r="E393" s="14"/>
      <c r="F393" s="96"/>
      <c r="H393" s="12"/>
      <c r="I393" s="12"/>
      <c r="J393" s="12"/>
      <c r="K393" s="12"/>
      <c r="L393" s="12"/>
      <c r="M393" s="12"/>
      <c r="N393" s="12"/>
      <c r="O393" s="12"/>
      <c r="P393" s="12"/>
    </row>
    <row r="394">
      <c r="A394" s="12"/>
      <c r="D394" s="95"/>
      <c r="E394" s="14"/>
      <c r="F394" s="96"/>
      <c r="H394" s="12"/>
      <c r="I394" s="12"/>
      <c r="J394" s="12"/>
      <c r="K394" s="12"/>
      <c r="L394" s="12"/>
      <c r="M394" s="12"/>
      <c r="N394" s="12"/>
      <c r="O394" s="12"/>
      <c r="P394" s="12"/>
    </row>
    <row r="395">
      <c r="A395" s="12"/>
      <c r="D395" s="95"/>
      <c r="E395" s="14"/>
      <c r="F395" s="96"/>
      <c r="H395" s="12"/>
      <c r="I395" s="12"/>
      <c r="J395" s="12"/>
      <c r="K395" s="12"/>
      <c r="L395" s="12"/>
      <c r="M395" s="12"/>
      <c r="N395" s="12"/>
      <c r="O395" s="12"/>
      <c r="P395" s="12"/>
    </row>
    <row r="396">
      <c r="A396" s="12"/>
      <c r="D396" s="95"/>
      <c r="E396" s="14"/>
      <c r="F396" s="96"/>
      <c r="H396" s="12"/>
      <c r="I396" s="12"/>
      <c r="J396" s="12"/>
      <c r="K396" s="12"/>
      <c r="L396" s="12"/>
      <c r="M396" s="12"/>
      <c r="N396" s="12"/>
      <c r="O396" s="12"/>
      <c r="P396" s="12"/>
    </row>
    <row r="397">
      <c r="A397" s="12"/>
      <c r="D397" s="95"/>
      <c r="E397" s="14"/>
      <c r="F397" s="96"/>
      <c r="H397" s="12"/>
      <c r="I397" s="12"/>
      <c r="J397" s="12"/>
      <c r="K397" s="12"/>
      <c r="L397" s="12"/>
      <c r="M397" s="12"/>
      <c r="N397" s="12"/>
      <c r="O397" s="12"/>
      <c r="P397" s="12"/>
    </row>
    <row r="398">
      <c r="A398" s="12"/>
      <c r="D398" s="95"/>
      <c r="E398" s="14"/>
      <c r="F398" s="96"/>
      <c r="H398" s="12"/>
      <c r="I398" s="12"/>
      <c r="J398" s="12"/>
      <c r="K398" s="12"/>
      <c r="L398" s="12"/>
      <c r="M398" s="12"/>
      <c r="N398" s="12"/>
      <c r="O398" s="12"/>
      <c r="P398" s="12"/>
    </row>
    <row r="399">
      <c r="A399" s="12"/>
      <c r="D399" s="95"/>
      <c r="E399" s="14"/>
      <c r="F399" s="96"/>
      <c r="H399" s="12"/>
      <c r="I399" s="12"/>
      <c r="J399" s="12"/>
      <c r="K399" s="12"/>
      <c r="L399" s="12"/>
      <c r="M399" s="12"/>
      <c r="N399" s="12"/>
      <c r="O399" s="12"/>
      <c r="P399" s="12"/>
    </row>
    <row r="400">
      <c r="A400" s="12"/>
      <c r="D400" s="95"/>
      <c r="E400" s="14"/>
      <c r="F400" s="96"/>
      <c r="H400" s="12"/>
      <c r="I400" s="12"/>
      <c r="J400" s="12"/>
      <c r="K400" s="12"/>
      <c r="L400" s="12"/>
      <c r="M400" s="12"/>
      <c r="N400" s="12"/>
      <c r="O400" s="12"/>
      <c r="P400" s="12"/>
    </row>
    <row r="401">
      <c r="A401" s="12"/>
      <c r="D401" s="95"/>
      <c r="E401" s="14"/>
      <c r="F401" s="96"/>
      <c r="H401" s="12"/>
      <c r="I401" s="12"/>
      <c r="J401" s="12"/>
      <c r="K401" s="12"/>
      <c r="L401" s="12"/>
      <c r="M401" s="12"/>
      <c r="N401" s="12"/>
      <c r="O401" s="12"/>
      <c r="P401" s="12"/>
    </row>
    <row r="402">
      <c r="A402" s="12"/>
      <c r="D402" s="95"/>
      <c r="E402" s="14"/>
      <c r="F402" s="96"/>
      <c r="H402" s="12"/>
      <c r="I402" s="12"/>
      <c r="J402" s="12"/>
      <c r="K402" s="12"/>
      <c r="L402" s="12"/>
      <c r="M402" s="12"/>
      <c r="N402" s="12"/>
      <c r="O402" s="12"/>
      <c r="P402" s="12"/>
    </row>
    <row r="403">
      <c r="A403" s="12"/>
      <c r="D403" s="95"/>
      <c r="E403" s="14"/>
      <c r="F403" s="96"/>
      <c r="H403" s="12"/>
      <c r="I403" s="12"/>
      <c r="J403" s="12"/>
      <c r="K403" s="12"/>
      <c r="L403" s="12"/>
      <c r="M403" s="12"/>
      <c r="N403" s="12"/>
      <c r="O403" s="12"/>
      <c r="P403" s="12"/>
    </row>
    <row r="404">
      <c r="A404" s="12"/>
      <c r="D404" s="95"/>
      <c r="E404" s="14"/>
      <c r="F404" s="96"/>
      <c r="H404" s="12"/>
      <c r="I404" s="12"/>
      <c r="J404" s="12"/>
      <c r="K404" s="12"/>
      <c r="L404" s="12"/>
      <c r="M404" s="12"/>
      <c r="N404" s="12"/>
      <c r="O404" s="12"/>
      <c r="P404" s="12"/>
    </row>
    <row r="405">
      <c r="A405" s="12"/>
      <c r="D405" s="95"/>
      <c r="E405" s="14"/>
      <c r="F405" s="96"/>
      <c r="H405" s="12"/>
      <c r="I405" s="12"/>
      <c r="J405" s="12"/>
      <c r="K405" s="12"/>
      <c r="L405" s="12"/>
      <c r="M405" s="12"/>
      <c r="N405" s="12"/>
      <c r="O405" s="12"/>
      <c r="P405" s="12"/>
    </row>
    <row r="406">
      <c r="A406" s="12"/>
      <c r="D406" s="95"/>
      <c r="E406" s="14"/>
      <c r="F406" s="96"/>
      <c r="H406" s="12"/>
      <c r="I406" s="12"/>
      <c r="J406" s="12"/>
      <c r="K406" s="12"/>
      <c r="L406" s="12"/>
      <c r="M406" s="12"/>
      <c r="N406" s="12"/>
      <c r="O406" s="12"/>
      <c r="P406" s="12"/>
    </row>
    <row r="407">
      <c r="A407" s="12"/>
      <c r="D407" s="95"/>
      <c r="E407" s="14"/>
      <c r="F407" s="96"/>
      <c r="H407" s="12"/>
      <c r="I407" s="12"/>
      <c r="J407" s="12"/>
      <c r="K407" s="12"/>
      <c r="L407" s="12"/>
      <c r="M407" s="12"/>
      <c r="N407" s="12"/>
      <c r="O407" s="12"/>
      <c r="P407" s="12"/>
    </row>
    <row r="408">
      <c r="A408" s="12"/>
      <c r="D408" s="95"/>
      <c r="E408" s="14"/>
      <c r="F408" s="96"/>
      <c r="H408" s="12"/>
      <c r="I408" s="12"/>
      <c r="J408" s="12"/>
      <c r="K408" s="12"/>
      <c r="L408" s="12"/>
      <c r="M408" s="12"/>
      <c r="N408" s="12"/>
      <c r="O408" s="12"/>
      <c r="P408" s="12"/>
    </row>
    <row r="409">
      <c r="A409" s="12"/>
      <c r="D409" s="95"/>
      <c r="E409" s="14"/>
      <c r="F409" s="96"/>
      <c r="H409" s="12"/>
      <c r="I409" s="12"/>
      <c r="J409" s="12"/>
      <c r="K409" s="12"/>
      <c r="L409" s="12"/>
      <c r="M409" s="12"/>
      <c r="N409" s="12"/>
      <c r="O409" s="12"/>
      <c r="P409" s="12"/>
    </row>
    <row r="410">
      <c r="A410" s="12"/>
      <c r="D410" s="95"/>
      <c r="E410" s="14"/>
      <c r="F410" s="96"/>
      <c r="H410" s="12"/>
      <c r="I410" s="12"/>
      <c r="J410" s="12"/>
      <c r="K410" s="12"/>
      <c r="L410" s="12"/>
      <c r="M410" s="12"/>
      <c r="N410" s="12"/>
      <c r="O410" s="12"/>
      <c r="P410" s="12"/>
    </row>
    <row r="411">
      <c r="A411" s="12"/>
      <c r="D411" s="95"/>
      <c r="E411" s="14"/>
      <c r="F411" s="96"/>
      <c r="H411" s="12"/>
      <c r="I411" s="12"/>
      <c r="J411" s="12"/>
      <c r="K411" s="12"/>
      <c r="L411" s="12"/>
      <c r="M411" s="12"/>
      <c r="N411" s="12"/>
      <c r="O411" s="12"/>
      <c r="P411" s="12"/>
    </row>
    <row r="412">
      <c r="A412" s="12"/>
      <c r="D412" s="95"/>
      <c r="E412" s="14"/>
      <c r="F412" s="96"/>
      <c r="H412" s="12"/>
      <c r="I412" s="12"/>
      <c r="J412" s="12"/>
      <c r="K412" s="12"/>
      <c r="L412" s="12"/>
      <c r="M412" s="12"/>
      <c r="N412" s="12"/>
      <c r="O412" s="12"/>
      <c r="P412" s="12"/>
    </row>
    <row r="413">
      <c r="A413" s="12"/>
      <c r="D413" s="95"/>
      <c r="E413" s="14"/>
      <c r="F413" s="96"/>
      <c r="H413" s="12"/>
      <c r="I413" s="12"/>
      <c r="J413" s="12"/>
      <c r="K413" s="12"/>
      <c r="L413" s="12"/>
      <c r="M413" s="12"/>
      <c r="N413" s="12"/>
      <c r="O413" s="12"/>
      <c r="P413" s="12"/>
    </row>
    <row r="414">
      <c r="A414" s="12"/>
      <c r="D414" s="95"/>
      <c r="E414" s="14"/>
      <c r="F414" s="96"/>
      <c r="H414" s="12"/>
      <c r="I414" s="12"/>
      <c r="J414" s="12"/>
      <c r="K414" s="12"/>
      <c r="L414" s="12"/>
      <c r="M414" s="12"/>
      <c r="N414" s="12"/>
      <c r="O414" s="12"/>
      <c r="P414" s="12"/>
    </row>
    <row r="415">
      <c r="A415" s="12"/>
      <c r="D415" s="95"/>
      <c r="E415" s="14"/>
      <c r="F415" s="96"/>
      <c r="H415" s="12"/>
      <c r="I415" s="12"/>
      <c r="J415" s="12"/>
      <c r="K415" s="12"/>
      <c r="L415" s="12"/>
      <c r="M415" s="12"/>
      <c r="N415" s="12"/>
      <c r="O415" s="12"/>
      <c r="P415" s="12"/>
    </row>
    <row r="416">
      <c r="A416" s="12"/>
      <c r="D416" s="95"/>
      <c r="E416" s="14"/>
      <c r="F416" s="96"/>
      <c r="H416" s="12"/>
      <c r="I416" s="12"/>
      <c r="J416" s="12"/>
      <c r="K416" s="12"/>
      <c r="L416" s="12"/>
      <c r="M416" s="12"/>
      <c r="N416" s="12"/>
      <c r="O416" s="12"/>
      <c r="P416" s="12"/>
    </row>
    <row r="417">
      <c r="A417" s="12"/>
      <c r="D417" s="95"/>
      <c r="E417" s="14"/>
      <c r="F417" s="96"/>
      <c r="H417" s="12"/>
      <c r="I417" s="12"/>
      <c r="J417" s="12"/>
      <c r="K417" s="12"/>
      <c r="L417" s="12"/>
      <c r="M417" s="12"/>
      <c r="N417" s="12"/>
      <c r="O417" s="12"/>
      <c r="P417" s="12"/>
    </row>
    <row r="418">
      <c r="A418" s="12"/>
      <c r="D418" s="95"/>
      <c r="E418" s="14"/>
      <c r="F418" s="96"/>
      <c r="H418" s="12"/>
      <c r="I418" s="12"/>
      <c r="J418" s="12"/>
      <c r="K418" s="12"/>
      <c r="L418" s="12"/>
      <c r="M418" s="12"/>
      <c r="N418" s="12"/>
      <c r="O418" s="12"/>
      <c r="P418" s="12"/>
    </row>
    <row r="419">
      <c r="A419" s="12"/>
      <c r="D419" s="95"/>
      <c r="E419" s="14"/>
      <c r="F419" s="96"/>
      <c r="H419" s="12"/>
      <c r="I419" s="12"/>
      <c r="J419" s="12"/>
      <c r="K419" s="12"/>
      <c r="L419" s="12"/>
      <c r="M419" s="12"/>
      <c r="N419" s="12"/>
      <c r="O419" s="12"/>
      <c r="P419" s="12"/>
    </row>
    <row r="420">
      <c r="A420" s="12"/>
      <c r="D420" s="95"/>
      <c r="E420" s="14"/>
      <c r="F420" s="96"/>
      <c r="H420" s="12"/>
      <c r="I420" s="12"/>
      <c r="J420" s="12"/>
      <c r="K420" s="12"/>
      <c r="L420" s="12"/>
      <c r="M420" s="12"/>
      <c r="N420" s="12"/>
      <c r="O420" s="12"/>
      <c r="P420" s="12"/>
    </row>
    <row r="421">
      <c r="A421" s="12"/>
      <c r="D421" s="95"/>
      <c r="E421" s="14"/>
      <c r="F421" s="96"/>
      <c r="H421" s="12"/>
      <c r="I421" s="12"/>
      <c r="J421" s="12"/>
      <c r="K421" s="12"/>
      <c r="L421" s="12"/>
      <c r="M421" s="12"/>
      <c r="N421" s="12"/>
      <c r="O421" s="12"/>
      <c r="P421" s="12"/>
    </row>
    <row r="422">
      <c r="A422" s="12"/>
      <c r="D422" s="95"/>
      <c r="E422" s="14"/>
      <c r="F422" s="96"/>
      <c r="H422" s="12"/>
      <c r="I422" s="12"/>
      <c r="J422" s="12"/>
      <c r="K422" s="12"/>
      <c r="L422" s="12"/>
      <c r="M422" s="12"/>
      <c r="N422" s="12"/>
      <c r="O422" s="12"/>
      <c r="P422" s="12"/>
    </row>
    <row r="423">
      <c r="A423" s="12"/>
      <c r="D423" s="95"/>
      <c r="E423" s="14"/>
      <c r="F423" s="96"/>
      <c r="H423" s="12"/>
      <c r="I423" s="12"/>
      <c r="J423" s="12"/>
      <c r="K423" s="12"/>
      <c r="L423" s="12"/>
      <c r="M423" s="12"/>
      <c r="N423" s="12"/>
      <c r="O423" s="12"/>
      <c r="P423" s="12"/>
    </row>
    <row r="424">
      <c r="A424" s="12"/>
      <c r="D424" s="95"/>
      <c r="E424" s="14"/>
      <c r="F424" s="96"/>
      <c r="H424" s="12"/>
      <c r="I424" s="12"/>
      <c r="J424" s="12"/>
      <c r="K424" s="12"/>
      <c r="L424" s="12"/>
      <c r="M424" s="12"/>
      <c r="N424" s="12"/>
      <c r="O424" s="12"/>
      <c r="P424" s="12"/>
    </row>
    <row r="425">
      <c r="A425" s="12"/>
      <c r="D425" s="95"/>
      <c r="E425" s="14"/>
      <c r="F425" s="96"/>
      <c r="H425" s="12"/>
      <c r="I425" s="12"/>
      <c r="J425" s="12"/>
      <c r="K425" s="12"/>
      <c r="L425" s="12"/>
      <c r="M425" s="12"/>
      <c r="N425" s="12"/>
      <c r="O425" s="12"/>
      <c r="P425" s="12"/>
    </row>
    <row r="426">
      <c r="A426" s="12"/>
      <c r="D426" s="95"/>
      <c r="E426" s="14"/>
      <c r="F426" s="96"/>
      <c r="H426" s="12"/>
      <c r="I426" s="12"/>
      <c r="J426" s="12"/>
      <c r="K426" s="12"/>
      <c r="L426" s="12"/>
      <c r="M426" s="12"/>
      <c r="N426" s="12"/>
      <c r="O426" s="12"/>
      <c r="P426" s="12"/>
    </row>
    <row r="427">
      <c r="A427" s="12"/>
      <c r="D427" s="95"/>
      <c r="E427" s="14"/>
      <c r="F427" s="96"/>
      <c r="H427" s="12"/>
      <c r="I427" s="12"/>
      <c r="J427" s="12"/>
      <c r="K427" s="12"/>
      <c r="L427" s="12"/>
      <c r="M427" s="12"/>
      <c r="N427" s="12"/>
      <c r="O427" s="12"/>
      <c r="P427" s="12"/>
    </row>
    <row r="428">
      <c r="A428" s="12"/>
      <c r="D428" s="95"/>
      <c r="E428" s="14"/>
      <c r="F428" s="96"/>
      <c r="H428" s="12"/>
      <c r="I428" s="12"/>
      <c r="J428" s="12"/>
      <c r="K428" s="12"/>
      <c r="L428" s="12"/>
      <c r="M428" s="12"/>
      <c r="N428" s="12"/>
      <c r="O428" s="12"/>
      <c r="P428" s="12"/>
    </row>
    <row r="429">
      <c r="A429" s="12"/>
      <c r="D429" s="95"/>
      <c r="E429" s="14"/>
      <c r="F429" s="96"/>
      <c r="H429" s="12"/>
      <c r="I429" s="12"/>
      <c r="J429" s="12"/>
      <c r="K429" s="12"/>
      <c r="L429" s="12"/>
      <c r="M429" s="12"/>
      <c r="N429" s="12"/>
      <c r="O429" s="12"/>
      <c r="P429" s="12"/>
    </row>
    <row r="430">
      <c r="A430" s="12"/>
      <c r="D430" s="95"/>
      <c r="E430" s="14"/>
      <c r="F430" s="96"/>
      <c r="H430" s="12"/>
      <c r="I430" s="12"/>
      <c r="J430" s="12"/>
      <c r="K430" s="12"/>
      <c r="L430" s="12"/>
      <c r="M430" s="12"/>
      <c r="N430" s="12"/>
      <c r="O430" s="12"/>
      <c r="P430" s="12"/>
    </row>
    <row r="431">
      <c r="A431" s="12"/>
      <c r="D431" s="95"/>
      <c r="E431" s="14"/>
      <c r="F431" s="96"/>
      <c r="H431" s="12"/>
      <c r="I431" s="12"/>
      <c r="J431" s="12"/>
      <c r="K431" s="12"/>
      <c r="L431" s="12"/>
      <c r="M431" s="12"/>
      <c r="N431" s="12"/>
      <c r="O431" s="12"/>
      <c r="P431" s="12"/>
    </row>
    <row r="432">
      <c r="A432" s="12"/>
      <c r="D432" s="95"/>
      <c r="E432" s="14"/>
      <c r="F432" s="96"/>
      <c r="H432" s="12"/>
      <c r="I432" s="12"/>
      <c r="J432" s="12"/>
      <c r="K432" s="12"/>
      <c r="L432" s="12"/>
      <c r="M432" s="12"/>
      <c r="N432" s="12"/>
      <c r="O432" s="12"/>
      <c r="P432" s="12"/>
    </row>
    <row r="433">
      <c r="A433" s="12"/>
      <c r="D433" s="95"/>
      <c r="E433" s="14"/>
      <c r="F433" s="96"/>
      <c r="H433" s="12"/>
      <c r="I433" s="12"/>
      <c r="J433" s="12"/>
      <c r="K433" s="12"/>
      <c r="L433" s="12"/>
      <c r="M433" s="12"/>
      <c r="N433" s="12"/>
      <c r="O433" s="12"/>
      <c r="P433" s="12"/>
    </row>
    <row r="434">
      <c r="A434" s="12"/>
      <c r="D434" s="95"/>
      <c r="E434" s="14"/>
      <c r="F434" s="96"/>
      <c r="H434" s="12"/>
      <c r="I434" s="12"/>
      <c r="J434" s="12"/>
      <c r="K434" s="12"/>
      <c r="L434" s="12"/>
      <c r="M434" s="12"/>
      <c r="N434" s="12"/>
      <c r="O434" s="12"/>
      <c r="P434" s="12"/>
    </row>
    <row r="435">
      <c r="A435" s="12"/>
      <c r="D435" s="95"/>
      <c r="E435" s="14"/>
      <c r="F435" s="96"/>
      <c r="H435" s="12"/>
      <c r="I435" s="12"/>
      <c r="J435" s="12"/>
      <c r="K435" s="12"/>
      <c r="L435" s="12"/>
      <c r="M435" s="12"/>
      <c r="N435" s="12"/>
      <c r="O435" s="12"/>
      <c r="P435" s="12"/>
    </row>
    <row r="436">
      <c r="A436" s="12"/>
      <c r="D436" s="95"/>
      <c r="E436" s="14"/>
      <c r="F436" s="96"/>
      <c r="H436" s="12"/>
      <c r="I436" s="12"/>
      <c r="J436" s="12"/>
      <c r="K436" s="12"/>
      <c r="L436" s="12"/>
      <c r="M436" s="12"/>
      <c r="N436" s="12"/>
      <c r="O436" s="12"/>
      <c r="P436" s="12"/>
    </row>
    <row r="437">
      <c r="A437" s="12"/>
      <c r="D437" s="95"/>
      <c r="E437" s="14"/>
      <c r="F437" s="96"/>
      <c r="H437" s="12"/>
      <c r="I437" s="12"/>
      <c r="J437" s="12"/>
      <c r="K437" s="12"/>
      <c r="L437" s="12"/>
      <c r="M437" s="12"/>
      <c r="N437" s="12"/>
      <c r="O437" s="12"/>
      <c r="P437" s="12"/>
    </row>
    <row r="438">
      <c r="A438" s="12"/>
      <c r="D438" s="95"/>
      <c r="E438" s="14"/>
      <c r="F438" s="96"/>
      <c r="H438" s="12"/>
      <c r="I438" s="12"/>
      <c r="J438" s="12"/>
      <c r="K438" s="12"/>
      <c r="L438" s="12"/>
      <c r="M438" s="12"/>
      <c r="N438" s="12"/>
      <c r="O438" s="12"/>
      <c r="P438" s="12"/>
    </row>
    <row r="439">
      <c r="A439" s="12"/>
      <c r="D439" s="95"/>
      <c r="E439" s="14"/>
      <c r="F439" s="96"/>
      <c r="H439" s="12"/>
      <c r="I439" s="12"/>
      <c r="J439" s="12"/>
      <c r="K439" s="12"/>
      <c r="L439" s="12"/>
      <c r="M439" s="12"/>
      <c r="N439" s="12"/>
      <c r="O439" s="12"/>
      <c r="P439" s="12"/>
    </row>
    <row r="440">
      <c r="A440" s="12"/>
      <c r="D440" s="95"/>
      <c r="E440" s="14"/>
      <c r="F440" s="96"/>
      <c r="H440" s="12"/>
      <c r="I440" s="12"/>
      <c r="J440" s="12"/>
      <c r="K440" s="12"/>
      <c r="L440" s="12"/>
      <c r="M440" s="12"/>
      <c r="N440" s="12"/>
      <c r="O440" s="12"/>
      <c r="P440" s="12"/>
    </row>
    <row r="441">
      <c r="A441" s="12"/>
      <c r="D441" s="95"/>
      <c r="E441" s="14"/>
      <c r="F441" s="96"/>
      <c r="H441" s="12"/>
      <c r="I441" s="12"/>
      <c r="J441" s="12"/>
      <c r="K441" s="12"/>
      <c r="L441" s="12"/>
      <c r="M441" s="12"/>
      <c r="N441" s="12"/>
      <c r="O441" s="12"/>
      <c r="P441" s="12"/>
    </row>
    <row r="442">
      <c r="A442" s="12"/>
      <c r="D442" s="95"/>
      <c r="E442" s="14"/>
      <c r="F442" s="96"/>
      <c r="H442" s="12"/>
      <c r="I442" s="12"/>
      <c r="J442" s="12"/>
      <c r="K442" s="12"/>
      <c r="L442" s="12"/>
      <c r="M442" s="12"/>
      <c r="N442" s="12"/>
      <c r="O442" s="12"/>
      <c r="P442" s="12"/>
    </row>
    <row r="443">
      <c r="A443" s="12"/>
      <c r="D443" s="95"/>
      <c r="E443" s="14"/>
      <c r="F443" s="96"/>
      <c r="H443" s="12"/>
      <c r="I443" s="12"/>
      <c r="J443" s="12"/>
      <c r="K443" s="12"/>
      <c r="L443" s="12"/>
      <c r="M443" s="12"/>
      <c r="N443" s="12"/>
      <c r="O443" s="12"/>
      <c r="P443" s="12"/>
    </row>
    <row r="444">
      <c r="A444" s="12"/>
      <c r="D444" s="95"/>
      <c r="E444" s="14"/>
      <c r="F444" s="96"/>
      <c r="H444" s="12"/>
      <c r="I444" s="12"/>
      <c r="J444" s="12"/>
      <c r="K444" s="12"/>
      <c r="L444" s="12"/>
      <c r="M444" s="12"/>
      <c r="N444" s="12"/>
      <c r="O444" s="12"/>
      <c r="P444" s="12"/>
    </row>
    <row r="445">
      <c r="A445" s="12"/>
      <c r="D445" s="95"/>
      <c r="E445" s="14"/>
      <c r="F445" s="96"/>
      <c r="H445" s="12"/>
      <c r="I445" s="12"/>
      <c r="J445" s="12"/>
      <c r="K445" s="12"/>
      <c r="L445" s="12"/>
      <c r="M445" s="12"/>
      <c r="N445" s="12"/>
      <c r="O445" s="12"/>
      <c r="P445" s="12"/>
    </row>
    <row r="446">
      <c r="A446" s="12"/>
      <c r="D446" s="95"/>
      <c r="E446" s="14"/>
      <c r="F446" s="96"/>
      <c r="H446" s="12"/>
      <c r="I446" s="12"/>
      <c r="J446" s="12"/>
      <c r="K446" s="12"/>
      <c r="L446" s="12"/>
      <c r="M446" s="12"/>
      <c r="N446" s="12"/>
      <c r="O446" s="12"/>
      <c r="P446" s="12"/>
    </row>
    <row r="447">
      <c r="A447" s="12"/>
      <c r="D447" s="95"/>
      <c r="E447" s="14"/>
      <c r="F447" s="96"/>
      <c r="H447" s="12"/>
      <c r="I447" s="12"/>
      <c r="J447" s="12"/>
      <c r="K447" s="12"/>
      <c r="L447" s="12"/>
      <c r="M447" s="12"/>
      <c r="N447" s="12"/>
      <c r="O447" s="12"/>
      <c r="P447" s="12"/>
    </row>
    <row r="448">
      <c r="A448" s="12"/>
      <c r="D448" s="95"/>
      <c r="E448" s="14"/>
      <c r="F448" s="96"/>
      <c r="H448" s="12"/>
      <c r="I448" s="12"/>
      <c r="J448" s="12"/>
      <c r="K448" s="12"/>
      <c r="L448" s="12"/>
      <c r="M448" s="12"/>
      <c r="N448" s="12"/>
      <c r="O448" s="12"/>
      <c r="P448" s="12"/>
    </row>
    <row r="449">
      <c r="A449" s="12"/>
      <c r="D449" s="95"/>
      <c r="E449" s="14"/>
      <c r="F449" s="96"/>
      <c r="H449" s="12"/>
      <c r="I449" s="12"/>
      <c r="J449" s="12"/>
      <c r="K449" s="12"/>
      <c r="L449" s="12"/>
      <c r="M449" s="12"/>
      <c r="N449" s="12"/>
      <c r="O449" s="12"/>
      <c r="P449" s="12"/>
    </row>
    <row r="450">
      <c r="A450" s="12"/>
      <c r="D450" s="95"/>
      <c r="E450" s="14"/>
      <c r="F450" s="96"/>
      <c r="H450" s="12"/>
      <c r="I450" s="12"/>
      <c r="J450" s="12"/>
      <c r="K450" s="12"/>
      <c r="L450" s="12"/>
      <c r="M450" s="12"/>
      <c r="N450" s="12"/>
      <c r="O450" s="12"/>
      <c r="P450" s="12"/>
    </row>
    <row r="451">
      <c r="A451" s="12"/>
      <c r="D451" s="95"/>
      <c r="E451" s="14"/>
      <c r="F451" s="96"/>
      <c r="H451" s="12"/>
      <c r="I451" s="12"/>
      <c r="J451" s="12"/>
      <c r="K451" s="12"/>
      <c r="L451" s="12"/>
      <c r="M451" s="12"/>
      <c r="N451" s="12"/>
      <c r="O451" s="12"/>
      <c r="P451" s="12"/>
    </row>
    <row r="452">
      <c r="A452" s="12"/>
      <c r="D452" s="95"/>
      <c r="E452" s="14"/>
      <c r="F452" s="96"/>
      <c r="H452" s="12"/>
      <c r="I452" s="12"/>
      <c r="J452" s="12"/>
      <c r="K452" s="12"/>
      <c r="L452" s="12"/>
      <c r="M452" s="12"/>
      <c r="N452" s="12"/>
      <c r="O452" s="12"/>
      <c r="P452" s="12"/>
    </row>
    <row r="453">
      <c r="A453" s="12"/>
      <c r="D453" s="95"/>
      <c r="E453" s="14"/>
      <c r="F453" s="96"/>
      <c r="H453" s="12"/>
      <c r="I453" s="12"/>
      <c r="J453" s="12"/>
      <c r="K453" s="12"/>
      <c r="L453" s="12"/>
      <c r="M453" s="12"/>
      <c r="N453" s="12"/>
      <c r="O453" s="12"/>
      <c r="P453" s="12"/>
    </row>
    <row r="454">
      <c r="A454" s="12"/>
      <c r="D454" s="95"/>
      <c r="E454" s="14"/>
      <c r="F454" s="96"/>
      <c r="H454" s="12"/>
      <c r="I454" s="12"/>
      <c r="J454" s="12"/>
      <c r="K454" s="12"/>
      <c r="L454" s="12"/>
      <c r="M454" s="12"/>
      <c r="N454" s="12"/>
      <c r="O454" s="12"/>
      <c r="P454" s="12"/>
    </row>
    <row r="455">
      <c r="A455" s="12"/>
      <c r="D455" s="95"/>
      <c r="E455" s="14"/>
      <c r="F455" s="96"/>
      <c r="H455" s="12"/>
      <c r="I455" s="12"/>
      <c r="J455" s="12"/>
      <c r="K455" s="12"/>
      <c r="L455" s="12"/>
      <c r="M455" s="12"/>
      <c r="N455" s="12"/>
      <c r="O455" s="12"/>
      <c r="P455" s="12"/>
    </row>
    <row r="456">
      <c r="A456" s="12"/>
      <c r="D456" s="95"/>
      <c r="E456" s="14"/>
      <c r="F456" s="96"/>
      <c r="H456" s="12"/>
      <c r="I456" s="12"/>
      <c r="J456" s="12"/>
      <c r="K456" s="12"/>
      <c r="L456" s="12"/>
      <c r="M456" s="12"/>
      <c r="N456" s="12"/>
      <c r="O456" s="12"/>
      <c r="P456" s="12"/>
    </row>
    <row r="457">
      <c r="A457" s="12"/>
      <c r="D457" s="95"/>
      <c r="E457" s="14"/>
      <c r="F457" s="96"/>
      <c r="H457" s="12"/>
      <c r="I457" s="12"/>
      <c r="J457" s="12"/>
      <c r="K457" s="12"/>
      <c r="L457" s="12"/>
      <c r="M457" s="12"/>
      <c r="N457" s="12"/>
      <c r="O457" s="12"/>
      <c r="P457" s="12"/>
    </row>
    <row r="458">
      <c r="A458" s="12"/>
      <c r="D458" s="95"/>
      <c r="E458" s="14"/>
      <c r="F458" s="96"/>
      <c r="H458" s="12"/>
      <c r="I458" s="12"/>
      <c r="J458" s="12"/>
      <c r="K458" s="12"/>
      <c r="L458" s="12"/>
      <c r="M458" s="12"/>
      <c r="N458" s="12"/>
      <c r="O458" s="12"/>
      <c r="P458" s="12"/>
    </row>
    <row r="459">
      <c r="A459" s="12"/>
      <c r="D459" s="95"/>
      <c r="E459" s="14"/>
      <c r="F459" s="96"/>
      <c r="H459" s="12"/>
      <c r="I459" s="12"/>
      <c r="J459" s="12"/>
      <c r="K459" s="12"/>
      <c r="L459" s="12"/>
      <c r="M459" s="12"/>
      <c r="N459" s="12"/>
      <c r="O459" s="12"/>
      <c r="P459" s="12"/>
    </row>
    <row r="460">
      <c r="A460" s="12"/>
      <c r="D460" s="95"/>
      <c r="E460" s="14"/>
      <c r="F460" s="96"/>
      <c r="H460" s="12"/>
      <c r="I460" s="12"/>
      <c r="J460" s="12"/>
      <c r="K460" s="12"/>
      <c r="L460" s="12"/>
      <c r="M460" s="12"/>
      <c r="N460" s="12"/>
      <c r="O460" s="12"/>
      <c r="P460" s="12"/>
    </row>
    <row r="461">
      <c r="A461" s="12"/>
      <c r="D461" s="95"/>
      <c r="E461" s="14"/>
      <c r="F461" s="96"/>
      <c r="H461" s="12"/>
      <c r="I461" s="12"/>
      <c r="J461" s="12"/>
      <c r="K461" s="12"/>
      <c r="L461" s="12"/>
      <c r="M461" s="12"/>
      <c r="N461" s="12"/>
      <c r="O461" s="12"/>
      <c r="P461" s="12"/>
    </row>
    <row r="462">
      <c r="A462" s="12"/>
      <c r="D462" s="95"/>
      <c r="E462" s="14"/>
      <c r="F462" s="96"/>
      <c r="H462" s="12"/>
      <c r="I462" s="12"/>
      <c r="J462" s="12"/>
      <c r="K462" s="12"/>
      <c r="L462" s="12"/>
      <c r="M462" s="12"/>
      <c r="N462" s="12"/>
      <c r="O462" s="12"/>
      <c r="P462" s="12"/>
    </row>
    <row r="463">
      <c r="A463" s="12"/>
      <c r="D463" s="95"/>
      <c r="E463" s="14"/>
      <c r="F463" s="96"/>
      <c r="H463" s="12"/>
      <c r="I463" s="12"/>
      <c r="J463" s="12"/>
      <c r="K463" s="12"/>
      <c r="L463" s="12"/>
      <c r="M463" s="12"/>
      <c r="N463" s="12"/>
      <c r="O463" s="12"/>
      <c r="P463" s="12"/>
    </row>
    <row r="464">
      <c r="A464" s="12"/>
      <c r="D464" s="95"/>
      <c r="E464" s="14"/>
      <c r="F464" s="96"/>
      <c r="H464" s="12"/>
      <c r="I464" s="12"/>
      <c r="J464" s="12"/>
      <c r="K464" s="12"/>
      <c r="L464" s="12"/>
      <c r="M464" s="12"/>
      <c r="N464" s="12"/>
      <c r="O464" s="12"/>
      <c r="P464" s="12"/>
    </row>
    <row r="465">
      <c r="A465" s="12"/>
      <c r="D465" s="95"/>
      <c r="E465" s="14"/>
      <c r="F465" s="96"/>
      <c r="H465" s="12"/>
      <c r="I465" s="12"/>
      <c r="J465" s="12"/>
      <c r="K465" s="12"/>
      <c r="L465" s="12"/>
      <c r="M465" s="12"/>
      <c r="N465" s="12"/>
      <c r="O465" s="12"/>
      <c r="P465" s="12"/>
    </row>
    <row r="466">
      <c r="A466" s="12"/>
      <c r="D466" s="95"/>
      <c r="E466" s="14"/>
      <c r="F466" s="96"/>
      <c r="H466" s="12"/>
      <c r="I466" s="12"/>
      <c r="J466" s="12"/>
      <c r="K466" s="12"/>
      <c r="L466" s="12"/>
      <c r="M466" s="12"/>
      <c r="N466" s="12"/>
      <c r="O466" s="12"/>
      <c r="P466" s="12"/>
    </row>
    <row r="467">
      <c r="A467" s="12"/>
      <c r="D467" s="95"/>
      <c r="E467" s="14"/>
      <c r="F467" s="96"/>
      <c r="H467" s="12"/>
      <c r="I467" s="12"/>
      <c r="J467" s="12"/>
      <c r="K467" s="12"/>
      <c r="L467" s="12"/>
      <c r="M467" s="12"/>
      <c r="N467" s="12"/>
      <c r="O467" s="12"/>
      <c r="P467" s="12"/>
    </row>
    <row r="468">
      <c r="A468" s="12"/>
      <c r="D468" s="95"/>
      <c r="E468" s="14"/>
      <c r="F468" s="96"/>
      <c r="H468" s="12"/>
      <c r="I468" s="12"/>
      <c r="J468" s="12"/>
      <c r="K468" s="12"/>
      <c r="L468" s="12"/>
      <c r="M468" s="12"/>
      <c r="N468" s="12"/>
      <c r="O468" s="12"/>
      <c r="P468" s="12"/>
    </row>
    <row r="469">
      <c r="A469" s="12"/>
      <c r="D469" s="95"/>
      <c r="E469" s="14"/>
      <c r="F469" s="96"/>
      <c r="H469" s="12"/>
      <c r="I469" s="12"/>
      <c r="J469" s="12"/>
      <c r="K469" s="12"/>
      <c r="L469" s="12"/>
      <c r="M469" s="12"/>
      <c r="N469" s="12"/>
      <c r="O469" s="12"/>
      <c r="P469" s="12"/>
    </row>
    <row r="470">
      <c r="A470" s="12"/>
      <c r="D470" s="95"/>
      <c r="E470" s="14"/>
      <c r="F470" s="96"/>
      <c r="H470" s="12"/>
      <c r="I470" s="12"/>
      <c r="J470" s="12"/>
      <c r="K470" s="12"/>
      <c r="L470" s="12"/>
      <c r="M470" s="12"/>
      <c r="N470" s="12"/>
      <c r="O470" s="12"/>
      <c r="P470" s="12"/>
    </row>
    <row r="471">
      <c r="A471" s="12"/>
      <c r="D471" s="95"/>
      <c r="E471" s="14"/>
      <c r="F471" s="96"/>
      <c r="H471" s="12"/>
      <c r="I471" s="12"/>
      <c r="J471" s="12"/>
      <c r="K471" s="12"/>
      <c r="L471" s="12"/>
      <c r="M471" s="12"/>
      <c r="N471" s="12"/>
      <c r="O471" s="12"/>
      <c r="P471" s="12"/>
    </row>
    <row r="472">
      <c r="A472" s="12"/>
      <c r="D472" s="95"/>
      <c r="E472" s="14"/>
      <c r="F472" s="96"/>
      <c r="H472" s="12"/>
      <c r="I472" s="12"/>
      <c r="J472" s="12"/>
      <c r="K472" s="12"/>
      <c r="L472" s="12"/>
      <c r="M472" s="12"/>
      <c r="N472" s="12"/>
      <c r="O472" s="12"/>
      <c r="P472" s="12"/>
    </row>
    <row r="473">
      <c r="A473" s="12"/>
      <c r="D473" s="95"/>
      <c r="E473" s="14"/>
      <c r="F473" s="96"/>
      <c r="H473" s="12"/>
      <c r="I473" s="12"/>
      <c r="J473" s="12"/>
      <c r="K473" s="12"/>
      <c r="L473" s="12"/>
      <c r="M473" s="12"/>
      <c r="N473" s="12"/>
      <c r="O473" s="12"/>
      <c r="P473" s="12"/>
    </row>
    <row r="474">
      <c r="A474" s="12"/>
      <c r="D474" s="95"/>
      <c r="E474" s="14"/>
      <c r="F474" s="96"/>
      <c r="H474" s="12"/>
      <c r="I474" s="12"/>
      <c r="J474" s="12"/>
      <c r="K474" s="12"/>
      <c r="L474" s="12"/>
      <c r="M474" s="12"/>
      <c r="N474" s="12"/>
      <c r="O474" s="12"/>
      <c r="P474" s="12"/>
    </row>
    <row r="475">
      <c r="A475" s="12"/>
      <c r="D475" s="95"/>
      <c r="E475" s="14"/>
      <c r="F475" s="96"/>
      <c r="H475" s="12"/>
      <c r="I475" s="12"/>
      <c r="J475" s="12"/>
      <c r="K475" s="12"/>
      <c r="L475" s="12"/>
      <c r="M475" s="12"/>
      <c r="N475" s="12"/>
      <c r="O475" s="12"/>
      <c r="P475" s="12"/>
    </row>
    <row r="476">
      <c r="A476" s="12"/>
      <c r="D476" s="95"/>
      <c r="E476" s="14"/>
      <c r="F476" s="96"/>
      <c r="H476" s="12"/>
      <c r="I476" s="12"/>
      <c r="J476" s="12"/>
      <c r="K476" s="12"/>
      <c r="L476" s="12"/>
      <c r="M476" s="12"/>
      <c r="N476" s="12"/>
      <c r="O476" s="12"/>
      <c r="P476" s="12"/>
    </row>
    <row r="477">
      <c r="A477" s="12"/>
      <c r="D477" s="95"/>
      <c r="E477" s="14"/>
      <c r="F477" s="96"/>
      <c r="H477" s="12"/>
      <c r="I477" s="12"/>
      <c r="J477" s="12"/>
      <c r="K477" s="12"/>
      <c r="L477" s="12"/>
      <c r="M477" s="12"/>
      <c r="N477" s="12"/>
      <c r="O477" s="12"/>
      <c r="P477" s="12"/>
    </row>
    <row r="478">
      <c r="A478" s="12"/>
      <c r="D478" s="95"/>
      <c r="E478" s="14"/>
      <c r="F478" s="96"/>
      <c r="H478" s="12"/>
      <c r="I478" s="12"/>
      <c r="J478" s="12"/>
      <c r="K478" s="12"/>
      <c r="L478" s="12"/>
      <c r="M478" s="12"/>
      <c r="N478" s="12"/>
      <c r="O478" s="12"/>
      <c r="P478" s="12"/>
    </row>
    <row r="479">
      <c r="A479" s="12"/>
      <c r="D479" s="95"/>
      <c r="E479" s="14"/>
      <c r="F479" s="96"/>
      <c r="H479" s="12"/>
      <c r="I479" s="12"/>
      <c r="J479" s="12"/>
      <c r="K479" s="12"/>
      <c r="L479" s="12"/>
      <c r="M479" s="12"/>
      <c r="N479" s="12"/>
      <c r="O479" s="12"/>
      <c r="P479" s="12"/>
    </row>
    <row r="480">
      <c r="A480" s="12"/>
      <c r="D480" s="95"/>
      <c r="E480" s="14"/>
      <c r="F480" s="96"/>
      <c r="H480" s="12"/>
      <c r="I480" s="12"/>
      <c r="J480" s="12"/>
      <c r="K480" s="12"/>
      <c r="L480" s="12"/>
      <c r="M480" s="12"/>
      <c r="N480" s="12"/>
      <c r="O480" s="12"/>
      <c r="P480" s="12"/>
    </row>
    <row r="481">
      <c r="A481" s="12"/>
      <c r="D481" s="95"/>
      <c r="E481" s="14"/>
      <c r="F481" s="96"/>
      <c r="H481" s="12"/>
      <c r="I481" s="12"/>
      <c r="J481" s="12"/>
      <c r="K481" s="12"/>
      <c r="L481" s="12"/>
      <c r="M481" s="12"/>
      <c r="N481" s="12"/>
      <c r="O481" s="12"/>
      <c r="P481" s="12"/>
    </row>
    <row r="482">
      <c r="A482" s="12"/>
      <c r="D482" s="95"/>
      <c r="E482" s="14"/>
      <c r="F482" s="96"/>
      <c r="H482" s="12"/>
      <c r="I482" s="12"/>
      <c r="J482" s="12"/>
      <c r="K482" s="12"/>
      <c r="L482" s="12"/>
      <c r="M482" s="12"/>
      <c r="N482" s="12"/>
      <c r="O482" s="12"/>
      <c r="P482" s="12"/>
    </row>
    <row r="483">
      <c r="A483" s="12"/>
      <c r="D483" s="95"/>
      <c r="E483" s="14"/>
      <c r="F483" s="96"/>
      <c r="H483" s="12"/>
      <c r="I483" s="12"/>
      <c r="J483" s="12"/>
      <c r="K483" s="12"/>
      <c r="L483" s="12"/>
      <c r="M483" s="12"/>
      <c r="N483" s="12"/>
      <c r="O483" s="12"/>
      <c r="P483" s="12"/>
    </row>
    <row r="484">
      <c r="A484" s="12"/>
      <c r="D484" s="95"/>
      <c r="E484" s="14"/>
      <c r="F484" s="96"/>
      <c r="H484" s="12"/>
      <c r="I484" s="12"/>
      <c r="J484" s="12"/>
      <c r="K484" s="12"/>
      <c r="L484" s="12"/>
      <c r="M484" s="12"/>
      <c r="N484" s="12"/>
      <c r="O484" s="12"/>
      <c r="P484" s="12"/>
    </row>
    <row r="485">
      <c r="A485" s="12"/>
      <c r="D485" s="95"/>
      <c r="E485" s="14"/>
      <c r="F485" s="96"/>
      <c r="H485" s="12"/>
      <c r="I485" s="12"/>
      <c r="J485" s="12"/>
      <c r="K485" s="12"/>
      <c r="L485" s="12"/>
      <c r="M485" s="12"/>
      <c r="N485" s="12"/>
      <c r="O485" s="12"/>
      <c r="P485" s="12"/>
    </row>
    <row r="486">
      <c r="A486" s="12"/>
      <c r="D486" s="95"/>
      <c r="E486" s="14"/>
      <c r="F486" s="96"/>
      <c r="H486" s="12"/>
      <c r="I486" s="12"/>
      <c r="J486" s="12"/>
      <c r="K486" s="12"/>
      <c r="L486" s="12"/>
      <c r="M486" s="12"/>
      <c r="N486" s="12"/>
      <c r="O486" s="12"/>
      <c r="P486" s="12"/>
    </row>
    <row r="487">
      <c r="A487" s="12"/>
      <c r="D487" s="95"/>
      <c r="E487" s="14"/>
      <c r="F487" s="96"/>
      <c r="H487" s="12"/>
      <c r="I487" s="12"/>
      <c r="J487" s="12"/>
      <c r="K487" s="12"/>
      <c r="L487" s="12"/>
      <c r="M487" s="12"/>
      <c r="N487" s="12"/>
      <c r="O487" s="12"/>
      <c r="P487" s="12"/>
    </row>
    <row r="488">
      <c r="A488" s="12"/>
      <c r="D488" s="95"/>
      <c r="E488" s="14"/>
      <c r="F488" s="96"/>
      <c r="H488" s="12"/>
      <c r="I488" s="12"/>
      <c r="J488" s="12"/>
      <c r="K488" s="12"/>
      <c r="L488" s="12"/>
      <c r="M488" s="12"/>
      <c r="N488" s="12"/>
      <c r="O488" s="12"/>
      <c r="P488" s="12"/>
    </row>
    <row r="489">
      <c r="A489" s="12"/>
      <c r="D489" s="95"/>
      <c r="E489" s="14"/>
      <c r="F489" s="96"/>
      <c r="H489" s="12"/>
      <c r="I489" s="12"/>
      <c r="J489" s="12"/>
      <c r="K489" s="12"/>
      <c r="L489" s="12"/>
      <c r="M489" s="12"/>
      <c r="N489" s="12"/>
      <c r="O489" s="12"/>
      <c r="P489" s="12"/>
    </row>
    <row r="490">
      <c r="A490" s="12"/>
      <c r="D490" s="95"/>
      <c r="E490" s="14"/>
      <c r="F490" s="96"/>
      <c r="H490" s="12"/>
      <c r="I490" s="12"/>
      <c r="J490" s="12"/>
      <c r="K490" s="12"/>
      <c r="L490" s="12"/>
      <c r="M490" s="12"/>
      <c r="N490" s="12"/>
      <c r="O490" s="12"/>
      <c r="P490" s="12"/>
    </row>
    <row r="491">
      <c r="A491" s="12"/>
      <c r="D491" s="95"/>
      <c r="E491" s="14"/>
      <c r="F491" s="96"/>
      <c r="H491" s="12"/>
      <c r="I491" s="12"/>
      <c r="J491" s="12"/>
      <c r="K491" s="12"/>
      <c r="L491" s="12"/>
      <c r="M491" s="12"/>
      <c r="N491" s="12"/>
      <c r="O491" s="12"/>
      <c r="P491" s="12"/>
    </row>
    <row r="492">
      <c r="A492" s="12"/>
      <c r="D492" s="95"/>
      <c r="E492" s="14"/>
      <c r="F492" s="96"/>
      <c r="H492" s="12"/>
      <c r="I492" s="12"/>
      <c r="J492" s="12"/>
      <c r="K492" s="12"/>
      <c r="L492" s="12"/>
      <c r="M492" s="12"/>
      <c r="N492" s="12"/>
      <c r="O492" s="12"/>
      <c r="P492" s="12"/>
    </row>
    <row r="493">
      <c r="A493" s="12"/>
      <c r="D493" s="95"/>
      <c r="E493" s="14"/>
      <c r="F493" s="96"/>
      <c r="H493" s="12"/>
      <c r="I493" s="12"/>
      <c r="J493" s="12"/>
      <c r="K493" s="12"/>
      <c r="L493" s="12"/>
      <c r="M493" s="12"/>
      <c r="N493" s="12"/>
      <c r="O493" s="12"/>
      <c r="P493" s="12"/>
    </row>
    <row r="494">
      <c r="A494" s="12"/>
      <c r="D494" s="95"/>
      <c r="E494" s="14"/>
      <c r="F494" s="96"/>
      <c r="H494" s="12"/>
      <c r="I494" s="12"/>
      <c r="J494" s="12"/>
      <c r="K494" s="12"/>
      <c r="L494" s="12"/>
      <c r="M494" s="12"/>
      <c r="N494" s="12"/>
      <c r="O494" s="12"/>
      <c r="P494" s="12"/>
    </row>
    <row r="495">
      <c r="A495" s="12"/>
      <c r="D495" s="95"/>
      <c r="E495" s="14"/>
      <c r="F495" s="96"/>
      <c r="H495" s="12"/>
      <c r="I495" s="12"/>
      <c r="J495" s="12"/>
      <c r="K495" s="12"/>
      <c r="L495" s="12"/>
      <c r="M495" s="12"/>
      <c r="N495" s="12"/>
      <c r="O495" s="12"/>
      <c r="P495" s="12"/>
    </row>
    <row r="496">
      <c r="A496" s="12"/>
      <c r="D496" s="95"/>
      <c r="E496" s="14"/>
      <c r="F496" s="96"/>
      <c r="H496" s="12"/>
      <c r="I496" s="12"/>
      <c r="J496" s="12"/>
      <c r="K496" s="12"/>
      <c r="L496" s="12"/>
      <c r="M496" s="12"/>
      <c r="N496" s="12"/>
      <c r="O496" s="12"/>
      <c r="P496" s="12"/>
    </row>
    <row r="497">
      <c r="A497" s="12"/>
      <c r="D497" s="95"/>
      <c r="E497" s="14"/>
      <c r="F497" s="96"/>
      <c r="H497" s="12"/>
      <c r="I497" s="12"/>
      <c r="J497" s="12"/>
      <c r="K497" s="12"/>
      <c r="L497" s="12"/>
      <c r="M497" s="12"/>
      <c r="N497" s="12"/>
      <c r="O497" s="12"/>
      <c r="P497" s="12"/>
    </row>
    <row r="498">
      <c r="A498" s="12"/>
      <c r="D498" s="95"/>
      <c r="E498" s="14"/>
      <c r="F498" s="96"/>
      <c r="H498" s="12"/>
      <c r="I498" s="12"/>
      <c r="J498" s="12"/>
      <c r="K498" s="12"/>
      <c r="L498" s="12"/>
      <c r="M498" s="12"/>
      <c r="N498" s="12"/>
      <c r="O498" s="12"/>
      <c r="P498" s="12"/>
    </row>
    <row r="499">
      <c r="A499" s="12"/>
      <c r="D499" s="95"/>
      <c r="E499" s="14"/>
      <c r="F499" s="96"/>
      <c r="H499" s="12"/>
      <c r="I499" s="12"/>
      <c r="J499" s="12"/>
      <c r="K499" s="12"/>
      <c r="L499" s="12"/>
      <c r="M499" s="12"/>
      <c r="N499" s="12"/>
      <c r="O499" s="12"/>
      <c r="P499" s="12"/>
    </row>
    <row r="500">
      <c r="A500" s="12"/>
      <c r="D500" s="95"/>
      <c r="E500" s="14"/>
      <c r="F500" s="96"/>
      <c r="H500" s="12"/>
      <c r="I500" s="12"/>
      <c r="J500" s="12"/>
      <c r="K500" s="12"/>
      <c r="L500" s="12"/>
      <c r="M500" s="12"/>
      <c r="N500" s="12"/>
      <c r="O500" s="12"/>
      <c r="P500" s="12"/>
    </row>
    <row r="501">
      <c r="A501" s="12"/>
      <c r="D501" s="95"/>
      <c r="E501" s="14"/>
      <c r="F501" s="96"/>
      <c r="H501" s="12"/>
      <c r="I501" s="12"/>
      <c r="J501" s="12"/>
      <c r="K501" s="12"/>
      <c r="L501" s="12"/>
      <c r="M501" s="12"/>
      <c r="N501" s="12"/>
      <c r="O501" s="12"/>
      <c r="P501" s="12"/>
    </row>
    <row r="502">
      <c r="A502" s="12"/>
      <c r="D502" s="95"/>
      <c r="E502" s="14"/>
      <c r="F502" s="96"/>
      <c r="H502" s="12"/>
      <c r="I502" s="12"/>
      <c r="J502" s="12"/>
      <c r="K502" s="12"/>
      <c r="L502" s="12"/>
      <c r="M502" s="12"/>
      <c r="N502" s="12"/>
      <c r="O502" s="12"/>
      <c r="P502" s="12"/>
    </row>
    <row r="503">
      <c r="A503" s="12"/>
      <c r="D503" s="95"/>
      <c r="E503" s="14"/>
      <c r="F503" s="96"/>
      <c r="H503" s="12"/>
      <c r="I503" s="12"/>
      <c r="J503" s="12"/>
      <c r="K503" s="12"/>
      <c r="L503" s="12"/>
      <c r="M503" s="12"/>
      <c r="N503" s="12"/>
      <c r="O503" s="12"/>
      <c r="P503" s="12"/>
    </row>
    <row r="504">
      <c r="A504" s="12"/>
      <c r="D504" s="95"/>
      <c r="E504" s="14"/>
      <c r="F504" s="96"/>
      <c r="H504" s="12"/>
      <c r="I504" s="12"/>
      <c r="J504" s="12"/>
      <c r="K504" s="12"/>
      <c r="L504" s="12"/>
      <c r="M504" s="12"/>
      <c r="N504" s="12"/>
      <c r="O504" s="12"/>
      <c r="P504" s="12"/>
    </row>
    <row r="505">
      <c r="A505" s="12"/>
      <c r="D505" s="95"/>
      <c r="E505" s="14"/>
      <c r="F505" s="96"/>
      <c r="H505" s="12"/>
      <c r="I505" s="12"/>
      <c r="J505" s="12"/>
      <c r="K505" s="12"/>
      <c r="L505" s="12"/>
      <c r="M505" s="12"/>
      <c r="N505" s="12"/>
      <c r="O505" s="12"/>
      <c r="P505" s="12"/>
    </row>
    <row r="506">
      <c r="A506" s="12"/>
      <c r="D506" s="95"/>
      <c r="E506" s="14"/>
      <c r="F506" s="96"/>
      <c r="H506" s="12"/>
      <c r="I506" s="12"/>
      <c r="J506" s="12"/>
      <c r="K506" s="12"/>
      <c r="L506" s="12"/>
      <c r="M506" s="12"/>
      <c r="N506" s="12"/>
      <c r="O506" s="12"/>
      <c r="P506" s="12"/>
    </row>
    <row r="507">
      <c r="A507" s="12"/>
      <c r="D507" s="95"/>
      <c r="E507" s="14"/>
      <c r="F507" s="96"/>
      <c r="H507" s="12"/>
      <c r="I507" s="12"/>
      <c r="J507" s="12"/>
      <c r="K507" s="12"/>
      <c r="L507" s="12"/>
      <c r="M507" s="12"/>
      <c r="N507" s="12"/>
      <c r="O507" s="12"/>
      <c r="P507" s="12"/>
    </row>
    <row r="508">
      <c r="A508" s="12"/>
      <c r="D508" s="95"/>
      <c r="E508" s="14"/>
      <c r="F508" s="96"/>
      <c r="H508" s="12"/>
      <c r="I508" s="12"/>
      <c r="J508" s="12"/>
      <c r="K508" s="12"/>
      <c r="L508" s="12"/>
      <c r="M508" s="12"/>
      <c r="N508" s="12"/>
      <c r="O508" s="12"/>
      <c r="P508" s="12"/>
    </row>
    <row r="509">
      <c r="A509" s="12"/>
      <c r="D509" s="95"/>
      <c r="E509" s="14"/>
      <c r="F509" s="96"/>
      <c r="H509" s="12"/>
      <c r="I509" s="12"/>
      <c r="J509" s="12"/>
      <c r="K509" s="12"/>
      <c r="L509" s="12"/>
      <c r="M509" s="12"/>
      <c r="N509" s="12"/>
      <c r="O509" s="12"/>
      <c r="P509" s="12"/>
    </row>
    <row r="510">
      <c r="A510" s="12"/>
      <c r="D510" s="95"/>
      <c r="E510" s="14"/>
      <c r="F510" s="96"/>
      <c r="H510" s="12"/>
      <c r="I510" s="12"/>
      <c r="J510" s="12"/>
      <c r="K510" s="12"/>
      <c r="L510" s="12"/>
      <c r="M510" s="12"/>
      <c r="N510" s="12"/>
      <c r="O510" s="12"/>
      <c r="P510" s="12"/>
    </row>
    <row r="511">
      <c r="A511" s="12"/>
      <c r="D511" s="95"/>
      <c r="E511" s="14"/>
      <c r="F511" s="96"/>
      <c r="H511" s="12"/>
      <c r="I511" s="12"/>
      <c r="J511" s="12"/>
      <c r="K511" s="12"/>
      <c r="L511" s="12"/>
      <c r="M511" s="12"/>
      <c r="N511" s="12"/>
      <c r="O511" s="12"/>
      <c r="P511" s="12"/>
    </row>
    <row r="512">
      <c r="A512" s="12"/>
      <c r="D512" s="95"/>
      <c r="E512" s="14"/>
      <c r="F512" s="96"/>
      <c r="H512" s="12"/>
      <c r="I512" s="12"/>
      <c r="J512" s="12"/>
      <c r="K512" s="12"/>
      <c r="L512" s="12"/>
      <c r="M512" s="12"/>
      <c r="N512" s="12"/>
      <c r="O512" s="12"/>
      <c r="P512" s="12"/>
    </row>
    <row r="513">
      <c r="A513" s="12"/>
      <c r="D513" s="95"/>
      <c r="E513" s="14"/>
      <c r="F513" s="96"/>
      <c r="H513" s="12"/>
      <c r="I513" s="12"/>
      <c r="J513" s="12"/>
      <c r="K513" s="12"/>
      <c r="L513" s="12"/>
      <c r="M513" s="12"/>
      <c r="N513" s="12"/>
      <c r="O513" s="12"/>
      <c r="P513" s="12"/>
    </row>
    <row r="514">
      <c r="A514" s="12"/>
      <c r="D514" s="95"/>
      <c r="E514" s="14"/>
      <c r="F514" s="96"/>
      <c r="H514" s="12"/>
      <c r="I514" s="12"/>
      <c r="J514" s="12"/>
      <c r="K514" s="12"/>
      <c r="L514" s="12"/>
      <c r="M514" s="12"/>
      <c r="N514" s="12"/>
      <c r="O514" s="12"/>
      <c r="P514" s="12"/>
    </row>
    <row r="515">
      <c r="A515" s="12"/>
      <c r="D515" s="95"/>
      <c r="E515" s="14"/>
      <c r="F515" s="96"/>
      <c r="H515" s="12"/>
      <c r="I515" s="12"/>
      <c r="J515" s="12"/>
      <c r="K515" s="12"/>
      <c r="L515" s="12"/>
      <c r="M515" s="12"/>
      <c r="N515" s="12"/>
      <c r="O515" s="12"/>
      <c r="P515" s="12"/>
    </row>
    <row r="516">
      <c r="A516" s="12"/>
      <c r="D516" s="95"/>
      <c r="E516" s="14"/>
      <c r="F516" s="96"/>
      <c r="H516" s="12"/>
      <c r="I516" s="12"/>
      <c r="J516" s="12"/>
      <c r="K516" s="12"/>
      <c r="L516" s="12"/>
      <c r="M516" s="12"/>
      <c r="N516" s="12"/>
      <c r="O516" s="12"/>
      <c r="P516" s="12"/>
    </row>
    <row r="517">
      <c r="A517" s="12"/>
      <c r="D517" s="95"/>
      <c r="E517" s="14"/>
      <c r="F517" s="96"/>
      <c r="H517" s="12"/>
      <c r="I517" s="12"/>
      <c r="J517" s="12"/>
      <c r="K517" s="12"/>
      <c r="L517" s="12"/>
      <c r="M517" s="12"/>
      <c r="N517" s="12"/>
      <c r="O517" s="12"/>
      <c r="P517" s="12"/>
    </row>
    <row r="518">
      <c r="A518" s="12"/>
      <c r="D518" s="95"/>
      <c r="E518" s="14"/>
      <c r="F518" s="96"/>
      <c r="H518" s="12"/>
      <c r="I518" s="12"/>
      <c r="J518" s="12"/>
      <c r="K518" s="12"/>
      <c r="L518" s="12"/>
      <c r="M518" s="12"/>
      <c r="N518" s="12"/>
      <c r="O518" s="12"/>
      <c r="P518" s="12"/>
    </row>
    <row r="519">
      <c r="A519" s="12"/>
      <c r="D519" s="95"/>
      <c r="E519" s="14"/>
      <c r="F519" s="96"/>
      <c r="H519" s="12"/>
      <c r="I519" s="12"/>
      <c r="J519" s="12"/>
      <c r="K519" s="12"/>
      <c r="L519" s="12"/>
      <c r="M519" s="12"/>
      <c r="N519" s="12"/>
      <c r="O519" s="12"/>
      <c r="P519" s="12"/>
    </row>
    <row r="520">
      <c r="A520" s="12"/>
      <c r="D520" s="95"/>
      <c r="E520" s="14"/>
      <c r="F520" s="96"/>
      <c r="H520" s="12"/>
      <c r="I520" s="12"/>
      <c r="J520" s="12"/>
      <c r="K520" s="12"/>
      <c r="L520" s="12"/>
      <c r="M520" s="12"/>
      <c r="N520" s="12"/>
      <c r="O520" s="12"/>
      <c r="P520" s="12"/>
    </row>
    <row r="521">
      <c r="A521" s="12"/>
      <c r="D521" s="95"/>
      <c r="E521" s="14"/>
      <c r="F521" s="96"/>
      <c r="H521" s="12"/>
      <c r="I521" s="12"/>
      <c r="J521" s="12"/>
      <c r="K521" s="12"/>
      <c r="L521" s="12"/>
      <c r="M521" s="12"/>
      <c r="N521" s="12"/>
      <c r="O521" s="12"/>
      <c r="P521" s="12"/>
    </row>
    <row r="522">
      <c r="A522" s="12"/>
      <c r="D522" s="95"/>
      <c r="E522" s="14"/>
      <c r="F522" s="96"/>
      <c r="H522" s="12"/>
      <c r="I522" s="12"/>
      <c r="J522" s="12"/>
      <c r="K522" s="12"/>
      <c r="L522" s="12"/>
      <c r="M522" s="12"/>
      <c r="N522" s="12"/>
      <c r="O522" s="12"/>
      <c r="P522" s="12"/>
    </row>
    <row r="523">
      <c r="A523" s="12"/>
      <c r="D523" s="95"/>
      <c r="E523" s="14"/>
      <c r="F523" s="96"/>
      <c r="H523" s="12"/>
      <c r="I523" s="12"/>
      <c r="J523" s="12"/>
      <c r="K523" s="12"/>
      <c r="L523" s="12"/>
      <c r="M523" s="12"/>
      <c r="N523" s="12"/>
      <c r="O523" s="12"/>
      <c r="P523" s="12"/>
    </row>
    <row r="524">
      <c r="A524" s="12"/>
      <c r="D524" s="95"/>
      <c r="E524" s="14"/>
      <c r="F524" s="96"/>
      <c r="H524" s="12"/>
      <c r="I524" s="12"/>
      <c r="J524" s="12"/>
      <c r="K524" s="12"/>
      <c r="L524" s="12"/>
      <c r="M524" s="12"/>
      <c r="N524" s="12"/>
      <c r="O524" s="12"/>
      <c r="P524" s="12"/>
    </row>
    <row r="525">
      <c r="A525" s="12"/>
      <c r="D525" s="95"/>
      <c r="E525" s="14"/>
      <c r="F525" s="96"/>
      <c r="H525" s="12"/>
      <c r="I525" s="12"/>
      <c r="J525" s="12"/>
      <c r="K525" s="12"/>
      <c r="L525" s="12"/>
      <c r="M525" s="12"/>
      <c r="N525" s="12"/>
      <c r="O525" s="12"/>
      <c r="P525" s="12"/>
    </row>
    <row r="526">
      <c r="A526" s="12"/>
      <c r="D526" s="95"/>
      <c r="E526" s="14"/>
      <c r="F526" s="96"/>
      <c r="H526" s="12"/>
      <c r="I526" s="12"/>
      <c r="J526" s="12"/>
      <c r="K526" s="12"/>
      <c r="L526" s="12"/>
      <c r="M526" s="12"/>
      <c r="N526" s="12"/>
      <c r="O526" s="12"/>
      <c r="P526" s="12"/>
    </row>
    <row r="527">
      <c r="A527" s="12"/>
      <c r="D527" s="95"/>
      <c r="E527" s="14"/>
      <c r="F527" s="96"/>
      <c r="H527" s="12"/>
      <c r="I527" s="12"/>
      <c r="J527" s="12"/>
      <c r="K527" s="12"/>
      <c r="L527" s="12"/>
      <c r="M527" s="12"/>
      <c r="N527" s="12"/>
      <c r="O527" s="12"/>
      <c r="P527" s="12"/>
    </row>
    <row r="528">
      <c r="A528" s="12"/>
      <c r="D528" s="95"/>
      <c r="E528" s="14"/>
      <c r="F528" s="96"/>
      <c r="H528" s="12"/>
      <c r="I528" s="12"/>
      <c r="J528" s="12"/>
      <c r="K528" s="12"/>
      <c r="L528" s="12"/>
      <c r="M528" s="12"/>
      <c r="N528" s="12"/>
      <c r="O528" s="12"/>
      <c r="P528" s="12"/>
    </row>
    <row r="529">
      <c r="A529" s="12"/>
      <c r="D529" s="95"/>
      <c r="E529" s="14"/>
      <c r="F529" s="96"/>
      <c r="H529" s="12"/>
      <c r="I529" s="12"/>
      <c r="J529" s="12"/>
      <c r="K529" s="12"/>
      <c r="L529" s="12"/>
      <c r="M529" s="12"/>
      <c r="N529" s="12"/>
      <c r="O529" s="12"/>
      <c r="P529" s="12"/>
    </row>
    <row r="530">
      <c r="A530" s="12"/>
      <c r="D530" s="95"/>
      <c r="E530" s="14"/>
      <c r="F530" s="96"/>
      <c r="H530" s="12"/>
      <c r="I530" s="12"/>
      <c r="J530" s="12"/>
      <c r="K530" s="12"/>
      <c r="L530" s="12"/>
      <c r="M530" s="12"/>
      <c r="N530" s="12"/>
      <c r="O530" s="12"/>
      <c r="P530" s="12"/>
    </row>
    <row r="531">
      <c r="A531" s="12"/>
      <c r="D531" s="95"/>
      <c r="E531" s="14"/>
      <c r="F531" s="96"/>
      <c r="H531" s="12"/>
      <c r="I531" s="12"/>
      <c r="J531" s="12"/>
      <c r="K531" s="12"/>
      <c r="L531" s="12"/>
      <c r="M531" s="12"/>
      <c r="N531" s="12"/>
      <c r="O531" s="12"/>
      <c r="P531" s="12"/>
    </row>
    <row r="532">
      <c r="A532" s="12"/>
      <c r="D532" s="95"/>
      <c r="E532" s="14"/>
      <c r="F532" s="96"/>
      <c r="H532" s="12"/>
      <c r="I532" s="12"/>
      <c r="J532" s="12"/>
      <c r="K532" s="12"/>
      <c r="L532" s="12"/>
      <c r="M532" s="12"/>
      <c r="N532" s="12"/>
      <c r="O532" s="12"/>
      <c r="P532" s="12"/>
    </row>
    <row r="533">
      <c r="A533" s="12"/>
      <c r="D533" s="95"/>
      <c r="E533" s="14"/>
      <c r="F533" s="96"/>
      <c r="H533" s="12"/>
      <c r="I533" s="12"/>
      <c r="J533" s="12"/>
      <c r="K533" s="12"/>
      <c r="L533" s="12"/>
      <c r="M533" s="12"/>
      <c r="N533" s="12"/>
      <c r="O533" s="12"/>
      <c r="P533" s="12"/>
    </row>
    <row r="534">
      <c r="A534" s="12"/>
      <c r="D534" s="95"/>
      <c r="E534" s="14"/>
      <c r="F534" s="96"/>
      <c r="H534" s="12"/>
      <c r="I534" s="12"/>
      <c r="J534" s="12"/>
      <c r="K534" s="12"/>
      <c r="L534" s="12"/>
      <c r="M534" s="12"/>
      <c r="N534" s="12"/>
      <c r="O534" s="12"/>
      <c r="P534" s="12"/>
    </row>
    <row r="535">
      <c r="A535" s="12"/>
      <c r="D535" s="95"/>
      <c r="E535" s="14"/>
      <c r="F535" s="96"/>
      <c r="H535" s="12"/>
      <c r="I535" s="12"/>
      <c r="J535" s="12"/>
      <c r="K535" s="12"/>
      <c r="L535" s="12"/>
      <c r="M535" s="12"/>
      <c r="N535" s="12"/>
      <c r="O535" s="12"/>
      <c r="P535" s="12"/>
    </row>
    <row r="536">
      <c r="A536" s="12"/>
      <c r="D536" s="95"/>
      <c r="E536" s="14"/>
      <c r="F536" s="96"/>
      <c r="H536" s="12"/>
      <c r="I536" s="12"/>
      <c r="J536" s="12"/>
      <c r="K536" s="12"/>
      <c r="L536" s="12"/>
      <c r="M536" s="12"/>
      <c r="N536" s="12"/>
      <c r="O536" s="12"/>
      <c r="P536" s="12"/>
    </row>
    <row r="537">
      <c r="A537" s="12"/>
      <c r="D537" s="95"/>
      <c r="E537" s="14"/>
      <c r="F537" s="96"/>
      <c r="H537" s="12"/>
      <c r="I537" s="12"/>
      <c r="J537" s="12"/>
      <c r="K537" s="12"/>
      <c r="L537" s="12"/>
      <c r="M537" s="12"/>
      <c r="N537" s="12"/>
      <c r="O537" s="12"/>
      <c r="P537" s="12"/>
    </row>
    <row r="538">
      <c r="A538" s="12"/>
      <c r="D538" s="95"/>
      <c r="E538" s="14"/>
      <c r="F538" s="96"/>
      <c r="H538" s="12"/>
      <c r="I538" s="12"/>
      <c r="J538" s="12"/>
      <c r="K538" s="12"/>
      <c r="L538" s="12"/>
      <c r="M538" s="12"/>
      <c r="N538" s="12"/>
      <c r="O538" s="12"/>
      <c r="P538" s="12"/>
    </row>
    <row r="539">
      <c r="A539" s="12"/>
      <c r="D539" s="95"/>
      <c r="E539" s="14"/>
      <c r="F539" s="96"/>
      <c r="H539" s="12"/>
      <c r="I539" s="12"/>
      <c r="J539" s="12"/>
      <c r="K539" s="12"/>
      <c r="L539" s="12"/>
      <c r="M539" s="12"/>
      <c r="N539" s="12"/>
      <c r="O539" s="12"/>
      <c r="P539" s="12"/>
    </row>
    <row r="540">
      <c r="A540" s="12"/>
      <c r="D540" s="95"/>
      <c r="E540" s="14"/>
      <c r="F540" s="96"/>
      <c r="H540" s="12"/>
      <c r="I540" s="12"/>
      <c r="J540" s="12"/>
      <c r="K540" s="12"/>
      <c r="L540" s="12"/>
      <c r="M540" s="12"/>
      <c r="N540" s="12"/>
      <c r="O540" s="12"/>
      <c r="P540" s="12"/>
    </row>
    <row r="541">
      <c r="A541" s="12"/>
      <c r="D541" s="95"/>
      <c r="E541" s="14"/>
      <c r="F541" s="96"/>
      <c r="H541" s="12"/>
      <c r="I541" s="12"/>
      <c r="J541" s="12"/>
      <c r="K541" s="12"/>
      <c r="L541" s="12"/>
      <c r="M541" s="12"/>
      <c r="N541" s="12"/>
      <c r="O541" s="12"/>
      <c r="P541" s="12"/>
    </row>
    <row r="542">
      <c r="A542" s="12"/>
      <c r="D542" s="95"/>
      <c r="E542" s="14"/>
      <c r="F542" s="96"/>
      <c r="H542" s="12"/>
      <c r="I542" s="12"/>
      <c r="J542" s="12"/>
      <c r="K542" s="12"/>
      <c r="L542" s="12"/>
      <c r="M542" s="12"/>
      <c r="N542" s="12"/>
      <c r="O542" s="12"/>
      <c r="P542" s="12"/>
    </row>
    <row r="543">
      <c r="A543" s="12"/>
      <c r="D543" s="95"/>
      <c r="E543" s="14"/>
      <c r="F543" s="96"/>
      <c r="H543" s="12"/>
      <c r="I543" s="12"/>
      <c r="J543" s="12"/>
      <c r="K543" s="12"/>
      <c r="L543" s="12"/>
      <c r="M543" s="12"/>
      <c r="N543" s="12"/>
      <c r="O543" s="12"/>
      <c r="P543" s="12"/>
    </row>
    <row r="544">
      <c r="A544" s="12"/>
      <c r="D544" s="95"/>
      <c r="E544" s="14"/>
      <c r="F544" s="96"/>
      <c r="H544" s="12"/>
      <c r="I544" s="12"/>
      <c r="J544" s="12"/>
      <c r="K544" s="12"/>
      <c r="L544" s="12"/>
      <c r="M544" s="12"/>
      <c r="N544" s="12"/>
      <c r="O544" s="12"/>
      <c r="P544" s="12"/>
    </row>
    <row r="545">
      <c r="A545" s="12"/>
      <c r="D545" s="95"/>
      <c r="E545" s="14"/>
      <c r="F545" s="96"/>
      <c r="H545" s="12"/>
      <c r="I545" s="12"/>
      <c r="J545" s="12"/>
      <c r="K545" s="12"/>
      <c r="L545" s="12"/>
      <c r="M545" s="12"/>
      <c r="N545" s="12"/>
      <c r="O545" s="12"/>
      <c r="P545" s="12"/>
    </row>
    <row r="546">
      <c r="A546" s="12"/>
      <c r="D546" s="95"/>
      <c r="E546" s="14"/>
      <c r="F546" s="96"/>
      <c r="H546" s="12"/>
      <c r="I546" s="12"/>
      <c r="J546" s="12"/>
      <c r="K546" s="12"/>
      <c r="L546" s="12"/>
      <c r="M546" s="12"/>
      <c r="N546" s="12"/>
      <c r="O546" s="12"/>
      <c r="P546" s="12"/>
    </row>
    <row r="547">
      <c r="A547" s="12"/>
      <c r="D547" s="95"/>
      <c r="E547" s="14"/>
      <c r="F547" s="96"/>
      <c r="H547" s="12"/>
      <c r="I547" s="12"/>
      <c r="J547" s="12"/>
      <c r="K547" s="12"/>
      <c r="L547" s="12"/>
      <c r="M547" s="12"/>
      <c r="N547" s="12"/>
      <c r="O547" s="12"/>
      <c r="P547" s="12"/>
    </row>
    <row r="548">
      <c r="A548" s="12"/>
      <c r="D548" s="95"/>
      <c r="E548" s="14"/>
      <c r="F548" s="96"/>
      <c r="H548" s="12"/>
      <c r="I548" s="12"/>
      <c r="J548" s="12"/>
      <c r="K548" s="12"/>
      <c r="L548" s="12"/>
      <c r="M548" s="12"/>
      <c r="N548" s="12"/>
      <c r="O548" s="12"/>
      <c r="P548" s="12"/>
    </row>
    <row r="549">
      <c r="A549" s="12"/>
      <c r="D549" s="95"/>
      <c r="E549" s="14"/>
      <c r="F549" s="96"/>
      <c r="H549" s="12"/>
      <c r="I549" s="12"/>
      <c r="J549" s="12"/>
      <c r="K549" s="12"/>
      <c r="L549" s="12"/>
      <c r="M549" s="12"/>
      <c r="N549" s="12"/>
      <c r="O549" s="12"/>
      <c r="P549" s="12"/>
    </row>
    <row r="550">
      <c r="A550" s="12"/>
      <c r="D550" s="95"/>
      <c r="E550" s="14"/>
      <c r="F550" s="96"/>
      <c r="H550" s="12"/>
      <c r="I550" s="12"/>
      <c r="J550" s="12"/>
      <c r="K550" s="12"/>
      <c r="L550" s="12"/>
      <c r="M550" s="12"/>
      <c r="N550" s="12"/>
      <c r="O550" s="12"/>
      <c r="P550" s="12"/>
    </row>
    <row r="551">
      <c r="A551" s="12"/>
      <c r="D551" s="95"/>
      <c r="E551" s="14"/>
      <c r="F551" s="96"/>
      <c r="H551" s="12"/>
      <c r="I551" s="12"/>
      <c r="J551" s="12"/>
      <c r="K551" s="12"/>
      <c r="L551" s="12"/>
      <c r="M551" s="12"/>
      <c r="N551" s="12"/>
      <c r="O551" s="12"/>
      <c r="P551" s="12"/>
    </row>
    <row r="552">
      <c r="A552" s="12"/>
      <c r="D552" s="95"/>
      <c r="E552" s="14"/>
      <c r="F552" s="96"/>
      <c r="H552" s="12"/>
      <c r="I552" s="12"/>
      <c r="J552" s="12"/>
      <c r="K552" s="12"/>
      <c r="L552" s="12"/>
      <c r="M552" s="12"/>
      <c r="N552" s="12"/>
      <c r="O552" s="12"/>
      <c r="P552" s="12"/>
    </row>
    <row r="553">
      <c r="A553" s="12"/>
      <c r="D553" s="95"/>
      <c r="E553" s="14"/>
      <c r="F553" s="96"/>
      <c r="H553" s="12"/>
      <c r="I553" s="12"/>
      <c r="J553" s="12"/>
      <c r="K553" s="12"/>
      <c r="L553" s="12"/>
      <c r="M553" s="12"/>
      <c r="N553" s="12"/>
      <c r="O553" s="12"/>
      <c r="P553" s="12"/>
    </row>
    <row r="554">
      <c r="A554" s="12"/>
      <c r="D554" s="95"/>
      <c r="E554" s="14"/>
      <c r="F554" s="96"/>
      <c r="H554" s="12"/>
      <c r="I554" s="12"/>
      <c r="J554" s="12"/>
      <c r="K554" s="12"/>
      <c r="L554" s="12"/>
      <c r="M554" s="12"/>
      <c r="N554" s="12"/>
      <c r="O554" s="12"/>
      <c r="P554" s="12"/>
    </row>
    <row r="555">
      <c r="A555" s="12"/>
      <c r="D555" s="95"/>
      <c r="E555" s="14"/>
      <c r="F555" s="96"/>
      <c r="H555" s="12"/>
      <c r="I555" s="12"/>
      <c r="J555" s="12"/>
      <c r="K555" s="12"/>
      <c r="L555" s="12"/>
      <c r="M555" s="12"/>
      <c r="N555" s="12"/>
      <c r="O555" s="12"/>
      <c r="P555" s="12"/>
    </row>
    <row r="556">
      <c r="A556" s="12"/>
      <c r="D556" s="95"/>
      <c r="E556" s="14"/>
      <c r="F556" s="96"/>
      <c r="H556" s="12"/>
      <c r="I556" s="12"/>
      <c r="J556" s="12"/>
      <c r="K556" s="12"/>
      <c r="L556" s="12"/>
      <c r="M556" s="12"/>
      <c r="N556" s="12"/>
      <c r="O556" s="12"/>
      <c r="P556" s="12"/>
    </row>
    <row r="557">
      <c r="A557" s="12"/>
      <c r="D557" s="95"/>
      <c r="E557" s="14"/>
      <c r="F557" s="96"/>
      <c r="H557" s="12"/>
      <c r="I557" s="12"/>
      <c r="J557" s="12"/>
      <c r="K557" s="12"/>
      <c r="L557" s="12"/>
      <c r="M557" s="12"/>
      <c r="N557" s="12"/>
      <c r="O557" s="12"/>
      <c r="P557" s="12"/>
    </row>
    <row r="558">
      <c r="A558" s="12"/>
      <c r="D558" s="95"/>
      <c r="E558" s="14"/>
      <c r="F558" s="96"/>
      <c r="H558" s="12"/>
      <c r="I558" s="12"/>
      <c r="J558" s="12"/>
      <c r="K558" s="12"/>
      <c r="L558" s="12"/>
      <c r="M558" s="12"/>
      <c r="N558" s="12"/>
      <c r="O558" s="12"/>
      <c r="P558" s="12"/>
    </row>
    <row r="559">
      <c r="A559" s="12"/>
      <c r="D559" s="95"/>
      <c r="E559" s="14"/>
      <c r="F559" s="96"/>
      <c r="H559" s="12"/>
      <c r="I559" s="12"/>
      <c r="J559" s="12"/>
      <c r="K559" s="12"/>
      <c r="L559" s="12"/>
      <c r="M559" s="12"/>
      <c r="N559" s="12"/>
      <c r="O559" s="12"/>
      <c r="P559" s="12"/>
    </row>
    <row r="560">
      <c r="A560" s="12"/>
      <c r="D560" s="95"/>
      <c r="E560" s="14"/>
      <c r="F560" s="96"/>
      <c r="H560" s="12"/>
      <c r="I560" s="12"/>
      <c r="J560" s="12"/>
      <c r="K560" s="12"/>
      <c r="L560" s="12"/>
      <c r="M560" s="12"/>
      <c r="N560" s="12"/>
      <c r="O560" s="12"/>
      <c r="P560" s="12"/>
    </row>
    <row r="561">
      <c r="A561" s="12"/>
      <c r="D561" s="95"/>
      <c r="E561" s="14"/>
      <c r="F561" s="96"/>
      <c r="H561" s="12"/>
      <c r="I561" s="12"/>
      <c r="J561" s="12"/>
      <c r="K561" s="12"/>
      <c r="L561" s="12"/>
      <c r="M561" s="12"/>
      <c r="N561" s="12"/>
      <c r="O561" s="12"/>
      <c r="P561" s="12"/>
    </row>
    <row r="562">
      <c r="A562" s="12"/>
      <c r="D562" s="95"/>
      <c r="E562" s="14"/>
      <c r="F562" s="96"/>
      <c r="H562" s="12"/>
      <c r="I562" s="12"/>
      <c r="J562" s="12"/>
      <c r="K562" s="12"/>
      <c r="L562" s="12"/>
      <c r="M562" s="12"/>
      <c r="N562" s="12"/>
      <c r="O562" s="12"/>
      <c r="P562" s="12"/>
    </row>
    <row r="563">
      <c r="A563" s="12"/>
      <c r="D563" s="95"/>
      <c r="E563" s="14"/>
      <c r="F563" s="96"/>
      <c r="H563" s="12"/>
      <c r="I563" s="12"/>
      <c r="J563" s="12"/>
      <c r="K563" s="12"/>
      <c r="L563" s="12"/>
      <c r="M563" s="12"/>
      <c r="N563" s="12"/>
      <c r="O563" s="12"/>
      <c r="P563" s="12"/>
    </row>
    <row r="564">
      <c r="A564" s="12"/>
      <c r="D564" s="95"/>
      <c r="E564" s="14"/>
      <c r="F564" s="96"/>
      <c r="H564" s="12"/>
      <c r="I564" s="12"/>
      <c r="J564" s="12"/>
      <c r="K564" s="12"/>
      <c r="L564" s="12"/>
      <c r="M564" s="12"/>
      <c r="N564" s="12"/>
      <c r="O564" s="12"/>
      <c r="P564" s="12"/>
    </row>
    <row r="565">
      <c r="A565" s="12"/>
      <c r="D565" s="95"/>
      <c r="E565" s="14"/>
      <c r="F565" s="96"/>
      <c r="H565" s="12"/>
      <c r="I565" s="12"/>
      <c r="J565" s="12"/>
      <c r="K565" s="12"/>
      <c r="L565" s="12"/>
      <c r="M565" s="12"/>
      <c r="N565" s="12"/>
      <c r="O565" s="12"/>
      <c r="P565" s="12"/>
    </row>
    <row r="566">
      <c r="A566" s="12"/>
      <c r="D566" s="95"/>
      <c r="E566" s="14"/>
      <c r="F566" s="96"/>
      <c r="H566" s="12"/>
      <c r="I566" s="12"/>
      <c r="J566" s="12"/>
      <c r="K566" s="12"/>
      <c r="L566" s="12"/>
      <c r="M566" s="12"/>
      <c r="N566" s="12"/>
      <c r="O566" s="12"/>
      <c r="P566" s="12"/>
    </row>
    <row r="567">
      <c r="A567" s="12"/>
      <c r="D567" s="95"/>
      <c r="E567" s="14"/>
      <c r="F567" s="96"/>
      <c r="H567" s="12"/>
      <c r="I567" s="12"/>
      <c r="J567" s="12"/>
      <c r="K567" s="12"/>
      <c r="L567" s="12"/>
      <c r="M567" s="12"/>
      <c r="N567" s="12"/>
      <c r="O567" s="12"/>
      <c r="P567" s="12"/>
    </row>
    <row r="568">
      <c r="A568" s="12"/>
      <c r="D568" s="95"/>
      <c r="E568" s="14"/>
      <c r="F568" s="96"/>
      <c r="H568" s="12"/>
      <c r="I568" s="12"/>
      <c r="J568" s="12"/>
      <c r="K568" s="12"/>
      <c r="L568" s="12"/>
      <c r="M568" s="12"/>
      <c r="N568" s="12"/>
      <c r="O568" s="12"/>
      <c r="P568" s="12"/>
    </row>
    <row r="569">
      <c r="A569" s="12"/>
      <c r="D569" s="95"/>
      <c r="E569" s="14"/>
      <c r="F569" s="96"/>
      <c r="H569" s="12"/>
      <c r="I569" s="12"/>
      <c r="J569" s="12"/>
      <c r="K569" s="12"/>
      <c r="L569" s="12"/>
      <c r="M569" s="12"/>
      <c r="N569" s="12"/>
      <c r="O569" s="12"/>
      <c r="P569" s="12"/>
    </row>
    <row r="570">
      <c r="A570" s="12"/>
      <c r="D570" s="95"/>
      <c r="E570" s="14"/>
      <c r="F570" s="96"/>
      <c r="H570" s="12"/>
      <c r="I570" s="12"/>
      <c r="J570" s="12"/>
      <c r="K570" s="12"/>
      <c r="L570" s="12"/>
      <c r="M570" s="12"/>
      <c r="N570" s="12"/>
      <c r="O570" s="12"/>
      <c r="P570" s="12"/>
    </row>
    <row r="571">
      <c r="A571" s="12"/>
      <c r="D571" s="95"/>
      <c r="E571" s="14"/>
      <c r="F571" s="96"/>
      <c r="H571" s="12"/>
      <c r="I571" s="12"/>
      <c r="J571" s="12"/>
      <c r="K571" s="12"/>
      <c r="L571" s="12"/>
      <c r="M571" s="12"/>
      <c r="N571" s="12"/>
      <c r="O571" s="12"/>
      <c r="P571" s="12"/>
    </row>
    <row r="572">
      <c r="A572" s="12"/>
      <c r="D572" s="95"/>
      <c r="E572" s="14"/>
      <c r="F572" s="96"/>
      <c r="H572" s="12"/>
      <c r="I572" s="12"/>
      <c r="J572" s="12"/>
      <c r="K572" s="12"/>
      <c r="L572" s="12"/>
      <c r="M572" s="12"/>
      <c r="N572" s="12"/>
      <c r="O572" s="12"/>
      <c r="P572" s="12"/>
    </row>
    <row r="573">
      <c r="A573" s="12"/>
      <c r="D573" s="95"/>
      <c r="E573" s="14"/>
      <c r="F573" s="96"/>
      <c r="H573" s="12"/>
      <c r="I573" s="12"/>
      <c r="J573" s="12"/>
      <c r="K573" s="12"/>
      <c r="L573" s="12"/>
      <c r="M573" s="12"/>
      <c r="N573" s="12"/>
      <c r="O573" s="12"/>
      <c r="P573" s="12"/>
    </row>
    <row r="574">
      <c r="A574" s="12"/>
      <c r="D574" s="95"/>
      <c r="E574" s="14"/>
      <c r="F574" s="96"/>
      <c r="H574" s="12"/>
      <c r="I574" s="12"/>
      <c r="J574" s="12"/>
      <c r="K574" s="12"/>
      <c r="L574" s="12"/>
      <c r="M574" s="12"/>
      <c r="N574" s="12"/>
      <c r="O574" s="12"/>
      <c r="P574" s="12"/>
    </row>
    <row r="575">
      <c r="A575" s="12"/>
      <c r="D575" s="95"/>
      <c r="E575" s="14"/>
      <c r="F575" s="96"/>
      <c r="H575" s="12"/>
      <c r="I575" s="12"/>
      <c r="J575" s="12"/>
      <c r="K575" s="12"/>
      <c r="L575" s="12"/>
      <c r="M575" s="12"/>
      <c r="N575" s="12"/>
      <c r="O575" s="12"/>
      <c r="P575" s="12"/>
    </row>
    <row r="576">
      <c r="A576" s="12"/>
      <c r="D576" s="95"/>
      <c r="E576" s="14"/>
      <c r="F576" s="96"/>
      <c r="H576" s="12"/>
      <c r="I576" s="12"/>
      <c r="J576" s="12"/>
      <c r="K576" s="12"/>
      <c r="L576" s="12"/>
      <c r="M576" s="12"/>
      <c r="N576" s="12"/>
      <c r="O576" s="12"/>
      <c r="P576" s="12"/>
    </row>
    <row r="577">
      <c r="A577" s="12"/>
      <c r="D577" s="95"/>
      <c r="E577" s="14"/>
      <c r="F577" s="96"/>
      <c r="H577" s="12"/>
      <c r="I577" s="12"/>
      <c r="J577" s="12"/>
      <c r="K577" s="12"/>
      <c r="L577" s="12"/>
      <c r="M577" s="12"/>
      <c r="N577" s="12"/>
      <c r="O577" s="12"/>
      <c r="P577" s="12"/>
    </row>
    <row r="578">
      <c r="A578" s="12"/>
      <c r="D578" s="95"/>
      <c r="E578" s="14"/>
      <c r="F578" s="96"/>
      <c r="H578" s="12"/>
      <c r="I578" s="12"/>
      <c r="J578" s="12"/>
      <c r="K578" s="12"/>
      <c r="L578" s="12"/>
      <c r="M578" s="12"/>
      <c r="N578" s="12"/>
      <c r="O578" s="12"/>
      <c r="P578" s="12"/>
    </row>
    <row r="579">
      <c r="A579" s="12"/>
      <c r="D579" s="95"/>
      <c r="E579" s="14"/>
      <c r="F579" s="96"/>
      <c r="H579" s="12"/>
      <c r="I579" s="12"/>
      <c r="J579" s="12"/>
      <c r="K579" s="12"/>
      <c r="L579" s="12"/>
      <c r="M579" s="12"/>
      <c r="N579" s="12"/>
      <c r="O579" s="12"/>
      <c r="P579" s="12"/>
    </row>
    <row r="580">
      <c r="A580" s="12"/>
      <c r="D580" s="95"/>
      <c r="E580" s="14"/>
      <c r="F580" s="96"/>
      <c r="H580" s="12"/>
      <c r="I580" s="12"/>
      <c r="J580" s="12"/>
      <c r="K580" s="12"/>
      <c r="L580" s="12"/>
      <c r="M580" s="12"/>
      <c r="N580" s="12"/>
      <c r="O580" s="12"/>
      <c r="P580" s="12"/>
    </row>
    <row r="581">
      <c r="A581" s="12"/>
      <c r="D581" s="95"/>
      <c r="E581" s="14"/>
      <c r="F581" s="96"/>
      <c r="H581" s="12"/>
      <c r="I581" s="12"/>
      <c r="J581" s="12"/>
      <c r="K581" s="12"/>
      <c r="L581" s="12"/>
      <c r="M581" s="12"/>
      <c r="N581" s="12"/>
      <c r="O581" s="12"/>
      <c r="P581" s="12"/>
    </row>
    <row r="582">
      <c r="A582" s="12"/>
      <c r="D582" s="95"/>
      <c r="E582" s="14"/>
      <c r="F582" s="96"/>
      <c r="H582" s="12"/>
      <c r="I582" s="12"/>
      <c r="J582" s="12"/>
      <c r="K582" s="12"/>
      <c r="L582" s="12"/>
      <c r="M582" s="12"/>
      <c r="N582" s="12"/>
      <c r="O582" s="12"/>
      <c r="P582" s="12"/>
    </row>
    <row r="583">
      <c r="A583" s="12"/>
      <c r="D583" s="95"/>
      <c r="E583" s="14"/>
      <c r="F583" s="96"/>
      <c r="H583" s="12"/>
      <c r="I583" s="12"/>
      <c r="J583" s="12"/>
      <c r="K583" s="12"/>
      <c r="L583" s="12"/>
      <c r="M583" s="12"/>
      <c r="N583" s="12"/>
      <c r="O583" s="12"/>
      <c r="P583" s="12"/>
    </row>
    <row r="584">
      <c r="A584" s="12"/>
      <c r="D584" s="95"/>
      <c r="E584" s="14"/>
      <c r="F584" s="96"/>
      <c r="H584" s="12"/>
      <c r="I584" s="12"/>
      <c r="J584" s="12"/>
      <c r="K584" s="12"/>
      <c r="L584" s="12"/>
      <c r="M584" s="12"/>
      <c r="N584" s="12"/>
      <c r="O584" s="12"/>
      <c r="P584" s="12"/>
    </row>
    <row r="585">
      <c r="A585" s="12"/>
      <c r="D585" s="95"/>
      <c r="E585" s="14"/>
      <c r="F585" s="96"/>
      <c r="H585" s="12"/>
      <c r="I585" s="12"/>
      <c r="J585" s="12"/>
      <c r="K585" s="12"/>
      <c r="L585" s="12"/>
      <c r="M585" s="12"/>
      <c r="N585" s="12"/>
      <c r="O585" s="12"/>
      <c r="P585" s="12"/>
    </row>
    <row r="586">
      <c r="A586" s="12"/>
      <c r="D586" s="95"/>
      <c r="E586" s="14"/>
      <c r="F586" s="96"/>
      <c r="H586" s="12"/>
      <c r="I586" s="12"/>
      <c r="J586" s="12"/>
      <c r="K586" s="12"/>
      <c r="L586" s="12"/>
      <c r="M586" s="12"/>
      <c r="N586" s="12"/>
      <c r="O586" s="12"/>
      <c r="P586" s="12"/>
    </row>
    <row r="587">
      <c r="A587" s="12"/>
      <c r="D587" s="95"/>
      <c r="E587" s="14"/>
      <c r="F587" s="96"/>
      <c r="H587" s="12"/>
      <c r="I587" s="12"/>
      <c r="J587" s="12"/>
      <c r="K587" s="12"/>
      <c r="L587" s="12"/>
      <c r="M587" s="12"/>
      <c r="N587" s="12"/>
      <c r="O587" s="12"/>
      <c r="P587" s="12"/>
    </row>
    <row r="588">
      <c r="A588" s="12"/>
      <c r="D588" s="95"/>
      <c r="E588" s="14"/>
      <c r="F588" s="96"/>
      <c r="H588" s="12"/>
      <c r="I588" s="12"/>
      <c r="J588" s="12"/>
      <c r="K588" s="12"/>
      <c r="L588" s="12"/>
      <c r="M588" s="12"/>
      <c r="N588" s="12"/>
      <c r="O588" s="12"/>
      <c r="P588" s="12"/>
    </row>
    <row r="589">
      <c r="A589" s="12"/>
      <c r="D589" s="95"/>
      <c r="E589" s="14"/>
      <c r="F589" s="96"/>
      <c r="H589" s="12"/>
      <c r="I589" s="12"/>
      <c r="J589" s="12"/>
      <c r="K589" s="12"/>
      <c r="L589" s="12"/>
      <c r="M589" s="12"/>
      <c r="N589" s="12"/>
      <c r="O589" s="12"/>
      <c r="P589" s="12"/>
    </row>
    <row r="590">
      <c r="A590" s="12"/>
      <c r="D590" s="95"/>
      <c r="E590" s="14"/>
      <c r="F590" s="96"/>
      <c r="H590" s="12"/>
      <c r="I590" s="12"/>
      <c r="J590" s="12"/>
      <c r="K590" s="12"/>
      <c r="L590" s="12"/>
      <c r="M590" s="12"/>
      <c r="N590" s="12"/>
      <c r="O590" s="12"/>
      <c r="P590" s="12"/>
    </row>
    <row r="591">
      <c r="A591" s="12"/>
      <c r="D591" s="95"/>
      <c r="E591" s="14"/>
      <c r="F591" s="96"/>
      <c r="H591" s="12"/>
      <c r="I591" s="12"/>
      <c r="J591" s="12"/>
      <c r="K591" s="12"/>
      <c r="L591" s="12"/>
      <c r="M591" s="12"/>
      <c r="N591" s="12"/>
      <c r="O591" s="12"/>
      <c r="P591" s="12"/>
    </row>
    <row r="592">
      <c r="A592" s="12"/>
      <c r="D592" s="95"/>
      <c r="E592" s="14"/>
      <c r="F592" s="96"/>
      <c r="H592" s="12"/>
      <c r="I592" s="12"/>
      <c r="J592" s="12"/>
      <c r="K592" s="12"/>
      <c r="L592" s="12"/>
      <c r="M592" s="12"/>
      <c r="N592" s="12"/>
      <c r="O592" s="12"/>
      <c r="P592" s="12"/>
    </row>
    <row r="593">
      <c r="A593" s="12"/>
      <c r="D593" s="95"/>
      <c r="E593" s="14"/>
      <c r="F593" s="96"/>
      <c r="H593" s="12"/>
      <c r="I593" s="12"/>
      <c r="J593" s="12"/>
      <c r="K593" s="12"/>
      <c r="L593" s="12"/>
      <c r="M593" s="12"/>
      <c r="N593" s="12"/>
      <c r="O593" s="12"/>
      <c r="P593" s="12"/>
    </row>
    <row r="594">
      <c r="A594" s="12"/>
      <c r="D594" s="95"/>
      <c r="E594" s="14"/>
      <c r="F594" s="96"/>
      <c r="H594" s="12"/>
      <c r="I594" s="12"/>
      <c r="J594" s="12"/>
      <c r="K594" s="12"/>
      <c r="L594" s="12"/>
      <c r="M594" s="12"/>
      <c r="N594" s="12"/>
      <c r="O594" s="12"/>
      <c r="P594" s="12"/>
    </row>
    <row r="595">
      <c r="A595" s="12"/>
      <c r="D595" s="95"/>
      <c r="E595" s="14"/>
      <c r="F595" s="96"/>
      <c r="H595" s="12"/>
      <c r="I595" s="12"/>
      <c r="J595" s="12"/>
      <c r="K595" s="12"/>
      <c r="L595" s="12"/>
      <c r="M595" s="12"/>
      <c r="N595" s="12"/>
      <c r="O595" s="12"/>
      <c r="P595" s="12"/>
    </row>
    <row r="596">
      <c r="A596" s="12"/>
      <c r="D596" s="95"/>
      <c r="E596" s="14"/>
      <c r="F596" s="96"/>
      <c r="H596" s="12"/>
      <c r="I596" s="12"/>
      <c r="J596" s="12"/>
      <c r="K596" s="12"/>
      <c r="L596" s="12"/>
      <c r="M596" s="12"/>
      <c r="N596" s="12"/>
      <c r="O596" s="12"/>
      <c r="P596" s="12"/>
    </row>
    <row r="597">
      <c r="A597" s="12"/>
      <c r="D597" s="95"/>
      <c r="E597" s="14"/>
      <c r="F597" s="96"/>
      <c r="H597" s="12"/>
      <c r="I597" s="12"/>
      <c r="J597" s="12"/>
      <c r="K597" s="12"/>
      <c r="L597" s="12"/>
      <c r="M597" s="12"/>
      <c r="N597" s="12"/>
      <c r="O597" s="12"/>
      <c r="P597" s="12"/>
    </row>
    <row r="598">
      <c r="A598" s="12"/>
      <c r="D598" s="95"/>
      <c r="E598" s="14"/>
      <c r="F598" s="96"/>
      <c r="H598" s="12"/>
      <c r="I598" s="12"/>
      <c r="J598" s="12"/>
      <c r="K598" s="12"/>
      <c r="L598" s="12"/>
      <c r="M598" s="12"/>
      <c r="N598" s="12"/>
      <c r="O598" s="12"/>
      <c r="P598" s="12"/>
    </row>
    <row r="599">
      <c r="A599" s="12"/>
      <c r="D599" s="95"/>
      <c r="E599" s="14"/>
      <c r="F599" s="96"/>
      <c r="H599" s="12"/>
      <c r="I599" s="12"/>
      <c r="J599" s="12"/>
      <c r="K599" s="12"/>
      <c r="L599" s="12"/>
      <c r="M599" s="12"/>
      <c r="N599" s="12"/>
      <c r="O599" s="12"/>
      <c r="P599" s="12"/>
    </row>
    <row r="600">
      <c r="A600" s="12"/>
      <c r="D600" s="95"/>
      <c r="E600" s="14"/>
      <c r="F600" s="96"/>
      <c r="H600" s="12"/>
      <c r="I600" s="12"/>
      <c r="J600" s="12"/>
      <c r="K600" s="12"/>
      <c r="L600" s="12"/>
      <c r="M600" s="12"/>
      <c r="N600" s="12"/>
      <c r="O600" s="12"/>
      <c r="P600" s="12"/>
    </row>
    <row r="601">
      <c r="A601" s="12"/>
      <c r="D601" s="95"/>
      <c r="E601" s="14"/>
      <c r="F601" s="96"/>
      <c r="H601" s="12"/>
      <c r="I601" s="12"/>
      <c r="J601" s="12"/>
      <c r="K601" s="12"/>
      <c r="L601" s="12"/>
      <c r="M601" s="12"/>
      <c r="N601" s="12"/>
      <c r="O601" s="12"/>
      <c r="P601" s="12"/>
    </row>
    <row r="602">
      <c r="A602" s="12"/>
      <c r="D602" s="95"/>
      <c r="E602" s="14"/>
      <c r="F602" s="96"/>
      <c r="H602" s="12"/>
      <c r="I602" s="12"/>
      <c r="J602" s="12"/>
      <c r="K602" s="12"/>
      <c r="L602" s="12"/>
      <c r="M602" s="12"/>
      <c r="N602" s="12"/>
      <c r="O602" s="12"/>
      <c r="P602" s="12"/>
    </row>
    <row r="603">
      <c r="A603" s="12"/>
      <c r="D603" s="95"/>
      <c r="E603" s="14"/>
      <c r="F603" s="96"/>
      <c r="H603" s="12"/>
      <c r="I603" s="12"/>
      <c r="J603" s="12"/>
      <c r="K603" s="12"/>
      <c r="L603" s="12"/>
      <c r="M603" s="12"/>
      <c r="N603" s="12"/>
      <c r="O603" s="12"/>
      <c r="P603" s="12"/>
    </row>
    <row r="604">
      <c r="A604" s="12"/>
      <c r="D604" s="95"/>
      <c r="E604" s="14"/>
      <c r="F604" s="96"/>
      <c r="H604" s="12"/>
      <c r="I604" s="12"/>
      <c r="J604" s="12"/>
      <c r="K604" s="12"/>
      <c r="L604" s="12"/>
      <c r="M604" s="12"/>
      <c r="N604" s="12"/>
      <c r="O604" s="12"/>
      <c r="P604" s="12"/>
    </row>
    <row r="605">
      <c r="A605" s="12"/>
      <c r="D605" s="95"/>
      <c r="E605" s="14"/>
      <c r="F605" s="96"/>
      <c r="H605" s="12"/>
      <c r="I605" s="12"/>
      <c r="J605" s="12"/>
      <c r="K605" s="12"/>
      <c r="L605" s="12"/>
      <c r="M605" s="12"/>
      <c r="N605" s="12"/>
      <c r="O605" s="12"/>
      <c r="P605" s="12"/>
    </row>
    <row r="606">
      <c r="A606" s="12"/>
      <c r="D606" s="95"/>
      <c r="E606" s="14"/>
      <c r="F606" s="96"/>
      <c r="H606" s="12"/>
      <c r="I606" s="12"/>
      <c r="J606" s="12"/>
      <c r="K606" s="12"/>
      <c r="L606" s="12"/>
      <c r="M606" s="12"/>
      <c r="N606" s="12"/>
      <c r="O606" s="12"/>
      <c r="P606" s="12"/>
    </row>
    <row r="607">
      <c r="A607" s="12"/>
      <c r="D607" s="95"/>
      <c r="E607" s="14"/>
      <c r="F607" s="96"/>
      <c r="H607" s="12"/>
      <c r="I607" s="12"/>
      <c r="J607" s="12"/>
      <c r="K607" s="12"/>
      <c r="L607" s="12"/>
      <c r="M607" s="12"/>
      <c r="N607" s="12"/>
      <c r="O607" s="12"/>
      <c r="P607" s="12"/>
    </row>
    <row r="608">
      <c r="A608" s="12"/>
      <c r="D608" s="95"/>
      <c r="E608" s="14"/>
      <c r="F608" s="96"/>
      <c r="H608" s="12"/>
      <c r="I608" s="12"/>
      <c r="J608" s="12"/>
      <c r="K608" s="12"/>
      <c r="L608" s="12"/>
      <c r="M608" s="12"/>
      <c r="N608" s="12"/>
      <c r="O608" s="12"/>
      <c r="P608" s="12"/>
    </row>
    <row r="609">
      <c r="A609" s="12"/>
      <c r="D609" s="95"/>
      <c r="E609" s="14"/>
      <c r="F609" s="96"/>
      <c r="H609" s="12"/>
      <c r="I609" s="12"/>
      <c r="J609" s="12"/>
      <c r="K609" s="12"/>
      <c r="L609" s="12"/>
      <c r="M609" s="12"/>
      <c r="N609" s="12"/>
      <c r="O609" s="12"/>
      <c r="P609" s="12"/>
    </row>
    <row r="610">
      <c r="A610" s="12"/>
      <c r="D610" s="95"/>
      <c r="E610" s="14"/>
      <c r="F610" s="96"/>
      <c r="H610" s="12"/>
      <c r="I610" s="12"/>
      <c r="J610" s="12"/>
      <c r="K610" s="12"/>
      <c r="L610" s="12"/>
      <c r="M610" s="12"/>
      <c r="N610" s="12"/>
      <c r="O610" s="12"/>
      <c r="P610" s="12"/>
    </row>
    <row r="611">
      <c r="A611" s="12"/>
      <c r="D611" s="95"/>
      <c r="E611" s="14"/>
      <c r="F611" s="96"/>
      <c r="H611" s="12"/>
      <c r="I611" s="12"/>
      <c r="J611" s="12"/>
      <c r="K611" s="12"/>
      <c r="L611" s="12"/>
      <c r="M611" s="12"/>
      <c r="N611" s="12"/>
      <c r="O611" s="12"/>
      <c r="P611" s="12"/>
    </row>
    <row r="612">
      <c r="A612" s="12"/>
      <c r="D612" s="95"/>
      <c r="E612" s="14"/>
      <c r="F612" s="96"/>
      <c r="H612" s="12"/>
      <c r="I612" s="12"/>
      <c r="J612" s="12"/>
      <c r="K612" s="12"/>
      <c r="L612" s="12"/>
      <c r="M612" s="12"/>
      <c r="N612" s="12"/>
      <c r="O612" s="12"/>
      <c r="P612" s="12"/>
    </row>
    <row r="613">
      <c r="A613" s="12"/>
      <c r="D613" s="95"/>
      <c r="E613" s="14"/>
      <c r="F613" s="96"/>
      <c r="H613" s="12"/>
      <c r="I613" s="12"/>
      <c r="J613" s="12"/>
      <c r="K613" s="12"/>
      <c r="L613" s="12"/>
      <c r="M613" s="12"/>
      <c r="N613" s="12"/>
      <c r="O613" s="12"/>
      <c r="P613" s="12"/>
    </row>
    <row r="614">
      <c r="A614" s="12"/>
      <c r="D614" s="95"/>
      <c r="E614" s="14"/>
      <c r="F614" s="96"/>
      <c r="H614" s="12"/>
      <c r="I614" s="12"/>
      <c r="J614" s="12"/>
      <c r="K614" s="12"/>
      <c r="L614" s="12"/>
      <c r="M614" s="12"/>
      <c r="N614" s="12"/>
      <c r="O614" s="12"/>
      <c r="P614" s="12"/>
    </row>
    <row r="615">
      <c r="A615" s="12"/>
      <c r="D615" s="95"/>
      <c r="E615" s="14"/>
      <c r="F615" s="96"/>
      <c r="H615" s="12"/>
      <c r="I615" s="12"/>
      <c r="J615" s="12"/>
      <c r="K615" s="12"/>
      <c r="L615" s="12"/>
      <c r="M615" s="12"/>
      <c r="N615" s="12"/>
      <c r="O615" s="12"/>
      <c r="P615" s="12"/>
    </row>
    <row r="616">
      <c r="A616" s="12"/>
      <c r="D616" s="95"/>
      <c r="E616" s="14"/>
      <c r="F616" s="96"/>
      <c r="H616" s="12"/>
      <c r="I616" s="12"/>
      <c r="J616" s="12"/>
      <c r="K616" s="12"/>
      <c r="L616" s="12"/>
      <c r="M616" s="12"/>
      <c r="N616" s="12"/>
      <c r="O616" s="12"/>
      <c r="P616" s="12"/>
    </row>
    <row r="617">
      <c r="A617" s="12"/>
      <c r="D617" s="95"/>
      <c r="E617" s="14"/>
      <c r="F617" s="96"/>
      <c r="H617" s="12"/>
      <c r="I617" s="12"/>
      <c r="J617" s="12"/>
      <c r="K617" s="12"/>
      <c r="L617" s="12"/>
      <c r="M617" s="12"/>
      <c r="N617" s="12"/>
      <c r="O617" s="12"/>
      <c r="P617" s="12"/>
    </row>
    <row r="618">
      <c r="A618" s="12"/>
      <c r="D618" s="95"/>
      <c r="E618" s="14"/>
      <c r="F618" s="96"/>
      <c r="H618" s="12"/>
      <c r="I618" s="12"/>
      <c r="J618" s="12"/>
      <c r="K618" s="12"/>
      <c r="L618" s="12"/>
      <c r="M618" s="12"/>
      <c r="N618" s="12"/>
      <c r="O618" s="12"/>
      <c r="P618" s="12"/>
    </row>
    <row r="619">
      <c r="A619" s="12"/>
      <c r="D619" s="95"/>
      <c r="E619" s="14"/>
      <c r="F619" s="96"/>
      <c r="H619" s="12"/>
      <c r="I619" s="12"/>
      <c r="J619" s="12"/>
      <c r="K619" s="12"/>
      <c r="L619" s="12"/>
      <c r="M619" s="12"/>
      <c r="N619" s="12"/>
      <c r="O619" s="12"/>
      <c r="P619" s="12"/>
    </row>
    <row r="620">
      <c r="A620" s="12"/>
      <c r="D620" s="95"/>
      <c r="E620" s="14"/>
      <c r="F620" s="96"/>
      <c r="H620" s="12"/>
      <c r="I620" s="12"/>
      <c r="J620" s="12"/>
      <c r="K620" s="12"/>
      <c r="L620" s="12"/>
      <c r="M620" s="12"/>
      <c r="N620" s="12"/>
      <c r="O620" s="12"/>
      <c r="P620" s="12"/>
    </row>
    <row r="621">
      <c r="A621" s="12"/>
      <c r="D621" s="95"/>
      <c r="E621" s="14"/>
      <c r="F621" s="96"/>
      <c r="H621" s="12"/>
      <c r="I621" s="12"/>
      <c r="J621" s="12"/>
      <c r="K621" s="12"/>
      <c r="L621" s="12"/>
      <c r="M621" s="12"/>
      <c r="N621" s="12"/>
      <c r="O621" s="12"/>
      <c r="P621" s="12"/>
    </row>
    <row r="622">
      <c r="A622" s="12"/>
      <c r="D622" s="95"/>
      <c r="E622" s="14"/>
      <c r="F622" s="96"/>
      <c r="H622" s="12"/>
      <c r="I622" s="12"/>
      <c r="J622" s="12"/>
      <c r="K622" s="12"/>
      <c r="L622" s="12"/>
      <c r="M622" s="12"/>
      <c r="N622" s="12"/>
      <c r="O622" s="12"/>
      <c r="P622" s="12"/>
    </row>
    <row r="623">
      <c r="A623" s="12"/>
      <c r="D623" s="95"/>
      <c r="E623" s="14"/>
      <c r="F623" s="96"/>
      <c r="H623" s="12"/>
      <c r="I623" s="12"/>
      <c r="J623" s="12"/>
      <c r="K623" s="12"/>
      <c r="L623" s="12"/>
      <c r="M623" s="12"/>
      <c r="N623" s="12"/>
      <c r="O623" s="12"/>
      <c r="P623" s="12"/>
    </row>
    <row r="624">
      <c r="A624" s="12"/>
      <c r="D624" s="95"/>
      <c r="E624" s="14"/>
      <c r="F624" s="96"/>
      <c r="H624" s="12"/>
      <c r="I624" s="12"/>
      <c r="J624" s="12"/>
      <c r="K624" s="12"/>
      <c r="L624" s="12"/>
      <c r="M624" s="12"/>
      <c r="N624" s="12"/>
      <c r="O624" s="12"/>
      <c r="P624" s="12"/>
    </row>
    <row r="625">
      <c r="A625" s="12"/>
      <c r="D625" s="95"/>
      <c r="E625" s="14"/>
      <c r="F625" s="96"/>
      <c r="H625" s="12"/>
      <c r="I625" s="12"/>
      <c r="J625" s="12"/>
      <c r="K625" s="12"/>
      <c r="L625" s="12"/>
      <c r="M625" s="12"/>
      <c r="N625" s="12"/>
      <c r="O625" s="12"/>
      <c r="P625" s="12"/>
    </row>
    <row r="626">
      <c r="A626" s="12"/>
      <c r="D626" s="95"/>
      <c r="E626" s="14"/>
      <c r="F626" s="96"/>
      <c r="H626" s="12"/>
      <c r="I626" s="12"/>
      <c r="J626" s="12"/>
      <c r="K626" s="12"/>
      <c r="L626" s="12"/>
      <c r="M626" s="12"/>
      <c r="N626" s="12"/>
      <c r="O626" s="12"/>
      <c r="P626" s="12"/>
    </row>
    <row r="627">
      <c r="A627" s="12"/>
      <c r="D627" s="95"/>
      <c r="E627" s="14"/>
      <c r="F627" s="96"/>
      <c r="H627" s="12"/>
      <c r="I627" s="12"/>
      <c r="J627" s="12"/>
      <c r="K627" s="12"/>
      <c r="L627" s="12"/>
      <c r="M627" s="12"/>
      <c r="N627" s="12"/>
      <c r="O627" s="12"/>
      <c r="P627" s="12"/>
    </row>
    <row r="628">
      <c r="A628" s="12"/>
      <c r="D628" s="95"/>
      <c r="E628" s="14"/>
      <c r="F628" s="96"/>
      <c r="H628" s="12"/>
      <c r="I628" s="12"/>
      <c r="J628" s="12"/>
      <c r="K628" s="12"/>
      <c r="L628" s="12"/>
      <c r="M628" s="12"/>
      <c r="N628" s="12"/>
      <c r="O628" s="12"/>
      <c r="P628" s="12"/>
    </row>
    <row r="629">
      <c r="A629" s="12"/>
      <c r="D629" s="95"/>
      <c r="E629" s="14"/>
      <c r="F629" s="96"/>
      <c r="H629" s="12"/>
      <c r="I629" s="12"/>
      <c r="J629" s="12"/>
      <c r="K629" s="12"/>
      <c r="L629" s="12"/>
      <c r="M629" s="12"/>
      <c r="N629" s="12"/>
      <c r="O629" s="12"/>
      <c r="P629" s="12"/>
    </row>
    <row r="630">
      <c r="A630" s="12"/>
      <c r="D630" s="95"/>
      <c r="E630" s="14"/>
      <c r="F630" s="96"/>
      <c r="H630" s="12"/>
      <c r="I630" s="12"/>
      <c r="J630" s="12"/>
      <c r="K630" s="12"/>
      <c r="L630" s="12"/>
      <c r="M630" s="12"/>
      <c r="N630" s="12"/>
      <c r="O630" s="12"/>
      <c r="P630" s="12"/>
    </row>
    <row r="631">
      <c r="A631" s="12"/>
      <c r="D631" s="95"/>
      <c r="E631" s="14"/>
      <c r="F631" s="96"/>
      <c r="H631" s="12"/>
      <c r="I631" s="12"/>
      <c r="J631" s="12"/>
      <c r="K631" s="12"/>
      <c r="L631" s="12"/>
      <c r="M631" s="12"/>
      <c r="N631" s="12"/>
      <c r="O631" s="12"/>
      <c r="P631" s="12"/>
    </row>
    <row r="632">
      <c r="A632" s="12"/>
      <c r="D632" s="95"/>
      <c r="E632" s="14"/>
      <c r="F632" s="96"/>
      <c r="H632" s="12"/>
      <c r="I632" s="12"/>
      <c r="J632" s="12"/>
      <c r="K632" s="12"/>
      <c r="L632" s="12"/>
      <c r="M632" s="12"/>
      <c r="N632" s="12"/>
      <c r="O632" s="12"/>
      <c r="P632" s="12"/>
    </row>
    <row r="633">
      <c r="A633" s="12"/>
      <c r="D633" s="95"/>
      <c r="E633" s="14"/>
      <c r="F633" s="96"/>
      <c r="H633" s="12"/>
      <c r="I633" s="12"/>
      <c r="J633" s="12"/>
      <c r="K633" s="12"/>
      <c r="L633" s="12"/>
      <c r="M633" s="12"/>
      <c r="N633" s="12"/>
      <c r="O633" s="12"/>
      <c r="P633" s="12"/>
    </row>
    <row r="634">
      <c r="A634" s="12"/>
      <c r="D634" s="95"/>
      <c r="E634" s="14"/>
      <c r="F634" s="96"/>
      <c r="H634" s="12"/>
      <c r="I634" s="12"/>
      <c r="J634" s="12"/>
      <c r="K634" s="12"/>
      <c r="L634" s="12"/>
      <c r="M634" s="12"/>
      <c r="N634" s="12"/>
      <c r="O634" s="12"/>
      <c r="P634" s="12"/>
    </row>
    <row r="635">
      <c r="A635" s="12"/>
      <c r="D635" s="95"/>
      <c r="E635" s="14"/>
      <c r="F635" s="96"/>
      <c r="H635" s="12"/>
      <c r="I635" s="12"/>
      <c r="J635" s="12"/>
      <c r="K635" s="12"/>
      <c r="L635" s="12"/>
      <c r="M635" s="12"/>
      <c r="N635" s="12"/>
      <c r="O635" s="12"/>
      <c r="P635" s="12"/>
    </row>
    <row r="636">
      <c r="A636" s="12"/>
      <c r="D636" s="95"/>
      <c r="E636" s="14"/>
      <c r="F636" s="96"/>
      <c r="H636" s="12"/>
      <c r="I636" s="12"/>
      <c r="J636" s="12"/>
      <c r="K636" s="12"/>
      <c r="L636" s="12"/>
      <c r="M636" s="12"/>
      <c r="N636" s="12"/>
      <c r="O636" s="12"/>
      <c r="P636" s="12"/>
    </row>
    <row r="637">
      <c r="A637" s="12"/>
      <c r="D637" s="95"/>
      <c r="E637" s="14"/>
      <c r="F637" s="96"/>
      <c r="H637" s="12"/>
      <c r="I637" s="12"/>
      <c r="J637" s="12"/>
      <c r="K637" s="12"/>
      <c r="L637" s="12"/>
      <c r="M637" s="12"/>
      <c r="N637" s="12"/>
      <c r="O637" s="12"/>
      <c r="P637" s="12"/>
    </row>
    <row r="638">
      <c r="A638" s="12"/>
      <c r="D638" s="95"/>
      <c r="E638" s="14"/>
      <c r="F638" s="96"/>
      <c r="H638" s="12"/>
      <c r="I638" s="12"/>
      <c r="J638" s="12"/>
      <c r="K638" s="12"/>
      <c r="L638" s="12"/>
      <c r="M638" s="12"/>
      <c r="N638" s="12"/>
      <c r="O638" s="12"/>
      <c r="P638" s="12"/>
    </row>
    <row r="639">
      <c r="A639" s="12"/>
      <c r="D639" s="95"/>
      <c r="E639" s="14"/>
      <c r="F639" s="96"/>
      <c r="H639" s="12"/>
      <c r="I639" s="12"/>
      <c r="J639" s="12"/>
      <c r="K639" s="12"/>
      <c r="L639" s="12"/>
      <c r="M639" s="12"/>
      <c r="N639" s="12"/>
      <c r="O639" s="12"/>
      <c r="P639" s="12"/>
    </row>
    <row r="640">
      <c r="A640" s="12"/>
      <c r="D640" s="95"/>
      <c r="E640" s="14"/>
      <c r="F640" s="96"/>
      <c r="H640" s="12"/>
      <c r="I640" s="12"/>
      <c r="J640" s="12"/>
      <c r="K640" s="12"/>
      <c r="L640" s="12"/>
      <c r="M640" s="12"/>
      <c r="N640" s="12"/>
      <c r="O640" s="12"/>
      <c r="P640" s="12"/>
    </row>
    <row r="641">
      <c r="A641" s="12"/>
      <c r="D641" s="95"/>
      <c r="E641" s="14"/>
      <c r="F641" s="96"/>
      <c r="H641" s="12"/>
      <c r="I641" s="12"/>
      <c r="J641" s="12"/>
      <c r="K641" s="12"/>
      <c r="L641" s="12"/>
      <c r="M641" s="12"/>
      <c r="N641" s="12"/>
      <c r="O641" s="12"/>
      <c r="P641" s="12"/>
    </row>
    <row r="642">
      <c r="A642" s="12"/>
      <c r="D642" s="95"/>
      <c r="E642" s="14"/>
      <c r="F642" s="96"/>
      <c r="H642" s="12"/>
      <c r="I642" s="12"/>
      <c r="J642" s="12"/>
      <c r="K642" s="12"/>
      <c r="L642" s="12"/>
      <c r="M642" s="12"/>
      <c r="N642" s="12"/>
      <c r="O642" s="12"/>
      <c r="P642" s="12"/>
    </row>
    <row r="643">
      <c r="A643" s="12"/>
      <c r="D643" s="95"/>
      <c r="E643" s="14"/>
      <c r="F643" s="96"/>
      <c r="H643" s="12"/>
      <c r="I643" s="12"/>
      <c r="J643" s="12"/>
      <c r="K643" s="12"/>
      <c r="L643" s="12"/>
      <c r="M643" s="12"/>
      <c r="N643" s="12"/>
      <c r="O643" s="12"/>
      <c r="P643" s="12"/>
    </row>
    <row r="644">
      <c r="A644" s="12"/>
      <c r="D644" s="95"/>
      <c r="E644" s="14"/>
      <c r="F644" s="96"/>
      <c r="H644" s="12"/>
      <c r="I644" s="12"/>
      <c r="J644" s="12"/>
      <c r="K644" s="12"/>
      <c r="L644" s="12"/>
      <c r="M644" s="12"/>
      <c r="N644" s="12"/>
      <c r="O644" s="12"/>
      <c r="P644" s="12"/>
    </row>
    <row r="645">
      <c r="A645" s="12"/>
      <c r="D645" s="95"/>
      <c r="E645" s="14"/>
      <c r="F645" s="96"/>
      <c r="H645" s="12"/>
      <c r="I645" s="12"/>
      <c r="J645" s="12"/>
      <c r="K645" s="12"/>
      <c r="L645" s="12"/>
      <c r="M645" s="12"/>
      <c r="N645" s="12"/>
      <c r="O645" s="12"/>
      <c r="P645" s="12"/>
    </row>
    <row r="646">
      <c r="A646" s="12"/>
      <c r="D646" s="95"/>
      <c r="E646" s="14"/>
      <c r="F646" s="96"/>
      <c r="H646" s="12"/>
      <c r="I646" s="12"/>
      <c r="J646" s="12"/>
      <c r="K646" s="12"/>
      <c r="L646" s="12"/>
      <c r="M646" s="12"/>
      <c r="N646" s="12"/>
      <c r="O646" s="12"/>
      <c r="P646" s="12"/>
    </row>
    <row r="647">
      <c r="A647" s="12"/>
      <c r="D647" s="95"/>
      <c r="E647" s="14"/>
      <c r="F647" s="96"/>
      <c r="H647" s="12"/>
      <c r="I647" s="12"/>
      <c r="J647" s="12"/>
      <c r="K647" s="12"/>
      <c r="L647" s="12"/>
      <c r="M647" s="12"/>
      <c r="N647" s="12"/>
      <c r="O647" s="12"/>
      <c r="P647" s="12"/>
    </row>
    <row r="648">
      <c r="A648" s="12"/>
      <c r="D648" s="95"/>
      <c r="E648" s="14"/>
      <c r="F648" s="96"/>
      <c r="H648" s="12"/>
      <c r="I648" s="12"/>
      <c r="J648" s="12"/>
      <c r="K648" s="12"/>
      <c r="L648" s="12"/>
      <c r="M648" s="12"/>
      <c r="N648" s="12"/>
      <c r="O648" s="12"/>
      <c r="P648" s="12"/>
    </row>
    <row r="649">
      <c r="A649" s="12"/>
      <c r="D649" s="95"/>
      <c r="E649" s="14"/>
      <c r="F649" s="96"/>
      <c r="H649" s="12"/>
      <c r="I649" s="12"/>
      <c r="J649" s="12"/>
      <c r="K649" s="12"/>
      <c r="L649" s="12"/>
      <c r="M649" s="12"/>
      <c r="N649" s="12"/>
      <c r="O649" s="12"/>
      <c r="P649" s="12"/>
    </row>
    <row r="650">
      <c r="A650" s="12"/>
      <c r="D650" s="95"/>
      <c r="E650" s="14"/>
      <c r="F650" s="96"/>
      <c r="H650" s="12"/>
      <c r="I650" s="12"/>
      <c r="J650" s="12"/>
      <c r="K650" s="12"/>
      <c r="L650" s="12"/>
      <c r="M650" s="12"/>
      <c r="N650" s="12"/>
      <c r="O650" s="12"/>
      <c r="P650" s="12"/>
    </row>
    <row r="651">
      <c r="A651" s="12"/>
      <c r="D651" s="95"/>
      <c r="E651" s="14"/>
      <c r="F651" s="96"/>
      <c r="H651" s="12"/>
      <c r="I651" s="12"/>
      <c r="J651" s="12"/>
      <c r="K651" s="12"/>
      <c r="L651" s="12"/>
      <c r="M651" s="12"/>
      <c r="N651" s="12"/>
      <c r="O651" s="12"/>
      <c r="P651" s="12"/>
    </row>
    <row r="652">
      <c r="A652" s="12"/>
      <c r="D652" s="95"/>
      <c r="E652" s="14"/>
      <c r="F652" s="96"/>
      <c r="H652" s="12"/>
      <c r="I652" s="12"/>
      <c r="J652" s="12"/>
      <c r="K652" s="12"/>
      <c r="L652" s="12"/>
      <c r="M652" s="12"/>
      <c r="N652" s="12"/>
      <c r="O652" s="12"/>
      <c r="P652" s="12"/>
    </row>
    <row r="653">
      <c r="A653" s="12"/>
      <c r="D653" s="95"/>
      <c r="E653" s="14"/>
      <c r="F653" s="96"/>
      <c r="H653" s="12"/>
      <c r="I653" s="12"/>
      <c r="J653" s="12"/>
      <c r="K653" s="12"/>
      <c r="L653" s="12"/>
      <c r="M653" s="12"/>
      <c r="N653" s="12"/>
      <c r="O653" s="12"/>
      <c r="P653" s="12"/>
    </row>
    <row r="654">
      <c r="A654" s="12"/>
      <c r="D654" s="95"/>
      <c r="E654" s="14"/>
      <c r="F654" s="96"/>
      <c r="H654" s="12"/>
      <c r="I654" s="12"/>
      <c r="J654" s="12"/>
      <c r="K654" s="12"/>
      <c r="L654" s="12"/>
      <c r="M654" s="12"/>
      <c r="N654" s="12"/>
      <c r="O654" s="12"/>
      <c r="P654" s="12"/>
    </row>
    <row r="655">
      <c r="A655" s="12"/>
      <c r="D655" s="95"/>
      <c r="E655" s="14"/>
      <c r="F655" s="96"/>
      <c r="H655" s="12"/>
      <c r="I655" s="12"/>
      <c r="J655" s="12"/>
      <c r="K655" s="12"/>
      <c r="L655" s="12"/>
      <c r="M655" s="12"/>
      <c r="N655" s="12"/>
      <c r="O655" s="12"/>
      <c r="P655" s="12"/>
    </row>
    <row r="656">
      <c r="A656" s="12"/>
      <c r="D656" s="95"/>
      <c r="E656" s="14"/>
      <c r="F656" s="96"/>
      <c r="H656" s="12"/>
      <c r="I656" s="12"/>
      <c r="J656" s="12"/>
      <c r="K656" s="12"/>
      <c r="L656" s="12"/>
      <c r="M656" s="12"/>
      <c r="N656" s="12"/>
      <c r="O656" s="12"/>
      <c r="P656" s="12"/>
    </row>
    <row r="657">
      <c r="A657" s="12"/>
      <c r="D657" s="95"/>
      <c r="E657" s="14"/>
      <c r="F657" s="96"/>
      <c r="H657" s="12"/>
      <c r="I657" s="12"/>
      <c r="J657" s="12"/>
      <c r="K657" s="12"/>
      <c r="L657" s="12"/>
      <c r="M657" s="12"/>
      <c r="N657" s="12"/>
      <c r="O657" s="12"/>
      <c r="P657" s="12"/>
    </row>
    <row r="658">
      <c r="A658" s="12"/>
      <c r="D658" s="95"/>
      <c r="E658" s="14"/>
      <c r="F658" s="96"/>
      <c r="H658" s="12"/>
      <c r="I658" s="12"/>
      <c r="J658" s="12"/>
      <c r="K658" s="12"/>
      <c r="L658" s="12"/>
      <c r="M658" s="12"/>
      <c r="N658" s="12"/>
      <c r="O658" s="12"/>
      <c r="P658" s="12"/>
    </row>
    <row r="659">
      <c r="A659" s="12"/>
      <c r="D659" s="95"/>
      <c r="E659" s="14"/>
      <c r="F659" s="96"/>
      <c r="H659" s="12"/>
      <c r="I659" s="12"/>
      <c r="J659" s="12"/>
      <c r="K659" s="12"/>
      <c r="L659" s="12"/>
      <c r="M659" s="12"/>
      <c r="N659" s="12"/>
      <c r="O659" s="12"/>
      <c r="P659" s="12"/>
    </row>
    <row r="660">
      <c r="A660" s="12"/>
      <c r="D660" s="95"/>
      <c r="E660" s="14"/>
      <c r="F660" s="96"/>
      <c r="H660" s="12"/>
      <c r="I660" s="12"/>
      <c r="J660" s="12"/>
      <c r="K660" s="12"/>
      <c r="L660" s="12"/>
      <c r="M660" s="12"/>
      <c r="N660" s="12"/>
      <c r="O660" s="12"/>
      <c r="P660" s="12"/>
    </row>
    <row r="661">
      <c r="A661" s="12"/>
      <c r="D661" s="95"/>
      <c r="E661" s="14"/>
      <c r="F661" s="96"/>
      <c r="H661" s="12"/>
      <c r="I661" s="12"/>
      <c r="J661" s="12"/>
      <c r="K661" s="12"/>
      <c r="L661" s="12"/>
      <c r="M661" s="12"/>
      <c r="N661" s="12"/>
      <c r="O661" s="12"/>
      <c r="P661" s="12"/>
    </row>
    <row r="662">
      <c r="A662" s="12"/>
      <c r="D662" s="95"/>
      <c r="E662" s="14"/>
      <c r="F662" s="96"/>
      <c r="H662" s="12"/>
      <c r="I662" s="12"/>
      <c r="J662" s="12"/>
      <c r="K662" s="12"/>
      <c r="L662" s="12"/>
      <c r="M662" s="12"/>
      <c r="N662" s="12"/>
      <c r="O662" s="12"/>
      <c r="P662" s="12"/>
    </row>
    <row r="663">
      <c r="A663" s="12"/>
      <c r="D663" s="95"/>
      <c r="E663" s="14"/>
      <c r="F663" s="96"/>
      <c r="H663" s="12"/>
      <c r="I663" s="12"/>
      <c r="J663" s="12"/>
      <c r="K663" s="12"/>
      <c r="L663" s="12"/>
      <c r="M663" s="12"/>
      <c r="N663" s="12"/>
      <c r="O663" s="12"/>
      <c r="P663" s="12"/>
    </row>
    <row r="664">
      <c r="A664" s="12"/>
      <c r="D664" s="95"/>
      <c r="E664" s="14"/>
      <c r="F664" s="96"/>
      <c r="H664" s="12"/>
      <c r="I664" s="12"/>
      <c r="J664" s="12"/>
      <c r="K664" s="12"/>
      <c r="L664" s="12"/>
      <c r="M664" s="12"/>
      <c r="N664" s="12"/>
      <c r="O664" s="12"/>
      <c r="P664" s="12"/>
    </row>
    <row r="665">
      <c r="A665" s="12"/>
      <c r="D665" s="95"/>
      <c r="E665" s="14"/>
      <c r="F665" s="96"/>
      <c r="H665" s="12"/>
      <c r="I665" s="12"/>
      <c r="J665" s="12"/>
      <c r="K665" s="12"/>
      <c r="L665" s="12"/>
      <c r="M665" s="12"/>
      <c r="N665" s="12"/>
      <c r="O665" s="12"/>
      <c r="P665" s="12"/>
    </row>
    <row r="666">
      <c r="A666" s="12"/>
      <c r="D666" s="95"/>
      <c r="E666" s="14"/>
      <c r="F666" s="96"/>
      <c r="H666" s="12"/>
      <c r="I666" s="12"/>
      <c r="J666" s="12"/>
      <c r="K666" s="12"/>
      <c r="L666" s="12"/>
      <c r="M666" s="12"/>
      <c r="N666" s="12"/>
      <c r="O666" s="12"/>
      <c r="P666" s="12"/>
    </row>
    <row r="667">
      <c r="A667" s="12"/>
      <c r="D667" s="95"/>
      <c r="E667" s="14"/>
      <c r="F667" s="96"/>
      <c r="H667" s="12"/>
      <c r="I667" s="12"/>
      <c r="J667" s="12"/>
      <c r="K667" s="12"/>
      <c r="L667" s="12"/>
      <c r="M667" s="12"/>
      <c r="N667" s="12"/>
      <c r="O667" s="12"/>
      <c r="P667" s="12"/>
    </row>
    <row r="668">
      <c r="A668" s="12"/>
      <c r="D668" s="95"/>
      <c r="E668" s="14"/>
      <c r="F668" s="96"/>
      <c r="H668" s="12"/>
      <c r="I668" s="12"/>
      <c r="J668" s="12"/>
      <c r="K668" s="12"/>
      <c r="L668" s="12"/>
      <c r="M668" s="12"/>
      <c r="N668" s="12"/>
      <c r="O668" s="12"/>
      <c r="P668" s="12"/>
    </row>
    <row r="669">
      <c r="A669" s="12"/>
      <c r="D669" s="95"/>
      <c r="E669" s="14"/>
      <c r="F669" s="96"/>
      <c r="H669" s="12"/>
      <c r="I669" s="12"/>
      <c r="J669" s="12"/>
      <c r="K669" s="12"/>
      <c r="L669" s="12"/>
      <c r="M669" s="12"/>
      <c r="N669" s="12"/>
      <c r="O669" s="12"/>
      <c r="P669" s="12"/>
    </row>
    <row r="670">
      <c r="A670" s="12"/>
      <c r="D670" s="95"/>
      <c r="E670" s="14"/>
      <c r="F670" s="96"/>
      <c r="H670" s="12"/>
      <c r="I670" s="12"/>
      <c r="J670" s="12"/>
      <c r="K670" s="12"/>
      <c r="L670" s="12"/>
      <c r="M670" s="12"/>
      <c r="N670" s="12"/>
      <c r="O670" s="12"/>
      <c r="P670" s="12"/>
    </row>
    <row r="671">
      <c r="A671" s="12"/>
      <c r="D671" s="95"/>
      <c r="E671" s="14"/>
      <c r="F671" s="96"/>
      <c r="H671" s="12"/>
      <c r="I671" s="12"/>
      <c r="J671" s="12"/>
      <c r="K671" s="12"/>
      <c r="L671" s="12"/>
      <c r="M671" s="12"/>
      <c r="N671" s="12"/>
      <c r="O671" s="12"/>
      <c r="P671" s="12"/>
    </row>
    <row r="672">
      <c r="A672" s="12"/>
      <c r="D672" s="95"/>
      <c r="E672" s="14"/>
      <c r="F672" s="96"/>
      <c r="H672" s="12"/>
      <c r="I672" s="12"/>
      <c r="J672" s="12"/>
      <c r="K672" s="12"/>
      <c r="L672" s="12"/>
      <c r="M672" s="12"/>
      <c r="N672" s="12"/>
      <c r="O672" s="12"/>
      <c r="P672" s="12"/>
    </row>
    <row r="673">
      <c r="A673" s="12"/>
      <c r="D673" s="95"/>
      <c r="E673" s="14"/>
      <c r="F673" s="96"/>
      <c r="H673" s="12"/>
      <c r="I673" s="12"/>
      <c r="J673" s="12"/>
      <c r="K673" s="12"/>
      <c r="L673" s="12"/>
      <c r="M673" s="12"/>
      <c r="N673" s="12"/>
      <c r="O673" s="12"/>
      <c r="P673" s="12"/>
    </row>
    <row r="674">
      <c r="A674" s="12"/>
      <c r="D674" s="95"/>
      <c r="E674" s="14"/>
      <c r="F674" s="96"/>
      <c r="H674" s="12"/>
      <c r="I674" s="12"/>
      <c r="J674" s="12"/>
      <c r="K674" s="12"/>
      <c r="L674" s="12"/>
      <c r="M674" s="12"/>
      <c r="N674" s="12"/>
      <c r="O674" s="12"/>
      <c r="P674" s="12"/>
    </row>
    <row r="675">
      <c r="A675" s="12"/>
      <c r="D675" s="95"/>
      <c r="E675" s="14"/>
      <c r="F675" s="96"/>
      <c r="H675" s="12"/>
      <c r="I675" s="12"/>
      <c r="J675" s="12"/>
      <c r="K675" s="12"/>
      <c r="L675" s="12"/>
      <c r="M675" s="12"/>
      <c r="N675" s="12"/>
      <c r="O675" s="12"/>
      <c r="P675" s="12"/>
    </row>
    <row r="676">
      <c r="A676" s="12"/>
      <c r="D676" s="95"/>
      <c r="E676" s="14"/>
      <c r="F676" s="96"/>
      <c r="H676" s="12"/>
      <c r="I676" s="12"/>
      <c r="J676" s="12"/>
      <c r="K676" s="12"/>
      <c r="L676" s="12"/>
      <c r="M676" s="12"/>
      <c r="N676" s="12"/>
      <c r="O676" s="12"/>
      <c r="P676" s="12"/>
    </row>
    <row r="677">
      <c r="A677" s="12"/>
      <c r="D677" s="95"/>
      <c r="E677" s="14"/>
      <c r="F677" s="96"/>
      <c r="H677" s="12"/>
      <c r="I677" s="12"/>
      <c r="J677" s="12"/>
      <c r="K677" s="12"/>
      <c r="L677" s="12"/>
      <c r="M677" s="12"/>
      <c r="N677" s="12"/>
      <c r="O677" s="12"/>
      <c r="P677" s="12"/>
    </row>
    <row r="678">
      <c r="A678" s="12"/>
      <c r="D678" s="95"/>
      <c r="E678" s="14"/>
      <c r="F678" s="96"/>
      <c r="H678" s="12"/>
      <c r="I678" s="12"/>
      <c r="J678" s="12"/>
      <c r="K678" s="12"/>
      <c r="L678" s="12"/>
      <c r="M678" s="12"/>
      <c r="N678" s="12"/>
      <c r="O678" s="12"/>
      <c r="P678" s="12"/>
    </row>
    <row r="679">
      <c r="A679" s="12"/>
      <c r="D679" s="95"/>
      <c r="E679" s="14"/>
      <c r="F679" s="96"/>
      <c r="H679" s="12"/>
      <c r="I679" s="12"/>
      <c r="J679" s="12"/>
      <c r="K679" s="12"/>
      <c r="L679" s="12"/>
      <c r="M679" s="12"/>
      <c r="N679" s="12"/>
      <c r="O679" s="12"/>
      <c r="P679" s="12"/>
    </row>
    <row r="680">
      <c r="A680" s="12"/>
      <c r="D680" s="95"/>
      <c r="E680" s="14"/>
      <c r="F680" s="96"/>
      <c r="H680" s="12"/>
      <c r="I680" s="12"/>
      <c r="J680" s="12"/>
      <c r="K680" s="12"/>
      <c r="L680" s="12"/>
      <c r="M680" s="12"/>
      <c r="N680" s="12"/>
      <c r="O680" s="12"/>
      <c r="P680" s="12"/>
    </row>
    <row r="681">
      <c r="A681" s="12"/>
      <c r="D681" s="95"/>
      <c r="E681" s="14"/>
      <c r="F681" s="96"/>
      <c r="H681" s="12"/>
      <c r="I681" s="12"/>
      <c r="J681" s="12"/>
      <c r="K681" s="12"/>
      <c r="L681" s="12"/>
      <c r="M681" s="12"/>
      <c r="N681" s="12"/>
      <c r="O681" s="12"/>
      <c r="P681" s="12"/>
    </row>
    <row r="682">
      <c r="A682" s="12"/>
      <c r="D682" s="95"/>
      <c r="E682" s="14"/>
      <c r="F682" s="96"/>
      <c r="H682" s="12"/>
      <c r="I682" s="12"/>
      <c r="J682" s="12"/>
      <c r="K682" s="12"/>
      <c r="L682" s="12"/>
      <c r="M682" s="12"/>
      <c r="N682" s="12"/>
      <c r="O682" s="12"/>
      <c r="P682" s="12"/>
    </row>
    <row r="683">
      <c r="A683" s="12"/>
      <c r="D683" s="95"/>
      <c r="E683" s="14"/>
      <c r="F683" s="96"/>
      <c r="H683" s="12"/>
      <c r="I683" s="12"/>
      <c r="J683" s="12"/>
      <c r="K683" s="12"/>
      <c r="L683" s="12"/>
      <c r="M683" s="12"/>
      <c r="N683" s="12"/>
      <c r="O683" s="12"/>
      <c r="P683" s="12"/>
    </row>
    <row r="684">
      <c r="A684" s="12"/>
      <c r="D684" s="95"/>
      <c r="E684" s="14"/>
      <c r="F684" s="96"/>
      <c r="H684" s="12"/>
      <c r="I684" s="12"/>
      <c r="J684" s="12"/>
      <c r="K684" s="12"/>
      <c r="L684" s="12"/>
      <c r="M684" s="12"/>
      <c r="N684" s="12"/>
      <c r="O684" s="12"/>
      <c r="P684" s="12"/>
    </row>
    <row r="685">
      <c r="A685" s="12"/>
      <c r="D685" s="95"/>
      <c r="E685" s="14"/>
      <c r="F685" s="96"/>
      <c r="H685" s="12"/>
      <c r="I685" s="12"/>
      <c r="J685" s="12"/>
      <c r="K685" s="12"/>
      <c r="L685" s="12"/>
      <c r="M685" s="12"/>
      <c r="N685" s="12"/>
      <c r="O685" s="12"/>
      <c r="P685" s="12"/>
    </row>
    <row r="686">
      <c r="A686" s="12"/>
      <c r="D686" s="95"/>
      <c r="E686" s="14"/>
      <c r="F686" s="96"/>
      <c r="H686" s="12"/>
      <c r="I686" s="12"/>
      <c r="J686" s="12"/>
      <c r="K686" s="12"/>
      <c r="L686" s="12"/>
      <c r="M686" s="12"/>
      <c r="N686" s="12"/>
      <c r="O686" s="12"/>
      <c r="P686" s="12"/>
    </row>
    <row r="687">
      <c r="A687" s="12"/>
      <c r="D687" s="95"/>
      <c r="E687" s="14"/>
      <c r="F687" s="96"/>
      <c r="H687" s="12"/>
      <c r="I687" s="12"/>
      <c r="J687" s="12"/>
      <c r="K687" s="12"/>
      <c r="L687" s="12"/>
      <c r="M687" s="12"/>
      <c r="N687" s="12"/>
      <c r="O687" s="12"/>
      <c r="P687" s="12"/>
    </row>
    <row r="688">
      <c r="A688" s="12"/>
      <c r="D688" s="95"/>
      <c r="E688" s="14"/>
      <c r="F688" s="96"/>
      <c r="H688" s="12"/>
      <c r="I688" s="12"/>
      <c r="J688" s="12"/>
      <c r="K688" s="12"/>
      <c r="L688" s="12"/>
      <c r="M688" s="12"/>
      <c r="N688" s="12"/>
      <c r="O688" s="12"/>
      <c r="P688" s="12"/>
    </row>
    <row r="689">
      <c r="A689" s="12"/>
      <c r="D689" s="95"/>
      <c r="E689" s="14"/>
      <c r="F689" s="96"/>
      <c r="H689" s="12"/>
      <c r="I689" s="12"/>
      <c r="J689" s="12"/>
      <c r="K689" s="12"/>
      <c r="L689" s="12"/>
      <c r="M689" s="12"/>
      <c r="N689" s="12"/>
      <c r="O689" s="12"/>
      <c r="P689" s="12"/>
    </row>
    <row r="690">
      <c r="A690" s="12"/>
      <c r="D690" s="95"/>
      <c r="E690" s="14"/>
      <c r="F690" s="96"/>
      <c r="H690" s="12"/>
      <c r="I690" s="12"/>
      <c r="J690" s="12"/>
      <c r="K690" s="12"/>
      <c r="L690" s="12"/>
      <c r="M690" s="12"/>
      <c r="N690" s="12"/>
      <c r="O690" s="12"/>
      <c r="P690" s="12"/>
    </row>
    <row r="691">
      <c r="A691" s="12"/>
      <c r="D691" s="95"/>
      <c r="E691" s="14"/>
      <c r="F691" s="96"/>
      <c r="H691" s="12"/>
      <c r="I691" s="12"/>
      <c r="J691" s="12"/>
      <c r="K691" s="12"/>
      <c r="L691" s="12"/>
      <c r="M691" s="12"/>
      <c r="N691" s="12"/>
      <c r="O691" s="12"/>
      <c r="P691" s="12"/>
    </row>
    <row r="692">
      <c r="A692" s="12"/>
      <c r="D692" s="95"/>
      <c r="E692" s="14"/>
      <c r="F692" s="96"/>
      <c r="H692" s="12"/>
      <c r="I692" s="12"/>
      <c r="J692" s="12"/>
      <c r="K692" s="12"/>
      <c r="L692" s="12"/>
      <c r="M692" s="12"/>
      <c r="N692" s="12"/>
      <c r="O692" s="12"/>
      <c r="P692" s="12"/>
    </row>
    <row r="693">
      <c r="A693" s="12"/>
      <c r="D693" s="95"/>
      <c r="E693" s="14"/>
      <c r="F693" s="96"/>
      <c r="H693" s="12"/>
      <c r="I693" s="12"/>
      <c r="J693" s="12"/>
      <c r="K693" s="12"/>
      <c r="L693" s="12"/>
      <c r="M693" s="12"/>
      <c r="N693" s="12"/>
      <c r="O693" s="12"/>
      <c r="P693" s="12"/>
    </row>
    <row r="694">
      <c r="A694" s="12"/>
      <c r="D694" s="95"/>
      <c r="E694" s="14"/>
      <c r="F694" s="96"/>
      <c r="H694" s="12"/>
      <c r="I694" s="12"/>
      <c r="J694" s="12"/>
      <c r="K694" s="12"/>
      <c r="L694" s="12"/>
      <c r="M694" s="12"/>
      <c r="N694" s="12"/>
      <c r="O694" s="12"/>
      <c r="P694" s="12"/>
    </row>
    <row r="695">
      <c r="A695" s="12"/>
      <c r="D695" s="95"/>
      <c r="E695" s="14"/>
      <c r="F695" s="96"/>
      <c r="H695" s="12"/>
      <c r="I695" s="12"/>
      <c r="J695" s="12"/>
      <c r="K695" s="12"/>
      <c r="L695" s="12"/>
      <c r="M695" s="12"/>
      <c r="N695" s="12"/>
      <c r="O695" s="12"/>
      <c r="P695" s="12"/>
    </row>
    <row r="696">
      <c r="A696" s="12"/>
      <c r="D696" s="95"/>
      <c r="E696" s="14"/>
      <c r="F696" s="96"/>
      <c r="H696" s="12"/>
      <c r="I696" s="12"/>
      <c r="J696" s="12"/>
      <c r="K696" s="12"/>
      <c r="L696" s="12"/>
      <c r="M696" s="12"/>
      <c r="N696" s="12"/>
      <c r="O696" s="12"/>
      <c r="P696" s="12"/>
    </row>
    <row r="697">
      <c r="A697" s="12"/>
      <c r="D697" s="95"/>
      <c r="E697" s="14"/>
      <c r="F697" s="96"/>
      <c r="H697" s="12"/>
      <c r="I697" s="12"/>
      <c r="J697" s="12"/>
      <c r="K697" s="12"/>
      <c r="L697" s="12"/>
      <c r="M697" s="12"/>
      <c r="N697" s="12"/>
      <c r="O697" s="12"/>
      <c r="P697" s="12"/>
    </row>
    <row r="698">
      <c r="A698" s="12"/>
      <c r="D698" s="95"/>
      <c r="E698" s="14"/>
      <c r="F698" s="96"/>
      <c r="H698" s="12"/>
      <c r="I698" s="12"/>
      <c r="J698" s="12"/>
      <c r="K698" s="12"/>
      <c r="L698" s="12"/>
      <c r="M698" s="12"/>
      <c r="N698" s="12"/>
      <c r="O698" s="12"/>
      <c r="P698" s="12"/>
    </row>
    <row r="699">
      <c r="A699" s="12"/>
      <c r="D699" s="95"/>
      <c r="E699" s="14"/>
      <c r="F699" s="96"/>
      <c r="H699" s="12"/>
      <c r="I699" s="12"/>
      <c r="J699" s="12"/>
      <c r="K699" s="12"/>
      <c r="L699" s="12"/>
      <c r="M699" s="12"/>
      <c r="N699" s="12"/>
      <c r="O699" s="12"/>
      <c r="P699" s="12"/>
    </row>
    <row r="700">
      <c r="A700" s="12"/>
      <c r="D700" s="95"/>
      <c r="E700" s="14"/>
      <c r="F700" s="96"/>
      <c r="H700" s="12"/>
      <c r="I700" s="12"/>
      <c r="J700" s="12"/>
      <c r="K700" s="12"/>
      <c r="L700" s="12"/>
      <c r="M700" s="12"/>
      <c r="N700" s="12"/>
      <c r="O700" s="12"/>
      <c r="P700" s="12"/>
    </row>
    <row r="701">
      <c r="A701" s="12"/>
      <c r="D701" s="95"/>
      <c r="E701" s="14"/>
      <c r="F701" s="96"/>
      <c r="H701" s="12"/>
      <c r="I701" s="12"/>
      <c r="J701" s="12"/>
      <c r="K701" s="12"/>
      <c r="L701" s="12"/>
      <c r="M701" s="12"/>
      <c r="N701" s="12"/>
      <c r="O701" s="12"/>
      <c r="P701" s="12"/>
    </row>
    <row r="702">
      <c r="A702" s="12"/>
      <c r="D702" s="95"/>
      <c r="E702" s="14"/>
      <c r="F702" s="96"/>
      <c r="H702" s="12"/>
      <c r="I702" s="12"/>
      <c r="J702" s="12"/>
      <c r="K702" s="12"/>
      <c r="L702" s="12"/>
      <c r="M702" s="12"/>
      <c r="N702" s="12"/>
      <c r="O702" s="12"/>
      <c r="P702" s="12"/>
    </row>
    <row r="703">
      <c r="A703" s="12"/>
      <c r="D703" s="95"/>
      <c r="E703" s="14"/>
      <c r="F703" s="96"/>
      <c r="H703" s="12"/>
      <c r="I703" s="12"/>
      <c r="J703" s="12"/>
      <c r="K703" s="12"/>
      <c r="L703" s="12"/>
      <c r="M703" s="12"/>
      <c r="N703" s="12"/>
      <c r="O703" s="12"/>
      <c r="P703" s="12"/>
    </row>
    <row r="704">
      <c r="A704" s="12"/>
      <c r="D704" s="95"/>
      <c r="E704" s="14"/>
      <c r="F704" s="96"/>
      <c r="H704" s="12"/>
      <c r="I704" s="12"/>
      <c r="J704" s="12"/>
      <c r="K704" s="12"/>
      <c r="L704" s="12"/>
      <c r="M704" s="12"/>
      <c r="N704" s="12"/>
      <c r="O704" s="12"/>
      <c r="P704" s="12"/>
    </row>
    <row r="705">
      <c r="A705" s="12"/>
      <c r="D705" s="95"/>
      <c r="E705" s="14"/>
      <c r="F705" s="96"/>
      <c r="H705" s="12"/>
      <c r="I705" s="12"/>
      <c r="J705" s="12"/>
      <c r="K705" s="12"/>
      <c r="L705" s="12"/>
      <c r="M705" s="12"/>
      <c r="N705" s="12"/>
      <c r="O705" s="12"/>
      <c r="P705" s="12"/>
    </row>
    <row r="706">
      <c r="A706" s="12"/>
      <c r="D706" s="95"/>
      <c r="E706" s="14"/>
      <c r="F706" s="96"/>
      <c r="H706" s="12"/>
      <c r="I706" s="12"/>
      <c r="J706" s="12"/>
      <c r="K706" s="12"/>
      <c r="L706" s="12"/>
      <c r="M706" s="12"/>
      <c r="N706" s="12"/>
      <c r="O706" s="12"/>
      <c r="P706" s="12"/>
    </row>
    <row r="707">
      <c r="A707" s="12"/>
      <c r="D707" s="95"/>
      <c r="E707" s="14"/>
      <c r="F707" s="96"/>
      <c r="H707" s="12"/>
      <c r="I707" s="12"/>
      <c r="J707" s="12"/>
      <c r="K707" s="12"/>
      <c r="L707" s="12"/>
      <c r="M707" s="12"/>
      <c r="N707" s="12"/>
      <c r="O707" s="12"/>
      <c r="P707" s="12"/>
    </row>
    <row r="708">
      <c r="A708" s="12"/>
      <c r="D708" s="95"/>
      <c r="E708" s="14"/>
      <c r="F708" s="96"/>
      <c r="H708" s="12"/>
      <c r="I708" s="12"/>
      <c r="J708" s="12"/>
      <c r="K708" s="12"/>
      <c r="L708" s="12"/>
      <c r="M708" s="12"/>
      <c r="N708" s="12"/>
      <c r="O708" s="12"/>
      <c r="P708" s="12"/>
    </row>
    <row r="709">
      <c r="A709" s="12"/>
      <c r="D709" s="95"/>
      <c r="E709" s="14"/>
      <c r="F709" s="96"/>
      <c r="H709" s="12"/>
      <c r="I709" s="12"/>
      <c r="J709" s="12"/>
      <c r="K709" s="12"/>
      <c r="L709" s="12"/>
      <c r="M709" s="12"/>
      <c r="N709" s="12"/>
      <c r="O709" s="12"/>
      <c r="P709" s="12"/>
    </row>
    <row r="710">
      <c r="A710" s="12"/>
      <c r="D710" s="95"/>
      <c r="E710" s="14"/>
      <c r="F710" s="96"/>
      <c r="H710" s="12"/>
      <c r="I710" s="12"/>
      <c r="J710" s="12"/>
      <c r="K710" s="12"/>
      <c r="L710" s="12"/>
      <c r="M710" s="12"/>
      <c r="N710" s="12"/>
      <c r="O710" s="12"/>
      <c r="P710" s="12"/>
    </row>
    <row r="711">
      <c r="A711" s="12"/>
      <c r="D711" s="95"/>
      <c r="E711" s="14"/>
      <c r="F711" s="96"/>
      <c r="H711" s="12"/>
      <c r="I711" s="12"/>
      <c r="J711" s="12"/>
      <c r="K711" s="12"/>
      <c r="L711" s="12"/>
      <c r="M711" s="12"/>
      <c r="N711" s="12"/>
      <c r="O711" s="12"/>
      <c r="P711" s="12"/>
    </row>
    <row r="712">
      <c r="A712" s="12"/>
      <c r="D712" s="95"/>
      <c r="E712" s="14"/>
      <c r="F712" s="96"/>
      <c r="H712" s="12"/>
      <c r="I712" s="12"/>
      <c r="J712" s="12"/>
      <c r="K712" s="12"/>
      <c r="L712" s="12"/>
      <c r="M712" s="12"/>
      <c r="N712" s="12"/>
      <c r="O712" s="12"/>
      <c r="P712" s="12"/>
    </row>
    <row r="713">
      <c r="A713" s="12"/>
      <c r="D713" s="95"/>
      <c r="E713" s="14"/>
      <c r="F713" s="96"/>
      <c r="H713" s="12"/>
      <c r="I713" s="12"/>
      <c r="J713" s="12"/>
      <c r="K713" s="12"/>
      <c r="L713" s="12"/>
      <c r="M713" s="12"/>
      <c r="N713" s="12"/>
      <c r="O713" s="12"/>
      <c r="P713" s="12"/>
    </row>
    <row r="714">
      <c r="A714" s="12"/>
      <c r="D714" s="95"/>
      <c r="E714" s="14"/>
      <c r="F714" s="96"/>
      <c r="H714" s="12"/>
      <c r="I714" s="12"/>
      <c r="J714" s="12"/>
      <c r="K714" s="12"/>
      <c r="L714" s="12"/>
      <c r="M714" s="12"/>
      <c r="N714" s="12"/>
      <c r="O714" s="12"/>
      <c r="P714" s="12"/>
    </row>
    <row r="715">
      <c r="A715" s="12"/>
      <c r="D715" s="95"/>
      <c r="E715" s="14"/>
      <c r="F715" s="96"/>
      <c r="H715" s="12"/>
      <c r="I715" s="12"/>
      <c r="J715" s="12"/>
      <c r="K715" s="12"/>
      <c r="L715" s="12"/>
      <c r="M715" s="12"/>
      <c r="N715" s="12"/>
      <c r="O715" s="12"/>
      <c r="P715" s="12"/>
    </row>
    <row r="716">
      <c r="A716" s="12"/>
      <c r="D716" s="95"/>
      <c r="E716" s="14"/>
      <c r="F716" s="96"/>
      <c r="H716" s="12"/>
      <c r="I716" s="12"/>
      <c r="J716" s="12"/>
      <c r="K716" s="12"/>
      <c r="L716" s="12"/>
      <c r="M716" s="12"/>
      <c r="N716" s="12"/>
      <c r="O716" s="12"/>
      <c r="P716" s="12"/>
    </row>
    <row r="717">
      <c r="A717" s="12"/>
      <c r="D717" s="95"/>
      <c r="E717" s="14"/>
      <c r="F717" s="96"/>
      <c r="H717" s="12"/>
      <c r="I717" s="12"/>
      <c r="J717" s="12"/>
      <c r="K717" s="12"/>
      <c r="L717" s="12"/>
      <c r="M717" s="12"/>
      <c r="N717" s="12"/>
      <c r="O717" s="12"/>
      <c r="P717" s="12"/>
    </row>
    <row r="718">
      <c r="A718" s="12"/>
      <c r="D718" s="95"/>
      <c r="E718" s="14"/>
      <c r="F718" s="96"/>
      <c r="H718" s="12"/>
      <c r="I718" s="12"/>
      <c r="J718" s="12"/>
      <c r="K718" s="12"/>
      <c r="L718" s="12"/>
      <c r="M718" s="12"/>
      <c r="N718" s="12"/>
      <c r="O718" s="12"/>
      <c r="P718" s="12"/>
    </row>
    <row r="719">
      <c r="A719" s="12"/>
      <c r="D719" s="95"/>
      <c r="E719" s="14"/>
      <c r="F719" s="96"/>
      <c r="H719" s="12"/>
      <c r="I719" s="12"/>
      <c r="J719" s="12"/>
      <c r="K719" s="12"/>
      <c r="L719" s="12"/>
      <c r="M719" s="12"/>
      <c r="N719" s="12"/>
      <c r="O719" s="12"/>
      <c r="P719" s="12"/>
    </row>
    <row r="720">
      <c r="A720" s="12"/>
      <c r="D720" s="95"/>
      <c r="E720" s="14"/>
      <c r="F720" s="96"/>
      <c r="H720" s="12"/>
      <c r="I720" s="12"/>
      <c r="J720" s="12"/>
      <c r="K720" s="12"/>
      <c r="L720" s="12"/>
      <c r="M720" s="12"/>
      <c r="N720" s="12"/>
      <c r="O720" s="12"/>
      <c r="P720" s="12"/>
    </row>
    <row r="721">
      <c r="A721" s="12"/>
      <c r="D721" s="95"/>
      <c r="E721" s="14"/>
      <c r="F721" s="96"/>
      <c r="H721" s="12"/>
      <c r="I721" s="12"/>
      <c r="J721" s="12"/>
      <c r="K721" s="12"/>
      <c r="L721" s="12"/>
      <c r="M721" s="12"/>
      <c r="N721" s="12"/>
      <c r="O721" s="12"/>
      <c r="P721" s="12"/>
    </row>
    <row r="722">
      <c r="A722" s="12"/>
      <c r="D722" s="95"/>
      <c r="E722" s="14"/>
      <c r="F722" s="96"/>
      <c r="H722" s="12"/>
      <c r="I722" s="12"/>
      <c r="J722" s="12"/>
      <c r="K722" s="12"/>
      <c r="L722" s="12"/>
      <c r="M722" s="12"/>
      <c r="N722" s="12"/>
      <c r="O722" s="12"/>
      <c r="P722" s="12"/>
    </row>
    <row r="723">
      <c r="A723" s="12"/>
      <c r="D723" s="95"/>
      <c r="E723" s="14"/>
      <c r="F723" s="96"/>
      <c r="H723" s="12"/>
      <c r="I723" s="12"/>
      <c r="J723" s="12"/>
      <c r="K723" s="12"/>
      <c r="L723" s="12"/>
      <c r="M723" s="12"/>
      <c r="N723" s="12"/>
      <c r="O723" s="12"/>
      <c r="P723" s="12"/>
    </row>
    <row r="724">
      <c r="A724" s="12"/>
      <c r="D724" s="95"/>
      <c r="E724" s="14"/>
      <c r="F724" s="96"/>
      <c r="H724" s="12"/>
      <c r="I724" s="12"/>
      <c r="J724" s="12"/>
      <c r="K724" s="12"/>
      <c r="L724" s="12"/>
      <c r="M724" s="12"/>
      <c r="N724" s="12"/>
      <c r="O724" s="12"/>
      <c r="P724" s="12"/>
    </row>
    <row r="725">
      <c r="A725" s="12"/>
      <c r="D725" s="95"/>
      <c r="E725" s="14"/>
      <c r="F725" s="96"/>
      <c r="H725" s="12"/>
      <c r="I725" s="12"/>
      <c r="J725" s="12"/>
      <c r="K725" s="12"/>
      <c r="L725" s="12"/>
      <c r="M725" s="12"/>
      <c r="N725" s="12"/>
      <c r="O725" s="12"/>
      <c r="P725" s="12"/>
    </row>
    <row r="726">
      <c r="A726" s="12"/>
      <c r="D726" s="95"/>
      <c r="E726" s="14"/>
      <c r="F726" s="96"/>
      <c r="H726" s="12"/>
      <c r="I726" s="12"/>
      <c r="J726" s="12"/>
      <c r="K726" s="12"/>
      <c r="L726" s="12"/>
      <c r="M726" s="12"/>
      <c r="N726" s="12"/>
      <c r="O726" s="12"/>
      <c r="P726" s="12"/>
    </row>
    <row r="727">
      <c r="A727" s="12"/>
      <c r="D727" s="95"/>
      <c r="E727" s="14"/>
      <c r="F727" s="96"/>
      <c r="H727" s="12"/>
      <c r="I727" s="12"/>
      <c r="J727" s="12"/>
      <c r="K727" s="12"/>
      <c r="L727" s="12"/>
      <c r="M727" s="12"/>
      <c r="N727" s="12"/>
      <c r="O727" s="12"/>
      <c r="P727" s="12"/>
    </row>
    <row r="728">
      <c r="A728" s="12"/>
      <c r="D728" s="95"/>
      <c r="E728" s="14"/>
      <c r="F728" s="96"/>
      <c r="H728" s="12"/>
      <c r="I728" s="12"/>
      <c r="J728" s="12"/>
      <c r="K728" s="12"/>
      <c r="L728" s="12"/>
      <c r="M728" s="12"/>
      <c r="N728" s="12"/>
      <c r="O728" s="12"/>
      <c r="P728" s="12"/>
    </row>
    <row r="729">
      <c r="A729" s="12"/>
      <c r="D729" s="95"/>
      <c r="E729" s="14"/>
      <c r="F729" s="96"/>
      <c r="H729" s="12"/>
      <c r="I729" s="12"/>
      <c r="J729" s="12"/>
      <c r="K729" s="12"/>
      <c r="L729" s="12"/>
      <c r="M729" s="12"/>
      <c r="N729" s="12"/>
      <c r="O729" s="12"/>
      <c r="P729" s="12"/>
    </row>
    <row r="730">
      <c r="A730" s="12"/>
      <c r="D730" s="95"/>
      <c r="E730" s="14"/>
      <c r="F730" s="96"/>
      <c r="H730" s="12"/>
      <c r="I730" s="12"/>
      <c r="J730" s="12"/>
      <c r="K730" s="12"/>
      <c r="L730" s="12"/>
      <c r="M730" s="12"/>
      <c r="N730" s="12"/>
      <c r="O730" s="12"/>
      <c r="P730" s="12"/>
    </row>
    <row r="731">
      <c r="A731" s="12"/>
      <c r="D731" s="95"/>
      <c r="E731" s="14"/>
      <c r="F731" s="96"/>
      <c r="H731" s="12"/>
      <c r="I731" s="12"/>
      <c r="J731" s="12"/>
      <c r="K731" s="12"/>
      <c r="L731" s="12"/>
      <c r="M731" s="12"/>
      <c r="N731" s="12"/>
      <c r="O731" s="12"/>
      <c r="P731" s="12"/>
    </row>
    <row r="732">
      <c r="A732" s="12"/>
      <c r="D732" s="95"/>
      <c r="E732" s="14"/>
      <c r="F732" s="96"/>
      <c r="H732" s="12"/>
      <c r="I732" s="12"/>
      <c r="J732" s="12"/>
      <c r="K732" s="12"/>
      <c r="L732" s="12"/>
      <c r="M732" s="12"/>
      <c r="N732" s="12"/>
      <c r="O732" s="12"/>
      <c r="P732" s="12"/>
    </row>
    <row r="733">
      <c r="A733" s="12"/>
      <c r="D733" s="95"/>
      <c r="E733" s="14"/>
      <c r="F733" s="96"/>
      <c r="H733" s="12"/>
      <c r="I733" s="12"/>
      <c r="J733" s="12"/>
      <c r="K733" s="12"/>
      <c r="L733" s="12"/>
      <c r="M733" s="12"/>
      <c r="N733" s="12"/>
      <c r="O733" s="12"/>
      <c r="P733" s="12"/>
    </row>
    <row r="734">
      <c r="A734" s="12"/>
      <c r="D734" s="95"/>
      <c r="E734" s="14"/>
      <c r="F734" s="96"/>
      <c r="H734" s="12"/>
      <c r="I734" s="12"/>
      <c r="J734" s="12"/>
      <c r="K734" s="12"/>
      <c r="L734" s="12"/>
      <c r="M734" s="12"/>
      <c r="N734" s="12"/>
      <c r="O734" s="12"/>
      <c r="P734" s="12"/>
    </row>
    <row r="735">
      <c r="A735" s="12"/>
      <c r="D735" s="95"/>
      <c r="E735" s="14"/>
      <c r="F735" s="96"/>
      <c r="H735" s="12"/>
      <c r="I735" s="12"/>
      <c r="J735" s="12"/>
      <c r="K735" s="12"/>
      <c r="L735" s="12"/>
      <c r="M735" s="12"/>
      <c r="N735" s="12"/>
      <c r="O735" s="12"/>
      <c r="P735" s="12"/>
    </row>
    <row r="736">
      <c r="A736" s="12"/>
      <c r="D736" s="95"/>
      <c r="E736" s="14"/>
      <c r="F736" s="96"/>
      <c r="H736" s="12"/>
      <c r="I736" s="12"/>
      <c r="J736" s="12"/>
      <c r="K736" s="12"/>
      <c r="L736" s="12"/>
      <c r="M736" s="12"/>
      <c r="N736" s="12"/>
      <c r="O736" s="12"/>
      <c r="P736" s="12"/>
    </row>
    <row r="737">
      <c r="A737" s="12"/>
      <c r="D737" s="95"/>
      <c r="E737" s="14"/>
      <c r="F737" s="96"/>
      <c r="H737" s="12"/>
      <c r="I737" s="12"/>
      <c r="J737" s="12"/>
      <c r="K737" s="12"/>
      <c r="L737" s="12"/>
      <c r="M737" s="12"/>
      <c r="N737" s="12"/>
      <c r="O737" s="12"/>
      <c r="P737" s="12"/>
    </row>
    <row r="738">
      <c r="A738" s="12"/>
      <c r="D738" s="95"/>
      <c r="E738" s="14"/>
      <c r="F738" s="96"/>
      <c r="H738" s="12"/>
      <c r="I738" s="12"/>
      <c r="J738" s="12"/>
      <c r="K738" s="12"/>
      <c r="L738" s="12"/>
      <c r="M738" s="12"/>
      <c r="N738" s="12"/>
      <c r="O738" s="12"/>
      <c r="P738" s="12"/>
    </row>
    <row r="739">
      <c r="A739" s="12"/>
      <c r="D739" s="95"/>
      <c r="E739" s="14"/>
      <c r="F739" s="96"/>
      <c r="H739" s="12"/>
      <c r="I739" s="12"/>
      <c r="J739" s="12"/>
      <c r="K739" s="12"/>
      <c r="L739" s="12"/>
      <c r="M739" s="12"/>
      <c r="N739" s="12"/>
      <c r="O739" s="12"/>
      <c r="P739" s="12"/>
    </row>
    <row r="740">
      <c r="A740" s="12"/>
      <c r="D740" s="95"/>
      <c r="E740" s="14"/>
      <c r="F740" s="96"/>
      <c r="H740" s="12"/>
      <c r="I740" s="12"/>
      <c r="J740" s="12"/>
      <c r="K740" s="12"/>
      <c r="L740" s="12"/>
      <c r="M740" s="12"/>
      <c r="N740" s="12"/>
      <c r="O740" s="12"/>
      <c r="P740" s="12"/>
    </row>
    <row r="741">
      <c r="A741" s="12"/>
      <c r="D741" s="95"/>
      <c r="E741" s="14"/>
      <c r="F741" s="96"/>
      <c r="H741" s="12"/>
      <c r="I741" s="12"/>
      <c r="J741" s="12"/>
      <c r="K741" s="12"/>
      <c r="L741" s="12"/>
      <c r="M741" s="12"/>
      <c r="N741" s="12"/>
      <c r="O741" s="12"/>
      <c r="P741" s="12"/>
    </row>
    <row r="742">
      <c r="A742" s="12"/>
      <c r="D742" s="95"/>
      <c r="E742" s="14"/>
      <c r="F742" s="96"/>
      <c r="H742" s="12"/>
      <c r="I742" s="12"/>
      <c r="J742" s="12"/>
      <c r="K742" s="12"/>
      <c r="L742" s="12"/>
      <c r="M742" s="12"/>
      <c r="N742" s="12"/>
      <c r="O742" s="12"/>
      <c r="P742" s="12"/>
    </row>
    <row r="743">
      <c r="A743" s="12"/>
      <c r="D743" s="95"/>
      <c r="E743" s="14"/>
      <c r="F743" s="96"/>
      <c r="H743" s="12"/>
      <c r="I743" s="12"/>
      <c r="J743" s="12"/>
      <c r="K743" s="12"/>
      <c r="L743" s="12"/>
      <c r="M743" s="12"/>
      <c r="N743" s="12"/>
      <c r="O743" s="12"/>
      <c r="P743" s="12"/>
    </row>
    <row r="744">
      <c r="A744" s="12"/>
      <c r="D744" s="95"/>
      <c r="E744" s="14"/>
      <c r="F744" s="96"/>
      <c r="H744" s="12"/>
      <c r="I744" s="12"/>
      <c r="J744" s="12"/>
      <c r="K744" s="12"/>
      <c r="L744" s="12"/>
      <c r="M744" s="12"/>
      <c r="N744" s="12"/>
      <c r="O744" s="12"/>
      <c r="P744" s="12"/>
    </row>
    <row r="745">
      <c r="A745" s="12"/>
      <c r="D745" s="95"/>
      <c r="E745" s="14"/>
      <c r="F745" s="96"/>
      <c r="H745" s="12"/>
      <c r="I745" s="12"/>
      <c r="J745" s="12"/>
      <c r="K745" s="12"/>
      <c r="L745" s="12"/>
      <c r="M745" s="12"/>
      <c r="N745" s="12"/>
      <c r="O745" s="12"/>
      <c r="P745" s="12"/>
    </row>
    <row r="746">
      <c r="A746" s="12"/>
      <c r="D746" s="95"/>
      <c r="E746" s="14"/>
      <c r="F746" s="96"/>
      <c r="H746" s="12"/>
      <c r="I746" s="12"/>
      <c r="J746" s="12"/>
      <c r="K746" s="12"/>
      <c r="L746" s="12"/>
      <c r="M746" s="12"/>
      <c r="N746" s="12"/>
      <c r="O746" s="12"/>
      <c r="P746" s="12"/>
    </row>
    <row r="747">
      <c r="A747" s="12"/>
      <c r="D747" s="95"/>
      <c r="E747" s="14"/>
      <c r="F747" s="96"/>
      <c r="H747" s="12"/>
      <c r="I747" s="12"/>
      <c r="J747" s="12"/>
      <c r="K747" s="12"/>
      <c r="L747" s="12"/>
      <c r="M747" s="12"/>
      <c r="N747" s="12"/>
      <c r="O747" s="12"/>
      <c r="P747" s="12"/>
    </row>
    <row r="748">
      <c r="A748" s="12"/>
      <c r="D748" s="95"/>
      <c r="E748" s="14"/>
      <c r="F748" s="96"/>
      <c r="H748" s="12"/>
      <c r="I748" s="12"/>
      <c r="J748" s="12"/>
      <c r="K748" s="12"/>
      <c r="L748" s="12"/>
      <c r="M748" s="12"/>
      <c r="N748" s="12"/>
      <c r="O748" s="12"/>
      <c r="P748" s="12"/>
    </row>
    <row r="749">
      <c r="A749" s="12"/>
      <c r="D749" s="95"/>
      <c r="E749" s="14"/>
      <c r="F749" s="96"/>
      <c r="H749" s="12"/>
      <c r="I749" s="12"/>
      <c r="J749" s="12"/>
      <c r="K749" s="12"/>
      <c r="L749" s="12"/>
      <c r="M749" s="12"/>
      <c r="N749" s="12"/>
      <c r="O749" s="12"/>
      <c r="P749" s="12"/>
    </row>
    <row r="750">
      <c r="A750" s="12"/>
      <c r="D750" s="95"/>
      <c r="E750" s="14"/>
      <c r="F750" s="96"/>
      <c r="H750" s="12"/>
      <c r="I750" s="12"/>
      <c r="J750" s="12"/>
      <c r="K750" s="12"/>
      <c r="L750" s="12"/>
      <c r="M750" s="12"/>
      <c r="N750" s="12"/>
      <c r="O750" s="12"/>
      <c r="P750" s="12"/>
    </row>
    <row r="751">
      <c r="A751" s="12"/>
      <c r="D751" s="95"/>
      <c r="E751" s="14"/>
      <c r="F751" s="96"/>
      <c r="H751" s="12"/>
      <c r="I751" s="12"/>
      <c r="J751" s="12"/>
      <c r="K751" s="12"/>
      <c r="L751" s="12"/>
      <c r="M751" s="12"/>
      <c r="N751" s="12"/>
      <c r="O751" s="12"/>
      <c r="P751" s="12"/>
    </row>
    <row r="752">
      <c r="A752" s="12"/>
      <c r="D752" s="95"/>
      <c r="E752" s="14"/>
      <c r="F752" s="96"/>
      <c r="H752" s="12"/>
      <c r="I752" s="12"/>
      <c r="J752" s="12"/>
      <c r="K752" s="12"/>
      <c r="L752" s="12"/>
      <c r="M752" s="12"/>
      <c r="N752" s="12"/>
      <c r="O752" s="12"/>
      <c r="P752" s="12"/>
    </row>
    <row r="753">
      <c r="A753" s="12"/>
      <c r="D753" s="95"/>
      <c r="E753" s="14"/>
      <c r="F753" s="96"/>
      <c r="H753" s="12"/>
      <c r="I753" s="12"/>
      <c r="J753" s="12"/>
      <c r="K753" s="12"/>
      <c r="L753" s="12"/>
      <c r="M753" s="12"/>
      <c r="N753" s="12"/>
      <c r="O753" s="12"/>
      <c r="P753" s="12"/>
    </row>
    <row r="754">
      <c r="A754" s="12"/>
      <c r="D754" s="95"/>
      <c r="E754" s="14"/>
      <c r="F754" s="96"/>
      <c r="H754" s="12"/>
      <c r="I754" s="12"/>
      <c r="J754" s="12"/>
      <c r="K754" s="12"/>
      <c r="L754" s="12"/>
      <c r="M754" s="12"/>
      <c r="N754" s="12"/>
      <c r="O754" s="12"/>
      <c r="P754" s="12"/>
    </row>
    <row r="755">
      <c r="A755" s="12"/>
      <c r="D755" s="95"/>
      <c r="E755" s="14"/>
      <c r="F755" s="96"/>
      <c r="H755" s="12"/>
      <c r="I755" s="12"/>
      <c r="J755" s="12"/>
      <c r="K755" s="12"/>
      <c r="L755" s="12"/>
      <c r="M755" s="12"/>
      <c r="N755" s="12"/>
      <c r="O755" s="12"/>
      <c r="P755" s="12"/>
    </row>
    <row r="756">
      <c r="A756" s="12"/>
      <c r="D756" s="95"/>
      <c r="E756" s="14"/>
      <c r="F756" s="96"/>
      <c r="H756" s="12"/>
      <c r="I756" s="12"/>
      <c r="J756" s="12"/>
      <c r="K756" s="12"/>
      <c r="L756" s="12"/>
      <c r="M756" s="12"/>
      <c r="N756" s="12"/>
      <c r="O756" s="12"/>
      <c r="P756" s="12"/>
    </row>
    <row r="757">
      <c r="A757" s="12"/>
      <c r="D757" s="95"/>
      <c r="E757" s="14"/>
      <c r="F757" s="96"/>
      <c r="H757" s="12"/>
      <c r="I757" s="12"/>
      <c r="J757" s="12"/>
      <c r="K757" s="12"/>
      <c r="L757" s="12"/>
      <c r="M757" s="12"/>
      <c r="N757" s="12"/>
      <c r="O757" s="12"/>
      <c r="P757" s="12"/>
    </row>
    <row r="758">
      <c r="A758" s="12"/>
      <c r="D758" s="95"/>
      <c r="E758" s="14"/>
      <c r="F758" s="96"/>
      <c r="H758" s="12"/>
      <c r="I758" s="12"/>
      <c r="J758" s="12"/>
      <c r="K758" s="12"/>
      <c r="L758" s="12"/>
      <c r="M758" s="12"/>
      <c r="N758" s="12"/>
      <c r="O758" s="12"/>
      <c r="P758" s="12"/>
    </row>
    <row r="759">
      <c r="A759" s="12"/>
      <c r="D759" s="95"/>
      <c r="E759" s="14"/>
      <c r="F759" s="96"/>
      <c r="H759" s="12"/>
      <c r="I759" s="12"/>
      <c r="J759" s="12"/>
      <c r="K759" s="12"/>
      <c r="L759" s="12"/>
      <c r="M759" s="12"/>
      <c r="N759" s="12"/>
      <c r="O759" s="12"/>
      <c r="P759" s="12"/>
    </row>
    <row r="760">
      <c r="A760" s="12"/>
      <c r="D760" s="95"/>
      <c r="E760" s="14"/>
      <c r="F760" s="96"/>
      <c r="H760" s="12"/>
      <c r="I760" s="12"/>
      <c r="J760" s="12"/>
      <c r="K760" s="12"/>
      <c r="L760" s="12"/>
      <c r="M760" s="12"/>
      <c r="N760" s="12"/>
      <c r="O760" s="12"/>
      <c r="P760" s="12"/>
    </row>
    <row r="761">
      <c r="A761" s="12"/>
      <c r="D761" s="95"/>
      <c r="E761" s="14"/>
      <c r="F761" s="96"/>
      <c r="H761" s="12"/>
      <c r="I761" s="12"/>
      <c r="J761" s="12"/>
      <c r="K761" s="12"/>
      <c r="L761" s="12"/>
      <c r="M761" s="12"/>
      <c r="N761" s="12"/>
      <c r="O761" s="12"/>
      <c r="P761" s="12"/>
    </row>
    <row r="762">
      <c r="A762" s="12"/>
      <c r="D762" s="95"/>
      <c r="E762" s="14"/>
      <c r="F762" s="96"/>
      <c r="H762" s="12"/>
      <c r="I762" s="12"/>
      <c r="J762" s="12"/>
      <c r="K762" s="12"/>
      <c r="L762" s="12"/>
      <c r="M762" s="12"/>
      <c r="N762" s="12"/>
      <c r="O762" s="12"/>
      <c r="P762" s="12"/>
    </row>
    <row r="763">
      <c r="A763" s="12"/>
      <c r="D763" s="95"/>
      <c r="E763" s="14"/>
      <c r="F763" s="96"/>
      <c r="H763" s="12"/>
      <c r="I763" s="12"/>
      <c r="J763" s="12"/>
      <c r="K763" s="12"/>
      <c r="L763" s="12"/>
      <c r="M763" s="12"/>
      <c r="N763" s="12"/>
      <c r="O763" s="12"/>
      <c r="P763" s="12"/>
    </row>
    <row r="764">
      <c r="A764" s="12"/>
      <c r="D764" s="95"/>
      <c r="E764" s="14"/>
      <c r="F764" s="96"/>
      <c r="H764" s="12"/>
      <c r="I764" s="12"/>
      <c r="J764" s="12"/>
      <c r="K764" s="12"/>
      <c r="L764" s="12"/>
      <c r="M764" s="12"/>
      <c r="N764" s="12"/>
      <c r="O764" s="12"/>
      <c r="P764" s="12"/>
    </row>
    <row r="765">
      <c r="A765" s="12"/>
      <c r="D765" s="95"/>
      <c r="E765" s="14"/>
      <c r="F765" s="96"/>
      <c r="H765" s="12"/>
      <c r="I765" s="12"/>
      <c r="J765" s="12"/>
      <c r="K765" s="12"/>
      <c r="L765" s="12"/>
      <c r="M765" s="12"/>
      <c r="N765" s="12"/>
      <c r="O765" s="12"/>
      <c r="P765" s="12"/>
    </row>
    <row r="766">
      <c r="A766" s="12"/>
      <c r="D766" s="95"/>
      <c r="E766" s="14"/>
      <c r="F766" s="96"/>
      <c r="H766" s="12"/>
      <c r="I766" s="12"/>
      <c r="J766" s="12"/>
      <c r="K766" s="12"/>
      <c r="L766" s="12"/>
      <c r="M766" s="12"/>
      <c r="N766" s="12"/>
      <c r="O766" s="12"/>
      <c r="P766" s="12"/>
    </row>
    <row r="767">
      <c r="A767" s="12"/>
      <c r="D767" s="95"/>
      <c r="E767" s="14"/>
      <c r="F767" s="96"/>
      <c r="H767" s="12"/>
      <c r="I767" s="12"/>
      <c r="J767" s="12"/>
      <c r="K767" s="12"/>
      <c r="L767" s="12"/>
      <c r="M767" s="12"/>
      <c r="N767" s="12"/>
      <c r="O767" s="12"/>
      <c r="P767" s="12"/>
    </row>
    <row r="768">
      <c r="A768" s="12"/>
      <c r="D768" s="95"/>
      <c r="E768" s="14"/>
      <c r="F768" s="96"/>
      <c r="H768" s="12"/>
      <c r="I768" s="12"/>
      <c r="J768" s="12"/>
      <c r="K768" s="12"/>
      <c r="L768" s="12"/>
      <c r="M768" s="12"/>
      <c r="N768" s="12"/>
      <c r="O768" s="12"/>
      <c r="P768" s="12"/>
    </row>
    <row r="769">
      <c r="A769" s="12"/>
      <c r="D769" s="95"/>
      <c r="E769" s="14"/>
      <c r="F769" s="96"/>
      <c r="H769" s="12"/>
      <c r="I769" s="12"/>
      <c r="J769" s="12"/>
      <c r="K769" s="12"/>
      <c r="L769" s="12"/>
      <c r="M769" s="12"/>
      <c r="N769" s="12"/>
      <c r="O769" s="12"/>
      <c r="P769" s="12"/>
    </row>
    <row r="770">
      <c r="A770" s="12"/>
      <c r="D770" s="95"/>
      <c r="E770" s="14"/>
      <c r="F770" s="96"/>
      <c r="H770" s="12"/>
      <c r="I770" s="12"/>
      <c r="J770" s="12"/>
      <c r="K770" s="12"/>
      <c r="L770" s="12"/>
      <c r="M770" s="12"/>
      <c r="N770" s="12"/>
      <c r="O770" s="12"/>
      <c r="P770" s="12"/>
    </row>
    <row r="771">
      <c r="A771" s="12"/>
      <c r="D771" s="95"/>
      <c r="E771" s="14"/>
      <c r="F771" s="96"/>
      <c r="H771" s="12"/>
      <c r="I771" s="12"/>
      <c r="J771" s="12"/>
      <c r="K771" s="12"/>
      <c r="L771" s="12"/>
      <c r="M771" s="12"/>
      <c r="N771" s="12"/>
      <c r="O771" s="12"/>
      <c r="P771" s="12"/>
    </row>
    <row r="772">
      <c r="A772" s="12"/>
      <c r="D772" s="95"/>
      <c r="E772" s="14"/>
      <c r="F772" s="96"/>
      <c r="H772" s="12"/>
      <c r="I772" s="12"/>
      <c r="J772" s="12"/>
      <c r="K772" s="12"/>
      <c r="L772" s="12"/>
      <c r="M772" s="12"/>
      <c r="N772" s="12"/>
      <c r="O772" s="12"/>
      <c r="P772" s="12"/>
    </row>
    <row r="773">
      <c r="A773" s="12"/>
      <c r="D773" s="95"/>
      <c r="E773" s="14"/>
      <c r="F773" s="96"/>
      <c r="H773" s="12"/>
      <c r="I773" s="12"/>
      <c r="J773" s="12"/>
      <c r="K773" s="12"/>
      <c r="L773" s="12"/>
      <c r="M773" s="12"/>
      <c r="N773" s="12"/>
      <c r="O773" s="12"/>
      <c r="P773" s="12"/>
    </row>
    <row r="774">
      <c r="A774" s="12"/>
      <c r="D774" s="95"/>
      <c r="E774" s="14"/>
      <c r="F774" s="96"/>
      <c r="H774" s="12"/>
      <c r="I774" s="12"/>
      <c r="J774" s="12"/>
      <c r="K774" s="12"/>
      <c r="L774" s="12"/>
      <c r="M774" s="12"/>
      <c r="N774" s="12"/>
      <c r="O774" s="12"/>
      <c r="P774" s="12"/>
    </row>
    <row r="775">
      <c r="A775" s="12"/>
      <c r="D775" s="95"/>
      <c r="E775" s="14"/>
      <c r="F775" s="96"/>
      <c r="H775" s="12"/>
      <c r="I775" s="12"/>
      <c r="J775" s="12"/>
      <c r="K775" s="12"/>
      <c r="L775" s="12"/>
      <c r="M775" s="12"/>
      <c r="N775" s="12"/>
      <c r="O775" s="12"/>
      <c r="P775" s="12"/>
    </row>
    <row r="776">
      <c r="A776" s="12"/>
      <c r="D776" s="95"/>
      <c r="E776" s="14"/>
      <c r="F776" s="96"/>
      <c r="H776" s="12"/>
      <c r="I776" s="12"/>
      <c r="J776" s="12"/>
      <c r="K776" s="12"/>
      <c r="L776" s="12"/>
      <c r="M776" s="12"/>
      <c r="N776" s="12"/>
      <c r="O776" s="12"/>
      <c r="P776" s="12"/>
    </row>
    <row r="777">
      <c r="A777" s="12"/>
      <c r="D777" s="95"/>
      <c r="E777" s="14"/>
      <c r="F777" s="96"/>
      <c r="H777" s="12"/>
      <c r="I777" s="12"/>
      <c r="J777" s="12"/>
      <c r="K777" s="12"/>
      <c r="L777" s="12"/>
      <c r="M777" s="12"/>
      <c r="N777" s="12"/>
      <c r="O777" s="12"/>
      <c r="P777" s="12"/>
    </row>
    <row r="778">
      <c r="A778" s="12"/>
      <c r="D778" s="95"/>
      <c r="E778" s="14"/>
      <c r="F778" s="96"/>
      <c r="H778" s="12"/>
      <c r="I778" s="12"/>
      <c r="J778" s="12"/>
      <c r="K778" s="12"/>
      <c r="L778" s="12"/>
      <c r="M778" s="12"/>
      <c r="N778" s="12"/>
      <c r="O778" s="12"/>
      <c r="P778" s="12"/>
    </row>
    <row r="779">
      <c r="A779" s="12"/>
      <c r="D779" s="95"/>
      <c r="E779" s="14"/>
      <c r="F779" s="96"/>
      <c r="H779" s="12"/>
      <c r="I779" s="12"/>
      <c r="J779" s="12"/>
      <c r="K779" s="12"/>
      <c r="L779" s="12"/>
      <c r="M779" s="12"/>
      <c r="N779" s="12"/>
      <c r="O779" s="12"/>
      <c r="P779" s="12"/>
    </row>
    <row r="780">
      <c r="A780" s="12"/>
      <c r="D780" s="95"/>
      <c r="E780" s="14"/>
      <c r="F780" s="96"/>
      <c r="H780" s="12"/>
      <c r="I780" s="12"/>
      <c r="J780" s="12"/>
      <c r="K780" s="12"/>
      <c r="L780" s="12"/>
      <c r="M780" s="12"/>
      <c r="N780" s="12"/>
      <c r="O780" s="12"/>
      <c r="P780" s="12"/>
    </row>
    <row r="781">
      <c r="A781" s="12"/>
      <c r="D781" s="95"/>
      <c r="E781" s="14"/>
      <c r="F781" s="96"/>
      <c r="H781" s="12"/>
      <c r="I781" s="12"/>
      <c r="J781" s="12"/>
      <c r="K781" s="12"/>
      <c r="L781" s="12"/>
      <c r="M781" s="12"/>
      <c r="N781" s="12"/>
      <c r="O781" s="12"/>
      <c r="P781" s="12"/>
    </row>
    <row r="782">
      <c r="A782" s="12"/>
      <c r="D782" s="95"/>
      <c r="E782" s="14"/>
      <c r="F782" s="96"/>
      <c r="H782" s="12"/>
      <c r="I782" s="12"/>
      <c r="J782" s="12"/>
      <c r="K782" s="12"/>
      <c r="L782" s="12"/>
      <c r="M782" s="12"/>
      <c r="N782" s="12"/>
      <c r="O782" s="12"/>
      <c r="P782" s="12"/>
    </row>
    <row r="783">
      <c r="A783" s="12"/>
      <c r="D783" s="95"/>
      <c r="E783" s="14"/>
      <c r="F783" s="96"/>
      <c r="H783" s="12"/>
      <c r="I783" s="12"/>
      <c r="J783" s="12"/>
      <c r="K783" s="12"/>
      <c r="L783" s="12"/>
      <c r="M783" s="12"/>
      <c r="N783" s="12"/>
      <c r="O783" s="12"/>
      <c r="P783" s="12"/>
    </row>
    <row r="784">
      <c r="A784" s="12"/>
      <c r="D784" s="95"/>
      <c r="E784" s="14"/>
      <c r="F784" s="96"/>
      <c r="H784" s="12"/>
      <c r="I784" s="12"/>
      <c r="J784" s="12"/>
      <c r="K784" s="12"/>
      <c r="L784" s="12"/>
      <c r="M784" s="12"/>
      <c r="N784" s="12"/>
      <c r="O784" s="12"/>
      <c r="P784" s="12"/>
    </row>
    <row r="785">
      <c r="A785" s="12"/>
      <c r="D785" s="95"/>
      <c r="E785" s="14"/>
      <c r="F785" s="96"/>
      <c r="H785" s="12"/>
      <c r="I785" s="12"/>
      <c r="J785" s="12"/>
      <c r="K785" s="12"/>
      <c r="L785" s="12"/>
      <c r="M785" s="12"/>
      <c r="N785" s="12"/>
      <c r="O785" s="12"/>
      <c r="P785" s="12"/>
    </row>
    <row r="786">
      <c r="A786" s="12"/>
      <c r="D786" s="95"/>
      <c r="E786" s="14"/>
      <c r="F786" s="96"/>
      <c r="H786" s="12"/>
      <c r="I786" s="12"/>
      <c r="J786" s="12"/>
      <c r="K786" s="12"/>
      <c r="L786" s="12"/>
      <c r="M786" s="12"/>
      <c r="N786" s="12"/>
      <c r="O786" s="12"/>
      <c r="P786" s="12"/>
    </row>
    <row r="787">
      <c r="A787" s="12"/>
      <c r="D787" s="95"/>
      <c r="E787" s="14"/>
      <c r="F787" s="96"/>
      <c r="H787" s="12"/>
      <c r="I787" s="12"/>
      <c r="J787" s="12"/>
      <c r="K787" s="12"/>
      <c r="L787" s="12"/>
      <c r="M787" s="12"/>
      <c r="N787" s="12"/>
      <c r="O787" s="12"/>
      <c r="P787" s="12"/>
    </row>
    <row r="788">
      <c r="A788" s="12"/>
      <c r="D788" s="95"/>
      <c r="E788" s="14"/>
      <c r="F788" s="96"/>
      <c r="H788" s="12"/>
      <c r="I788" s="12"/>
      <c r="J788" s="12"/>
      <c r="K788" s="12"/>
      <c r="L788" s="12"/>
      <c r="M788" s="12"/>
      <c r="N788" s="12"/>
      <c r="O788" s="12"/>
      <c r="P788" s="12"/>
    </row>
    <row r="789">
      <c r="A789" s="12"/>
      <c r="D789" s="95"/>
      <c r="E789" s="14"/>
      <c r="F789" s="96"/>
      <c r="H789" s="12"/>
      <c r="I789" s="12"/>
      <c r="J789" s="12"/>
      <c r="K789" s="12"/>
      <c r="L789" s="12"/>
      <c r="M789" s="12"/>
      <c r="N789" s="12"/>
      <c r="O789" s="12"/>
      <c r="P789" s="12"/>
    </row>
    <row r="790">
      <c r="A790" s="12"/>
      <c r="D790" s="95"/>
      <c r="E790" s="14"/>
      <c r="F790" s="96"/>
      <c r="H790" s="12"/>
      <c r="I790" s="12"/>
      <c r="J790" s="12"/>
      <c r="K790" s="12"/>
      <c r="L790" s="12"/>
      <c r="M790" s="12"/>
      <c r="N790" s="12"/>
      <c r="O790" s="12"/>
      <c r="P790" s="12"/>
    </row>
    <row r="791">
      <c r="A791" s="12"/>
      <c r="D791" s="95"/>
      <c r="E791" s="14"/>
      <c r="F791" s="96"/>
      <c r="H791" s="12"/>
      <c r="I791" s="12"/>
      <c r="J791" s="12"/>
      <c r="K791" s="12"/>
      <c r="L791" s="12"/>
      <c r="M791" s="12"/>
      <c r="N791" s="12"/>
      <c r="O791" s="12"/>
      <c r="P791" s="12"/>
    </row>
    <row r="792">
      <c r="A792" s="12"/>
      <c r="D792" s="95"/>
      <c r="E792" s="14"/>
      <c r="F792" s="96"/>
      <c r="H792" s="12"/>
      <c r="I792" s="12"/>
      <c r="J792" s="12"/>
      <c r="K792" s="12"/>
      <c r="L792" s="12"/>
      <c r="M792" s="12"/>
      <c r="N792" s="12"/>
      <c r="O792" s="12"/>
      <c r="P792" s="12"/>
    </row>
    <row r="793">
      <c r="A793" s="12"/>
      <c r="D793" s="95"/>
      <c r="E793" s="14"/>
      <c r="F793" s="96"/>
      <c r="H793" s="12"/>
      <c r="I793" s="12"/>
      <c r="J793" s="12"/>
      <c r="K793" s="12"/>
      <c r="L793" s="12"/>
      <c r="M793" s="12"/>
      <c r="N793" s="12"/>
      <c r="O793" s="12"/>
      <c r="P793" s="12"/>
    </row>
    <row r="794">
      <c r="A794" s="12"/>
      <c r="D794" s="95"/>
      <c r="E794" s="14"/>
      <c r="F794" s="96"/>
      <c r="H794" s="12"/>
      <c r="I794" s="12"/>
      <c r="J794" s="12"/>
      <c r="K794" s="12"/>
      <c r="L794" s="12"/>
      <c r="M794" s="12"/>
      <c r="N794" s="12"/>
      <c r="O794" s="12"/>
      <c r="P794" s="12"/>
    </row>
    <row r="795">
      <c r="A795" s="12"/>
      <c r="D795" s="95"/>
      <c r="E795" s="14"/>
      <c r="F795" s="96"/>
      <c r="H795" s="12"/>
      <c r="I795" s="12"/>
      <c r="J795" s="12"/>
      <c r="K795" s="12"/>
      <c r="L795" s="12"/>
      <c r="M795" s="12"/>
      <c r="N795" s="12"/>
      <c r="O795" s="12"/>
      <c r="P795" s="12"/>
    </row>
    <row r="796">
      <c r="A796" s="12"/>
      <c r="D796" s="95"/>
      <c r="E796" s="14"/>
      <c r="F796" s="96"/>
      <c r="H796" s="12"/>
      <c r="I796" s="12"/>
      <c r="J796" s="12"/>
      <c r="K796" s="12"/>
      <c r="L796" s="12"/>
      <c r="M796" s="12"/>
      <c r="N796" s="12"/>
      <c r="O796" s="12"/>
      <c r="P796" s="12"/>
    </row>
    <row r="797">
      <c r="A797" s="12"/>
      <c r="D797" s="95"/>
      <c r="E797" s="14"/>
      <c r="F797" s="96"/>
      <c r="H797" s="12"/>
      <c r="I797" s="12"/>
      <c r="J797" s="12"/>
      <c r="K797" s="12"/>
      <c r="L797" s="12"/>
      <c r="M797" s="12"/>
      <c r="N797" s="12"/>
      <c r="O797" s="12"/>
      <c r="P797" s="12"/>
    </row>
    <row r="798">
      <c r="A798" s="12"/>
      <c r="D798" s="95"/>
      <c r="E798" s="14"/>
      <c r="F798" s="96"/>
      <c r="H798" s="12"/>
      <c r="I798" s="12"/>
      <c r="J798" s="12"/>
      <c r="K798" s="12"/>
      <c r="L798" s="12"/>
      <c r="M798" s="12"/>
      <c r="N798" s="12"/>
      <c r="O798" s="12"/>
      <c r="P798" s="12"/>
    </row>
    <row r="799">
      <c r="A799" s="12"/>
      <c r="D799" s="95"/>
      <c r="E799" s="14"/>
      <c r="F799" s="96"/>
      <c r="H799" s="12"/>
      <c r="I799" s="12"/>
      <c r="J799" s="12"/>
      <c r="K799" s="12"/>
      <c r="L799" s="12"/>
      <c r="M799" s="12"/>
      <c r="N799" s="12"/>
      <c r="O799" s="12"/>
      <c r="P799" s="12"/>
    </row>
    <row r="800">
      <c r="A800" s="12"/>
      <c r="D800" s="95"/>
      <c r="E800" s="14"/>
      <c r="F800" s="96"/>
      <c r="H800" s="12"/>
      <c r="I800" s="12"/>
      <c r="J800" s="12"/>
      <c r="K800" s="12"/>
      <c r="L800" s="12"/>
      <c r="M800" s="12"/>
      <c r="N800" s="12"/>
      <c r="O800" s="12"/>
      <c r="P800" s="12"/>
    </row>
    <row r="801">
      <c r="A801" s="12"/>
      <c r="D801" s="95"/>
      <c r="E801" s="14"/>
      <c r="F801" s="96"/>
      <c r="H801" s="12"/>
      <c r="I801" s="12"/>
      <c r="J801" s="12"/>
      <c r="K801" s="12"/>
      <c r="L801" s="12"/>
      <c r="M801" s="12"/>
      <c r="N801" s="12"/>
      <c r="O801" s="12"/>
      <c r="P801" s="12"/>
    </row>
    <row r="802">
      <c r="A802" s="12"/>
      <c r="D802" s="95"/>
      <c r="E802" s="14"/>
      <c r="F802" s="96"/>
      <c r="H802" s="12"/>
      <c r="I802" s="12"/>
      <c r="J802" s="12"/>
      <c r="K802" s="12"/>
      <c r="L802" s="12"/>
      <c r="M802" s="12"/>
      <c r="N802" s="12"/>
      <c r="O802" s="12"/>
      <c r="P802" s="12"/>
    </row>
    <row r="803">
      <c r="A803" s="12"/>
      <c r="D803" s="95"/>
      <c r="E803" s="14"/>
      <c r="F803" s="96"/>
      <c r="H803" s="12"/>
      <c r="I803" s="12"/>
      <c r="J803" s="12"/>
      <c r="K803" s="12"/>
      <c r="L803" s="12"/>
      <c r="M803" s="12"/>
      <c r="N803" s="12"/>
      <c r="O803" s="12"/>
      <c r="P803" s="12"/>
    </row>
    <row r="804">
      <c r="A804" s="12"/>
      <c r="D804" s="95"/>
      <c r="E804" s="14"/>
      <c r="F804" s="96"/>
      <c r="H804" s="12"/>
      <c r="I804" s="12"/>
      <c r="J804" s="12"/>
      <c r="K804" s="12"/>
      <c r="L804" s="12"/>
      <c r="M804" s="12"/>
      <c r="N804" s="12"/>
      <c r="O804" s="12"/>
      <c r="P804" s="12"/>
    </row>
    <row r="805">
      <c r="A805" s="12"/>
      <c r="D805" s="95"/>
      <c r="E805" s="14"/>
      <c r="F805" s="96"/>
      <c r="H805" s="12"/>
      <c r="I805" s="12"/>
      <c r="J805" s="12"/>
      <c r="K805" s="12"/>
      <c r="L805" s="12"/>
      <c r="M805" s="12"/>
      <c r="N805" s="12"/>
      <c r="O805" s="12"/>
      <c r="P805" s="12"/>
    </row>
    <row r="806">
      <c r="A806" s="12"/>
      <c r="D806" s="95"/>
      <c r="E806" s="14"/>
      <c r="F806" s="96"/>
      <c r="H806" s="12"/>
      <c r="I806" s="12"/>
      <c r="J806" s="12"/>
      <c r="K806" s="12"/>
      <c r="L806" s="12"/>
      <c r="M806" s="12"/>
      <c r="N806" s="12"/>
      <c r="O806" s="12"/>
      <c r="P806" s="12"/>
    </row>
    <row r="807">
      <c r="A807" s="12"/>
      <c r="D807" s="95"/>
      <c r="E807" s="14"/>
      <c r="F807" s="96"/>
      <c r="H807" s="12"/>
      <c r="I807" s="12"/>
      <c r="J807" s="12"/>
      <c r="K807" s="12"/>
      <c r="L807" s="12"/>
      <c r="M807" s="12"/>
      <c r="N807" s="12"/>
      <c r="O807" s="12"/>
      <c r="P807" s="12"/>
    </row>
    <row r="808">
      <c r="A808" s="12"/>
      <c r="D808" s="95"/>
      <c r="E808" s="14"/>
      <c r="F808" s="96"/>
      <c r="H808" s="12"/>
      <c r="I808" s="12"/>
      <c r="J808" s="12"/>
      <c r="K808" s="12"/>
      <c r="L808" s="12"/>
      <c r="M808" s="12"/>
      <c r="N808" s="12"/>
      <c r="O808" s="12"/>
      <c r="P808" s="12"/>
    </row>
    <row r="809">
      <c r="A809" s="12"/>
      <c r="D809" s="95"/>
      <c r="E809" s="14"/>
      <c r="F809" s="96"/>
      <c r="H809" s="12"/>
      <c r="I809" s="12"/>
      <c r="J809" s="12"/>
      <c r="K809" s="12"/>
      <c r="L809" s="12"/>
      <c r="M809" s="12"/>
      <c r="N809" s="12"/>
      <c r="O809" s="12"/>
      <c r="P809" s="12"/>
    </row>
    <row r="810">
      <c r="A810" s="12"/>
      <c r="D810" s="95"/>
      <c r="E810" s="14"/>
      <c r="F810" s="96"/>
      <c r="H810" s="12"/>
      <c r="I810" s="12"/>
      <c r="J810" s="12"/>
      <c r="K810" s="12"/>
      <c r="L810" s="12"/>
      <c r="M810" s="12"/>
      <c r="N810" s="12"/>
      <c r="O810" s="12"/>
      <c r="P810" s="12"/>
    </row>
    <row r="811">
      <c r="A811" s="12"/>
      <c r="D811" s="95"/>
      <c r="E811" s="14"/>
      <c r="F811" s="96"/>
      <c r="H811" s="12"/>
      <c r="I811" s="12"/>
      <c r="J811" s="12"/>
      <c r="K811" s="12"/>
      <c r="L811" s="12"/>
      <c r="M811" s="12"/>
      <c r="N811" s="12"/>
      <c r="O811" s="12"/>
      <c r="P811" s="12"/>
    </row>
    <row r="812">
      <c r="A812" s="12"/>
      <c r="D812" s="95"/>
      <c r="E812" s="14"/>
      <c r="F812" s="96"/>
      <c r="H812" s="12"/>
      <c r="I812" s="12"/>
      <c r="J812" s="12"/>
      <c r="K812" s="12"/>
      <c r="L812" s="12"/>
      <c r="M812" s="12"/>
      <c r="N812" s="12"/>
      <c r="O812" s="12"/>
      <c r="P812" s="12"/>
    </row>
    <row r="813">
      <c r="A813" s="12"/>
      <c r="D813" s="95"/>
      <c r="E813" s="14"/>
      <c r="F813" s="96"/>
      <c r="H813" s="12"/>
      <c r="I813" s="12"/>
      <c r="J813" s="12"/>
      <c r="K813" s="12"/>
      <c r="L813" s="12"/>
      <c r="M813" s="12"/>
      <c r="N813" s="12"/>
      <c r="O813" s="12"/>
      <c r="P813" s="12"/>
    </row>
    <row r="814">
      <c r="A814" s="12"/>
      <c r="D814" s="95"/>
      <c r="E814" s="14"/>
      <c r="F814" s="96"/>
      <c r="H814" s="12"/>
      <c r="I814" s="12"/>
      <c r="J814" s="12"/>
      <c r="K814" s="12"/>
      <c r="L814" s="12"/>
      <c r="M814" s="12"/>
      <c r="N814" s="12"/>
      <c r="O814" s="12"/>
      <c r="P814" s="12"/>
    </row>
    <row r="815">
      <c r="A815" s="12"/>
      <c r="D815" s="95"/>
      <c r="E815" s="14"/>
      <c r="F815" s="96"/>
      <c r="H815" s="12"/>
      <c r="I815" s="12"/>
      <c r="J815" s="12"/>
      <c r="K815" s="12"/>
      <c r="L815" s="12"/>
      <c r="M815" s="12"/>
      <c r="N815" s="12"/>
      <c r="O815" s="12"/>
      <c r="P815" s="12"/>
    </row>
    <row r="816">
      <c r="A816" s="12"/>
      <c r="D816" s="95"/>
      <c r="E816" s="14"/>
      <c r="F816" s="96"/>
      <c r="H816" s="12"/>
      <c r="I816" s="12"/>
      <c r="J816" s="12"/>
      <c r="K816" s="12"/>
      <c r="L816" s="12"/>
      <c r="M816" s="12"/>
      <c r="N816" s="12"/>
      <c r="O816" s="12"/>
      <c r="P816" s="12"/>
    </row>
    <row r="817">
      <c r="A817" s="12"/>
      <c r="D817" s="95"/>
      <c r="E817" s="14"/>
      <c r="F817" s="96"/>
      <c r="H817" s="12"/>
      <c r="I817" s="12"/>
      <c r="J817" s="12"/>
      <c r="K817" s="12"/>
      <c r="L817" s="12"/>
      <c r="M817" s="12"/>
      <c r="N817" s="12"/>
      <c r="O817" s="12"/>
      <c r="P817" s="12"/>
    </row>
    <row r="818">
      <c r="A818" s="12"/>
      <c r="D818" s="95"/>
      <c r="E818" s="14"/>
      <c r="F818" s="96"/>
      <c r="H818" s="12"/>
      <c r="I818" s="12"/>
      <c r="J818" s="12"/>
      <c r="K818" s="12"/>
      <c r="L818" s="12"/>
      <c r="M818" s="12"/>
      <c r="N818" s="12"/>
      <c r="O818" s="12"/>
      <c r="P818" s="12"/>
    </row>
    <row r="819">
      <c r="A819" s="12"/>
      <c r="D819" s="95"/>
      <c r="E819" s="14"/>
      <c r="F819" s="96"/>
      <c r="H819" s="12"/>
      <c r="I819" s="12"/>
      <c r="J819" s="12"/>
      <c r="K819" s="12"/>
      <c r="L819" s="12"/>
      <c r="M819" s="12"/>
      <c r="N819" s="12"/>
      <c r="O819" s="12"/>
      <c r="P819" s="12"/>
    </row>
    <row r="820">
      <c r="A820" s="12"/>
      <c r="D820" s="95"/>
      <c r="E820" s="14"/>
      <c r="F820" s="96"/>
      <c r="H820" s="12"/>
      <c r="I820" s="12"/>
      <c r="J820" s="12"/>
      <c r="K820" s="12"/>
      <c r="L820" s="12"/>
      <c r="M820" s="12"/>
      <c r="N820" s="12"/>
      <c r="O820" s="12"/>
      <c r="P820" s="12"/>
    </row>
    <row r="821">
      <c r="A821" s="12"/>
      <c r="D821" s="95"/>
      <c r="E821" s="14"/>
      <c r="F821" s="96"/>
      <c r="H821" s="12"/>
      <c r="I821" s="12"/>
      <c r="J821" s="12"/>
      <c r="K821" s="12"/>
      <c r="L821" s="12"/>
      <c r="M821" s="12"/>
      <c r="N821" s="12"/>
      <c r="O821" s="12"/>
      <c r="P821" s="12"/>
    </row>
    <row r="822">
      <c r="A822" s="12"/>
      <c r="D822" s="95"/>
      <c r="E822" s="14"/>
      <c r="F822" s="96"/>
      <c r="H822" s="12"/>
      <c r="I822" s="12"/>
      <c r="J822" s="12"/>
      <c r="K822" s="12"/>
      <c r="L822" s="12"/>
      <c r="M822" s="12"/>
      <c r="N822" s="12"/>
      <c r="O822" s="12"/>
      <c r="P822" s="12"/>
    </row>
    <row r="823">
      <c r="A823" s="12"/>
      <c r="D823" s="95"/>
      <c r="E823" s="14"/>
      <c r="F823" s="96"/>
      <c r="H823" s="12"/>
      <c r="I823" s="12"/>
      <c r="J823" s="12"/>
      <c r="K823" s="12"/>
      <c r="L823" s="12"/>
      <c r="M823" s="12"/>
      <c r="N823" s="12"/>
      <c r="O823" s="12"/>
      <c r="P823" s="12"/>
    </row>
    <row r="824">
      <c r="A824" s="12"/>
      <c r="D824" s="95"/>
      <c r="E824" s="14"/>
      <c r="F824" s="96"/>
      <c r="H824" s="12"/>
      <c r="I824" s="12"/>
      <c r="J824" s="12"/>
      <c r="K824" s="12"/>
      <c r="L824" s="12"/>
      <c r="M824" s="12"/>
      <c r="N824" s="12"/>
      <c r="O824" s="12"/>
      <c r="P824" s="12"/>
    </row>
    <row r="825">
      <c r="A825" s="12"/>
      <c r="D825" s="95"/>
      <c r="E825" s="14"/>
      <c r="F825" s="96"/>
      <c r="H825" s="12"/>
      <c r="I825" s="12"/>
      <c r="J825" s="12"/>
      <c r="K825" s="12"/>
      <c r="L825" s="12"/>
      <c r="M825" s="12"/>
      <c r="N825" s="12"/>
      <c r="O825" s="12"/>
      <c r="P825" s="12"/>
    </row>
    <row r="826">
      <c r="A826" s="12"/>
      <c r="D826" s="95"/>
      <c r="E826" s="14"/>
      <c r="F826" s="96"/>
      <c r="H826" s="12"/>
      <c r="I826" s="12"/>
      <c r="J826" s="12"/>
      <c r="K826" s="12"/>
      <c r="L826" s="12"/>
      <c r="M826" s="12"/>
      <c r="N826" s="12"/>
      <c r="O826" s="12"/>
      <c r="P826" s="12"/>
    </row>
    <row r="827">
      <c r="A827" s="12"/>
      <c r="D827" s="95"/>
      <c r="E827" s="14"/>
      <c r="F827" s="96"/>
      <c r="H827" s="12"/>
      <c r="I827" s="12"/>
      <c r="J827" s="12"/>
      <c r="K827" s="12"/>
      <c r="L827" s="12"/>
      <c r="M827" s="12"/>
      <c r="N827" s="12"/>
      <c r="O827" s="12"/>
      <c r="P827" s="12"/>
    </row>
    <row r="828">
      <c r="A828" s="12"/>
      <c r="D828" s="95"/>
      <c r="E828" s="14"/>
      <c r="F828" s="96"/>
      <c r="H828" s="12"/>
      <c r="I828" s="12"/>
      <c r="J828" s="12"/>
      <c r="K828" s="12"/>
      <c r="L828" s="12"/>
      <c r="M828" s="12"/>
      <c r="N828" s="12"/>
      <c r="O828" s="12"/>
      <c r="P828" s="12"/>
    </row>
    <row r="829">
      <c r="A829" s="12"/>
      <c r="D829" s="95"/>
      <c r="E829" s="14"/>
      <c r="F829" s="96"/>
      <c r="H829" s="12"/>
      <c r="I829" s="12"/>
      <c r="J829" s="12"/>
      <c r="K829" s="12"/>
      <c r="L829" s="12"/>
      <c r="M829" s="12"/>
      <c r="N829" s="12"/>
      <c r="O829" s="12"/>
      <c r="P829" s="12"/>
    </row>
    <row r="830">
      <c r="A830" s="12"/>
      <c r="D830" s="95"/>
      <c r="E830" s="14"/>
      <c r="F830" s="96"/>
      <c r="H830" s="12"/>
      <c r="I830" s="12"/>
      <c r="J830" s="12"/>
      <c r="K830" s="12"/>
      <c r="L830" s="12"/>
      <c r="M830" s="12"/>
      <c r="N830" s="12"/>
      <c r="O830" s="12"/>
      <c r="P830" s="12"/>
    </row>
    <row r="831">
      <c r="A831" s="12"/>
      <c r="D831" s="95"/>
      <c r="E831" s="14"/>
      <c r="F831" s="96"/>
      <c r="H831" s="12"/>
      <c r="I831" s="12"/>
      <c r="J831" s="12"/>
      <c r="K831" s="12"/>
      <c r="L831" s="12"/>
      <c r="M831" s="12"/>
      <c r="N831" s="12"/>
      <c r="O831" s="12"/>
      <c r="P831" s="12"/>
    </row>
    <row r="832">
      <c r="A832" s="12"/>
      <c r="D832" s="95"/>
      <c r="E832" s="14"/>
      <c r="F832" s="96"/>
      <c r="H832" s="12"/>
      <c r="I832" s="12"/>
      <c r="J832" s="12"/>
      <c r="K832" s="12"/>
      <c r="L832" s="12"/>
      <c r="M832" s="12"/>
      <c r="N832" s="12"/>
      <c r="O832" s="12"/>
      <c r="P832" s="12"/>
    </row>
    <row r="833">
      <c r="A833" s="12"/>
      <c r="D833" s="95"/>
      <c r="E833" s="14"/>
      <c r="F833" s="96"/>
      <c r="H833" s="12"/>
      <c r="I833" s="12"/>
      <c r="J833" s="12"/>
      <c r="K833" s="12"/>
      <c r="L833" s="12"/>
      <c r="M833" s="12"/>
      <c r="N833" s="12"/>
      <c r="O833" s="12"/>
      <c r="P833" s="12"/>
    </row>
    <row r="834">
      <c r="A834" s="12"/>
      <c r="D834" s="95"/>
      <c r="E834" s="14"/>
      <c r="F834" s="96"/>
      <c r="H834" s="12"/>
      <c r="I834" s="12"/>
      <c r="J834" s="12"/>
      <c r="K834" s="12"/>
      <c r="L834" s="12"/>
      <c r="M834" s="12"/>
      <c r="N834" s="12"/>
      <c r="O834" s="12"/>
      <c r="P834" s="12"/>
    </row>
    <row r="835">
      <c r="A835" s="12"/>
      <c r="D835" s="95"/>
      <c r="E835" s="14"/>
      <c r="F835" s="96"/>
      <c r="H835" s="12"/>
      <c r="I835" s="12"/>
      <c r="J835" s="12"/>
      <c r="K835" s="12"/>
      <c r="L835" s="12"/>
      <c r="M835" s="12"/>
      <c r="N835" s="12"/>
      <c r="O835" s="12"/>
      <c r="P835" s="12"/>
    </row>
    <row r="836">
      <c r="A836" s="12"/>
      <c r="D836" s="95"/>
      <c r="E836" s="14"/>
      <c r="F836" s="96"/>
      <c r="H836" s="12"/>
      <c r="I836" s="12"/>
      <c r="J836" s="12"/>
      <c r="K836" s="12"/>
      <c r="L836" s="12"/>
      <c r="M836" s="12"/>
      <c r="N836" s="12"/>
      <c r="O836" s="12"/>
      <c r="P836" s="12"/>
    </row>
    <row r="837">
      <c r="A837" s="12"/>
      <c r="D837" s="95"/>
      <c r="E837" s="14"/>
      <c r="F837" s="96"/>
      <c r="H837" s="12"/>
      <c r="I837" s="12"/>
      <c r="J837" s="12"/>
      <c r="K837" s="12"/>
      <c r="L837" s="12"/>
      <c r="M837" s="12"/>
      <c r="N837" s="12"/>
      <c r="O837" s="12"/>
      <c r="P837" s="12"/>
    </row>
    <row r="838">
      <c r="A838" s="12"/>
      <c r="D838" s="95"/>
      <c r="E838" s="14"/>
      <c r="F838" s="96"/>
      <c r="H838" s="12"/>
      <c r="I838" s="12"/>
      <c r="J838" s="12"/>
      <c r="K838" s="12"/>
      <c r="L838" s="12"/>
      <c r="M838" s="12"/>
      <c r="N838" s="12"/>
      <c r="O838" s="12"/>
      <c r="P838" s="12"/>
    </row>
    <row r="839">
      <c r="A839" s="12"/>
      <c r="D839" s="95"/>
      <c r="E839" s="14"/>
      <c r="F839" s="96"/>
      <c r="H839" s="12"/>
      <c r="I839" s="12"/>
      <c r="J839" s="12"/>
      <c r="K839" s="12"/>
      <c r="L839" s="12"/>
      <c r="M839" s="12"/>
      <c r="N839" s="12"/>
      <c r="O839" s="12"/>
      <c r="P839" s="12"/>
    </row>
    <row r="840">
      <c r="A840" s="12"/>
      <c r="D840" s="95"/>
      <c r="E840" s="14"/>
      <c r="F840" s="96"/>
      <c r="H840" s="12"/>
      <c r="I840" s="12"/>
      <c r="J840" s="12"/>
      <c r="K840" s="12"/>
      <c r="L840" s="12"/>
      <c r="M840" s="12"/>
      <c r="N840" s="12"/>
      <c r="O840" s="12"/>
      <c r="P840" s="12"/>
    </row>
    <row r="841">
      <c r="A841" s="12"/>
      <c r="D841" s="95"/>
      <c r="E841" s="14"/>
      <c r="F841" s="96"/>
      <c r="H841" s="12"/>
      <c r="I841" s="12"/>
      <c r="J841" s="12"/>
      <c r="K841" s="12"/>
      <c r="L841" s="12"/>
      <c r="M841" s="12"/>
      <c r="N841" s="12"/>
      <c r="O841" s="12"/>
      <c r="P841" s="12"/>
    </row>
    <row r="842">
      <c r="A842" s="12"/>
      <c r="D842" s="95"/>
      <c r="E842" s="14"/>
      <c r="F842" s="96"/>
      <c r="H842" s="12"/>
      <c r="I842" s="12"/>
      <c r="J842" s="12"/>
      <c r="K842" s="12"/>
      <c r="L842" s="12"/>
      <c r="M842" s="12"/>
      <c r="N842" s="12"/>
      <c r="O842" s="12"/>
      <c r="P842" s="12"/>
    </row>
    <row r="843">
      <c r="A843" s="12"/>
      <c r="D843" s="95"/>
      <c r="E843" s="14"/>
      <c r="F843" s="96"/>
      <c r="H843" s="12"/>
      <c r="I843" s="12"/>
      <c r="J843" s="12"/>
      <c r="K843" s="12"/>
      <c r="L843" s="12"/>
      <c r="M843" s="12"/>
      <c r="N843" s="12"/>
      <c r="O843" s="12"/>
      <c r="P843" s="12"/>
    </row>
    <row r="844">
      <c r="A844" s="12"/>
      <c r="D844" s="95"/>
      <c r="E844" s="14"/>
      <c r="F844" s="96"/>
      <c r="H844" s="12"/>
      <c r="I844" s="12"/>
      <c r="J844" s="12"/>
      <c r="K844" s="12"/>
      <c r="L844" s="12"/>
      <c r="M844" s="12"/>
      <c r="N844" s="12"/>
      <c r="O844" s="12"/>
      <c r="P844" s="12"/>
    </row>
    <row r="845">
      <c r="A845" s="12"/>
      <c r="D845" s="95"/>
      <c r="E845" s="14"/>
      <c r="F845" s="96"/>
      <c r="H845" s="12"/>
      <c r="I845" s="12"/>
      <c r="J845" s="12"/>
      <c r="K845" s="12"/>
      <c r="L845" s="12"/>
      <c r="M845" s="12"/>
      <c r="N845" s="12"/>
      <c r="O845" s="12"/>
      <c r="P845" s="12"/>
    </row>
    <row r="846">
      <c r="A846" s="12"/>
      <c r="D846" s="95"/>
      <c r="E846" s="14"/>
      <c r="F846" s="96"/>
      <c r="H846" s="12"/>
      <c r="I846" s="12"/>
      <c r="J846" s="12"/>
      <c r="K846" s="12"/>
      <c r="L846" s="12"/>
      <c r="M846" s="12"/>
      <c r="N846" s="12"/>
      <c r="O846" s="12"/>
      <c r="P846" s="12"/>
    </row>
    <row r="847">
      <c r="A847" s="12"/>
      <c r="D847" s="95"/>
      <c r="E847" s="14"/>
      <c r="F847" s="96"/>
      <c r="H847" s="12"/>
      <c r="I847" s="12"/>
      <c r="J847" s="12"/>
      <c r="K847" s="12"/>
      <c r="L847" s="12"/>
      <c r="M847" s="12"/>
      <c r="N847" s="12"/>
      <c r="O847" s="12"/>
      <c r="P847" s="12"/>
    </row>
    <row r="848">
      <c r="A848" s="12"/>
      <c r="D848" s="95"/>
      <c r="E848" s="14"/>
      <c r="F848" s="96"/>
      <c r="H848" s="12"/>
      <c r="I848" s="12"/>
      <c r="J848" s="12"/>
      <c r="K848" s="12"/>
      <c r="L848" s="12"/>
      <c r="M848" s="12"/>
      <c r="N848" s="12"/>
      <c r="O848" s="12"/>
      <c r="P848" s="12"/>
    </row>
    <row r="849">
      <c r="A849" s="12"/>
      <c r="D849" s="95"/>
      <c r="E849" s="14"/>
      <c r="F849" s="96"/>
      <c r="H849" s="12"/>
      <c r="I849" s="12"/>
      <c r="J849" s="12"/>
      <c r="K849" s="12"/>
      <c r="L849" s="12"/>
      <c r="M849" s="12"/>
      <c r="N849" s="12"/>
      <c r="O849" s="12"/>
      <c r="P849" s="12"/>
    </row>
    <row r="850">
      <c r="A850" s="12"/>
      <c r="D850" s="95"/>
      <c r="E850" s="14"/>
      <c r="F850" s="96"/>
      <c r="H850" s="12"/>
      <c r="I850" s="12"/>
      <c r="J850" s="12"/>
      <c r="K850" s="12"/>
      <c r="L850" s="12"/>
      <c r="M850" s="12"/>
      <c r="N850" s="12"/>
      <c r="O850" s="12"/>
      <c r="P850" s="12"/>
    </row>
    <row r="851">
      <c r="A851" s="12"/>
      <c r="D851" s="95"/>
      <c r="E851" s="14"/>
      <c r="F851" s="96"/>
      <c r="H851" s="12"/>
      <c r="I851" s="12"/>
      <c r="J851" s="12"/>
      <c r="K851" s="12"/>
      <c r="L851" s="12"/>
      <c r="M851" s="12"/>
      <c r="N851" s="12"/>
      <c r="O851" s="12"/>
      <c r="P851" s="12"/>
    </row>
    <row r="852">
      <c r="A852" s="12"/>
      <c r="D852" s="95"/>
      <c r="E852" s="14"/>
      <c r="F852" s="96"/>
      <c r="H852" s="12"/>
      <c r="I852" s="12"/>
      <c r="J852" s="12"/>
      <c r="K852" s="12"/>
      <c r="L852" s="12"/>
      <c r="M852" s="12"/>
      <c r="N852" s="12"/>
      <c r="O852" s="12"/>
      <c r="P852" s="12"/>
    </row>
    <row r="853">
      <c r="A853" s="12"/>
      <c r="D853" s="95"/>
      <c r="E853" s="14"/>
      <c r="F853" s="96"/>
      <c r="H853" s="12"/>
      <c r="I853" s="12"/>
      <c r="J853" s="12"/>
      <c r="K853" s="12"/>
      <c r="L853" s="12"/>
      <c r="M853" s="12"/>
      <c r="N853" s="12"/>
      <c r="O853" s="12"/>
      <c r="P853" s="12"/>
    </row>
    <row r="854">
      <c r="A854" s="12"/>
      <c r="D854" s="95"/>
      <c r="E854" s="14"/>
      <c r="F854" s="96"/>
      <c r="H854" s="12"/>
      <c r="I854" s="12"/>
      <c r="J854" s="12"/>
      <c r="K854" s="12"/>
      <c r="L854" s="12"/>
      <c r="M854" s="12"/>
      <c r="N854" s="12"/>
      <c r="O854" s="12"/>
      <c r="P854" s="12"/>
    </row>
    <row r="855">
      <c r="A855" s="12"/>
      <c r="D855" s="95"/>
      <c r="E855" s="14"/>
      <c r="F855" s="96"/>
      <c r="H855" s="12"/>
      <c r="I855" s="12"/>
      <c r="J855" s="12"/>
      <c r="K855" s="12"/>
      <c r="L855" s="12"/>
      <c r="M855" s="12"/>
      <c r="N855" s="12"/>
      <c r="O855" s="12"/>
      <c r="P855" s="12"/>
    </row>
    <row r="856">
      <c r="A856" s="12"/>
      <c r="D856" s="95"/>
      <c r="E856" s="14"/>
      <c r="F856" s="96"/>
      <c r="H856" s="12"/>
      <c r="I856" s="12"/>
      <c r="J856" s="12"/>
      <c r="K856" s="12"/>
      <c r="L856" s="12"/>
      <c r="M856" s="12"/>
      <c r="N856" s="12"/>
      <c r="O856" s="12"/>
      <c r="P856" s="12"/>
    </row>
    <row r="857">
      <c r="A857" s="12"/>
      <c r="D857" s="95"/>
      <c r="E857" s="14"/>
      <c r="F857" s="96"/>
      <c r="H857" s="12"/>
      <c r="I857" s="12"/>
      <c r="J857" s="12"/>
      <c r="K857" s="12"/>
      <c r="L857" s="12"/>
      <c r="M857" s="12"/>
      <c r="N857" s="12"/>
      <c r="O857" s="12"/>
      <c r="P857" s="12"/>
    </row>
    <row r="858">
      <c r="A858" s="12"/>
      <c r="D858" s="95"/>
      <c r="E858" s="14"/>
      <c r="F858" s="96"/>
      <c r="H858" s="12"/>
      <c r="I858" s="12"/>
      <c r="J858" s="12"/>
      <c r="K858" s="12"/>
      <c r="L858" s="12"/>
      <c r="M858" s="12"/>
      <c r="N858" s="12"/>
      <c r="O858" s="12"/>
      <c r="P858" s="12"/>
    </row>
    <row r="859">
      <c r="A859" s="12"/>
      <c r="D859" s="95"/>
      <c r="E859" s="14"/>
      <c r="F859" s="96"/>
      <c r="H859" s="12"/>
      <c r="I859" s="12"/>
      <c r="J859" s="12"/>
      <c r="K859" s="12"/>
      <c r="L859" s="12"/>
      <c r="M859" s="12"/>
      <c r="N859" s="12"/>
      <c r="O859" s="12"/>
      <c r="P859" s="12"/>
    </row>
    <row r="860">
      <c r="A860" s="12"/>
      <c r="D860" s="95"/>
      <c r="E860" s="14"/>
      <c r="F860" s="96"/>
      <c r="H860" s="12"/>
      <c r="I860" s="12"/>
      <c r="J860" s="12"/>
      <c r="K860" s="12"/>
      <c r="L860" s="12"/>
      <c r="M860" s="12"/>
      <c r="N860" s="12"/>
      <c r="O860" s="12"/>
      <c r="P860" s="12"/>
    </row>
    <row r="861">
      <c r="A861" s="12"/>
      <c r="D861" s="95"/>
      <c r="E861" s="14"/>
      <c r="F861" s="96"/>
      <c r="H861" s="12"/>
      <c r="I861" s="12"/>
      <c r="J861" s="12"/>
      <c r="K861" s="12"/>
      <c r="L861" s="12"/>
      <c r="M861" s="12"/>
      <c r="N861" s="12"/>
      <c r="O861" s="12"/>
      <c r="P861" s="12"/>
    </row>
    <row r="862">
      <c r="A862" s="12"/>
      <c r="D862" s="95"/>
      <c r="E862" s="14"/>
      <c r="F862" s="96"/>
      <c r="H862" s="12"/>
      <c r="I862" s="12"/>
      <c r="J862" s="12"/>
      <c r="K862" s="12"/>
      <c r="L862" s="12"/>
      <c r="M862" s="12"/>
      <c r="N862" s="12"/>
      <c r="O862" s="12"/>
      <c r="P862" s="12"/>
    </row>
    <row r="863">
      <c r="A863" s="12"/>
      <c r="D863" s="95"/>
      <c r="E863" s="14"/>
      <c r="F863" s="96"/>
      <c r="H863" s="12"/>
      <c r="I863" s="12"/>
      <c r="J863" s="12"/>
      <c r="K863" s="12"/>
      <c r="L863" s="12"/>
      <c r="M863" s="12"/>
      <c r="N863" s="12"/>
      <c r="O863" s="12"/>
      <c r="P863" s="12"/>
    </row>
    <row r="864">
      <c r="A864" s="12"/>
      <c r="D864" s="95"/>
      <c r="E864" s="14"/>
      <c r="F864" s="96"/>
      <c r="H864" s="12"/>
      <c r="I864" s="12"/>
      <c r="J864" s="12"/>
      <c r="K864" s="12"/>
      <c r="L864" s="12"/>
      <c r="M864" s="12"/>
      <c r="N864" s="12"/>
      <c r="O864" s="12"/>
      <c r="P864" s="12"/>
    </row>
    <row r="865">
      <c r="A865" s="12"/>
      <c r="D865" s="95"/>
      <c r="E865" s="14"/>
      <c r="F865" s="96"/>
      <c r="H865" s="12"/>
      <c r="I865" s="12"/>
      <c r="J865" s="12"/>
      <c r="K865" s="12"/>
      <c r="L865" s="12"/>
      <c r="M865" s="12"/>
      <c r="N865" s="12"/>
      <c r="O865" s="12"/>
      <c r="P865" s="12"/>
    </row>
    <row r="866">
      <c r="A866" s="12"/>
      <c r="D866" s="95"/>
      <c r="E866" s="14"/>
      <c r="F866" s="96"/>
      <c r="H866" s="12"/>
      <c r="I866" s="12"/>
      <c r="J866" s="12"/>
      <c r="K866" s="12"/>
      <c r="L866" s="12"/>
      <c r="M866" s="12"/>
      <c r="N866" s="12"/>
      <c r="O866" s="12"/>
      <c r="P866" s="12"/>
    </row>
    <row r="867">
      <c r="A867" s="12"/>
      <c r="D867" s="95"/>
      <c r="E867" s="14"/>
      <c r="F867" s="96"/>
      <c r="H867" s="12"/>
      <c r="I867" s="12"/>
      <c r="J867" s="12"/>
      <c r="K867" s="12"/>
      <c r="L867" s="12"/>
      <c r="M867" s="12"/>
      <c r="N867" s="12"/>
      <c r="O867" s="12"/>
      <c r="P867" s="12"/>
    </row>
    <row r="868">
      <c r="A868" s="12"/>
      <c r="D868" s="95"/>
      <c r="E868" s="14"/>
      <c r="F868" s="96"/>
      <c r="H868" s="12"/>
      <c r="I868" s="12"/>
      <c r="J868" s="12"/>
      <c r="K868" s="12"/>
      <c r="L868" s="12"/>
      <c r="M868" s="12"/>
      <c r="N868" s="12"/>
      <c r="O868" s="12"/>
      <c r="P868" s="12"/>
    </row>
    <row r="869">
      <c r="A869" s="12"/>
      <c r="D869" s="95"/>
      <c r="E869" s="14"/>
      <c r="F869" s="96"/>
      <c r="H869" s="12"/>
      <c r="I869" s="12"/>
      <c r="J869" s="12"/>
      <c r="K869" s="12"/>
      <c r="L869" s="12"/>
      <c r="M869" s="12"/>
      <c r="N869" s="12"/>
      <c r="O869" s="12"/>
      <c r="P869" s="12"/>
    </row>
    <row r="870">
      <c r="A870" s="12"/>
      <c r="D870" s="95"/>
      <c r="E870" s="14"/>
      <c r="F870" s="96"/>
      <c r="H870" s="12"/>
      <c r="I870" s="12"/>
      <c r="J870" s="12"/>
      <c r="K870" s="12"/>
      <c r="L870" s="12"/>
      <c r="M870" s="12"/>
      <c r="N870" s="12"/>
      <c r="O870" s="12"/>
      <c r="P870" s="12"/>
    </row>
    <row r="871">
      <c r="A871" s="12"/>
      <c r="D871" s="95"/>
      <c r="E871" s="14"/>
      <c r="F871" s="96"/>
      <c r="H871" s="12"/>
      <c r="I871" s="12"/>
      <c r="J871" s="12"/>
      <c r="K871" s="12"/>
      <c r="L871" s="12"/>
      <c r="M871" s="12"/>
      <c r="N871" s="12"/>
      <c r="O871" s="12"/>
      <c r="P871" s="12"/>
    </row>
    <row r="872">
      <c r="A872" s="12"/>
      <c r="D872" s="95"/>
      <c r="E872" s="14"/>
      <c r="F872" s="96"/>
      <c r="H872" s="12"/>
      <c r="I872" s="12"/>
      <c r="J872" s="12"/>
      <c r="K872" s="12"/>
      <c r="L872" s="12"/>
      <c r="M872" s="12"/>
      <c r="N872" s="12"/>
      <c r="O872" s="12"/>
      <c r="P872" s="12"/>
    </row>
    <row r="873">
      <c r="A873" s="12"/>
      <c r="D873" s="95"/>
      <c r="E873" s="14"/>
      <c r="F873" s="96"/>
      <c r="H873" s="12"/>
      <c r="I873" s="12"/>
      <c r="J873" s="12"/>
      <c r="K873" s="12"/>
      <c r="L873" s="12"/>
      <c r="M873" s="12"/>
      <c r="N873" s="12"/>
      <c r="O873" s="12"/>
      <c r="P873" s="12"/>
    </row>
    <row r="874">
      <c r="A874" s="12"/>
      <c r="D874" s="95"/>
      <c r="E874" s="14"/>
      <c r="F874" s="96"/>
      <c r="H874" s="12"/>
      <c r="I874" s="12"/>
      <c r="J874" s="12"/>
      <c r="K874" s="12"/>
      <c r="L874" s="12"/>
      <c r="M874" s="12"/>
      <c r="N874" s="12"/>
      <c r="O874" s="12"/>
      <c r="P874" s="12"/>
    </row>
    <row r="875">
      <c r="A875" s="12"/>
      <c r="D875" s="95"/>
      <c r="E875" s="14"/>
      <c r="F875" s="96"/>
      <c r="H875" s="12"/>
      <c r="I875" s="12"/>
      <c r="J875" s="12"/>
      <c r="K875" s="12"/>
      <c r="L875" s="12"/>
      <c r="M875" s="12"/>
      <c r="N875" s="12"/>
      <c r="O875" s="12"/>
      <c r="P875" s="12"/>
    </row>
    <row r="876">
      <c r="A876" s="12"/>
      <c r="D876" s="95"/>
      <c r="E876" s="14"/>
      <c r="F876" s="96"/>
      <c r="H876" s="12"/>
      <c r="I876" s="12"/>
      <c r="J876" s="12"/>
      <c r="K876" s="12"/>
      <c r="L876" s="12"/>
      <c r="M876" s="12"/>
      <c r="N876" s="12"/>
      <c r="O876" s="12"/>
      <c r="P876" s="12"/>
    </row>
    <row r="877">
      <c r="A877" s="12"/>
      <c r="D877" s="95"/>
      <c r="E877" s="14"/>
      <c r="F877" s="96"/>
      <c r="H877" s="12"/>
      <c r="I877" s="12"/>
      <c r="J877" s="12"/>
      <c r="K877" s="12"/>
      <c r="L877" s="12"/>
      <c r="M877" s="12"/>
      <c r="N877" s="12"/>
      <c r="O877" s="12"/>
      <c r="P877" s="12"/>
    </row>
    <row r="878">
      <c r="A878" s="12"/>
      <c r="D878" s="95"/>
      <c r="E878" s="14"/>
      <c r="F878" s="96"/>
      <c r="H878" s="12"/>
      <c r="I878" s="12"/>
      <c r="J878" s="12"/>
      <c r="K878" s="12"/>
      <c r="L878" s="12"/>
      <c r="M878" s="12"/>
      <c r="N878" s="12"/>
      <c r="O878" s="12"/>
      <c r="P878" s="12"/>
    </row>
    <row r="879">
      <c r="A879" s="12"/>
      <c r="D879" s="95"/>
      <c r="E879" s="14"/>
      <c r="F879" s="96"/>
      <c r="H879" s="12"/>
      <c r="I879" s="12"/>
      <c r="J879" s="12"/>
      <c r="K879" s="12"/>
      <c r="L879" s="12"/>
      <c r="M879" s="12"/>
      <c r="N879" s="12"/>
      <c r="O879" s="12"/>
      <c r="P879" s="12"/>
    </row>
    <row r="880">
      <c r="A880" s="12"/>
      <c r="D880" s="95"/>
      <c r="E880" s="14"/>
      <c r="F880" s="96"/>
      <c r="H880" s="12"/>
      <c r="I880" s="12"/>
      <c r="J880" s="12"/>
      <c r="K880" s="12"/>
      <c r="L880" s="12"/>
      <c r="M880" s="12"/>
      <c r="N880" s="12"/>
      <c r="O880" s="12"/>
      <c r="P880" s="12"/>
    </row>
    <row r="881">
      <c r="A881" s="12"/>
      <c r="D881" s="95"/>
      <c r="E881" s="14"/>
      <c r="F881" s="96"/>
      <c r="H881" s="12"/>
      <c r="I881" s="12"/>
      <c r="J881" s="12"/>
      <c r="K881" s="12"/>
      <c r="L881" s="12"/>
      <c r="M881" s="12"/>
      <c r="N881" s="12"/>
      <c r="O881" s="12"/>
      <c r="P881" s="12"/>
    </row>
    <row r="882">
      <c r="A882" s="12"/>
      <c r="D882" s="95"/>
      <c r="E882" s="14"/>
      <c r="F882" s="96"/>
      <c r="H882" s="12"/>
      <c r="I882" s="12"/>
      <c r="J882" s="12"/>
      <c r="K882" s="12"/>
      <c r="L882" s="12"/>
      <c r="M882" s="12"/>
      <c r="N882" s="12"/>
      <c r="O882" s="12"/>
      <c r="P882" s="12"/>
    </row>
    <row r="883">
      <c r="A883" s="12"/>
      <c r="D883" s="95"/>
      <c r="E883" s="14"/>
      <c r="F883" s="96"/>
      <c r="H883" s="12"/>
      <c r="I883" s="12"/>
      <c r="J883" s="12"/>
      <c r="K883" s="12"/>
      <c r="L883" s="12"/>
      <c r="M883" s="12"/>
      <c r="N883" s="12"/>
      <c r="O883" s="12"/>
      <c r="P883" s="12"/>
    </row>
    <row r="884">
      <c r="A884" s="12"/>
      <c r="D884" s="95"/>
      <c r="E884" s="14"/>
      <c r="F884" s="96"/>
      <c r="H884" s="12"/>
      <c r="I884" s="12"/>
      <c r="J884" s="12"/>
      <c r="K884" s="12"/>
      <c r="L884" s="12"/>
      <c r="M884" s="12"/>
      <c r="N884" s="12"/>
      <c r="O884" s="12"/>
      <c r="P884" s="12"/>
    </row>
    <row r="885">
      <c r="A885" s="12"/>
      <c r="D885" s="95"/>
      <c r="E885" s="14"/>
      <c r="F885" s="96"/>
      <c r="H885" s="12"/>
      <c r="I885" s="12"/>
      <c r="J885" s="12"/>
      <c r="K885" s="12"/>
      <c r="L885" s="12"/>
      <c r="M885" s="12"/>
      <c r="N885" s="12"/>
      <c r="O885" s="12"/>
      <c r="P885" s="12"/>
    </row>
    <row r="886">
      <c r="A886" s="12"/>
      <c r="D886" s="95"/>
      <c r="E886" s="14"/>
      <c r="F886" s="96"/>
      <c r="H886" s="12"/>
      <c r="I886" s="12"/>
      <c r="J886" s="12"/>
      <c r="K886" s="12"/>
      <c r="L886" s="12"/>
      <c r="M886" s="12"/>
      <c r="N886" s="12"/>
      <c r="O886" s="12"/>
      <c r="P886" s="12"/>
    </row>
    <row r="887">
      <c r="A887" s="12"/>
      <c r="D887" s="95"/>
      <c r="E887" s="14"/>
      <c r="F887" s="96"/>
      <c r="H887" s="12"/>
      <c r="I887" s="12"/>
      <c r="J887" s="12"/>
      <c r="K887" s="12"/>
      <c r="L887" s="12"/>
      <c r="M887" s="12"/>
      <c r="N887" s="12"/>
      <c r="O887" s="12"/>
      <c r="P887" s="12"/>
    </row>
    <row r="888">
      <c r="A888" s="12"/>
      <c r="D888" s="95"/>
      <c r="E888" s="14"/>
      <c r="F888" s="96"/>
      <c r="H888" s="12"/>
      <c r="I888" s="12"/>
      <c r="J888" s="12"/>
      <c r="K888" s="12"/>
      <c r="L888" s="12"/>
      <c r="M888" s="12"/>
      <c r="N888" s="12"/>
      <c r="O888" s="12"/>
      <c r="P888" s="12"/>
    </row>
    <row r="889">
      <c r="A889" s="12"/>
      <c r="D889" s="95"/>
      <c r="E889" s="14"/>
      <c r="F889" s="96"/>
      <c r="H889" s="12"/>
      <c r="I889" s="12"/>
      <c r="J889" s="12"/>
      <c r="K889" s="12"/>
      <c r="L889" s="12"/>
      <c r="M889" s="12"/>
      <c r="N889" s="12"/>
      <c r="O889" s="12"/>
      <c r="P889" s="12"/>
    </row>
    <row r="890">
      <c r="A890" s="12"/>
      <c r="D890" s="95"/>
      <c r="E890" s="14"/>
      <c r="F890" s="96"/>
      <c r="H890" s="12"/>
      <c r="I890" s="12"/>
      <c r="J890" s="12"/>
      <c r="K890" s="12"/>
      <c r="L890" s="12"/>
      <c r="M890" s="12"/>
      <c r="N890" s="12"/>
      <c r="O890" s="12"/>
      <c r="P890" s="12"/>
    </row>
    <row r="891">
      <c r="A891" s="12"/>
      <c r="D891" s="95"/>
      <c r="E891" s="14"/>
      <c r="F891" s="96"/>
      <c r="H891" s="12"/>
      <c r="I891" s="12"/>
      <c r="J891" s="12"/>
      <c r="K891" s="12"/>
      <c r="L891" s="12"/>
      <c r="M891" s="12"/>
      <c r="N891" s="12"/>
      <c r="O891" s="12"/>
      <c r="P891" s="12"/>
    </row>
    <row r="892">
      <c r="A892" s="12"/>
      <c r="D892" s="95"/>
      <c r="E892" s="14"/>
      <c r="F892" s="96"/>
      <c r="H892" s="12"/>
      <c r="I892" s="12"/>
      <c r="J892" s="12"/>
      <c r="K892" s="12"/>
      <c r="L892" s="12"/>
      <c r="M892" s="12"/>
      <c r="N892" s="12"/>
      <c r="O892" s="12"/>
      <c r="P892" s="12"/>
    </row>
    <row r="893">
      <c r="A893" s="12"/>
      <c r="D893" s="95"/>
      <c r="E893" s="14"/>
      <c r="F893" s="96"/>
      <c r="H893" s="12"/>
      <c r="I893" s="12"/>
      <c r="J893" s="12"/>
      <c r="K893" s="12"/>
      <c r="L893" s="12"/>
      <c r="M893" s="12"/>
      <c r="N893" s="12"/>
      <c r="O893" s="12"/>
      <c r="P893" s="12"/>
    </row>
    <row r="894">
      <c r="A894" s="12"/>
      <c r="D894" s="95"/>
      <c r="E894" s="14"/>
      <c r="F894" s="96"/>
      <c r="H894" s="12"/>
      <c r="I894" s="12"/>
      <c r="J894" s="12"/>
      <c r="K894" s="12"/>
      <c r="L894" s="12"/>
      <c r="M894" s="12"/>
      <c r="N894" s="12"/>
      <c r="O894" s="12"/>
      <c r="P894" s="12"/>
    </row>
    <row r="895">
      <c r="A895" s="12"/>
      <c r="D895" s="95"/>
      <c r="E895" s="14"/>
      <c r="F895" s="96"/>
      <c r="H895" s="12"/>
      <c r="I895" s="12"/>
      <c r="J895" s="12"/>
      <c r="K895" s="12"/>
      <c r="L895" s="12"/>
      <c r="M895" s="12"/>
      <c r="N895" s="12"/>
      <c r="O895" s="12"/>
      <c r="P895" s="12"/>
    </row>
    <row r="896">
      <c r="A896" s="12"/>
      <c r="D896" s="95"/>
      <c r="E896" s="14"/>
      <c r="F896" s="96"/>
      <c r="H896" s="12"/>
      <c r="I896" s="12"/>
      <c r="J896" s="12"/>
      <c r="K896" s="12"/>
      <c r="L896" s="12"/>
      <c r="M896" s="12"/>
      <c r="N896" s="12"/>
      <c r="O896" s="12"/>
      <c r="P896" s="12"/>
    </row>
    <row r="897">
      <c r="A897" s="12"/>
      <c r="D897" s="95"/>
      <c r="E897" s="14"/>
      <c r="F897" s="96"/>
      <c r="H897" s="12"/>
      <c r="I897" s="12"/>
      <c r="J897" s="12"/>
      <c r="K897" s="12"/>
      <c r="L897" s="12"/>
      <c r="M897" s="12"/>
      <c r="N897" s="12"/>
      <c r="O897" s="12"/>
      <c r="P897" s="12"/>
    </row>
    <row r="898">
      <c r="A898" s="12"/>
      <c r="D898" s="95"/>
      <c r="E898" s="14"/>
      <c r="F898" s="96"/>
      <c r="H898" s="12"/>
      <c r="I898" s="12"/>
      <c r="J898" s="12"/>
      <c r="K898" s="12"/>
      <c r="L898" s="12"/>
      <c r="M898" s="12"/>
      <c r="N898" s="12"/>
      <c r="O898" s="12"/>
      <c r="P898" s="12"/>
    </row>
    <row r="899">
      <c r="A899" s="12"/>
      <c r="D899" s="95"/>
      <c r="E899" s="14"/>
      <c r="F899" s="96"/>
      <c r="H899" s="12"/>
      <c r="I899" s="12"/>
      <c r="J899" s="12"/>
      <c r="K899" s="12"/>
      <c r="L899" s="12"/>
      <c r="M899" s="12"/>
      <c r="N899" s="12"/>
      <c r="O899" s="12"/>
      <c r="P899" s="12"/>
    </row>
    <row r="900">
      <c r="A900" s="12"/>
      <c r="D900" s="95"/>
      <c r="E900" s="14"/>
      <c r="F900" s="96"/>
      <c r="H900" s="12"/>
      <c r="I900" s="12"/>
      <c r="J900" s="12"/>
      <c r="K900" s="12"/>
      <c r="L900" s="12"/>
      <c r="M900" s="12"/>
      <c r="N900" s="12"/>
      <c r="O900" s="12"/>
      <c r="P900" s="12"/>
    </row>
    <row r="901">
      <c r="A901" s="12"/>
      <c r="D901" s="95"/>
      <c r="E901" s="14"/>
      <c r="F901" s="96"/>
      <c r="H901" s="12"/>
      <c r="I901" s="12"/>
      <c r="J901" s="12"/>
      <c r="K901" s="12"/>
      <c r="L901" s="12"/>
      <c r="M901" s="12"/>
      <c r="N901" s="12"/>
      <c r="O901" s="12"/>
      <c r="P901" s="12"/>
    </row>
    <row r="902">
      <c r="A902" s="12"/>
      <c r="D902" s="95"/>
      <c r="E902" s="14"/>
      <c r="F902" s="96"/>
      <c r="H902" s="12"/>
      <c r="I902" s="12"/>
      <c r="J902" s="12"/>
      <c r="K902" s="12"/>
      <c r="L902" s="12"/>
      <c r="M902" s="12"/>
      <c r="N902" s="12"/>
      <c r="O902" s="12"/>
      <c r="P902" s="12"/>
    </row>
    <row r="903">
      <c r="A903" s="12"/>
      <c r="D903" s="95"/>
      <c r="E903" s="14"/>
      <c r="F903" s="96"/>
      <c r="H903" s="12"/>
      <c r="I903" s="12"/>
      <c r="J903" s="12"/>
      <c r="K903" s="12"/>
      <c r="L903" s="12"/>
      <c r="M903" s="12"/>
      <c r="N903" s="12"/>
      <c r="O903" s="12"/>
      <c r="P903" s="12"/>
    </row>
    <row r="904">
      <c r="A904" s="12"/>
      <c r="D904" s="95"/>
      <c r="E904" s="14"/>
      <c r="F904" s="96"/>
      <c r="H904" s="12"/>
      <c r="I904" s="12"/>
      <c r="J904" s="12"/>
      <c r="K904" s="12"/>
      <c r="L904" s="12"/>
      <c r="M904" s="12"/>
      <c r="N904" s="12"/>
      <c r="O904" s="12"/>
      <c r="P904" s="12"/>
    </row>
    <row r="905">
      <c r="A905" s="12"/>
      <c r="D905" s="95"/>
      <c r="E905" s="14"/>
      <c r="F905" s="96"/>
      <c r="H905" s="12"/>
      <c r="I905" s="12"/>
      <c r="J905" s="12"/>
      <c r="K905" s="12"/>
      <c r="L905" s="12"/>
      <c r="M905" s="12"/>
      <c r="N905" s="12"/>
      <c r="O905" s="12"/>
      <c r="P905" s="12"/>
    </row>
    <row r="906">
      <c r="A906" s="12"/>
      <c r="D906" s="95"/>
      <c r="E906" s="14"/>
      <c r="F906" s="96"/>
      <c r="H906" s="12"/>
      <c r="I906" s="12"/>
      <c r="J906" s="12"/>
      <c r="K906" s="12"/>
      <c r="L906" s="12"/>
      <c r="M906" s="12"/>
      <c r="N906" s="12"/>
      <c r="O906" s="12"/>
      <c r="P906" s="12"/>
    </row>
    <row r="907">
      <c r="A907" s="12"/>
      <c r="D907" s="95"/>
      <c r="E907" s="14"/>
      <c r="F907" s="96"/>
      <c r="H907" s="12"/>
      <c r="I907" s="12"/>
      <c r="J907" s="12"/>
      <c r="K907" s="12"/>
      <c r="L907" s="12"/>
      <c r="M907" s="12"/>
      <c r="N907" s="12"/>
      <c r="O907" s="12"/>
      <c r="P907" s="12"/>
    </row>
    <row r="908">
      <c r="A908" s="12"/>
      <c r="D908" s="95"/>
      <c r="E908" s="14"/>
      <c r="F908" s="96"/>
      <c r="H908" s="12"/>
      <c r="I908" s="12"/>
      <c r="J908" s="12"/>
      <c r="K908" s="12"/>
      <c r="L908" s="12"/>
      <c r="M908" s="12"/>
      <c r="N908" s="12"/>
      <c r="O908" s="12"/>
      <c r="P908" s="12"/>
    </row>
    <row r="909">
      <c r="A909" s="12"/>
      <c r="D909" s="95"/>
      <c r="E909" s="14"/>
      <c r="F909" s="96"/>
      <c r="H909" s="12"/>
      <c r="I909" s="12"/>
      <c r="J909" s="12"/>
      <c r="K909" s="12"/>
      <c r="L909" s="12"/>
      <c r="M909" s="12"/>
      <c r="N909" s="12"/>
      <c r="O909" s="12"/>
      <c r="P909" s="12"/>
    </row>
    <row r="910">
      <c r="A910" s="12"/>
      <c r="D910" s="95"/>
      <c r="E910" s="14"/>
      <c r="F910" s="96"/>
      <c r="H910" s="12"/>
      <c r="I910" s="12"/>
      <c r="J910" s="12"/>
      <c r="K910" s="12"/>
      <c r="L910" s="12"/>
      <c r="M910" s="12"/>
      <c r="N910" s="12"/>
      <c r="O910" s="12"/>
      <c r="P910" s="12"/>
    </row>
    <row r="911">
      <c r="A911" s="12"/>
      <c r="D911" s="95"/>
      <c r="E911" s="14"/>
      <c r="F911" s="96"/>
      <c r="H911" s="12"/>
      <c r="I911" s="12"/>
      <c r="J911" s="12"/>
      <c r="K911" s="12"/>
      <c r="L911" s="12"/>
      <c r="M911" s="12"/>
      <c r="N911" s="12"/>
      <c r="O911" s="12"/>
      <c r="P911" s="12"/>
    </row>
    <row r="912">
      <c r="A912" s="12"/>
      <c r="D912" s="95"/>
      <c r="E912" s="14"/>
      <c r="F912" s="96"/>
      <c r="H912" s="12"/>
      <c r="I912" s="12"/>
      <c r="J912" s="12"/>
      <c r="K912" s="12"/>
      <c r="L912" s="12"/>
      <c r="M912" s="12"/>
      <c r="N912" s="12"/>
      <c r="O912" s="12"/>
      <c r="P912" s="12"/>
    </row>
    <row r="913">
      <c r="A913" s="12"/>
      <c r="D913" s="95"/>
      <c r="E913" s="14"/>
      <c r="F913" s="96"/>
      <c r="H913" s="12"/>
      <c r="I913" s="12"/>
      <c r="J913" s="12"/>
      <c r="K913" s="12"/>
      <c r="L913" s="12"/>
      <c r="M913" s="12"/>
      <c r="N913" s="12"/>
      <c r="O913" s="12"/>
      <c r="P913" s="12"/>
    </row>
    <row r="914">
      <c r="A914" s="12"/>
      <c r="D914" s="95"/>
      <c r="E914" s="14"/>
      <c r="F914" s="96"/>
      <c r="H914" s="12"/>
      <c r="I914" s="12"/>
      <c r="J914" s="12"/>
      <c r="K914" s="12"/>
      <c r="L914" s="12"/>
      <c r="M914" s="12"/>
      <c r="N914" s="12"/>
      <c r="O914" s="12"/>
      <c r="P914" s="12"/>
    </row>
    <row r="915">
      <c r="A915" s="12"/>
      <c r="D915" s="95"/>
      <c r="E915" s="14"/>
      <c r="F915" s="96"/>
      <c r="H915" s="12"/>
      <c r="I915" s="12"/>
      <c r="J915" s="12"/>
      <c r="K915" s="12"/>
      <c r="L915" s="12"/>
      <c r="M915" s="12"/>
      <c r="N915" s="12"/>
      <c r="O915" s="12"/>
      <c r="P915" s="12"/>
    </row>
    <row r="916">
      <c r="A916" s="12"/>
      <c r="D916" s="95"/>
      <c r="E916" s="14"/>
      <c r="F916" s="96"/>
      <c r="H916" s="12"/>
      <c r="I916" s="12"/>
      <c r="J916" s="12"/>
      <c r="K916" s="12"/>
      <c r="L916" s="12"/>
      <c r="M916" s="12"/>
      <c r="N916" s="12"/>
      <c r="O916" s="12"/>
      <c r="P916" s="12"/>
    </row>
    <row r="917">
      <c r="A917" s="12"/>
      <c r="D917" s="95"/>
      <c r="E917" s="14"/>
      <c r="F917" s="96"/>
      <c r="H917" s="12"/>
      <c r="I917" s="12"/>
      <c r="J917" s="12"/>
      <c r="K917" s="12"/>
      <c r="L917" s="12"/>
      <c r="M917" s="12"/>
      <c r="N917" s="12"/>
      <c r="O917" s="12"/>
      <c r="P917" s="12"/>
    </row>
    <row r="918">
      <c r="A918" s="12"/>
      <c r="D918" s="95"/>
      <c r="E918" s="14"/>
      <c r="F918" s="96"/>
      <c r="H918" s="12"/>
      <c r="I918" s="12"/>
      <c r="J918" s="12"/>
      <c r="K918" s="12"/>
      <c r="L918" s="12"/>
      <c r="M918" s="12"/>
      <c r="N918" s="12"/>
      <c r="O918" s="12"/>
      <c r="P918" s="12"/>
    </row>
    <row r="919">
      <c r="A919" s="12"/>
      <c r="D919" s="95"/>
      <c r="E919" s="14"/>
      <c r="F919" s="96"/>
      <c r="H919" s="12"/>
      <c r="I919" s="12"/>
      <c r="J919" s="12"/>
      <c r="K919" s="12"/>
      <c r="L919" s="12"/>
      <c r="M919" s="12"/>
      <c r="N919" s="12"/>
      <c r="O919" s="12"/>
      <c r="P919" s="12"/>
    </row>
    <row r="920">
      <c r="A920" s="12"/>
      <c r="D920" s="95"/>
      <c r="E920" s="14"/>
      <c r="F920" s="96"/>
      <c r="H920" s="12"/>
      <c r="I920" s="12"/>
      <c r="J920" s="12"/>
      <c r="K920" s="12"/>
      <c r="L920" s="12"/>
      <c r="M920" s="12"/>
      <c r="N920" s="12"/>
      <c r="O920" s="12"/>
      <c r="P920" s="12"/>
    </row>
    <row r="921">
      <c r="A921" s="12"/>
      <c r="D921" s="95"/>
      <c r="E921" s="14"/>
      <c r="F921" s="96"/>
      <c r="H921" s="12"/>
      <c r="I921" s="12"/>
      <c r="J921" s="12"/>
      <c r="K921" s="12"/>
      <c r="L921" s="12"/>
      <c r="M921" s="12"/>
      <c r="N921" s="12"/>
      <c r="O921" s="12"/>
      <c r="P921" s="12"/>
    </row>
    <row r="922">
      <c r="A922" s="12"/>
      <c r="D922" s="95"/>
      <c r="E922" s="14"/>
      <c r="F922" s="96"/>
      <c r="H922" s="12"/>
      <c r="I922" s="12"/>
      <c r="J922" s="12"/>
      <c r="K922" s="12"/>
      <c r="L922" s="12"/>
      <c r="M922" s="12"/>
      <c r="N922" s="12"/>
      <c r="O922" s="12"/>
      <c r="P922" s="12"/>
    </row>
    <row r="923">
      <c r="A923" s="12"/>
      <c r="D923" s="95"/>
      <c r="E923" s="14"/>
      <c r="F923" s="96"/>
      <c r="H923" s="12"/>
      <c r="I923" s="12"/>
      <c r="J923" s="12"/>
      <c r="K923" s="12"/>
      <c r="L923" s="12"/>
      <c r="M923" s="12"/>
      <c r="N923" s="12"/>
      <c r="O923" s="12"/>
      <c r="P923" s="12"/>
    </row>
    <row r="924">
      <c r="A924" s="12"/>
      <c r="D924" s="95"/>
      <c r="E924" s="14"/>
      <c r="F924" s="96"/>
      <c r="H924" s="12"/>
      <c r="I924" s="12"/>
      <c r="J924" s="12"/>
      <c r="K924" s="12"/>
      <c r="L924" s="12"/>
      <c r="M924" s="12"/>
      <c r="N924" s="12"/>
      <c r="O924" s="12"/>
      <c r="P924" s="12"/>
    </row>
    <row r="925">
      <c r="A925" s="12"/>
      <c r="D925" s="95"/>
      <c r="E925" s="14"/>
      <c r="F925" s="96"/>
      <c r="H925" s="12"/>
      <c r="I925" s="12"/>
      <c r="J925" s="12"/>
      <c r="K925" s="12"/>
      <c r="L925" s="12"/>
      <c r="M925" s="12"/>
      <c r="N925" s="12"/>
      <c r="O925" s="12"/>
      <c r="P925" s="12"/>
    </row>
    <row r="926">
      <c r="A926" s="12"/>
      <c r="D926" s="95"/>
      <c r="E926" s="14"/>
      <c r="F926" s="96"/>
      <c r="H926" s="12"/>
      <c r="I926" s="12"/>
      <c r="J926" s="12"/>
      <c r="K926" s="12"/>
      <c r="L926" s="12"/>
      <c r="M926" s="12"/>
      <c r="N926" s="12"/>
      <c r="O926" s="12"/>
      <c r="P926" s="12"/>
    </row>
    <row r="927">
      <c r="A927" s="12"/>
      <c r="D927" s="95"/>
      <c r="E927" s="14"/>
      <c r="F927" s="96"/>
      <c r="H927" s="12"/>
      <c r="I927" s="12"/>
      <c r="J927" s="12"/>
      <c r="K927" s="12"/>
      <c r="L927" s="12"/>
      <c r="M927" s="12"/>
      <c r="N927" s="12"/>
      <c r="O927" s="12"/>
      <c r="P927" s="12"/>
    </row>
    <row r="928">
      <c r="A928" s="12"/>
      <c r="D928" s="95"/>
      <c r="E928" s="14"/>
      <c r="F928" s="96"/>
      <c r="H928" s="12"/>
      <c r="I928" s="12"/>
      <c r="J928" s="12"/>
      <c r="K928" s="12"/>
      <c r="L928" s="12"/>
      <c r="M928" s="12"/>
      <c r="N928" s="12"/>
      <c r="O928" s="12"/>
      <c r="P928" s="12"/>
    </row>
    <row r="929">
      <c r="A929" s="12"/>
      <c r="D929" s="95"/>
      <c r="E929" s="14"/>
      <c r="F929" s="96"/>
      <c r="H929" s="12"/>
      <c r="I929" s="12"/>
      <c r="J929" s="12"/>
      <c r="K929" s="12"/>
      <c r="L929" s="12"/>
      <c r="M929" s="12"/>
      <c r="N929" s="12"/>
      <c r="O929" s="12"/>
      <c r="P929" s="12"/>
    </row>
    <row r="930">
      <c r="A930" s="12"/>
      <c r="D930" s="95"/>
      <c r="E930" s="14"/>
      <c r="F930" s="96"/>
      <c r="H930" s="12"/>
      <c r="I930" s="12"/>
      <c r="J930" s="12"/>
      <c r="K930" s="12"/>
      <c r="L930" s="12"/>
      <c r="M930" s="12"/>
      <c r="N930" s="12"/>
      <c r="O930" s="12"/>
      <c r="P930" s="12"/>
    </row>
    <row r="931">
      <c r="A931" s="12"/>
      <c r="D931" s="95"/>
      <c r="E931" s="14"/>
      <c r="F931" s="96"/>
      <c r="H931" s="12"/>
      <c r="I931" s="12"/>
      <c r="J931" s="12"/>
      <c r="K931" s="12"/>
      <c r="L931" s="12"/>
      <c r="M931" s="12"/>
      <c r="N931" s="12"/>
      <c r="O931" s="12"/>
      <c r="P931" s="12"/>
    </row>
    <row r="932">
      <c r="A932" s="12"/>
      <c r="D932" s="95"/>
      <c r="E932" s="14"/>
      <c r="F932" s="96"/>
      <c r="H932" s="12"/>
      <c r="I932" s="12"/>
      <c r="J932" s="12"/>
      <c r="K932" s="12"/>
      <c r="L932" s="12"/>
      <c r="M932" s="12"/>
      <c r="N932" s="12"/>
      <c r="O932" s="12"/>
      <c r="P932" s="12"/>
    </row>
    <row r="933">
      <c r="A933" s="12"/>
      <c r="D933" s="95"/>
      <c r="E933" s="14"/>
      <c r="F933" s="96"/>
      <c r="H933" s="12"/>
      <c r="I933" s="12"/>
      <c r="J933" s="12"/>
      <c r="K933" s="12"/>
      <c r="L933" s="12"/>
      <c r="M933" s="12"/>
      <c r="N933" s="12"/>
      <c r="O933" s="12"/>
      <c r="P933" s="12"/>
    </row>
    <row r="934">
      <c r="A934" s="12"/>
      <c r="D934" s="95"/>
      <c r="E934" s="14"/>
      <c r="F934" s="96"/>
      <c r="H934" s="12"/>
      <c r="I934" s="12"/>
      <c r="J934" s="12"/>
      <c r="K934" s="12"/>
      <c r="L934" s="12"/>
      <c r="M934" s="12"/>
      <c r="N934" s="12"/>
      <c r="O934" s="12"/>
      <c r="P934" s="12"/>
    </row>
    <row r="935">
      <c r="A935" s="12"/>
      <c r="D935" s="95"/>
      <c r="E935" s="14"/>
      <c r="F935" s="96"/>
      <c r="H935" s="12"/>
      <c r="I935" s="12"/>
      <c r="J935" s="12"/>
      <c r="K935" s="12"/>
      <c r="L935" s="12"/>
      <c r="M935" s="12"/>
      <c r="N935" s="12"/>
      <c r="O935" s="12"/>
      <c r="P935" s="12"/>
    </row>
    <row r="936">
      <c r="A936" s="12"/>
      <c r="D936" s="95"/>
      <c r="E936" s="14"/>
      <c r="F936" s="96"/>
      <c r="H936" s="12"/>
      <c r="I936" s="12"/>
      <c r="J936" s="12"/>
      <c r="K936" s="12"/>
      <c r="L936" s="12"/>
      <c r="M936" s="12"/>
      <c r="N936" s="12"/>
      <c r="O936" s="12"/>
      <c r="P936" s="12"/>
    </row>
    <row r="937">
      <c r="A937" s="12"/>
      <c r="D937" s="95"/>
      <c r="E937" s="14"/>
      <c r="F937" s="96"/>
      <c r="H937" s="12"/>
      <c r="I937" s="12"/>
      <c r="J937" s="12"/>
      <c r="K937" s="12"/>
      <c r="L937" s="12"/>
      <c r="M937" s="12"/>
      <c r="N937" s="12"/>
      <c r="O937" s="12"/>
      <c r="P937" s="12"/>
    </row>
    <row r="938">
      <c r="A938" s="12"/>
      <c r="D938" s="95"/>
      <c r="E938" s="14"/>
      <c r="F938" s="96"/>
      <c r="H938" s="12"/>
      <c r="I938" s="12"/>
      <c r="J938" s="12"/>
      <c r="K938" s="12"/>
      <c r="L938" s="12"/>
      <c r="M938" s="12"/>
      <c r="N938" s="12"/>
      <c r="O938" s="12"/>
      <c r="P938" s="12"/>
    </row>
    <row r="939">
      <c r="A939" s="12"/>
      <c r="D939" s="95"/>
      <c r="E939" s="14"/>
      <c r="F939" s="96"/>
      <c r="H939" s="12"/>
      <c r="I939" s="12"/>
      <c r="J939" s="12"/>
      <c r="K939" s="12"/>
      <c r="L939" s="12"/>
      <c r="M939" s="12"/>
      <c r="N939" s="12"/>
      <c r="O939" s="12"/>
      <c r="P939" s="12"/>
    </row>
    <row r="940">
      <c r="A940" s="12"/>
      <c r="D940" s="95"/>
      <c r="E940" s="14"/>
      <c r="F940" s="96"/>
      <c r="H940" s="12"/>
      <c r="I940" s="12"/>
      <c r="J940" s="12"/>
      <c r="K940" s="12"/>
      <c r="L940" s="12"/>
      <c r="M940" s="12"/>
      <c r="N940" s="12"/>
      <c r="O940" s="12"/>
      <c r="P940" s="12"/>
    </row>
    <row r="941">
      <c r="A941" s="12"/>
      <c r="D941" s="95"/>
      <c r="E941" s="14"/>
      <c r="F941" s="96"/>
      <c r="H941" s="12"/>
      <c r="I941" s="12"/>
      <c r="J941" s="12"/>
      <c r="K941" s="12"/>
      <c r="L941" s="12"/>
      <c r="M941" s="12"/>
      <c r="N941" s="12"/>
      <c r="O941" s="12"/>
      <c r="P941" s="12"/>
    </row>
    <row r="942">
      <c r="A942" s="12"/>
      <c r="D942" s="95"/>
      <c r="E942" s="14"/>
      <c r="F942" s="96"/>
      <c r="H942" s="12"/>
      <c r="I942" s="12"/>
      <c r="J942" s="12"/>
      <c r="K942" s="12"/>
      <c r="L942" s="12"/>
      <c r="M942" s="12"/>
      <c r="N942" s="12"/>
      <c r="O942" s="12"/>
      <c r="P942" s="12"/>
    </row>
    <row r="943">
      <c r="A943" s="12"/>
      <c r="D943" s="95"/>
      <c r="E943" s="14"/>
      <c r="F943" s="96"/>
      <c r="H943" s="12"/>
      <c r="I943" s="12"/>
      <c r="J943" s="12"/>
      <c r="K943" s="12"/>
      <c r="L943" s="12"/>
      <c r="M943" s="12"/>
      <c r="N943" s="12"/>
      <c r="O943" s="12"/>
      <c r="P943" s="12"/>
    </row>
    <row r="944">
      <c r="A944" s="12"/>
      <c r="D944" s="95"/>
      <c r="E944" s="14"/>
      <c r="F944" s="96"/>
      <c r="H944" s="12"/>
      <c r="I944" s="12"/>
      <c r="J944" s="12"/>
      <c r="K944" s="12"/>
      <c r="L944" s="12"/>
      <c r="M944" s="12"/>
      <c r="N944" s="12"/>
      <c r="O944" s="12"/>
      <c r="P944" s="12"/>
    </row>
    <row r="945">
      <c r="A945" s="12"/>
      <c r="D945" s="95"/>
      <c r="E945" s="14"/>
      <c r="F945" s="96"/>
      <c r="H945" s="12"/>
      <c r="I945" s="12"/>
      <c r="J945" s="12"/>
      <c r="K945" s="12"/>
      <c r="L945" s="12"/>
      <c r="M945" s="12"/>
      <c r="N945" s="12"/>
      <c r="O945" s="12"/>
      <c r="P945" s="12"/>
    </row>
    <row r="946">
      <c r="A946" s="12"/>
      <c r="D946" s="95"/>
      <c r="E946" s="14"/>
      <c r="F946" s="96"/>
      <c r="H946" s="12"/>
      <c r="I946" s="12"/>
      <c r="J946" s="12"/>
      <c r="K946" s="12"/>
      <c r="L946" s="12"/>
      <c r="M946" s="12"/>
      <c r="N946" s="12"/>
      <c r="O946" s="12"/>
      <c r="P946" s="12"/>
    </row>
    <row r="947">
      <c r="A947" s="12"/>
      <c r="D947" s="95"/>
      <c r="E947" s="14"/>
      <c r="F947" s="96"/>
      <c r="H947" s="12"/>
      <c r="I947" s="12"/>
      <c r="J947" s="12"/>
      <c r="K947" s="12"/>
      <c r="L947" s="12"/>
      <c r="M947" s="12"/>
      <c r="N947" s="12"/>
      <c r="O947" s="12"/>
      <c r="P947" s="12"/>
    </row>
    <row r="948">
      <c r="A948" s="12"/>
      <c r="D948" s="95"/>
      <c r="E948" s="14"/>
      <c r="F948" s="96"/>
      <c r="H948" s="12"/>
      <c r="I948" s="12"/>
      <c r="J948" s="12"/>
      <c r="K948" s="12"/>
      <c r="L948" s="12"/>
      <c r="M948" s="12"/>
      <c r="N948" s="12"/>
      <c r="O948" s="12"/>
      <c r="P948" s="12"/>
    </row>
    <row r="949">
      <c r="A949" s="12"/>
      <c r="D949" s="95"/>
      <c r="E949" s="14"/>
      <c r="F949" s="96"/>
      <c r="H949" s="12"/>
      <c r="I949" s="12"/>
      <c r="J949" s="12"/>
      <c r="K949" s="12"/>
      <c r="L949" s="12"/>
      <c r="M949" s="12"/>
      <c r="N949" s="12"/>
      <c r="O949" s="12"/>
      <c r="P949" s="12"/>
    </row>
    <row r="950">
      <c r="A950" s="12"/>
      <c r="D950" s="95"/>
      <c r="E950" s="14"/>
      <c r="F950" s="96"/>
      <c r="H950" s="12"/>
      <c r="I950" s="12"/>
      <c r="J950" s="12"/>
      <c r="K950" s="12"/>
      <c r="L950" s="12"/>
      <c r="M950" s="12"/>
      <c r="N950" s="12"/>
      <c r="O950" s="12"/>
      <c r="P950" s="12"/>
    </row>
    <row r="951">
      <c r="A951" s="12"/>
      <c r="D951" s="95"/>
      <c r="E951" s="14"/>
      <c r="F951" s="96"/>
      <c r="H951" s="12"/>
      <c r="I951" s="12"/>
      <c r="J951" s="12"/>
      <c r="K951" s="12"/>
      <c r="L951" s="12"/>
      <c r="M951" s="12"/>
      <c r="N951" s="12"/>
      <c r="O951" s="12"/>
      <c r="P951" s="12"/>
    </row>
    <row r="952">
      <c r="A952" s="12"/>
      <c r="D952" s="95"/>
      <c r="E952" s="14"/>
      <c r="F952" s="96"/>
      <c r="H952" s="12"/>
      <c r="I952" s="12"/>
      <c r="J952" s="12"/>
      <c r="K952" s="12"/>
      <c r="L952" s="12"/>
      <c r="M952" s="12"/>
      <c r="N952" s="12"/>
      <c r="O952" s="12"/>
      <c r="P952" s="12"/>
    </row>
    <row r="953">
      <c r="A953" s="12"/>
      <c r="D953" s="95"/>
      <c r="E953" s="14"/>
      <c r="F953" s="96"/>
      <c r="H953" s="12"/>
      <c r="I953" s="12"/>
      <c r="J953" s="12"/>
      <c r="K953" s="12"/>
      <c r="L953" s="12"/>
      <c r="M953" s="12"/>
      <c r="N953" s="12"/>
      <c r="O953" s="12"/>
      <c r="P953" s="12"/>
    </row>
    <row r="954">
      <c r="A954" s="12"/>
      <c r="D954" s="95"/>
      <c r="E954" s="14"/>
      <c r="F954" s="96"/>
      <c r="H954" s="12"/>
      <c r="I954" s="12"/>
      <c r="J954" s="12"/>
      <c r="K954" s="12"/>
      <c r="L954" s="12"/>
      <c r="M954" s="12"/>
      <c r="N954" s="12"/>
      <c r="O954" s="12"/>
      <c r="P954" s="12"/>
    </row>
    <row r="955">
      <c r="A955" s="12"/>
      <c r="D955" s="95"/>
      <c r="E955" s="14"/>
      <c r="F955" s="96"/>
      <c r="H955" s="12"/>
      <c r="I955" s="12"/>
      <c r="J955" s="12"/>
      <c r="K955" s="12"/>
      <c r="L955" s="12"/>
      <c r="M955" s="12"/>
      <c r="N955" s="12"/>
      <c r="O955" s="12"/>
      <c r="P955" s="12"/>
    </row>
    <row r="956">
      <c r="A956" s="12"/>
      <c r="D956" s="95"/>
      <c r="E956" s="14"/>
      <c r="F956" s="96"/>
      <c r="H956" s="12"/>
      <c r="I956" s="12"/>
      <c r="J956" s="12"/>
      <c r="K956" s="12"/>
      <c r="L956" s="12"/>
      <c r="M956" s="12"/>
      <c r="N956" s="12"/>
      <c r="O956" s="12"/>
      <c r="P956" s="12"/>
    </row>
    <row r="957">
      <c r="A957" s="12"/>
      <c r="D957" s="95"/>
      <c r="E957" s="14"/>
      <c r="F957" s="96"/>
      <c r="H957" s="12"/>
      <c r="I957" s="12"/>
      <c r="J957" s="12"/>
      <c r="K957" s="12"/>
      <c r="L957" s="12"/>
      <c r="M957" s="12"/>
      <c r="N957" s="12"/>
      <c r="O957" s="12"/>
      <c r="P957" s="12"/>
    </row>
    <row r="958">
      <c r="A958" s="12"/>
      <c r="D958" s="95"/>
      <c r="E958" s="14"/>
      <c r="F958" s="96"/>
      <c r="H958" s="12"/>
      <c r="I958" s="12"/>
      <c r="J958" s="12"/>
      <c r="K958" s="12"/>
      <c r="L958" s="12"/>
      <c r="M958" s="12"/>
      <c r="N958" s="12"/>
      <c r="O958" s="12"/>
      <c r="P958" s="12"/>
    </row>
    <row r="959">
      <c r="A959" s="12"/>
      <c r="D959" s="95"/>
      <c r="E959" s="14"/>
      <c r="F959" s="96"/>
      <c r="H959" s="12"/>
      <c r="I959" s="12"/>
      <c r="J959" s="12"/>
      <c r="K959" s="12"/>
      <c r="L959" s="12"/>
      <c r="M959" s="12"/>
      <c r="N959" s="12"/>
      <c r="O959" s="12"/>
      <c r="P959" s="12"/>
    </row>
    <row r="960">
      <c r="A960" s="12"/>
      <c r="D960" s="95"/>
      <c r="E960" s="14"/>
      <c r="F960" s="96"/>
      <c r="H960" s="12"/>
      <c r="I960" s="12"/>
      <c r="J960" s="12"/>
      <c r="K960" s="12"/>
      <c r="L960" s="12"/>
      <c r="M960" s="12"/>
      <c r="N960" s="12"/>
      <c r="O960" s="12"/>
      <c r="P960" s="12"/>
    </row>
    <row r="961">
      <c r="A961" s="12"/>
      <c r="D961" s="95"/>
      <c r="E961" s="14"/>
      <c r="F961" s="96"/>
      <c r="H961" s="12"/>
      <c r="I961" s="12"/>
      <c r="J961" s="12"/>
      <c r="K961" s="12"/>
      <c r="L961" s="12"/>
      <c r="M961" s="12"/>
      <c r="N961" s="12"/>
      <c r="O961" s="12"/>
      <c r="P961" s="12"/>
    </row>
    <row r="962">
      <c r="A962" s="12"/>
      <c r="D962" s="95"/>
      <c r="E962" s="14"/>
      <c r="F962" s="96"/>
      <c r="H962" s="12"/>
      <c r="I962" s="12"/>
      <c r="J962" s="12"/>
      <c r="K962" s="12"/>
      <c r="L962" s="12"/>
      <c r="M962" s="12"/>
      <c r="N962" s="12"/>
      <c r="O962" s="12"/>
      <c r="P962" s="12"/>
    </row>
    <row r="963">
      <c r="A963" s="12"/>
      <c r="D963" s="95"/>
      <c r="E963" s="14"/>
      <c r="F963" s="96"/>
      <c r="H963" s="12"/>
      <c r="I963" s="12"/>
      <c r="J963" s="12"/>
      <c r="K963" s="12"/>
      <c r="L963" s="12"/>
      <c r="M963" s="12"/>
      <c r="N963" s="12"/>
      <c r="O963" s="12"/>
      <c r="P963" s="12"/>
    </row>
    <row r="964">
      <c r="A964" s="12"/>
      <c r="D964" s="95"/>
      <c r="E964" s="14"/>
      <c r="F964" s="96"/>
      <c r="H964" s="12"/>
      <c r="I964" s="12"/>
      <c r="J964" s="12"/>
      <c r="K964" s="12"/>
      <c r="L964" s="12"/>
      <c r="M964" s="12"/>
      <c r="N964" s="12"/>
      <c r="O964" s="12"/>
      <c r="P964" s="12"/>
    </row>
    <row r="965">
      <c r="A965" s="12"/>
      <c r="D965" s="95"/>
      <c r="E965" s="14"/>
      <c r="F965" s="96"/>
      <c r="H965" s="12"/>
      <c r="I965" s="12"/>
      <c r="J965" s="12"/>
      <c r="K965" s="12"/>
      <c r="L965" s="12"/>
      <c r="M965" s="12"/>
      <c r="N965" s="12"/>
      <c r="O965" s="12"/>
      <c r="P965" s="12"/>
    </row>
    <row r="966">
      <c r="A966" s="12"/>
      <c r="D966" s="95"/>
      <c r="E966" s="14"/>
      <c r="F966" s="96"/>
      <c r="H966" s="12"/>
      <c r="I966" s="12"/>
      <c r="J966" s="12"/>
      <c r="K966" s="12"/>
      <c r="L966" s="12"/>
      <c r="M966" s="12"/>
      <c r="N966" s="12"/>
      <c r="O966" s="12"/>
      <c r="P966" s="12"/>
    </row>
    <row r="967">
      <c r="A967" s="12"/>
      <c r="D967" s="95"/>
      <c r="E967" s="14"/>
      <c r="F967" s="96"/>
      <c r="H967" s="12"/>
      <c r="I967" s="12"/>
      <c r="J967" s="12"/>
      <c r="K967" s="12"/>
      <c r="L967" s="12"/>
      <c r="M967" s="12"/>
      <c r="N967" s="12"/>
      <c r="O967" s="12"/>
      <c r="P967" s="12"/>
    </row>
    <row r="968">
      <c r="A968" s="12"/>
      <c r="D968" s="95"/>
      <c r="E968" s="14"/>
      <c r="F968" s="96"/>
      <c r="H968" s="12"/>
      <c r="I968" s="12"/>
      <c r="J968" s="12"/>
      <c r="K968" s="12"/>
      <c r="L968" s="12"/>
      <c r="M968" s="12"/>
      <c r="N968" s="12"/>
      <c r="O968" s="12"/>
      <c r="P968" s="12"/>
    </row>
    <row r="969">
      <c r="A969" s="12"/>
      <c r="D969" s="95"/>
      <c r="E969" s="14"/>
      <c r="F969" s="96"/>
      <c r="H969" s="12"/>
      <c r="I969" s="12"/>
      <c r="J969" s="12"/>
      <c r="K969" s="12"/>
      <c r="L969" s="12"/>
      <c r="M969" s="12"/>
      <c r="N969" s="12"/>
      <c r="O969" s="12"/>
      <c r="P969" s="12"/>
    </row>
    <row r="970">
      <c r="A970" s="12"/>
      <c r="D970" s="95"/>
      <c r="E970" s="14"/>
      <c r="F970" s="96"/>
      <c r="H970" s="12"/>
      <c r="I970" s="12"/>
      <c r="J970" s="12"/>
      <c r="K970" s="12"/>
      <c r="L970" s="12"/>
      <c r="M970" s="12"/>
      <c r="N970" s="12"/>
      <c r="O970" s="12"/>
      <c r="P970" s="12"/>
    </row>
    <row r="971">
      <c r="A971" s="12"/>
      <c r="D971" s="95"/>
      <c r="E971" s="14"/>
      <c r="F971" s="96"/>
      <c r="H971" s="12"/>
      <c r="I971" s="12"/>
      <c r="J971" s="12"/>
      <c r="K971" s="12"/>
      <c r="L971" s="12"/>
      <c r="M971" s="12"/>
      <c r="N971" s="12"/>
      <c r="O971" s="12"/>
      <c r="P971" s="12"/>
    </row>
    <row r="972">
      <c r="A972" s="12"/>
      <c r="D972" s="95"/>
      <c r="E972" s="14"/>
      <c r="F972" s="96"/>
      <c r="H972" s="12"/>
      <c r="I972" s="12"/>
      <c r="J972" s="12"/>
      <c r="K972" s="12"/>
      <c r="L972" s="12"/>
      <c r="M972" s="12"/>
      <c r="N972" s="12"/>
      <c r="O972" s="12"/>
      <c r="P972" s="12"/>
    </row>
    <row r="973">
      <c r="A973" s="12"/>
      <c r="D973" s="95"/>
      <c r="E973" s="14"/>
      <c r="F973" s="96"/>
      <c r="H973" s="12"/>
      <c r="I973" s="12"/>
      <c r="J973" s="12"/>
      <c r="K973" s="12"/>
      <c r="L973" s="12"/>
      <c r="M973" s="12"/>
      <c r="N973" s="12"/>
      <c r="O973" s="12"/>
      <c r="P973" s="12"/>
    </row>
    <row r="974">
      <c r="A974" s="12"/>
      <c r="D974" s="95"/>
      <c r="E974" s="14"/>
      <c r="F974" s="96"/>
      <c r="H974" s="12"/>
      <c r="I974" s="12"/>
      <c r="J974" s="12"/>
      <c r="K974" s="12"/>
      <c r="L974" s="12"/>
      <c r="M974" s="12"/>
      <c r="N974" s="12"/>
      <c r="O974" s="12"/>
      <c r="P974" s="12"/>
    </row>
    <row r="975">
      <c r="A975" s="12"/>
      <c r="D975" s="95"/>
      <c r="E975" s="14"/>
      <c r="F975" s="96"/>
      <c r="H975" s="12"/>
      <c r="I975" s="12"/>
      <c r="J975" s="12"/>
      <c r="K975" s="12"/>
      <c r="L975" s="12"/>
      <c r="M975" s="12"/>
      <c r="N975" s="12"/>
      <c r="O975" s="12"/>
      <c r="P975" s="12"/>
    </row>
    <row r="976">
      <c r="A976" s="12"/>
      <c r="D976" s="95"/>
      <c r="E976" s="14"/>
      <c r="F976" s="96"/>
      <c r="H976" s="12"/>
      <c r="I976" s="12"/>
      <c r="J976" s="12"/>
      <c r="K976" s="12"/>
      <c r="L976" s="12"/>
      <c r="M976" s="12"/>
      <c r="N976" s="12"/>
      <c r="O976" s="12"/>
      <c r="P976" s="12"/>
    </row>
    <row r="977">
      <c r="A977" s="12"/>
      <c r="D977" s="95"/>
      <c r="E977" s="14"/>
      <c r="F977" s="96"/>
      <c r="H977" s="12"/>
      <c r="I977" s="12"/>
      <c r="J977" s="12"/>
      <c r="K977" s="12"/>
      <c r="L977" s="12"/>
      <c r="M977" s="12"/>
      <c r="N977" s="12"/>
      <c r="O977" s="12"/>
      <c r="P977" s="12"/>
    </row>
    <row r="978">
      <c r="A978" s="12"/>
      <c r="D978" s="95"/>
      <c r="E978" s="14"/>
      <c r="F978" s="96"/>
      <c r="H978" s="12"/>
      <c r="I978" s="12"/>
      <c r="J978" s="12"/>
      <c r="K978" s="12"/>
      <c r="L978" s="12"/>
      <c r="M978" s="12"/>
      <c r="N978" s="12"/>
      <c r="O978" s="12"/>
      <c r="P978" s="12"/>
    </row>
    <row r="979">
      <c r="A979" s="12"/>
      <c r="D979" s="95"/>
      <c r="E979" s="14"/>
      <c r="F979" s="96"/>
      <c r="H979" s="12"/>
      <c r="I979" s="12"/>
      <c r="J979" s="12"/>
      <c r="K979" s="12"/>
      <c r="L979" s="12"/>
      <c r="M979" s="12"/>
      <c r="N979" s="12"/>
      <c r="O979" s="12"/>
      <c r="P979" s="12"/>
    </row>
    <row r="980">
      <c r="A980" s="12"/>
      <c r="D980" s="95"/>
      <c r="E980" s="14"/>
      <c r="F980" s="96"/>
      <c r="H980" s="12"/>
      <c r="I980" s="12"/>
      <c r="J980" s="12"/>
      <c r="K980" s="12"/>
      <c r="L980" s="12"/>
      <c r="M980" s="12"/>
      <c r="N980" s="12"/>
      <c r="O980" s="12"/>
      <c r="P980" s="12"/>
    </row>
    <row r="981">
      <c r="A981" s="12"/>
      <c r="D981" s="95"/>
      <c r="E981" s="14"/>
      <c r="F981" s="96"/>
      <c r="H981" s="12"/>
      <c r="I981" s="12"/>
      <c r="J981" s="12"/>
      <c r="K981" s="12"/>
      <c r="L981" s="12"/>
      <c r="M981" s="12"/>
      <c r="N981" s="12"/>
      <c r="O981" s="12"/>
      <c r="P981" s="12"/>
    </row>
    <row r="982">
      <c r="A982" s="12"/>
      <c r="D982" s="95"/>
      <c r="E982" s="14"/>
      <c r="F982" s="96"/>
      <c r="H982" s="12"/>
      <c r="I982" s="12"/>
      <c r="J982" s="12"/>
      <c r="K982" s="12"/>
      <c r="L982" s="12"/>
      <c r="M982" s="12"/>
      <c r="N982" s="12"/>
      <c r="O982" s="12"/>
      <c r="P982" s="12"/>
    </row>
    <row r="983">
      <c r="A983" s="12"/>
      <c r="D983" s="95"/>
      <c r="E983" s="14"/>
      <c r="F983" s="96"/>
      <c r="H983" s="12"/>
      <c r="I983" s="12"/>
      <c r="J983" s="12"/>
      <c r="K983" s="12"/>
      <c r="L983" s="12"/>
      <c r="M983" s="12"/>
      <c r="N983" s="12"/>
      <c r="O983" s="12"/>
      <c r="P983" s="12"/>
    </row>
    <row r="984">
      <c r="A984" s="12"/>
      <c r="D984" s="95"/>
      <c r="E984" s="14"/>
      <c r="F984" s="96"/>
      <c r="H984" s="12"/>
      <c r="I984" s="12"/>
      <c r="J984" s="12"/>
      <c r="K984" s="12"/>
      <c r="L984" s="12"/>
      <c r="M984" s="12"/>
      <c r="N984" s="12"/>
      <c r="O984" s="12"/>
      <c r="P984" s="12"/>
    </row>
    <row r="985">
      <c r="A985" s="12"/>
      <c r="D985" s="95"/>
      <c r="E985" s="14"/>
      <c r="F985" s="96"/>
      <c r="H985" s="12"/>
      <c r="I985" s="12"/>
      <c r="J985" s="12"/>
      <c r="K985" s="12"/>
      <c r="L985" s="12"/>
      <c r="M985" s="12"/>
      <c r="N985" s="12"/>
      <c r="O985" s="12"/>
      <c r="P985" s="12"/>
    </row>
    <row r="986">
      <c r="A986" s="12"/>
      <c r="D986" s="95"/>
      <c r="E986" s="14"/>
      <c r="F986" s="96"/>
      <c r="H986" s="12"/>
      <c r="I986" s="12"/>
      <c r="J986" s="12"/>
      <c r="K986" s="12"/>
      <c r="L986" s="12"/>
      <c r="M986" s="12"/>
      <c r="N986" s="12"/>
      <c r="O986" s="12"/>
      <c r="P986" s="12"/>
    </row>
    <row r="987">
      <c r="A987" s="12"/>
      <c r="D987" s="95"/>
      <c r="E987" s="14"/>
      <c r="F987" s="96"/>
      <c r="H987" s="12"/>
      <c r="I987" s="12"/>
      <c r="J987" s="12"/>
      <c r="K987" s="12"/>
      <c r="L987" s="12"/>
      <c r="M987" s="12"/>
      <c r="N987" s="12"/>
      <c r="O987" s="12"/>
      <c r="P987" s="12"/>
    </row>
    <row r="988">
      <c r="A988" s="12"/>
      <c r="D988" s="95"/>
      <c r="E988" s="14"/>
      <c r="F988" s="96"/>
      <c r="H988" s="12"/>
      <c r="I988" s="12"/>
      <c r="J988" s="12"/>
      <c r="K988" s="12"/>
      <c r="L988" s="12"/>
      <c r="M988" s="12"/>
      <c r="N988" s="12"/>
      <c r="O988" s="12"/>
      <c r="P988" s="12"/>
    </row>
    <row r="989">
      <c r="A989" s="12"/>
      <c r="D989" s="95"/>
      <c r="E989" s="14"/>
      <c r="F989" s="96"/>
      <c r="H989" s="12"/>
      <c r="I989" s="12"/>
      <c r="J989" s="12"/>
      <c r="K989" s="12"/>
      <c r="L989" s="12"/>
      <c r="M989" s="12"/>
      <c r="N989" s="12"/>
      <c r="O989" s="12"/>
      <c r="P989" s="12"/>
    </row>
    <row r="990">
      <c r="A990" s="12"/>
      <c r="D990" s="95"/>
      <c r="E990" s="14"/>
      <c r="F990" s="96"/>
      <c r="H990" s="12"/>
      <c r="I990" s="12"/>
      <c r="J990" s="12"/>
      <c r="K990" s="12"/>
      <c r="L990" s="12"/>
      <c r="M990" s="12"/>
      <c r="N990" s="12"/>
      <c r="O990" s="12"/>
      <c r="P990" s="12"/>
    </row>
    <row r="991">
      <c r="A991" s="12"/>
      <c r="D991" s="95"/>
      <c r="E991" s="14"/>
      <c r="F991" s="96"/>
      <c r="H991" s="12"/>
      <c r="I991" s="12"/>
      <c r="J991" s="12"/>
      <c r="K991" s="12"/>
      <c r="L991" s="12"/>
      <c r="M991" s="12"/>
      <c r="N991" s="12"/>
      <c r="O991" s="12"/>
      <c r="P991" s="12"/>
    </row>
    <row r="992">
      <c r="A992" s="12"/>
      <c r="D992" s="95"/>
      <c r="E992" s="14"/>
      <c r="F992" s="96"/>
      <c r="H992" s="12"/>
      <c r="I992" s="12"/>
      <c r="J992" s="12"/>
      <c r="K992" s="12"/>
      <c r="L992" s="12"/>
      <c r="M992" s="12"/>
      <c r="N992" s="12"/>
      <c r="O992" s="12"/>
      <c r="P992" s="12"/>
    </row>
    <row r="993">
      <c r="A993" s="12"/>
      <c r="D993" s="95"/>
      <c r="E993" s="14"/>
      <c r="F993" s="96"/>
      <c r="H993" s="12"/>
      <c r="I993" s="12"/>
      <c r="J993" s="12"/>
      <c r="K993" s="12"/>
      <c r="L993" s="12"/>
      <c r="M993" s="12"/>
      <c r="N993" s="12"/>
      <c r="O993" s="12"/>
      <c r="P993" s="12"/>
    </row>
    <row r="994">
      <c r="A994" s="12"/>
      <c r="D994" s="95"/>
      <c r="E994" s="14"/>
      <c r="F994" s="96"/>
      <c r="H994" s="12"/>
      <c r="I994" s="12"/>
      <c r="J994" s="12"/>
      <c r="K994" s="12"/>
      <c r="L994" s="12"/>
      <c r="M994" s="12"/>
      <c r="N994" s="12"/>
      <c r="O994" s="12"/>
      <c r="P994" s="12"/>
    </row>
    <row r="995">
      <c r="A995" s="12"/>
      <c r="D995" s="95"/>
      <c r="E995" s="14"/>
      <c r="F995" s="96"/>
      <c r="H995" s="12"/>
      <c r="I995" s="12"/>
      <c r="J995" s="12"/>
      <c r="K995" s="12"/>
      <c r="L995" s="12"/>
      <c r="M995" s="12"/>
      <c r="N995" s="12"/>
      <c r="O995" s="12"/>
      <c r="P995" s="12"/>
    </row>
    <row r="996">
      <c r="A996" s="12"/>
      <c r="D996" s="95"/>
      <c r="E996" s="14"/>
      <c r="F996" s="96"/>
      <c r="H996" s="12"/>
      <c r="I996" s="12"/>
      <c r="J996" s="12"/>
      <c r="K996" s="12"/>
      <c r="L996" s="12"/>
      <c r="M996" s="12"/>
      <c r="N996" s="12"/>
      <c r="O996" s="12"/>
      <c r="P996" s="12"/>
    </row>
    <row r="997">
      <c r="A997" s="12"/>
      <c r="D997" s="95"/>
      <c r="E997" s="14"/>
      <c r="F997" s="96"/>
      <c r="H997" s="12"/>
      <c r="I997" s="12"/>
      <c r="J997" s="12"/>
      <c r="K997" s="12"/>
      <c r="L997" s="12"/>
      <c r="M997" s="12"/>
      <c r="N997" s="12"/>
      <c r="O997" s="12"/>
      <c r="P997" s="12"/>
    </row>
    <row r="998">
      <c r="A998" s="12"/>
      <c r="D998" s="95"/>
      <c r="E998" s="14"/>
      <c r="F998" s="96"/>
      <c r="H998" s="12"/>
      <c r="I998" s="12"/>
      <c r="J998" s="12"/>
      <c r="K998" s="12"/>
      <c r="L998" s="12"/>
      <c r="M998" s="12"/>
      <c r="N998" s="12"/>
      <c r="O998" s="12"/>
      <c r="P998" s="12"/>
    </row>
    <row r="999">
      <c r="A999" s="12"/>
      <c r="D999" s="95"/>
      <c r="E999" s="14"/>
      <c r="F999" s="96"/>
      <c r="H999" s="12"/>
      <c r="I999" s="12"/>
      <c r="J999" s="12"/>
      <c r="K999" s="12"/>
      <c r="L999" s="12"/>
      <c r="M999" s="12"/>
      <c r="N999" s="12"/>
      <c r="O999" s="12"/>
      <c r="P999" s="12"/>
    </row>
    <row r="1000">
      <c r="A1000" s="12"/>
      <c r="D1000" s="95"/>
      <c r="E1000" s="14"/>
      <c r="F1000" s="96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>
      <c r="A1001" s="12"/>
      <c r="D1001" s="95"/>
      <c r="E1001" s="14"/>
      <c r="F1001" s="96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>
      <c r="A1002" s="12"/>
      <c r="D1002" s="95"/>
      <c r="E1002" s="14"/>
      <c r="F1002" s="96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>
      <c r="A1003" s="12"/>
      <c r="D1003" s="95"/>
      <c r="E1003" s="14"/>
      <c r="F1003" s="96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>
      <c r="A1004" s="12"/>
      <c r="D1004" s="95"/>
      <c r="E1004" s="14"/>
      <c r="F1004" s="96"/>
      <c r="H1004" s="12"/>
      <c r="I1004" s="12"/>
      <c r="J1004" s="12"/>
      <c r="K1004" s="12"/>
      <c r="L1004" s="12"/>
      <c r="M1004" s="12"/>
      <c r="N1004" s="12"/>
      <c r="O1004" s="12"/>
      <c r="P1004" s="12"/>
    </row>
    <row r="1005">
      <c r="A1005" s="12"/>
      <c r="D1005" s="95"/>
      <c r="E1005" s="14"/>
      <c r="F1005" s="96"/>
      <c r="H1005" s="12"/>
      <c r="I1005" s="12"/>
      <c r="J1005" s="12"/>
      <c r="K1005" s="12"/>
      <c r="L1005" s="12"/>
      <c r="M1005" s="12"/>
      <c r="N1005" s="12"/>
      <c r="O1005" s="12"/>
      <c r="P1005" s="12"/>
    </row>
    <row r="1006">
      <c r="A1006" s="12"/>
      <c r="D1006" s="95"/>
      <c r="E1006" s="14"/>
      <c r="F1006" s="96"/>
      <c r="H1006" s="12"/>
      <c r="I1006" s="12"/>
      <c r="J1006" s="12"/>
      <c r="K1006" s="12"/>
      <c r="L1006" s="12"/>
      <c r="M1006" s="12"/>
      <c r="N1006" s="12"/>
      <c r="O1006" s="12"/>
      <c r="P1006" s="12"/>
    </row>
    <row r="1007">
      <c r="A1007" s="12"/>
      <c r="D1007" s="95"/>
      <c r="E1007" s="14"/>
      <c r="F1007" s="96"/>
      <c r="H1007" s="12"/>
      <c r="I1007" s="12"/>
      <c r="J1007" s="12"/>
      <c r="K1007" s="12"/>
      <c r="L1007" s="12"/>
      <c r="M1007" s="12"/>
      <c r="N1007" s="12"/>
      <c r="O1007" s="12"/>
      <c r="P1007" s="12"/>
    </row>
    <row r="1008">
      <c r="A1008" s="12"/>
      <c r="D1008" s="95"/>
      <c r="E1008" s="14"/>
      <c r="F1008" s="96"/>
      <c r="H1008" s="12"/>
      <c r="I1008" s="12"/>
      <c r="J1008" s="12"/>
      <c r="K1008" s="12"/>
      <c r="L1008" s="12"/>
      <c r="M1008" s="12"/>
      <c r="N1008" s="12"/>
      <c r="O1008" s="12"/>
      <c r="P1008" s="12"/>
    </row>
    <row r="1009">
      <c r="A1009" s="12"/>
      <c r="D1009" s="95"/>
      <c r="E1009" s="14"/>
      <c r="F1009" s="96"/>
      <c r="H1009" s="12"/>
      <c r="I1009" s="12"/>
      <c r="J1009" s="12"/>
      <c r="K1009" s="12"/>
      <c r="L1009" s="12"/>
      <c r="M1009" s="12"/>
      <c r="N1009" s="12"/>
      <c r="O1009" s="12"/>
      <c r="P1009" s="12"/>
    </row>
    <row r="1010">
      <c r="A1010" s="12"/>
      <c r="D1010" s="95"/>
      <c r="E1010" s="14"/>
      <c r="F1010" s="96"/>
      <c r="H1010" s="12"/>
      <c r="I1010" s="12"/>
      <c r="J1010" s="12"/>
      <c r="K1010" s="12"/>
      <c r="L1010" s="12"/>
      <c r="M1010" s="12"/>
      <c r="N1010" s="12"/>
      <c r="O1010" s="12"/>
      <c r="P1010" s="12"/>
    </row>
    <row r="1011">
      <c r="A1011" s="12"/>
      <c r="D1011" s="95"/>
      <c r="E1011" s="14"/>
      <c r="F1011" s="96"/>
      <c r="H1011" s="12"/>
      <c r="I1011" s="12"/>
      <c r="J1011" s="12"/>
      <c r="K1011" s="12"/>
      <c r="L1011" s="12"/>
      <c r="M1011" s="12"/>
      <c r="N1011" s="12"/>
      <c r="O1011" s="12"/>
      <c r="P1011" s="12"/>
    </row>
    <row r="1012">
      <c r="A1012" s="12"/>
      <c r="D1012" s="95"/>
      <c r="E1012" s="14"/>
      <c r="F1012" s="96"/>
      <c r="H1012" s="12"/>
      <c r="I1012" s="12"/>
      <c r="J1012" s="12"/>
      <c r="K1012" s="12"/>
      <c r="L1012" s="12"/>
      <c r="M1012" s="12"/>
      <c r="N1012" s="12"/>
      <c r="O1012" s="12"/>
      <c r="P1012" s="12"/>
    </row>
  </sheetData>
  <conditionalFormatting sqref="H2:P37">
    <cfRule type="cellIs" dxfId="40" priority="1" operator="equal">
      <formula>0</formula>
    </cfRule>
  </conditionalFormatting>
  <conditionalFormatting sqref="H2:H37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7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7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7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37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37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7">
    <cfRule type="colorScale" priority="8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7">
    <cfRule type="colorScale" priority="9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43:C50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3:F50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40">
      <formula1>OR(NOT(ISERROR(DATEVALUE(F40))), AND(ISNUMBER(F40), LEFT(CELL("format", F40))="D"))</formula1>
    </dataValidation>
    <dataValidation type="list" allowBlank="1" showDropDown="1" sqref="C2:C37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21.25"/>
    <col customWidth="1" min="3" max="3" width="15.13"/>
    <col customWidth="1" min="4" max="4" width="35.13"/>
    <col customWidth="1" min="5" max="5" width="9.88"/>
    <col customWidth="1" min="6" max="6" width="38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1243" t="s">
        <v>48</v>
      </c>
      <c r="B1" s="1244" t="s">
        <v>49</v>
      </c>
      <c r="C1" s="1244" t="s">
        <v>50</v>
      </c>
      <c r="D1" s="1245" t="s">
        <v>56</v>
      </c>
      <c r="E1" s="1243" t="s">
        <v>57</v>
      </c>
      <c r="F1" s="1246" t="s">
        <v>52</v>
      </c>
      <c r="G1" s="1247" t="s">
        <v>53</v>
      </c>
      <c r="H1" s="1243" t="s">
        <v>4</v>
      </c>
      <c r="I1" s="1243" t="s">
        <v>58</v>
      </c>
      <c r="J1" s="1243" t="s">
        <v>59</v>
      </c>
      <c r="K1" s="1243" t="s">
        <v>60</v>
      </c>
      <c r="L1" s="1243" t="s">
        <v>61</v>
      </c>
      <c r="M1" s="1243" t="s">
        <v>62</v>
      </c>
      <c r="N1" s="1243" t="s">
        <v>63</v>
      </c>
      <c r="O1" s="1248" t="s">
        <v>387</v>
      </c>
      <c r="P1" s="1248" t="s">
        <v>64</v>
      </c>
      <c r="Q1" s="1243" t="s">
        <v>65</v>
      </c>
    </row>
    <row r="2" ht="22.5" customHeight="1">
      <c r="A2" s="1249">
        <v>1.0</v>
      </c>
      <c r="B2" s="1250" t="s">
        <v>1936</v>
      </c>
      <c r="C2" s="1251" t="s">
        <v>67</v>
      </c>
      <c r="D2" s="1252" t="s">
        <v>1937</v>
      </c>
      <c r="E2" s="1253" t="str">
        <f>IMAGE("https://flagcdn.com/w320/az.png")</f>
        <v/>
      </c>
      <c r="F2" s="1254">
        <v>34497.0</v>
      </c>
      <c r="G2" s="1255">
        <f t="shared" ref="G2:G27" si="2">DATEDIF(F2,TODAY(),"Y")</f>
        <v>31</v>
      </c>
      <c r="H2" s="1256">
        <f t="shared" ref="H2:I2" si="1">0</f>
        <v>0</v>
      </c>
      <c r="I2" s="1256">
        <f t="shared" si="1"/>
        <v>0</v>
      </c>
      <c r="J2" s="1256"/>
      <c r="K2" s="1256"/>
      <c r="L2" s="1256"/>
      <c r="M2" s="1256"/>
      <c r="N2" s="1256"/>
      <c r="O2" s="1256"/>
      <c r="P2" s="1256">
        <f t="shared" ref="P2:P27" si="4">J2+K2</f>
        <v>0</v>
      </c>
      <c r="Q2" s="1256"/>
    </row>
    <row r="3" ht="22.5" customHeight="1">
      <c r="A3" s="1249">
        <v>2.0</v>
      </c>
      <c r="B3" s="1257" t="s">
        <v>1938</v>
      </c>
      <c r="C3" s="1251" t="s">
        <v>70</v>
      </c>
      <c r="D3" s="1252" t="s">
        <v>182</v>
      </c>
      <c r="E3" s="1253" t="str">
        <f>IMAGE("https://flagcdn.com/w320/br.png")</f>
        <v/>
      </c>
      <c r="F3" s="1254">
        <v>35706.0</v>
      </c>
      <c r="G3" s="1255">
        <f t="shared" si="2"/>
        <v>28</v>
      </c>
      <c r="H3" s="1256">
        <f>1+1+1+1+1+1+1</f>
        <v>7</v>
      </c>
      <c r="I3" s="1256">
        <f>90+90+78+90+74+85+90</f>
        <v>597</v>
      </c>
      <c r="J3" s="1256">
        <f t="shared" ref="J3:K3" si="3">1</f>
        <v>1</v>
      </c>
      <c r="K3" s="1256">
        <f t="shared" si="3"/>
        <v>1</v>
      </c>
      <c r="L3" s="1256">
        <f>1+1</f>
        <v>2</v>
      </c>
      <c r="M3" s="1256"/>
      <c r="N3" s="1256"/>
      <c r="O3" s="1256"/>
      <c r="P3" s="1256">
        <f t="shared" si="4"/>
        <v>2</v>
      </c>
      <c r="Q3" s="1256"/>
    </row>
    <row r="4" ht="22.5" customHeight="1">
      <c r="A4" s="1249">
        <v>3.0</v>
      </c>
      <c r="B4" s="1250" t="s">
        <v>1939</v>
      </c>
      <c r="C4" s="1251" t="s">
        <v>70</v>
      </c>
      <c r="D4" s="1252" t="s">
        <v>1940</v>
      </c>
      <c r="E4" s="1253" t="str">
        <f>IMAGE("https://flagcdn.com/w320/ma.png")</f>
        <v/>
      </c>
      <c r="F4" s="1254">
        <v>35316.0</v>
      </c>
      <c r="G4" s="1255">
        <f t="shared" si="2"/>
        <v>29</v>
      </c>
      <c r="H4" s="1256">
        <f t="shared" ref="H4:H5" si="5">1</f>
        <v>1</v>
      </c>
      <c r="I4" s="1256">
        <f>31</f>
        <v>31</v>
      </c>
      <c r="J4" s="1256"/>
      <c r="K4" s="1256"/>
      <c r="L4" s="1256"/>
      <c r="M4" s="1256"/>
      <c r="N4" s="1256"/>
      <c r="O4" s="1256"/>
      <c r="P4" s="1256">
        <f t="shared" si="4"/>
        <v>0</v>
      </c>
      <c r="Q4" s="1256"/>
    </row>
    <row r="5" ht="22.5" customHeight="1">
      <c r="A5" s="1249">
        <v>6.0</v>
      </c>
      <c r="B5" s="1257" t="s">
        <v>1941</v>
      </c>
      <c r="C5" s="1251" t="s">
        <v>79</v>
      </c>
      <c r="D5" s="1252" t="s">
        <v>284</v>
      </c>
      <c r="E5" s="1253" t="str">
        <f>IMAGE("https://flagcdn.com/w320/ci.png")</f>
        <v/>
      </c>
      <c r="F5" s="1254">
        <v>36509.0</v>
      </c>
      <c r="G5" s="1255">
        <f t="shared" si="2"/>
        <v>26</v>
      </c>
      <c r="H5" s="1256">
        <f t="shared" si="5"/>
        <v>1</v>
      </c>
      <c r="I5" s="1256">
        <f>1</f>
        <v>1</v>
      </c>
      <c r="J5" s="1256"/>
      <c r="K5" s="1256"/>
      <c r="L5" s="1256"/>
      <c r="M5" s="1256"/>
      <c r="N5" s="1256"/>
      <c r="O5" s="1256"/>
      <c r="P5" s="1256">
        <f t="shared" si="4"/>
        <v>0</v>
      </c>
      <c r="Q5" s="1256"/>
    </row>
    <row r="6" ht="22.5" customHeight="1">
      <c r="A6" s="1258">
        <v>7.0</v>
      </c>
      <c r="B6" s="1259" t="s">
        <v>1942</v>
      </c>
      <c r="C6" s="1260" t="s">
        <v>82</v>
      </c>
      <c r="D6" s="1261" t="s">
        <v>1943</v>
      </c>
      <c r="E6" s="1262" t="str">
        <f>IMAGE("https://flagcdn.com/w320/az.png")</f>
        <v/>
      </c>
      <c r="F6" s="1263">
        <v>38100.0</v>
      </c>
      <c r="G6" s="1264">
        <f t="shared" si="2"/>
        <v>21</v>
      </c>
      <c r="H6" s="1265">
        <f>1+1+1+1+1</f>
        <v>5</v>
      </c>
      <c r="I6" s="1265">
        <f>13+66+30+16+32</f>
        <v>157</v>
      </c>
      <c r="J6" s="1265"/>
      <c r="K6" s="1265">
        <f t="shared" ref="K6:L6" si="6">1</f>
        <v>1</v>
      </c>
      <c r="L6" s="1265">
        <f t="shared" si="6"/>
        <v>1</v>
      </c>
      <c r="M6" s="1265"/>
      <c r="N6" s="1265"/>
      <c r="O6" s="1265"/>
      <c r="P6" s="1265">
        <f t="shared" si="4"/>
        <v>1</v>
      </c>
      <c r="Q6" s="126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ht="22.5" customHeight="1">
      <c r="A7" s="1249">
        <v>8.0</v>
      </c>
      <c r="B7" s="1250" t="s">
        <v>1944</v>
      </c>
      <c r="C7" s="1251" t="s">
        <v>79</v>
      </c>
      <c r="D7" s="1252" t="s">
        <v>1945</v>
      </c>
      <c r="E7" s="1253" t="str">
        <f>IMAGE("https://flagcdn.com/w320/me.png")</f>
        <v/>
      </c>
      <c r="F7" s="1254">
        <v>34889.0</v>
      </c>
      <c r="G7" s="1255">
        <f t="shared" si="2"/>
        <v>30</v>
      </c>
      <c r="H7" s="1256">
        <f>1+1+1+1+1+1</f>
        <v>6</v>
      </c>
      <c r="I7" s="1256">
        <f>76+35+90+90+90+90</f>
        <v>471</v>
      </c>
      <c r="J7" s="1256">
        <f t="shared" ref="J7:L7" si="7">1</f>
        <v>1</v>
      </c>
      <c r="K7" s="1256">
        <f t="shared" si="7"/>
        <v>1</v>
      </c>
      <c r="L7" s="1256">
        <f t="shared" si="7"/>
        <v>1</v>
      </c>
      <c r="M7" s="1256"/>
      <c r="N7" s="1256"/>
      <c r="O7" s="1256">
        <f>1</f>
        <v>1</v>
      </c>
      <c r="P7" s="1256">
        <f t="shared" si="4"/>
        <v>2</v>
      </c>
      <c r="Q7" s="1256"/>
    </row>
    <row r="8" ht="22.5" customHeight="1">
      <c r="A8" s="1249">
        <v>9.0</v>
      </c>
      <c r="B8" s="1250" t="s">
        <v>1946</v>
      </c>
      <c r="C8" s="1251" t="s">
        <v>79</v>
      </c>
      <c r="D8" s="1252" t="s">
        <v>83</v>
      </c>
      <c r="E8" s="1253" t="str">
        <f>IMAGE("https://flagcdn.com/w320/es.png")</f>
        <v/>
      </c>
      <c r="F8" s="1254">
        <v>36041.0</v>
      </c>
      <c r="G8" s="1255">
        <f t="shared" si="2"/>
        <v>27</v>
      </c>
      <c r="H8" s="1256">
        <f>1+1</f>
        <v>2</v>
      </c>
      <c r="I8" s="1256">
        <f>4+83</f>
        <v>87</v>
      </c>
      <c r="J8" s="1256"/>
      <c r="K8" s="1256"/>
      <c r="L8" s="1256"/>
      <c r="M8" s="1256"/>
      <c r="N8" s="1256"/>
      <c r="O8" s="1256"/>
      <c r="P8" s="1256">
        <f t="shared" si="4"/>
        <v>0</v>
      </c>
      <c r="Q8" s="1256"/>
    </row>
    <row r="9" ht="22.5" customHeight="1">
      <c r="A9" s="1249">
        <v>10.0</v>
      </c>
      <c r="B9" s="1250" t="s">
        <v>1947</v>
      </c>
      <c r="C9" s="1251" t="s">
        <v>82</v>
      </c>
      <c r="D9" s="1252" t="s">
        <v>1948</v>
      </c>
      <c r="E9" s="1253" t="str">
        <f>IMAGE("https://flagcdn.com/w320/fr.png")</f>
        <v/>
      </c>
      <c r="F9" s="1254">
        <v>33577.0</v>
      </c>
      <c r="G9" s="1255">
        <f t="shared" si="2"/>
        <v>34</v>
      </c>
      <c r="H9" s="1256">
        <f t="shared" ref="H9:H13" si="9">1+1+1+1+1+1+1</f>
        <v>7</v>
      </c>
      <c r="I9" s="1256">
        <f>90+89+90+74+90+90+90</f>
        <v>613</v>
      </c>
      <c r="J9" s="1256">
        <f t="shared" ref="J9:K9" si="8">1</f>
        <v>1</v>
      </c>
      <c r="K9" s="1256">
        <f t="shared" si="8"/>
        <v>1</v>
      </c>
      <c r="L9" s="1256"/>
      <c r="M9" s="1256"/>
      <c r="N9" s="1256"/>
      <c r="O9" s="1256"/>
      <c r="P9" s="1256">
        <f t="shared" si="4"/>
        <v>2</v>
      </c>
      <c r="Q9" s="1256"/>
    </row>
    <row r="10" ht="22.5" customHeight="1">
      <c r="A10" s="1249">
        <v>11.0</v>
      </c>
      <c r="B10" s="1250" t="s">
        <v>1949</v>
      </c>
      <c r="C10" s="1251" t="s">
        <v>82</v>
      </c>
      <c r="D10" s="1252" t="s">
        <v>291</v>
      </c>
      <c r="E10" s="1253" t="str">
        <f>IMAGE("https://flagcdn.com/w320/gh.png")</f>
        <v/>
      </c>
      <c r="F10" s="1254">
        <v>37104.0</v>
      </c>
      <c r="G10" s="1255">
        <f t="shared" si="2"/>
        <v>24</v>
      </c>
      <c r="H10" s="1256">
        <f t="shared" si="9"/>
        <v>7</v>
      </c>
      <c r="I10" s="1256">
        <f>25+21+35+60+90+90+7</f>
        <v>328</v>
      </c>
      <c r="J10" s="1256">
        <f t="shared" ref="J10:J11" si="10">1</f>
        <v>1</v>
      </c>
      <c r="K10" s="1256"/>
      <c r="L10" s="1256"/>
      <c r="M10" s="1256"/>
      <c r="N10" s="1256"/>
      <c r="O10" s="1256"/>
      <c r="P10" s="1256">
        <f t="shared" si="4"/>
        <v>1</v>
      </c>
      <c r="Q10" s="1256"/>
    </row>
    <row r="11" ht="22.5" customHeight="1">
      <c r="A11" s="1249">
        <v>13.0</v>
      </c>
      <c r="B11" s="1250" t="s">
        <v>1950</v>
      </c>
      <c r="C11" s="1251" t="s">
        <v>70</v>
      </c>
      <c r="D11" s="1252" t="s">
        <v>1943</v>
      </c>
      <c r="E11" s="1253" t="str">
        <f>IMAGE("https://flagcdn.com/w320/az.png")</f>
        <v/>
      </c>
      <c r="F11" s="1254">
        <v>35488.0</v>
      </c>
      <c r="G11" s="1255">
        <f t="shared" si="2"/>
        <v>28</v>
      </c>
      <c r="H11" s="1256">
        <f t="shared" si="9"/>
        <v>7</v>
      </c>
      <c r="I11" s="1256">
        <f>90+90+90+90+90+90+90</f>
        <v>630</v>
      </c>
      <c r="J11" s="1256">
        <f t="shared" si="10"/>
        <v>1</v>
      </c>
      <c r="K11" s="1256"/>
      <c r="L11" s="1256"/>
      <c r="M11" s="1256"/>
      <c r="N11" s="1256"/>
      <c r="O11" s="1256"/>
      <c r="P11" s="1256">
        <f t="shared" si="4"/>
        <v>1</v>
      </c>
      <c r="Q11" s="1256"/>
    </row>
    <row r="12" ht="22.5" customHeight="1">
      <c r="A12" s="1249">
        <v>15.0</v>
      </c>
      <c r="B12" s="1257" t="s">
        <v>1951</v>
      </c>
      <c r="C12" s="1251" t="s">
        <v>82</v>
      </c>
      <c r="D12" s="1252" t="s">
        <v>1952</v>
      </c>
      <c r="E12" s="1253" t="str">
        <f>IMAGE("https://flagcdn.com/w320/cv.png")</f>
        <v/>
      </c>
      <c r="F12" s="1254">
        <v>36427.0</v>
      </c>
      <c r="G12" s="1255">
        <f t="shared" si="2"/>
        <v>26</v>
      </c>
      <c r="H12" s="1256">
        <f t="shared" si="9"/>
        <v>7</v>
      </c>
      <c r="I12" s="1256">
        <f>65+77+55+60+59+58+83</f>
        <v>457</v>
      </c>
      <c r="J12" s="1256">
        <f>1+1+1</f>
        <v>3</v>
      </c>
      <c r="K12" s="1256">
        <f>1</f>
        <v>1</v>
      </c>
      <c r="L12" s="1256"/>
      <c r="M12" s="1256"/>
      <c r="N12" s="1256"/>
      <c r="O12" s="1256"/>
      <c r="P12" s="1256">
        <f t="shared" si="4"/>
        <v>4</v>
      </c>
      <c r="Q12" s="1256"/>
    </row>
    <row r="13" ht="22.5" customHeight="1">
      <c r="A13" s="1249">
        <v>17.0</v>
      </c>
      <c r="B13" s="1250" t="s">
        <v>1953</v>
      </c>
      <c r="C13" s="1251" t="s">
        <v>82</v>
      </c>
      <c r="D13" s="1252" t="s">
        <v>581</v>
      </c>
      <c r="E13" s="1253" t="str">
        <f>IMAGE("https://flagcdn.com/w320/co.png")</f>
        <v/>
      </c>
      <c r="F13" s="1254">
        <v>37297.0</v>
      </c>
      <c r="G13" s="1255">
        <f t="shared" si="2"/>
        <v>23</v>
      </c>
      <c r="H13" s="1256">
        <f t="shared" si="9"/>
        <v>7</v>
      </c>
      <c r="I13" s="1256">
        <f>89+77+66+60+74+69+89</f>
        <v>524</v>
      </c>
      <c r="J13" s="1256">
        <f>1+1+2</f>
        <v>4</v>
      </c>
      <c r="K13" s="1256">
        <f>1+1</f>
        <v>2</v>
      </c>
      <c r="L13" s="1256">
        <f>1</f>
        <v>1</v>
      </c>
      <c r="M13" s="1256"/>
      <c r="N13" s="1256"/>
      <c r="O13" s="1256"/>
      <c r="P13" s="1256">
        <f t="shared" si="4"/>
        <v>6</v>
      </c>
      <c r="Q13" s="1256"/>
    </row>
    <row r="14" ht="22.5" customHeight="1">
      <c r="A14" s="1249">
        <v>18.0</v>
      </c>
      <c r="B14" s="1257" t="s">
        <v>1954</v>
      </c>
      <c r="C14" s="1251" t="s">
        <v>70</v>
      </c>
      <c r="D14" s="1252" t="s">
        <v>182</v>
      </c>
      <c r="E14" s="1253" t="str">
        <f t="shared" ref="E14:E15" si="11">IMAGE("https://flagcdn.com/w320/br.png")</f>
        <v/>
      </c>
      <c r="F14" s="1254">
        <v>36329.0</v>
      </c>
      <c r="G14" s="1255">
        <f t="shared" si="2"/>
        <v>26</v>
      </c>
      <c r="H14" s="1266">
        <f t="shared" ref="H14:H15" si="12">1+1+1+1</f>
        <v>4</v>
      </c>
      <c r="I14" s="1266">
        <f>12+16+16+5</f>
        <v>49</v>
      </c>
      <c r="J14" s="1256"/>
      <c r="K14" s="1256"/>
      <c r="L14" s="1256"/>
      <c r="M14" s="1256"/>
      <c r="N14" s="1256"/>
      <c r="O14" s="1256"/>
      <c r="P14" s="1256">
        <f t="shared" si="4"/>
        <v>0</v>
      </c>
      <c r="Q14" s="1256"/>
    </row>
    <row r="15" ht="22.5" customHeight="1">
      <c r="A15" s="1249">
        <v>20.0</v>
      </c>
      <c r="B15" s="1257" t="s">
        <v>1955</v>
      </c>
      <c r="C15" s="1251" t="s">
        <v>79</v>
      </c>
      <c r="D15" s="1252" t="s">
        <v>1956</v>
      </c>
      <c r="E15" s="1253" t="str">
        <f t="shared" si="11"/>
        <v/>
      </c>
      <c r="F15" s="1254">
        <v>35187.0</v>
      </c>
      <c r="G15" s="1255">
        <f t="shared" si="2"/>
        <v>29</v>
      </c>
      <c r="H15" s="1256">
        <f t="shared" si="12"/>
        <v>4</v>
      </c>
      <c r="I15" s="1256">
        <f>90+90+90+30</f>
        <v>300</v>
      </c>
      <c r="J15" s="1256"/>
      <c r="K15" s="1256"/>
      <c r="L15" s="1256"/>
      <c r="M15" s="1256"/>
      <c r="N15" s="1256"/>
      <c r="O15" s="1256"/>
      <c r="P15" s="1256">
        <f t="shared" si="4"/>
        <v>0</v>
      </c>
      <c r="Q15" s="1256"/>
    </row>
    <row r="16" ht="22.5" customHeight="1">
      <c r="A16" s="1249">
        <v>21.0</v>
      </c>
      <c r="B16" s="1250" t="s">
        <v>1957</v>
      </c>
      <c r="C16" s="1251" t="s">
        <v>82</v>
      </c>
      <c r="D16" s="1252" t="s">
        <v>626</v>
      </c>
      <c r="E16" s="1253" t="str">
        <f>IMAGE("https://flagcdn.com/w320/ua.png")</f>
        <v/>
      </c>
      <c r="F16" s="1254">
        <v>36706.0</v>
      </c>
      <c r="G16" s="1255">
        <f t="shared" si="2"/>
        <v>25</v>
      </c>
      <c r="H16" s="1256">
        <f>1+1+1+1+1+1+1</f>
        <v>7</v>
      </c>
      <c r="I16" s="1266">
        <f>14+69+24+16+31+21+7</f>
        <v>182</v>
      </c>
      <c r="J16" s="1256">
        <f>1</f>
        <v>1</v>
      </c>
      <c r="K16" s="1256"/>
      <c r="L16" s="1256"/>
      <c r="M16" s="1256"/>
      <c r="N16" s="1256"/>
      <c r="O16" s="1256"/>
      <c r="P16" s="1256">
        <f t="shared" si="4"/>
        <v>1</v>
      </c>
      <c r="Q16" s="1256"/>
    </row>
    <row r="17" ht="22.5" customHeight="1">
      <c r="A17" s="1249">
        <v>22.0</v>
      </c>
      <c r="B17" s="1250" t="s">
        <v>1958</v>
      </c>
      <c r="C17" s="1251" t="s">
        <v>82</v>
      </c>
      <c r="D17" s="1252" t="s">
        <v>1943</v>
      </c>
      <c r="E17" s="1253" t="str">
        <f t="shared" ref="E17:E20" si="14">IMAGE("https://flagcdn.com/w320/az.png")</f>
        <v/>
      </c>
      <c r="F17" s="1254">
        <v>37359.0</v>
      </c>
      <c r="G17" s="1255">
        <f t="shared" si="2"/>
        <v>23</v>
      </c>
      <c r="H17" s="1256">
        <f t="shared" ref="H17:I17" si="13">1+1+1</f>
        <v>3</v>
      </c>
      <c r="I17" s="1256">
        <f t="shared" si="13"/>
        <v>3</v>
      </c>
      <c r="J17" s="1256"/>
      <c r="K17" s="1256"/>
      <c r="L17" s="1256"/>
      <c r="M17" s="1256"/>
      <c r="N17" s="1256"/>
      <c r="O17" s="1256"/>
      <c r="P17" s="1256">
        <f t="shared" si="4"/>
        <v>0</v>
      </c>
      <c r="Q17" s="1256"/>
    </row>
    <row r="18" ht="22.5" customHeight="1">
      <c r="A18" s="1249">
        <v>27.0</v>
      </c>
      <c r="B18" s="1250" t="s">
        <v>1959</v>
      </c>
      <c r="C18" s="1251" t="s">
        <v>70</v>
      </c>
      <c r="D18" s="1252" t="s">
        <v>1943</v>
      </c>
      <c r="E18" s="1253" t="str">
        <f t="shared" si="14"/>
        <v/>
      </c>
      <c r="F18" s="1254">
        <v>36945.0</v>
      </c>
      <c r="G18" s="1255">
        <f t="shared" si="2"/>
        <v>24</v>
      </c>
      <c r="H18" s="1256">
        <f>1+1+1+1+1+1</f>
        <v>6</v>
      </c>
      <c r="I18" s="1256">
        <f>14+13+24+30+16+5</f>
        <v>102</v>
      </c>
      <c r="J18" s="1256"/>
      <c r="K18" s="1256"/>
      <c r="L18" s="1256">
        <f>1</f>
        <v>1</v>
      </c>
      <c r="M18" s="1256"/>
      <c r="N18" s="1256"/>
      <c r="O18" s="1256"/>
      <c r="P18" s="1256">
        <f t="shared" si="4"/>
        <v>0</v>
      </c>
      <c r="Q18" s="1256"/>
    </row>
    <row r="19" ht="22.5" customHeight="1">
      <c r="A19" s="1249">
        <v>30.0</v>
      </c>
      <c r="B19" s="1250" t="s">
        <v>1960</v>
      </c>
      <c r="C19" s="1251" t="s">
        <v>70</v>
      </c>
      <c r="D19" s="1252" t="s">
        <v>1943</v>
      </c>
      <c r="E19" s="1253" t="str">
        <f t="shared" si="14"/>
        <v/>
      </c>
      <c r="F19" s="1254">
        <v>34863.0</v>
      </c>
      <c r="G19" s="1255">
        <f t="shared" si="2"/>
        <v>30</v>
      </c>
      <c r="H19" s="1256">
        <f t="shared" ref="H19:I19" si="15">0</f>
        <v>0</v>
      </c>
      <c r="I19" s="1256">
        <f t="shared" si="15"/>
        <v>0</v>
      </c>
      <c r="J19" s="1256"/>
      <c r="K19" s="1256"/>
      <c r="L19" s="1256"/>
      <c r="M19" s="1256"/>
      <c r="N19" s="1256"/>
      <c r="O19" s="1256"/>
      <c r="P19" s="1256">
        <f t="shared" si="4"/>
        <v>0</v>
      </c>
      <c r="Q19" s="1256"/>
    </row>
    <row r="20" ht="22.5" customHeight="1">
      <c r="A20" s="1258">
        <v>32.0</v>
      </c>
      <c r="B20" s="1259" t="s">
        <v>1961</v>
      </c>
      <c r="C20" s="1260" t="s">
        <v>79</v>
      </c>
      <c r="D20" s="1261" t="s">
        <v>1943</v>
      </c>
      <c r="E20" s="1262" t="str">
        <f t="shared" si="14"/>
        <v/>
      </c>
      <c r="F20" s="1263">
        <v>39296.0</v>
      </c>
      <c r="G20" s="1264">
        <f t="shared" si="2"/>
        <v>18</v>
      </c>
      <c r="H20" s="1267">
        <v>0.0</v>
      </c>
      <c r="I20" s="1267">
        <v>0.0</v>
      </c>
      <c r="J20" s="1265"/>
      <c r="K20" s="1265"/>
      <c r="L20" s="1265"/>
      <c r="M20" s="1265"/>
      <c r="N20" s="1265"/>
      <c r="O20" s="1265"/>
      <c r="P20" s="1265">
        <f t="shared" si="4"/>
        <v>0</v>
      </c>
      <c r="Q20" s="126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ht="22.5" customHeight="1">
      <c r="A21" s="1249">
        <v>35.0</v>
      </c>
      <c r="B21" s="1257" t="s">
        <v>1962</v>
      </c>
      <c r="C21" s="1251" t="s">
        <v>79</v>
      </c>
      <c r="D21" s="1252" t="s">
        <v>182</v>
      </c>
      <c r="E21" s="1253" t="str">
        <f>IMAGE("https://flagcdn.com/w320/br.png")</f>
        <v/>
      </c>
      <c r="F21" s="1254">
        <v>37004.0</v>
      </c>
      <c r="G21" s="1255">
        <f t="shared" si="2"/>
        <v>24</v>
      </c>
      <c r="H21" s="1256">
        <f t="shared" ref="H21:H22" si="16">1+1+1+1+1+1+1</f>
        <v>7</v>
      </c>
      <c r="I21" s="1256">
        <f>90+90+55+90+90+86+90</f>
        <v>591</v>
      </c>
      <c r="J21" s="1256"/>
      <c r="K21" s="1256">
        <f>1</f>
        <v>1</v>
      </c>
      <c r="L21" s="1256"/>
      <c r="M21" s="1256"/>
      <c r="N21" s="1256"/>
      <c r="O21" s="1256"/>
      <c r="P21" s="1256">
        <f t="shared" si="4"/>
        <v>1</v>
      </c>
      <c r="Q21" s="1256"/>
    </row>
    <row r="22" ht="22.5" customHeight="1">
      <c r="A22" s="1249">
        <v>44.0</v>
      </c>
      <c r="B22" s="1250" t="s">
        <v>1963</v>
      </c>
      <c r="C22" s="1251" t="s">
        <v>70</v>
      </c>
      <c r="D22" s="1252" t="s">
        <v>1943</v>
      </c>
      <c r="E22" s="1253" t="str">
        <f t="shared" ref="E22:E23" si="17">IMAGE("https://flagcdn.com/w320/az.png")</f>
        <v/>
      </c>
      <c r="F22" s="1254">
        <v>36825.0</v>
      </c>
      <c r="G22" s="1255">
        <f t="shared" si="2"/>
        <v>25</v>
      </c>
      <c r="H22" s="1256">
        <f t="shared" si="16"/>
        <v>7</v>
      </c>
      <c r="I22" s="1256">
        <f>76+89+90+74+74+85+90</f>
        <v>578</v>
      </c>
      <c r="J22" s="1256"/>
      <c r="K22" s="1256">
        <f>1+1</f>
        <v>2</v>
      </c>
      <c r="L22" s="1256"/>
      <c r="M22" s="1256"/>
      <c r="N22" s="1256"/>
      <c r="O22" s="1256"/>
      <c r="P22" s="1256">
        <f t="shared" si="4"/>
        <v>2</v>
      </c>
      <c r="Q22" s="1256"/>
    </row>
    <row r="23" ht="22.5" customHeight="1">
      <c r="A23" s="1249">
        <v>55.0</v>
      </c>
      <c r="B23" s="1250" t="s">
        <v>1964</v>
      </c>
      <c r="C23" s="1251" t="s">
        <v>70</v>
      </c>
      <c r="D23" s="1252" t="s">
        <v>1965</v>
      </c>
      <c r="E23" s="1253" t="str">
        <f t="shared" si="17"/>
        <v/>
      </c>
      <c r="F23" s="1254">
        <v>33430.0</v>
      </c>
      <c r="G23" s="1255">
        <f t="shared" si="2"/>
        <v>34</v>
      </c>
      <c r="H23" s="1256">
        <f t="shared" ref="H23:I23" si="18">0</f>
        <v>0</v>
      </c>
      <c r="I23" s="1256">
        <f t="shared" si="18"/>
        <v>0</v>
      </c>
      <c r="J23" s="1256"/>
      <c r="K23" s="1256"/>
      <c r="L23" s="1256"/>
      <c r="M23" s="1256"/>
      <c r="N23" s="1256"/>
      <c r="O23" s="1256"/>
      <c r="P23" s="1256">
        <f t="shared" si="4"/>
        <v>0</v>
      </c>
      <c r="Q23" s="1256"/>
    </row>
    <row r="24" ht="22.5" customHeight="1">
      <c r="A24" s="1249">
        <v>81.0</v>
      </c>
      <c r="B24" s="1250" t="s">
        <v>1966</v>
      </c>
      <c r="C24" s="1251" t="s">
        <v>70</v>
      </c>
      <c r="D24" s="1252" t="s">
        <v>581</v>
      </c>
      <c r="E24" s="1253" t="str">
        <f>IMAGE("https://flagcdn.com/w320/co.png")</f>
        <v/>
      </c>
      <c r="F24" s="1254">
        <v>34037.0</v>
      </c>
      <c r="G24" s="1255">
        <f t="shared" si="2"/>
        <v>32</v>
      </c>
      <c r="H24" s="1256">
        <f>1+1+1+1+1+1+1</f>
        <v>7</v>
      </c>
      <c r="I24" s="1256">
        <f>90+90+90+90+59+90+90</f>
        <v>599</v>
      </c>
      <c r="J24" s="1256"/>
      <c r="K24" s="1256"/>
      <c r="L24" s="1256">
        <f>1+1</f>
        <v>2</v>
      </c>
      <c r="M24" s="1256"/>
      <c r="N24" s="1256"/>
      <c r="O24" s="1256"/>
      <c r="P24" s="1256">
        <f t="shared" si="4"/>
        <v>0</v>
      </c>
      <c r="Q24" s="1256"/>
    </row>
    <row r="25" ht="22.5" customHeight="1">
      <c r="A25" s="1249">
        <v>89.0</v>
      </c>
      <c r="B25" s="1250" t="s">
        <v>1967</v>
      </c>
      <c r="C25" s="1251" t="s">
        <v>67</v>
      </c>
      <c r="D25" s="1252" t="s">
        <v>1943</v>
      </c>
      <c r="E25" s="1253" t="str">
        <f>IMAGE("https://flagcdn.com/w320/az.png")</f>
        <v/>
      </c>
      <c r="F25" s="1254">
        <v>37641.0</v>
      </c>
      <c r="G25" s="1255">
        <f t="shared" si="2"/>
        <v>23</v>
      </c>
      <c r="H25" s="1256">
        <f t="shared" ref="H25:I25" si="19">0</f>
        <v>0</v>
      </c>
      <c r="I25" s="1256">
        <f t="shared" si="19"/>
        <v>0</v>
      </c>
      <c r="J25" s="1256"/>
      <c r="K25" s="1256"/>
      <c r="L25" s="1256"/>
      <c r="M25" s="1256"/>
      <c r="N25" s="1256"/>
      <c r="O25" s="1256"/>
      <c r="P25" s="1256">
        <f t="shared" si="4"/>
        <v>0</v>
      </c>
      <c r="Q25" s="1256"/>
    </row>
    <row r="26" ht="22.5" customHeight="1">
      <c r="A26" s="1249">
        <v>97.0</v>
      </c>
      <c r="B26" s="1250" t="s">
        <v>1968</v>
      </c>
      <c r="C26" s="1251" t="s">
        <v>67</v>
      </c>
      <c r="D26" s="1252" t="s">
        <v>1969</v>
      </c>
      <c r="E26" s="1253" t="str">
        <f>IMAGE("https://flagcdn.com/w320/hr.png")</f>
        <v/>
      </c>
      <c r="F26" s="1254">
        <v>35485.0</v>
      </c>
      <c r="G26" s="1255">
        <f t="shared" si="2"/>
        <v>28</v>
      </c>
      <c r="H26" s="1266">
        <v>0.0</v>
      </c>
      <c r="I26" s="1266">
        <v>0.0</v>
      </c>
      <c r="J26" s="1256"/>
      <c r="K26" s="1256"/>
      <c r="L26" s="1256"/>
      <c r="M26" s="1256"/>
      <c r="N26" s="1256"/>
      <c r="O26" s="1256"/>
      <c r="P26" s="1256">
        <f t="shared" si="4"/>
        <v>0</v>
      </c>
      <c r="Q26" s="1256"/>
    </row>
    <row r="27" ht="22.5" customHeight="1">
      <c r="A27" s="1249">
        <v>99.0</v>
      </c>
      <c r="B27" s="1250" t="s">
        <v>1970</v>
      </c>
      <c r="C27" s="1251" t="s">
        <v>67</v>
      </c>
      <c r="D27" s="1252" t="s">
        <v>521</v>
      </c>
      <c r="E27" s="1253" t="str">
        <f>IMAGE("https://flagcdn.com/w320/pl.png")</f>
        <v/>
      </c>
      <c r="F27" s="1254">
        <v>36732.0</v>
      </c>
      <c r="G27" s="1255">
        <f t="shared" si="2"/>
        <v>25</v>
      </c>
      <c r="H27" s="1256">
        <f>1+1+1+1+1+1+1</f>
        <v>7</v>
      </c>
      <c r="I27" s="1256">
        <f>90+90+90+90+90+90+90</f>
        <v>630</v>
      </c>
      <c r="J27" s="1256"/>
      <c r="K27" s="1256"/>
      <c r="L27" s="1256"/>
      <c r="M27" s="1256"/>
      <c r="N27" s="1256">
        <f>1</f>
        <v>1</v>
      </c>
      <c r="O27" s="1256"/>
      <c r="P27" s="1256">
        <f t="shared" si="4"/>
        <v>0</v>
      </c>
      <c r="Q27" s="1256">
        <f>1</f>
        <v>1</v>
      </c>
    </row>
    <row r="28">
      <c r="A28" s="11"/>
      <c r="B28" s="18"/>
      <c r="C28" s="18"/>
      <c r="D28" s="64"/>
      <c r="E28" s="65"/>
      <c r="F28" s="66"/>
      <c r="G28" s="18"/>
      <c r="H28" s="73">
        <f t="shared" ref="H28:Q28" si="20">SUM(H2:H27)</f>
        <v>109</v>
      </c>
      <c r="I28" s="73">
        <f t="shared" si="20"/>
        <v>6930</v>
      </c>
      <c r="J28" s="73">
        <f t="shared" si="20"/>
        <v>13</v>
      </c>
      <c r="K28" s="73">
        <f t="shared" si="20"/>
        <v>10</v>
      </c>
      <c r="L28" s="73">
        <f t="shared" si="20"/>
        <v>8</v>
      </c>
      <c r="M28" s="73">
        <f t="shared" si="20"/>
        <v>0</v>
      </c>
      <c r="N28" s="73">
        <f t="shared" si="20"/>
        <v>1</v>
      </c>
      <c r="O28" s="73">
        <f t="shared" si="20"/>
        <v>1</v>
      </c>
      <c r="P28" s="73">
        <f t="shared" si="20"/>
        <v>23</v>
      </c>
      <c r="Q28" s="73">
        <f t="shared" si="20"/>
        <v>1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ht="22.5" customHeight="1">
      <c r="A29" s="1243" t="s">
        <v>150</v>
      </c>
      <c r="B29" s="1244" t="s">
        <v>49</v>
      </c>
      <c r="C29" s="1244" t="s">
        <v>265</v>
      </c>
      <c r="D29" s="1268" t="s">
        <v>56</v>
      </c>
      <c r="E29" s="1269" t="s">
        <v>57</v>
      </c>
      <c r="F29" s="1244" t="s">
        <v>52</v>
      </c>
      <c r="G29" s="1244" t="s">
        <v>53</v>
      </c>
      <c r="H29" s="1244" t="s">
        <v>4</v>
      </c>
      <c r="I29" s="1244" t="s">
        <v>5</v>
      </c>
      <c r="J29" s="1244" t="s">
        <v>6</v>
      </c>
      <c r="K29" s="1244" t="s">
        <v>7</v>
      </c>
      <c r="L29" s="1244" t="s">
        <v>8</v>
      </c>
      <c r="M29" s="1244" t="s">
        <v>9</v>
      </c>
      <c r="N29" s="1244" t="s">
        <v>10</v>
      </c>
    </row>
    <row r="30" ht="22.5" customHeight="1">
      <c r="A30" s="1270"/>
      <c r="B30" s="1250" t="s">
        <v>1971</v>
      </c>
      <c r="C30" s="1250" t="s">
        <v>153</v>
      </c>
      <c r="D30" s="1252" t="s">
        <v>1943</v>
      </c>
      <c r="E30" s="1271" t="str">
        <f>IMAGE("https://flagcdn.com/w320/az.png")</f>
        <v/>
      </c>
      <c r="F30" s="1254">
        <v>26402.0</v>
      </c>
      <c r="G30" s="1255">
        <f>DATEDIF(F30,TODAY(),"Y")</f>
        <v>53</v>
      </c>
      <c r="H30" s="1272">
        <f>L30+M30+N30</f>
        <v>7</v>
      </c>
      <c r="I30" s="1272">
        <f>(3*L30)+M30</f>
        <v>10</v>
      </c>
      <c r="J30" s="1272">
        <f>3+2+1+2+2+3</f>
        <v>13</v>
      </c>
      <c r="K30" s="1272">
        <f>2+3+2+2+4+2</f>
        <v>15</v>
      </c>
      <c r="L30" s="1273">
        <f>1+1+1</f>
        <v>3</v>
      </c>
      <c r="M30" s="1274">
        <f>1</f>
        <v>1</v>
      </c>
      <c r="N30" s="1275">
        <f>1+1+1</f>
        <v>3</v>
      </c>
    </row>
    <row r="31">
      <c r="A31" s="11"/>
      <c r="B31" s="18"/>
      <c r="C31" s="18"/>
      <c r="D31" s="64"/>
      <c r="E31" s="65"/>
      <c r="F31" s="66"/>
      <c r="G31" s="18"/>
      <c r="H31" s="11">
        <f>SUM(trenerKarabach[mecze])</f>
        <v>7</v>
      </c>
      <c r="I31" s="11">
        <f>SUM(trenerKarabach[punkty])</f>
        <v>10</v>
      </c>
      <c r="J31" s="11">
        <f>SUM(trenerKarabach[strzelone])</f>
        <v>13</v>
      </c>
      <c r="K31" s="11">
        <f>SUM(trenerKarabach[stracone])</f>
        <v>15</v>
      </c>
      <c r="L31" s="11">
        <f>SUM(trenerKarabach[wygrane])</f>
        <v>3</v>
      </c>
      <c r="M31" s="11">
        <f>SUM(trenerKarabach[remisy])</f>
        <v>1</v>
      </c>
      <c r="N31" s="11">
        <f>SUM(trenerKarabach[porażki])</f>
        <v>3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ht="22.5" customHeight="1">
      <c r="A32" s="1243" t="s">
        <v>156</v>
      </c>
      <c r="B32" s="1243" t="s">
        <v>157</v>
      </c>
      <c r="C32" s="1243" t="s">
        <v>158</v>
      </c>
      <c r="D32" s="1247" t="s">
        <v>1972</v>
      </c>
      <c r="E32" s="1243" t="s">
        <v>160</v>
      </c>
      <c r="F32" s="1243" t="s">
        <v>161</v>
      </c>
    </row>
    <row r="33" ht="22.5" customHeight="1">
      <c r="A33" s="86">
        <v>1.0</v>
      </c>
      <c r="B33" s="87" t="s">
        <v>42</v>
      </c>
      <c r="C33" s="87" t="s">
        <v>32</v>
      </c>
      <c r="D33" s="88" t="s">
        <v>1973</v>
      </c>
      <c r="E33" s="89">
        <v>45691.0</v>
      </c>
      <c r="F33" s="87" t="s">
        <v>676</v>
      </c>
    </row>
    <row r="34" ht="22.5" customHeight="1">
      <c r="A34" s="86">
        <v>2.0</v>
      </c>
      <c r="B34" s="847" t="s">
        <v>32</v>
      </c>
      <c r="C34" s="87" t="s">
        <v>34</v>
      </c>
      <c r="D34" s="88" t="s">
        <v>1974</v>
      </c>
      <c r="E34" s="161" t="s">
        <v>271</v>
      </c>
      <c r="F34" s="87" t="s">
        <v>170</v>
      </c>
    </row>
    <row r="35" ht="22.5" customHeight="1">
      <c r="A35" s="77">
        <v>3.0</v>
      </c>
      <c r="B35" s="697" t="s">
        <v>40</v>
      </c>
      <c r="C35" s="697" t="s">
        <v>32</v>
      </c>
      <c r="D35" s="83" t="s">
        <v>1975</v>
      </c>
      <c r="E35" s="84">
        <v>45717.0</v>
      </c>
      <c r="F35" s="78" t="s">
        <v>269</v>
      </c>
    </row>
    <row r="36" ht="22.5" customHeight="1">
      <c r="A36" s="197">
        <v>4.0</v>
      </c>
      <c r="B36" s="727" t="s">
        <v>32</v>
      </c>
      <c r="C36" s="727" t="s">
        <v>22</v>
      </c>
      <c r="D36" s="264" t="s">
        <v>1976</v>
      </c>
      <c r="E36" s="265">
        <v>45690.0</v>
      </c>
      <c r="F36" s="198" t="s">
        <v>170</v>
      </c>
    </row>
    <row r="37" ht="22.5" customHeight="1">
      <c r="A37" s="77">
        <v>5.0</v>
      </c>
      <c r="B37" s="78" t="s">
        <v>33</v>
      </c>
      <c r="C37" s="697" t="s">
        <v>32</v>
      </c>
      <c r="D37" s="79"/>
      <c r="E37" s="80" t="s">
        <v>271</v>
      </c>
      <c r="F37" s="78" t="s">
        <v>785</v>
      </c>
    </row>
    <row r="38" ht="22.5" customHeight="1">
      <c r="A38" s="77">
        <v>6.0</v>
      </c>
      <c r="B38" s="697" t="s">
        <v>32</v>
      </c>
      <c r="C38" s="78" t="s">
        <v>43</v>
      </c>
      <c r="D38" s="83" t="s">
        <v>1977</v>
      </c>
      <c r="E38" s="84">
        <v>45692.0</v>
      </c>
      <c r="F38" s="78" t="s">
        <v>170</v>
      </c>
    </row>
    <row r="39" ht="22.5" customHeight="1">
      <c r="A39" s="86">
        <v>7.0</v>
      </c>
      <c r="B39" s="87" t="s">
        <v>32</v>
      </c>
      <c r="C39" s="847" t="s">
        <v>41</v>
      </c>
      <c r="D39" s="88" t="s">
        <v>1978</v>
      </c>
      <c r="E39" s="89">
        <v>46083.0</v>
      </c>
      <c r="F39" s="87" t="s">
        <v>170</v>
      </c>
    </row>
    <row r="40" ht="22.5" customHeight="1">
      <c r="A40" s="90">
        <v>8.0</v>
      </c>
      <c r="B40" s="925" t="s">
        <v>18</v>
      </c>
      <c r="C40" s="91" t="s">
        <v>32</v>
      </c>
      <c r="D40" s="92"/>
      <c r="E40" s="93"/>
      <c r="F40" s="94" t="s">
        <v>445</v>
      </c>
    </row>
    <row r="41">
      <c r="A41" s="12"/>
      <c r="D41" s="95"/>
      <c r="E41" s="14"/>
      <c r="F41" s="96"/>
    </row>
    <row r="42">
      <c r="A42" s="12"/>
      <c r="D42" s="95"/>
      <c r="E42" s="14"/>
      <c r="F42" s="96"/>
    </row>
    <row r="43">
      <c r="A43" s="12"/>
      <c r="D43" s="95"/>
      <c r="E43" s="14"/>
      <c r="F43" s="96"/>
    </row>
    <row r="44">
      <c r="A44" s="12"/>
      <c r="D44" s="95"/>
      <c r="E44" s="14"/>
      <c r="F44" s="96"/>
    </row>
    <row r="45">
      <c r="A45" s="12"/>
      <c r="D45" s="95"/>
      <c r="E45" s="14"/>
      <c r="F45" s="96"/>
    </row>
    <row r="46">
      <c r="A46" s="12"/>
      <c r="D46" s="95"/>
      <c r="E46" s="14"/>
      <c r="F46" s="96"/>
    </row>
    <row r="47">
      <c r="A47" s="12"/>
      <c r="D47" s="95"/>
      <c r="E47" s="14"/>
      <c r="F47" s="96"/>
    </row>
    <row r="48">
      <c r="A48" s="12"/>
      <c r="D48" s="95"/>
      <c r="E48" s="14"/>
      <c r="F48" s="96"/>
    </row>
    <row r="49">
      <c r="A49" s="12"/>
      <c r="D49" s="95"/>
      <c r="E49" s="14"/>
      <c r="F49" s="96"/>
    </row>
    <row r="50">
      <c r="A50" s="12"/>
      <c r="D50" s="95"/>
      <c r="E50" s="14"/>
      <c r="F50" s="96"/>
    </row>
    <row r="51">
      <c r="A51" s="12"/>
      <c r="D51" s="95"/>
      <c r="E51" s="14"/>
      <c r="F51" s="96"/>
    </row>
    <row r="52">
      <c r="A52" s="12"/>
      <c r="D52" s="95"/>
      <c r="E52" s="14"/>
      <c r="F52" s="96"/>
    </row>
    <row r="53">
      <c r="A53" s="12"/>
      <c r="D53" s="95"/>
      <c r="E53" s="14"/>
      <c r="F53" s="96"/>
    </row>
    <row r="54">
      <c r="A54" s="12"/>
      <c r="D54" s="95"/>
      <c r="E54" s="14"/>
      <c r="F54" s="96"/>
    </row>
    <row r="55">
      <c r="A55" s="12"/>
      <c r="D55" s="95"/>
      <c r="E55" s="14"/>
      <c r="F55" s="96"/>
    </row>
    <row r="56">
      <c r="A56" s="12"/>
      <c r="D56" s="95"/>
      <c r="E56" s="14"/>
      <c r="F56" s="96"/>
    </row>
    <row r="57">
      <c r="A57" s="12"/>
      <c r="D57" s="95"/>
      <c r="E57" s="14"/>
      <c r="F57" s="96"/>
    </row>
    <row r="58">
      <c r="A58" s="12"/>
      <c r="D58" s="95"/>
      <c r="E58" s="14"/>
      <c r="F58" s="96"/>
    </row>
    <row r="59">
      <c r="A59" s="12"/>
      <c r="D59" s="95"/>
      <c r="E59" s="14"/>
      <c r="F59" s="96"/>
    </row>
    <row r="60">
      <c r="A60" s="12"/>
      <c r="D60" s="95"/>
      <c r="E60" s="14"/>
      <c r="F60" s="96"/>
    </row>
    <row r="61">
      <c r="A61" s="12"/>
      <c r="D61" s="95"/>
      <c r="E61" s="14"/>
      <c r="F61" s="96"/>
    </row>
    <row r="62">
      <c r="A62" s="12"/>
      <c r="D62" s="95"/>
      <c r="E62" s="14"/>
      <c r="F62" s="96"/>
    </row>
    <row r="63">
      <c r="A63" s="12"/>
      <c r="D63" s="95"/>
      <c r="E63" s="14"/>
      <c r="F63" s="96"/>
    </row>
    <row r="64">
      <c r="A64" s="12"/>
      <c r="D64" s="95"/>
      <c r="E64" s="14"/>
      <c r="F64" s="96"/>
    </row>
    <row r="65">
      <c r="A65" s="12"/>
      <c r="D65" s="95"/>
      <c r="E65" s="14"/>
      <c r="F65" s="96"/>
    </row>
    <row r="66">
      <c r="A66" s="12"/>
      <c r="D66" s="95"/>
      <c r="E66" s="14"/>
      <c r="F66" s="96"/>
    </row>
    <row r="67">
      <c r="A67" s="12"/>
      <c r="D67" s="95"/>
      <c r="E67" s="14"/>
      <c r="F67" s="96"/>
    </row>
    <row r="68">
      <c r="A68" s="12"/>
      <c r="D68" s="95"/>
      <c r="E68" s="14"/>
      <c r="F68" s="96"/>
    </row>
    <row r="69">
      <c r="A69" s="12"/>
      <c r="D69" s="95"/>
      <c r="E69" s="14"/>
      <c r="F69" s="96"/>
    </row>
    <row r="70">
      <c r="A70" s="12"/>
      <c r="D70" s="95"/>
      <c r="E70" s="14"/>
      <c r="F70" s="96"/>
    </row>
    <row r="71">
      <c r="A71" s="12"/>
      <c r="D71" s="95"/>
      <c r="E71" s="14"/>
      <c r="F71" s="96"/>
    </row>
    <row r="72">
      <c r="A72" s="12"/>
      <c r="D72" s="95"/>
      <c r="E72" s="14"/>
      <c r="F72" s="96"/>
    </row>
    <row r="73">
      <c r="A73" s="12"/>
      <c r="D73" s="95"/>
      <c r="E73" s="14"/>
      <c r="F73" s="96"/>
    </row>
    <row r="74">
      <c r="A74" s="12"/>
      <c r="D74" s="95"/>
      <c r="E74" s="14"/>
      <c r="F74" s="96"/>
    </row>
    <row r="75">
      <c r="A75" s="12"/>
      <c r="D75" s="95"/>
      <c r="E75" s="14"/>
      <c r="F75" s="96"/>
    </row>
    <row r="76">
      <c r="A76" s="12"/>
      <c r="D76" s="95"/>
      <c r="E76" s="14"/>
      <c r="F76" s="96"/>
    </row>
    <row r="77">
      <c r="A77" s="12"/>
      <c r="D77" s="95"/>
      <c r="E77" s="14"/>
      <c r="F77" s="96"/>
    </row>
    <row r="78">
      <c r="A78" s="12"/>
      <c r="D78" s="95"/>
      <c r="E78" s="14"/>
      <c r="F78" s="96"/>
    </row>
    <row r="79">
      <c r="A79" s="12"/>
      <c r="D79" s="95"/>
      <c r="E79" s="14"/>
      <c r="F79" s="96"/>
    </row>
    <row r="80">
      <c r="A80" s="12"/>
      <c r="D80" s="95"/>
      <c r="E80" s="14"/>
      <c r="F80" s="96"/>
    </row>
    <row r="81">
      <c r="A81" s="12"/>
      <c r="D81" s="95"/>
      <c r="E81" s="14"/>
      <c r="F81" s="96"/>
    </row>
    <row r="82">
      <c r="A82" s="12"/>
      <c r="D82" s="95"/>
      <c r="E82" s="14"/>
      <c r="F82" s="96"/>
    </row>
    <row r="83">
      <c r="A83" s="12"/>
      <c r="D83" s="95"/>
      <c r="E83" s="14"/>
      <c r="F83" s="96"/>
    </row>
    <row r="84">
      <c r="A84" s="12"/>
      <c r="D84" s="95"/>
      <c r="E84" s="14"/>
      <c r="F84" s="96"/>
    </row>
    <row r="85">
      <c r="A85" s="12"/>
      <c r="D85" s="95"/>
      <c r="E85" s="14"/>
      <c r="F85" s="96"/>
    </row>
    <row r="86">
      <c r="A86" s="12"/>
      <c r="D86" s="95"/>
      <c r="E86" s="14"/>
      <c r="F86" s="96"/>
    </row>
    <row r="87">
      <c r="A87" s="12"/>
      <c r="D87" s="95"/>
      <c r="E87" s="14"/>
      <c r="F87" s="96"/>
    </row>
    <row r="88">
      <c r="A88" s="12"/>
      <c r="D88" s="95"/>
      <c r="E88" s="14"/>
      <c r="F88" s="96"/>
    </row>
    <row r="89">
      <c r="A89" s="12"/>
      <c r="D89" s="95"/>
      <c r="E89" s="14"/>
      <c r="F89" s="96"/>
    </row>
    <row r="90">
      <c r="A90" s="12"/>
      <c r="D90" s="95"/>
      <c r="E90" s="14"/>
      <c r="F90" s="96"/>
    </row>
    <row r="91">
      <c r="A91" s="12"/>
      <c r="D91" s="95"/>
      <c r="E91" s="14"/>
      <c r="F91" s="96"/>
    </row>
    <row r="92">
      <c r="A92" s="12"/>
      <c r="D92" s="95"/>
      <c r="E92" s="14"/>
      <c r="F92" s="96"/>
    </row>
    <row r="93">
      <c r="A93" s="12"/>
      <c r="D93" s="95"/>
      <c r="E93" s="14"/>
      <c r="F93" s="96"/>
    </row>
    <row r="94">
      <c r="A94" s="12"/>
      <c r="D94" s="95"/>
      <c r="E94" s="14"/>
      <c r="F94" s="96"/>
    </row>
    <row r="95">
      <c r="A95" s="12"/>
      <c r="D95" s="95"/>
      <c r="E95" s="14"/>
      <c r="F95" s="96"/>
    </row>
    <row r="96">
      <c r="A96" s="12"/>
      <c r="D96" s="95"/>
      <c r="E96" s="14"/>
      <c r="F96" s="96"/>
    </row>
    <row r="97">
      <c r="A97" s="12"/>
      <c r="D97" s="95"/>
      <c r="E97" s="14"/>
      <c r="F97" s="96"/>
    </row>
    <row r="98">
      <c r="A98" s="12"/>
      <c r="D98" s="95"/>
      <c r="E98" s="14"/>
      <c r="F98" s="96"/>
    </row>
    <row r="99">
      <c r="A99" s="12"/>
      <c r="D99" s="95"/>
      <c r="E99" s="14"/>
      <c r="F99" s="96"/>
    </row>
    <row r="100">
      <c r="A100" s="12"/>
      <c r="D100" s="95"/>
      <c r="E100" s="14"/>
      <c r="F100" s="96"/>
    </row>
    <row r="101">
      <c r="A101" s="12"/>
      <c r="D101" s="95"/>
      <c r="E101" s="14"/>
      <c r="F101" s="96"/>
    </row>
    <row r="102">
      <c r="A102" s="12"/>
      <c r="D102" s="95"/>
      <c r="E102" s="14"/>
      <c r="F102" s="96"/>
    </row>
    <row r="103">
      <c r="A103" s="12"/>
      <c r="D103" s="95"/>
      <c r="E103" s="14"/>
      <c r="F103" s="96"/>
    </row>
    <row r="104">
      <c r="A104" s="12"/>
      <c r="D104" s="95"/>
      <c r="E104" s="14"/>
      <c r="F104" s="96"/>
    </row>
    <row r="105">
      <c r="A105" s="12"/>
      <c r="D105" s="95"/>
      <c r="E105" s="14"/>
      <c r="F105" s="96"/>
    </row>
    <row r="106">
      <c r="A106" s="12"/>
      <c r="D106" s="95"/>
      <c r="E106" s="14"/>
      <c r="F106" s="96"/>
    </row>
    <row r="107">
      <c r="A107" s="12"/>
      <c r="D107" s="95"/>
      <c r="E107" s="14"/>
      <c r="F107" s="96"/>
    </row>
    <row r="108">
      <c r="A108" s="12"/>
      <c r="D108" s="95"/>
      <c r="E108" s="14"/>
      <c r="F108" s="96"/>
    </row>
    <row r="109">
      <c r="A109" s="12"/>
      <c r="D109" s="95"/>
      <c r="E109" s="14"/>
      <c r="F109" s="96"/>
    </row>
    <row r="110">
      <c r="A110" s="12"/>
      <c r="D110" s="95"/>
      <c r="E110" s="14"/>
      <c r="F110" s="96"/>
    </row>
    <row r="111">
      <c r="A111" s="12"/>
      <c r="D111" s="95"/>
      <c r="E111" s="14"/>
      <c r="F111" s="96"/>
    </row>
    <row r="112">
      <c r="A112" s="12"/>
      <c r="D112" s="95"/>
      <c r="E112" s="14"/>
      <c r="F112" s="96"/>
    </row>
    <row r="113">
      <c r="A113" s="12"/>
      <c r="D113" s="95"/>
      <c r="E113" s="14"/>
      <c r="F113" s="96"/>
    </row>
    <row r="114">
      <c r="A114" s="12"/>
      <c r="D114" s="95"/>
      <c r="E114" s="14"/>
      <c r="F114" s="96"/>
    </row>
    <row r="115">
      <c r="A115" s="12"/>
      <c r="D115" s="95"/>
      <c r="E115" s="14"/>
      <c r="F115" s="96"/>
    </row>
    <row r="116">
      <c r="A116" s="12"/>
      <c r="D116" s="95"/>
      <c r="E116" s="14"/>
      <c r="F116" s="96"/>
    </row>
    <row r="117">
      <c r="A117" s="12"/>
      <c r="D117" s="95"/>
      <c r="E117" s="14"/>
      <c r="F117" s="96"/>
    </row>
    <row r="118">
      <c r="A118" s="12"/>
      <c r="D118" s="95"/>
      <c r="E118" s="14"/>
      <c r="F118" s="96"/>
    </row>
    <row r="119">
      <c r="A119" s="12"/>
      <c r="D119" s="95"/>
      <c r="E119" s="14"/>
      <c r="F119" s="96"/>
    </row>
    <row r="120">
      <c r="A120" s="12"/>
      <c r="D120" s="95"/>
      <c r="E120" s="14"/>
      <c r="F120" s="96"/>
    </row>
    <row r="121">
      <c r="A121" s="12"/>
      <c r="D121" s="95"/>
      <c r="E121" s="14"/>
      <c r="F121" s="96"/>
    </row>
    <row r="122">
      <c r="A122" s="12"/>
      <c r="D122" s="95"/>
      <c r="E122" s="14"/>
      <c r="F122" s="96"/>
    </row>
    <row r="123">
      <c r="A123" s="12"/>
      <c r="D123" s="95"/>
      <c r="E123" s="14"/>
      <c r="F123" s="96"/>
    </row>
    <row r="124">
      <c r="A124" s="12"/>
      <c r="D124" s="95"/>
      <c r="E124" s="14"/>
      <c r="F124" s="96"/>
    </row>
    <row r="125">
      <c r="A125" s="12"/>
      <c r="D125" s="95"/>
      <c r="E125" s="14"/>
      <c r="F125" s="96"/>
    </row>
    <row r="126">
      <c r="A126" s="12"/>
      <c r="D126" s="95"/>
      <c r="E126" s="14"/>
      <c r="F126" s="96"/>
    </row>
    <row r="127">
      <c r="A127" s="12"/>
      <c r="D127" s="95"/>
      <c r="E127" s="14"/>
      <c r="F127" s="96"/>
    </row>
    <row r="128">
      <c r="A128" s="12"/>
      <c r="D128" s="95"/>
      <c r="E128" s="14"/>
      <c r="F128" s="96"/>
    </row>
    <row r="129">
      <c r="A129" s="12"/>
      <c r="D129" s="95"/>
      <c r="E129" s="14"/>
      <c r="F129" s="96"/>
    </row>
    <row r="130">
      <c r="A130" s="12"/>
      <c r="D130" s="95"/>
      <c r="E130" s="14"/>
      <c r="F130" s="96"/>
    </row>
    <row r="131">
      <c r="A131" s="12"/>
      <c r="D131" s="95"/>
      <c r="E131" s="14"/>
      <c r="F131" s="96"/>
    </row>
    <row r="132">
      <c r="A132" s="12"/>
      <c r="D132" s="95"/>
      <c r="E132" s="14"/>
      <c r="F132" s="96"/>
    </row>
    <row r="133">
      <c r="A133" s="12"/>
      <c r="D133" s="95"/>
      <c r="E133" s="14"/>
      <c r="F133" s="96"/>
    </row>
    <row r="134">
      <c r="A134" s="12"/>
      <c r="D134" s="95"/>
      <c r="E134" s="14"/>
      <c r="F134" s="96"/>
    </row>
    <row r="135">
      <c r="A135" s="12"/>
      <c r="D135" s="95"/>
      <c r="E135" s="14"/>
      <c r="F135" s="96"/>
    </row>
    <row r="136">
      <c r="A136" s="12"/>
      <c r="D136" s="95"/>
      <c r="E136" s="14"/>
      <c r="F136" s="96"/>
    </row>
    <row r="137">
      <c r="A137" s="12"/>
      <c r="D137" s="95"/>
      <c r="E137" s="14"/>
      <c r="F137" s="96"/>
    </row>
    <row r="138">
      <c r="A138" s="12"/>
      <c r="D138" s="95"/>
      <c r="E138" s="14"/>
      <c r="F138" s="96"/>
    </row>
    <row r="139">
      <c r="A139" s="12"/>
      <c r="D139" s="95"/>
      <c r="E139" s="14"/>
      <c r="F139" s="96"/>
    </row>
    <row r="140">
      <c r="A140" s="12"/>
      <c r="D140" s="95"/>
      <c r="E140" s="14"/>
      <c r="F140" s="96"/>
    </row>
    <row r="141">
      <c r="A141" s="12"/>
      <c r="D141" s="95"/>
      <c r="E141" s="14"/>
      <c r="F141" s="96"/>
    </row>
    <row r="142">
      <c r="A142" s="12"/>
      <c r="D142" s="95"/>
      <c r="E142" s="14"/>
      <c r="F142" s="96"/>
    </row>
    <row r="143">
      <c r="A143" s="12"/>
      <c r="D143" s="95"/>
      <c r="E143" s="14"/>
      <c r="F143" s="96"/>
    </row>
    <row r="144">
      <c r="A144" s="12"/>
      <c r="D144" s="95"/>
      <c r="E144" s="14"/>
      <c r="F144" s="96"/>
    </row>
    <row r="145">
      <c r="A145" s="12"/>
      <c r="D145" s="95"/>
      <c r="E145" s="14"/>
      <c r="F145" s="96"/>
    </row>
    <row r="146">
      <c r="A146" s="12"/>
      <c r="D146" s="95"/>
      <c r="E146" s="14"/>
      <c r="F146" s="96"/>
    </row>
    <row r="147">
      <c r="A147" s="12"/>
      <c r="D147" s="95"/>
      <c r="E147" s="14"/>
      <c r="F147" s="96"/>
    </row>
    <row r="148">
      <c r="A148" s="12"/>
      <c r="D148" s="95"/>
      <c r="E148" s="14"/>
      <c r="F148" s="96"/>
    </row>
    <row r="149">
      <c r="A149" s="12"/>
      <c r="D149" s="95"/>
      <c r="E149" s="14"/>
      <c r="F149" s="96"/>
    </row>
    <row r="150">
      <c r="A150" s="12"/>
      <c r="D150" s="95"/>
      <c r="E150" s="14"/>
      <c r="F150" s="96"/>
    </row>
    <row r="151">
      <c r="A151" s="12"/>
      <c r="D151" s="95"/>
      <c r="E151" s="14"/>
      <c r="F151" s="96"/>
    </row>
    <row r="152">
      <c r="A152" s="12"/>
      <c r="D152" s="95"/>
      <c r="E152" s="14"/>
      <c r="F152" s="96"/>
    </row>
    <row r="153">
      <c r="A153" s="12"/>
      <c r="D153" s="95"/>
      <c r="E153" s="14"/>
      <c r="F153" s="96"/>
    </row>
    <row r="154">
      <c r="A154" s="12"/>
      <c r="D154" s="95"/>
      <c r="E154" s="14"/>
      <c r="F154" s="96"/>
    </row>
    <row r="155">
      <c r="A155" s="12"/>
      <c r="D155" s="95"/>
      <c r="E155" s="14"/>
      <c r="F155" s="96"/>
    </row>
    <row r="156">
      <c r="A156" s="12"/>
      <c r="D156" s="95"/>
      <c r="E156" s="14"/>
      <c r="F156" s="96"/>
    </row>
    <row r="157">
      <c r="A157" s="12"/>
      <c r="D157" s="95"/>
      <c r="E157" s="14"/>
      <c r="F157" s="96"/>
    </row>
    <row r="158">
      <c r="A158" s="12"/>
      <c r="D158" s="95"/>
      <c r="E158" s="14"/>
      <c r="F158" s="96"/>
    </row>
    <row r="159">
      <c r="A159" s="12"/>
      <c r="D159" s="95"/>
      <c r="E159" s="14"/>
      <c r="F159" s="96"/>
    </row>
    <row r="160">
      <c r="A160" s="12"/>
      <c r="D160" s="95"/>
      <c r="E160" s="14"/>
      <c r="F160" s="96"/>
    </row>
    <row r="161">
      <c r="A161" s="12"/>
      <c r="D161" s="95"/>
      <c r="E161" s="14"/>
      <c r="F161" s="96"/>
    </row>
    <row r="162">
      <c r="A162" s="12"/>
      <c r="D162" s="95"/>
      <c r="E162" s="14"/>
      <c r="F162" s="96"/>
    </row>
    <row r="163">
      <c r="A163" s="12"/>
      <c r="D163" s="95"/>
      <c r="E163" s="14"/>
      <c r="F163" s="96"/>
    </row>
    <row r="164">
      <c r="A164" s="12"/>
      <c r="D164" s="95"/>
      <c r="E164" s="14"/>
      <c r="F164" s="96"/>
    </row>
    <row r="165">
      <c r="A165" s="12"/>
      <c r="D165" s="95"/>
      <c r="E165" s="14"/>
      <c r="F165" s="96"/>
    </row>
    <row r="166">
      <c r="A166" s="12"/>
      <c r="D166" s="95"/>
      <c r="E166" s="14"/>
      <c r="F166" s="96"/>
    </row>
    <row r="167">
      <c r="A167" s="12"/>
      <c r="D167" s="95"/>
      <c r="E167" s="14"/>
      <c r="F167" s="96"/>
    </row>
    <row r="168">
      <c r="A168" s="12"/>
      <c r="D168" s="95"/>
      <c r="E168" s="14"/>
      <c r="F168" s="96"/>
    </row>
    <row r="169">
      <c r="A169" s="12"/>
      <c r="D169" s="95"/>
      <c r="E169" s="14"/>
      <c r="F169" s="96"/>
    </row>
    <row r="170">
      <c r="A170" s="12"/>
      <c r="D170" s="95"/>
      <c r="E170" s="14"/>
      <c r="F170" s="96"/>
    </row>
    <row r="171">
      <c r="A171" s="12"/>
      <c r="D171" s="95"/>
      <c r="E171" s="14"/>
      <c r="F171" s="96"/>
    </row>
    <row r="172">
      <c r="A172" s="12"/>
      <c r="D172" s="95"/>
      <c r="E172" s="14"/>
      <c r="F172" s="96"/>
    </row>
    <row r="173">
      <c r="A173" s="12"/>
      <c r="D173" s="95"/>
      <c r="E173" s="14"/>
      <c r="F173" s="96"/>
    </row>
    <row r="174">
      <c r="A174" s="12"/>
      <c r="D174" s="95"/>
      <c r="E174" s="14"/>
      <c r="F174" s="96"/>
    </row>
    <row r="175">
      <c r="A175" s="12"/>
      <c r="D175" s="95"/>
      <c r="E175" s="14"/>
      <c r="F175" s="96"/>
    </row>
    <row r="176">
      <c r="A176" s="12"/>
      <c r="D176" s="95"/>
      <c r="E176" s="14"/>
      <c r="F176" s="96"/>
    </row>
    <row r="177">
      <c r="A177" s="12"/>
      <c r="D177" s="95"/>
      <c r="E177" s="14"/>
      <c r="F177" s="96"/>
    </row>
    <row r="178">
      <c r="A178" s="12"/>
      <c r="D178" s="95"/>
      <c r="E178" s="14"/>
      <c r="F178" s="96"/>
    </row>
    <row r="179">
      <c r="A179" s="12"/>
      <c r="D179" s="95"/>
      <c r="E179" s="14"/>
      <c r="F179" s="96"/>
    </row>
    <row r="180">
      <c r="A180" s="12"/>
      <c r="D180" s="95"/>
      <c r="E180" s="14"/>
      <c r="F180" s="96"/>
    </row>
    <row r="181">
      <c r="A181" s="12"/>
      <c r="D181" s="95"/>
      <c r="E181" s="14"/>
      <c r="F181" s="96"/>
    </row>
    <row r="182">
      <c r="A182" s="12"/>
      <c r="D182" s="95"/>
      <c r="E182" s="14"/>
      <c r="F182" s="96"/>
    </row>
    <row r="183">
      <c r="A183" s="12"/>
      <c r="D183" s="95"/>
      <c r="E183" s="14"/>
      <c r="F183" s="96"/>
    </row>
    <row r="184">
      <c r="A184" s="12"/>
      <c r="D184" s="95"/>
      <c r="E184" s="14"/>
      <c r="F184" s="96"/>
    </row>
    <row r="185">
      <c r="A185" s="12"/>
      <c r="D185" s="95"/>
      <c r="E185" s="14"/>
      <c r="F185" s="96"/>
    </row>
    <row r="186">
      <c r="A186" s="12"/>
      <c r="D186" s="95"/>
      <c r="E186" s="14"/>
      <c r="F186" s="96"/>
    </row>
    <row r="187">
      <c r="A187" s="12"/>
      <c r="D187" s="95"/>
      <c r="E187" s="14"/>
      <c r="F187" s="96"/>
    </row>
    <row r="188">
      <c r="A188" s="12"/>
      <c r="D188" s="95"/>
      <c r="E188" s="14"/>
      <c r="F188" s="96"/>
    </row>
    <row r="189">
      <c r="A189" s="12"/>
      <c r="D189" s="95"/>
      <c r="E189" s="14"/>
      <c r="F189" s="96"/>
    </row>
    <row r="190">
      <c r="A190" s="12"/>
      <c r="D190" s="95"/>
      <c r="E190" s="14"/>
      <c r="F190" s="96"/>
    </row>
    <row r="191">
      <c r="A191" s="12"/>
      <c r="D191" s="95"/>
      <c r="E191" s="14"/>
      <c r="F191" s="96"/>
    </row>
    <row r="192">
      <c r="A192" s="12"/>
      <c r="D192" s="95"/>
      <c r="E192" s="14"/>
      <c r="F192" s="96"/>
    </row>
    <row r="193">
      <c r="A193" s="12"/>
      <c r="D193" s="95"/>
      <c r="E193" s="14"/>
      <c r="F193" s="96"/>
    </row>
    <row r="194">
      <c r="A194" s="12"/>
      <c r="D194" s="95"/>
      <c r="E194" s="14"/>
      <c r="F194" s="96"/>
    </row>
    <row r="195">
      <c r="A195" s="12"/>
      <c r="D195" s="95"/>
      <c r="E195" s="14"/>
      <c r="F195" s="96"/>
    </row>
    <row r="196">
      <c r="A196" s="12"/>
      <c r="D196" s="95"/>
      <c r="E196" s="14"/>
      <c r="F196" s="96"/>
    </row>
    <row r="197">
      <c r="A197" s="12"/>
      <c r="D197" s="95"/>
      <c r="E197" s="14"/>
      <c r="F197" s="96"/>
    </row>
    <row r="198">
      <c r="A198" s="12"/>
      <c r="D198" s="95"/>
      <c r="E198" s="14"/>
      <c r="F198" s="96"/>
    </row>
    <row r="199">
      <c r="A199" s="12"/>
      <c r="D199" s="95"/>
      <c r="E199" s="14"/>
      <c r="F199" s="96"/>
    </row>
    <row r="200">
      <c r="A200" s="12"/>
      <c r="D200" s="95"/>
      <c r="E200" s="14"/>
      <c r="F200" s="96"/>
    </row>
    <row r="201">
      <c r="A201" s="12"/>
      <c r="D201" s="95"/>
      <c r="E201" s="14"/>
      <c r="F201" s="96"/>
    </row>
    <row r="202">
      <c r="A202" s="12"/>
      <c r="D202" s="95"/>
      <c r="E202" s="14"/>
      <c r="F202" s="96"/>
    </row>
    <row r="203">
      <c r="A203" s="12"/>
      <c r="D203" s="95"/>
      <c r="E203" s="14"/>
      <c r="F203" s="96"/>
    </row>
    <row r="204">
      <c r="A204" s="12"/>
      <c r="D204" s="95"/>
      <c r="E204" s="14"/>
      <c r="F204" s="96"/>
    </row>
    <row r="205">
      <c r="A205" s="12"/>
      <c r="D205" s="95"/>
      <c r="E205" s="14"/>
      <c r="F205" s="96"/>
    </row>
    <row r="206">
      <c r="A206" s="12"/>
      <c r="D206" s="95"/>
      <c r="E206" s="14"/>
      <c r="F206" s="96"/>
    </row>
    <row r="207">
      <c r="A207" s="12"/>
      <c r="D207" s="95"/>
      <c r="E207" s="14"/>
      <c r="F207" s="96"/>
    </row>
    <row r="208">
      <c r="A208" s="12"/>
      <c r="D208" s="95"/>
      <c r="E208" s="14"/>
      <c r="F208" s="96"/>
    </row>
    <row r="209">
      <c r="A209" s="12"/>
      <c r="D209" s="95"/>
      <c r="E209" s="14"/>
      <c r="F209" s="96"/>
    </row>
    <row r="210">
      <c r="A210" s="12"/>
      <c r="D210" s="95"/>
      <c r="E210" s="14"/>
      <c r="F210" s="96"/>
    </row>
    <row r="211">
      <c r="A211" s="12"/>
      <c r="D211" s="95"/>
      <c r="E211" s="14"/>
      <c r="F211" s="96"/>
    </row>
    <row r="212">
      <c r="A212" s="12"/>
      <c r="D212" s="95"/>
      <c r="E212" s="14"/>
      <c r="F212" s="96"/>
    </row>
    <row r="213">
      <c r="A213" s="12"/>
      <c r="D213" s="95"/>
      <c r="E213" s="14"/>
      <c r="F213" s="96"/>
    </row>
    <row r="214">
      <c r="A214" s="12"/>
      <c r="D214" s="95"/>
      <c r="E214" s="14"/>
      <c r="F214" s="96"/>
    </row>
    <row r="215">
      <c r="A215" s="12"/>
      <c r="D215" s="95"/>
      <c r="E215" s="14"/>
      <c r="F215" s="96"/>
    </row>
    <row r="216">
      <c r="A216" s="12"/>
      <c r="D216" s="95"/>
      <c r="E216" s="14"/>
      <c r="F216" s="96"/>
    </row>
    <row r="217">
      <c r="A217" s="12"/>
      <c r="D217" s="95"/>
      <c r="E217" s="14"/>
      <c r="F217" s="96"/>
    </row>
    <row r="218">
      <c r="A218" s="12"/>
      <c r="D218" s="95"/>
      <c r="E218" s="14"/>
      <c r="F218" s="96"/>
    </row>
    <row r="219">
      <c r="A219" s="12"/>
      <c r="D219" s="95"/>
      <c r="E219" s="14"/>
      <c r="F219" s="96"/>
    </row>
    <row r="220">
      <c r="A220" s="12"/>
      <c r="D220" s="95"/>
      <c r="E220" s="14"/>
      <c r="F220" s="96"/>
    </row>
    <row r="221">
      <c r="A221" s="12"/>
      <c r="D221" s="95"/>
      <c r="E221" s="14"/>
      <c r="F221" s="96"/>
    </row>
    <row r="222">
      <c r="A222" s="12"/>
      <c r="D222" s="95"/>
      <c r="E222" s="14"/>
      <c r="F222" s="96"/>
    </row>
    <row r="223">
      <c r="A223" s="12"/>
      <c r="D223" s="95"/>
      <c r="E223" s="14"/>
      <c r="F223" s="96"/>
    </row>
    <row r="224">
      <c r="A224" s="12"/>
      <c r="D224" s="95"/>
      <c r="E224" s="14"/>
      <c r="F224" s="96"/>
    </row>
    <row r="225">
      <c r="A225" s="12"/>
      <c r="D225" s="95"/>
      <c r="E225" s="14"/>
      <c r="F225" s="96"/>
    </row>
    <row r="226">
      <c r="A226" s="12"/>
      <c r="D226" s="95"/>
      <c r="E226" s="14"/>
      <c r="F226" s="96"/>
    </row>
    <row r="227">
      <c r="A227" s="12"/>
      <c r="D227" s="95"/>
      <c r="E227" s="14"/>
      <c r="F227" s="96"/>
    </row>
    <row r="228">
      <c r="A228" s="12"/>
      <c r="D228" s="95"/>
      <c r="E228" s="14"/>
      <c r="F228" s="96"/>
    </row>
    <row r="229">
      <c r="A229" s="12"/>
      <c r="D229" s="95"/>
      <c r="E229" s="14"/>
      <c r="F229" s="96"/>
    </row>
    <row r="230">
      <c r="A230" s="12"/>
      <c r="D230" s="95"/>
      <c r="E230" s="14"/>
      <c r="F230" s="96"/>
    </row>
    <row r="231">
      <c r="A231" s="12"/>
      <c r="D231" s="95"/>
      <c r="E231" s="14"/>
      <c r="F231" s="96"/>
    </row>
    <row r="232">
      <c r="A232" s="12"/>
      <c r="D232" s="95"/>
      <c r="E232" s="14"/>
      <c r="F232" s="96"/>
    </row>
    <row r="233">
      <c r="A233" s="12"/>
      <c r="D233" s="95"/>
      <c r="E233" s="14"/>
      <c r="F233" s="96"/>
    </row>
    <row r="234">
      <c r="A234" s="12"/>
      <c r="D234" s="95"/>
      <c r="E234" s="14"/>
      <c r="F234" s="96"/>
    </row>
    <row r="235">
      <c r="A235" s="12"/>
      <c r="D235" s="95"/>
      <c r="E235" s="14"/>
      <c r="F235" s="96"/>
    </row>
    <row r="236">
      <c r="A236" s="12"/>
      <c r="D236" s="95"/>
      <c r="E236" s="14"/>
      <c r="F236" s="96"/>
    </row>
    <row r="237">
      <c r="A237" s="12"/>
      <c r="D237" s="95"/>
      <c r="E237" s="14"/>
      <c r="F237" s="96"/>
    </row>
    <row r="238">
      <c r="A238" s="12"/>
      <c r="D238" s="95"/>
      <c r="E238" s="14"/>
      <c r="F238" s="96"/>
    </row>
    <row r="239">
      <c r="A239" s="12"/>
      <c r="D239" s="95"/>
      <c r="E239" s="14"/>
      <c r="F239" s="96"/>
    </row>
    <row r="240">
      <c r="A240" s="12"/>
      <c r="D240" s="95"/>
      <c r="E240" s="14"/>
      <c r="F240" s="96"/>
    </row>
    <row r="241">
      <c r="A241" s="12"/>
      <c r="D241" s="95"/>
      <c r="E241" s="14"/>
      <c r="F241" s="96"/>
    </row>
    <row r="242">
      <c r="A242" s="12"/>
      <c r="D242" s="95"/>
      <c r="E242" s="14"/>
      <c r="F242" s="96"/>
    </row>
    <row r="243">
      <c r="A243" s="12"/>
      <c r="D243" s="95"/>
      <c r="E243" s="14"/>
      <c r="F243" s="96"/>
    </row>
    <row r="244">
      <c r="A244" s="12"/>
      <c r="D244" s="95"/>
      <c r="E244" s="14"/>
      <c r="F244" s="96"/>
    </row>
    <row r="245">
      <c r="A245" s="12"/>
      <c r="D245" s="95"/>
      <c r="E245" s="14"/>
      <c r="F245" s="96"/>
    </row>
    <row r="246">
      <c r="A246" s="12"/>
      <c r="D246" s="95"/>
      <c r="E246" s="14"/>
      <c r="F246" s="96"/>
    </row>
    <row r="247">
      <c r="A247" s="12"/>
      <c r="D247" s="95"/>
      <c r="E247" s="14"/>
      <c r="F247" s="96"/>
    </row>
    <row r="248">
      <c r="A248" s="12"/>
      <c r="D248" s="95"/>
      <c r="E248" s="14"/>
      <c r="F248" s="96"/>
    </row>
    <row r="249">
      <c r="A249" s="12"/>
      <c r="D249" s="95"/>
      <c r="E249" s="14"/>
      <c r="F249" s="96"/>
    </row>
    <row r="250">
      <c r="A250" s="12"/>
      <c r="D250" s="95"/>
      <c r="E250" s="14"/>
      <c r="F250" s="96"/>
    </row>
    <row r="251">
      <c r="A251" s="12"/>
      <c r="D251" s="95"/>
      <c r="E251" s="14"/>
      <c r="F251" s="96"/>
    </row>
    <row r="252">
      <c r="A252" s="12"/>
      <c r="D252" s="95"/>
      <c r="E252" s="14"/>
      <c r="F252" s="96"/>
    </row>
    <row r="253">
      <c r="A253" s="12"/>
      <c r="D253" s="95"/>
      <c r="E253" s="14"/>
      <c r="F253" s="96"/>
    </row>
    <row r="254">
      <c r="A254" s="12"/>
      <c r="D254" s="95"/>
      <c r="E254" s="14"/>
      <c r="F254" s="96"/>
    </row>
    <row r="255">
      <c r="A255" s="12"/>
      <c r="D255" s="95"/>
      <c r="E255" s="14"/>
      <c r="F255" s="96"/>
    </row>
    <row r="256">
      <c r="A256" s="12"/>
      <c r="D256" s="95"/>
      <c r="E256" s="14"/>
      <c r="F256" s="96"/>
    </row>
    <row r="257">
      <c r="A257" s="12"/>
      <c r="D257" s="95"/>
      <c r="E257" s="14"/>
      <c r="F257" s="96"/>
    </row>
    <row r="258">
      <c r="A258" s="12"/>
      <c r="D258" s="95"/>
      <c r="E258" s="14"/>
      <c r="F258" s="96"/>
    </row>
    <row r="259">
      <c r="A259" s="12"/>
      <c r="D259" s="95"/>
      <c r="E259" s="14"/>
      <c r="F259" s="96"/>
    </row>
    <row r="260">
      <c r="A260" s="12"/>
      <c r="D260" s="95"/>
      <c r="E260" s="14"/>
      <c r="F260" s="96"/>
    </row>
    <row r="261">
      <c r="A261" s="12"/>
      <c r="D261" s="95"/>
      <c r="E261" s="14"/>
      <c r="F261" s="96"/>
    </row>
    <row r="262">
      <c r="A262" s="12"/>
      <c r="D262" s="95"/>
      <c r="E262" s="14"/>
      <c r="F262" s="96"/>
    </row>
    <row r="263">
      <c r="A263" s="12"/>
      <c r="D263" s="95"/>
      <c r="E263" s="14"/>
      <c r="F263" s="96"/>
    </row>
    <row r="264">
      <c r="A264" s="12"/>
      <c r="D264" s="95"/>
      <c r="E264" s="14"/>
      <c r="F264" s="96"/>
    </row>
    <row r="265">
      <c r="A265" s="12"/>
      <c r="D265" s="95"/>
      <c r="E265" s="14"/>
      <c r="F265" s="96"/>
    </row>
    <row r="266">
      <c r="A266" s="12"/>
      <c r="D266" s="95"/>
      <c r="E266" s="14"/>
      <c r="F266" s="96"/>
    </row>
    <row r="267">
      <c r="A267" s="12"/>
      <c r="D267" s="95"/>
      <c r="E267" s="14"/>
      <c r="F267" s="96"/>
    </row>
    <row r="268">
      <c r="A268" s="12"/>
      <c r="D268" s="95"/>
      <c r="E268" s="14"/>
      <c r="F268" s="96"/>
    </row>
    <row r="269">
      <c r="A269" s="12"/>
      <c r="D269" s="95"/>
      <c r="E269" s="14"/>
      <c r="F269" s="96"/>
    </row>
    <row r="270">
      <c r="A270" s="12"/>
      <c r="D270" s="95"/>
      <c r="E270" s="14"/>
      <c r="F270" s="96"/>
    </row>
    <row r="271">
      <c r="A271" s="12"/>
      <c r="D271" s="95"/>
      <c r="E271" s="14"/>
      <c r="F271" s="96"/>
    </row>
    <row r="272">
      <c r="A272" s="12"/>
      <c r="D272" s="95"/>
      <c r="E272" s="14"/>
      <c r="F272" s="96"/>
    </row>
    <row r="273">
      <c r="A273" s="12"/>
      <c r="D273" s="95"/>
      <c r="E273" s="14"/>
      <c r="F273" s="96"/>
    </row>
    <row r="274">
      <c r="A274" s="12"/>
      <c r="D274" s="95"/>
      <c r="E274" s="14"/>
      <c r="F274" s="96"/>
    </row>
    <row r="275">
      <c r="A275" s="12"/>
      <c r="D275" s="95"/>
      <c r="E275" s="14"/>
      <c r="F275" s="96"/>
    </row>
    <row r="276">
      <c r="A276" s="12"/>
      <c r="D276" s="95"/>
      <c r="E276" s="14"/>
      <c r="F276" s="96"/>
    </row>
    <row r="277">
      <c r="A277" s="12"/>
      <c r="D277" s="95"/>
      <c r="E277" s="14"/>
      <c r="F277" s="96"/>
    </row>
    <row r="278">
      <c r="A278" s="12"/>
      <c r="D278" s="95"/>
      <c r="E278" s="14"/>
      <c r="F278" s="96"/>
    </row>
    <row r="279">
      <c r="A279" s="12"/>
      <c r="D279" s="95"/>
      <c r="E279" s="14"/>
      <c r="F279" s="96"/>
    </row>
    <row r="280">
      <c r="A280" s="12"/>
      <c r="D280" s="95"/>
      <c r="E280" s="14"/>
      <c r="F280" s="96"/>
    </row>
    <row r="281">
      <c r="A281" s="12"/>
      <c r="D281" s="95"/>
      <c r="E281" s="14"/>
      <c r="F281" s="96"/>
    </row>
    <row r="282">
      <c r="A282" s="12"/>
      <c r="D282" s="95"/>
      <c r="E282" s="14"/>
      <c r="F282" s="96"/>
    </row>
    <row r="283">
      <c r="A283" s="12"/>
      <c r="D283" s="95"/>
      <c r="E283" s="14"/>
      <c r="F283" s="96"/>
    </row>
    <row r="284">
      <c r="A284" s="12"/>
      <c r="D284" s="95"/>
      <c r="E284" s="14"/>
      <c r="F284" s="96"/>
    </row>
    <row r="285">
      <c r="A285" s="12"/>
      <c r="D285" s="95"/>
      <c r="E285" s="14"/>
      <c r="F285" s="96"/>
    </row>
    <row r="286">
      <c r="A286" s="12"/>
      <c r="D286" s="95"/>
      <c r="E286" s="14"/>
      <c r="F286" s="96"/>
    </row>
    <row r="287">
      <c r="A287" s="12"/>
      <c r="D287" s="95"/>
      <c r="E287" s="14"/>
      <c r="F287" s="96"/>
    </row>
    <row r="288">
      <c r="A288" s="12"/>
      <c r="D288" s="95"/>
      <c r="E288" s="14"/>
      <c r="F288" s="96"/>
    </row>
    <row r="289">
      <c r="A289" s="12"/>
      <c r="D289" s="95"/>
      <c r="E289" s="14"/>
      <c r="F289" s="96"/>
    </row>
    <row r="290">
      <c r="A290" s="12"/>
      <c r="D290" s="95"/>
      <c r="E290" s="14"/>
      <c r="F290" s="96"/>
    </row>
    <row r="291">
      <c r="A291" s="12"/>
      <c r="D291" s="95"/>
      <c r="E291" s="14"/>
      <c r="F291" s="96"/>
    </row>
    <row r="292">
      <c r="A292" s="12"/>
      <c r="D292" s="95"/>
      <c r="E292" s="14"/>
      <c r="F292" s="96"/>
    </row>
    <row r="293">
      <c r="A293" s="12"/>
      <c r="D293" s="95"/>
      <c r="E293" s="14"/>
      <c r="F293" s="96"/>
    </row>
    <row r="294">
      <c r="A294" s="12"/>
      <c r="D294" s="95"/>
      <c r="E294" s="14"/>
      <c r="F294" s="96"/>
    </row>
    <row r="295">
      <c r="A295" s="12"/>
      <c r="D295" s="95"/>
      <c r="E295" s="14"/>
      <c r="F295" s="96"/>
    </row>
    <row r="296">
      <c r="A296" s="12"/>
      <c r="D296" s="95"/>
      <c r="E296" s="14"/>
      <c r="F296" s="96"/>
    </row>
    <row r="297">
      <c r="A297" s="12"/>
      <c r="D297" s="95"/>
      <c r="E297" s="14"/>
      <c r="F297" s="96"/>
    </row>
    <row r="298">
      <c r="A298" s="12"/>
      <c r="D298" s="95"/>
      <c r="E298" s="14"/>
      <c r="F298" s="96"/>
    </row>
    <row r="299">
      <c r="A299" s="12"/>
      <c r="D299" s="95"/>
      <c r="E299" s="14"/>
      <c r="F299" s="96"/>
    </row>
    <row r="300">
      <c r="A300" s="12"/>
      <c r="D300" s="95"/>
      <c r="E300" s="14"/>
      <c r="F300" s="96"/>
    </row>
    <row r="301">
      <c r="A301" s="12"/>
      <c r="D301" s="95"/>
      <c r="E301" s="14"/>
      <c r="F301" s="96"/>
    </row>
    <row r="302">
      <c r="A302" s="12"/>
      <c r="D302" s="95"/>
      <c r="E302" s="14"/>
      <c r="F302" s="96"/>
    </row>
    <row r="303">
      <c r="A303" s="12"/>
      <c r="D303" s="95"/>
      <c r="E303" s="14"/>
      <c r="F303" s="96"/>
    </row>
    <row r="304">
      <c r="A304" s="12"/>
      <c r="D304" s="95"/>
      <c r="E304" s="14"/>
      <c r="F304" s="96"/>
    </row>
    <row r="305">
      <c r="A305" s="12"/>
      <c r="D305" s="95"/>
      <c r="E305" s="14"/>
      <c r="F305" s="96"/>
    </row>
    <row r="306">
      <c r="A306" s="12"/>
      <c r="D306" s="95"/>
      <c r="E306" s="14"/>
      <c r="F306" s="96"/>
    </row>
    <row r="307">
      <c r="A307" s="12"/>
      <c r="D307" s="95"/>
      <c r="E307" s="14"/>
      <c r="F307" s="96"/>
    </row>
    <row r="308">
      <c r="A308" s="12"/>
      <c r="D308" s="95"/>
      <c r="E308" s="14"/>
      <c r="F308" s="96"/>
    </row>
    <row r="309">
      <c r="A309" s="12"/>
      <c r="D309" s="95"/>
      <c r="E309" s="14"/>
      <c r="F309" s="96"/>
    </row>
    <row r="310">
      <c r="A310" s="12"/>
      <c r="D310" s="95"/>
      <c r="E310" s="14"/>
      <c r="F310" s="96"/>
    </row>
    <row r="311">
      <c r="A311" s="12"/>
      <c r="D311" s="95"/>
      <c r="E311" s="14"/>
      <c r="F311" s="96"/>
    </row>
    <row r="312">
      <c r="A312" s="12"/>
      <c r="D312" s="95"/>
      <c r="E312" s="14"/>
      <c r="F312" s="96"/>
    </row>
    <row r="313">
      <c r="A313" s="12"/>
      <c r="D313" s="95"/>
      <c r="E313" s="14"/>
      <c r="F313" s="96"/>
    </row>
    <row r="314">
      <c r="A314" s="12"/>
      <c r="D314" s="95"/>
      <c r="E314" s="14"/>
      <c r="F314" s="96"/>
    </row>
    <row r="315">
      <c r="A315" s="12"/>
      <c r="D315" s="95"/>
      <c r="E315" s="14"/>
      <c r="F315" s="96"/>
    </row>
    <row r="316">
      <c r="A316" s="12"/>
      <c r="D316" s="95"/>
      <c r="E316" s="14"/>
      <c r="F316" s="96"/>
    </row>
    <row r="317">
      <c r="A317" s="12"/>
      <c r="D317" s="95"/>
      <c r="E317" s="14"/>
      <c r="F317" s="96"/>
    </row>
    <row r="318">
      <c r="A318" s="12"/>
      <c r="D318" s="95"/>
      <c r="E318" s="14"/>
      <c r="F318" s="96"/>
    </row>
    <row r="319">
      <c r="A319" s="12"/>
      <c r="D319" s="95"/>
      <c r="E319" s="14"/>
      <c r="F319" s="96"/>
    </row>
    <row r="320">
      <c r="A320" s="12"/>
      <c r="D320" s="95"/>
      <c r="E320" s="14"/>
      <c r="F320" s="96"/>
    </row>
    <row r="321">
      <c r="A321" s="12"/>
      <c r="D321" s="95"/>
      <c r="E321" s="14"/>
      <c r="F321" s="96"/>
    </row>
    <row r="322">
      <c r="A322" s="12"/>
      <c r="D322" s="95"/>
      <c r="E322" s="14"/>
      <c r="F322" s="96"/>
    </row>
    <row r="323">
      <c r="A323" s="12"/>
      <c r="D323" s="95"/>
      <c r="E323" s="14"/>
      <c r="F323" s="96"/>
    </row>
    <row r="324">
      <c r="A324" s="12"/>
      <c r="D324" s="95"/>
      <c r="E324" s="14"/>
      <c r="F324" s="96"/>
    </row>
    <row r="325">
      <c r="A325" s="12"/>
      <c r="D325" s="95"/>
      <c r="E325" s="14"/>
      <c r="F325" s="96"/>
    </row>
    <row r="326">
      <c r="A326" s="12"/>
      <c r="D326" s="95"/>
      <c r="E326" s="14"/>
      <c r="F326" s="96"/>
    </row>
    <row r="327">
      <c r="A327" s="12"/>
      <c r="D327" s="95"/>
      <c r="E327" s="14"/>
      <c r="F327" s="96"/>
    </row>
    <row r="328">
      <c r="A328" s="12"/>
      <c r="D328" s="95"/>
      <c r="E328" s="14"/>
      <c r="F328" s="96"/>
    </row>
    <row r="329">
      <c r="A329" s="12"/>
      <c r="D329" s="95"/>
      <c r="E329" s="14"/>
      <c r="F329" s="96"/>
    </row>
    <row r="330">
      <c r="A330" s="12"/>
      <c r="D330" s="95"/>
      <c r="E330" s="14"/>
      <c r="F330" s="96"/>
    </row>
    <row r="331">
      <c r="A331" s="12"/>
      <c r="D331" s="95"/>
      <c r="E331" s="14"/>
      <c r="F331" s="96"/>
    </row>
    <row r="332">
      <c r="A332" s="12"/>
      <c r="D332" s="95"/>
      <c r="E332" s="14"/>
      <c r="F332" s="96"/>
    </row>
    <row r="333">
      <c r="A333" s="12"/>
      <c r="D333" s="95"/>
      <c r="E333" s="14"/>
      <c r="F333" s="96"/>
    </row>
    <row r="334">
      <c r="A334" s="12"/>
      <c r="D334" s="95"/>
      <c r="E334" s="14"/>
      <c r="F334" s="96"/>
    </row>
    <row r="335">
      <c r="A335" s="12"/>
      <c r="D335" s="95"/>
      <c r="E335" s="14"/>
      <c r="F335" s="96"/>
    </row>
    <row r="336">
      <c r="A336" s="12"/>
      <c r="D336" s="95"/>
      <c r="E336" s="14"/>
      <c r="F336" s="96"/>
    </row>
    <row r="337">
      <c r="A337" s="12"/>
      <c r="D337" s="95"/>
      <c r="E337" s="14"/>
      <c r="F337" s="96"/>
    </row>
    <row r="338">
      <c r="A338" s="12"/>
      <c r="D338" s="95"/>
      <c r="E338" s="14"/>
      <c r="F338" s="96"/>
    </row>
    <row r="339">
      <c r="A339" s="12"/>
      <c r="D339" s="95"/>
      <c r="E339" s="14"/>
      <c r="F339" s="96"/>
    </row>
    <row r="340">
      <c r="A340" s="12"/>
      <c r="D340" s="95"/>
      <c r="E340" s="14"/>
      <c r="F340" s="96"/>
    </row>
    <row r="341">
      <c r="A341" s="12"/>
      <c r="D341" s="95"/>
      <c r="E341" s="14"/>
      <c r="F341" s="96"/>
    </row>
    <row r="342">
      <c r="A342" s="12"/>
      <c r="D342" s="95"/>
      <c r="E342" s="14"/>
      <c r="F342" s="96"/>
    </row>
    <row r="343">
      <c r="A343" s="12"/>
      <c r="D343" s="95"/>
      <c r="E343" s="14"/>
      <c r="F343" s="96"/>
    </row>
    <row r="344">
      <c r="A344" s="12"/>
      <c r="D344" s="95"/>
      <c r="E344" s="14"/>
      <c r="F344" s="96"/>
    </row>
    <row r="345">
      <c r="A345" s="12"/>
      <c r="D345" s="95"/>
      <c r="E345" s="14"/>
      <c r="F345" s="96"/>
    </row>
    <row r="346">
      <c r="A346" s="12"/>
      <c r="D346" s="95"/>
      <c r="E346" s="14"/>
      <c r="F346" s="96"/>
    </row>
    <row r="347">
      <c r="A347" s="12"/>
      <c r="D347" s="95"/>
      <c r="E347" s="14"/>
      <c r="F347" s="96"/>
    </row>
    <row r="348">
      <c r="A348" s="12"/>
      <c r="D348" s="95"/>
      <c r="E348" s="14"/>
      <c r="F348" s="96"/>
    </row>
    <row r="349">
      <c r="A349" s="12"/>
      <c r="D349" s="95"/>
      <c r="E349" s="14"/>
      <c r="F349" s="96"/>
    </row>
    <row r="350">
      <c r="A350" s="12"/>
      <c r="D350" s="95"/>
      <c r="E350" s="14"/>
      <c r="F350" s="96"/>
    </row>
    <row r="351">
      <c r="A351" s="12"/>
      <c r="D351" s="95"/>
      <c r="E351" s="14"/>
      <c r="F351" s="96"/>
    </row>
    <row r="352">
      <c r="A352" s="12"/>
      <c r="D352" s="95"/>
      <c r="E352" s="14"/>
      <c r="F352" s="96"/>
    </row>
    <row r="353">
      <c r="A353" s="12"/>
      <c r="D353" s="95"/>
      <c r="E353" s="14"/>
      <c r="F353" s="96"/>
    </row>
    <row r="354">
      <c r="A354" s="12"/>
      <c r="D354" s="95"/>
      <c r="E354" s="14"/>
      <c r="F354" s="96"/>
    </row>
    <row r="355">
      <c r="A355" s="12"/>
      <c r="D355" s="95"/>
      <c r="E355" s="14"/>
      <c r="F355" s="96"/>
    </row>
    <row r="356">
      <c r="A356" s="12"/>
      <c r="D356" s="95"/>
      <c r="E356" s="14"/>
      <c r="F356" s="96"/>
    </row>
    <row r="357">
      <c r="A357" s="12"/>
      <c r="D357" s="95"/>
      <c r="E357" s="14"/>
      <c r="F357" s="96"/>
    </row>
    <row r="358">
      <c r="A358" s="12"/>
      <c r="D358" s="95"/>
      <c r="E358" s="14"/>
      <c r="F358" s="96"/>
    </row>
    <row r="359">
      <c r="A359" s="12"/>
      <c r="D359" s="95"/>
      <c r="E359" s="14"/>
      <c r="F359" s="96"/>
    </row>
    <row r="360">
      <c r="A360" s="12"/>
      <c r="D360" s="95"/>
      <c r="E360" s="14"/>
      <c r="F360" s="96"/>
    </row>
    <row r="361">
      <c r="A361" s="12"/>
      <c r="D361" s="95"/>
      <c r="E361" s="14"/>
      <c r="F361" s="96"/>
    </row>
    <row r="362">
      <c r="A362" s="12"/>
      <c r="D362" s="95"/>
      <c r="E362" s="14"/>
      <c r="F362" s="96"/>
    </row>
    <row r="363">
      <c r="A363" s="12"/>
      <c r="D363" s="95"/>
      <c r="E363" s="14"/>
      <c r="F363" s="96"/>
    </row>
    <row r="364">
      <c r="A364" s="12"/>
      <c r="D364" s="95"/>
      <c r="E364" s="14"/>
      <c r="F364" s="96"/>
    </row>
    <row r="365">
      <c r="A365" s="12"/>
      <c r="D365" s="95"/>
      <c r="E365" s="14"/>
      <c r="F365" s="96"/>
    </row>
    <row r="366">
      <c r="A366" s="12"/>
      <c r="D366" s="95"/>
      <c r="E366" s="14"/>
      <c r="F366" s="96"/>
    </row>
    <row r="367">
      <c r="A367" s="12"/>
      <c r="D367" s="95"/>
      <c r="E367" s="14"/>
      <c r="F367" s="96"/>
    </row>
    <row r="368">
      <c r="A368" s="12"/>
      <c r="D368" s="95"/>
      <c r="E368" s="14"/>
      <c r="F368" s="96"/>
    </row>
    <row r="369">
      <c r="A369" s="12"/>
      <c r="D369" s="95"/>
      <c r="E369" s="14"/>
      <c r="F369" s="96"/>
    </row>
    <row r="370">
      <c r="A370" s="12"/>
      <c r="D370" s="95"/>
      <c r="E370" s="14"/>
      <c r="F370" s="96"/>
    </row>
    <row r="371">
      <c r="A371" s="12"/>
      <c r="D371" s="95"/>
      <c r="E371" s="14"/>
      <c r="F371" s="96"/>
    </row>
    <row r="372">
      <c r="A372" s="12"/>
      <c r="D372" s="95"/>
      <c r="E372" s="14"/>
      <c r="F372" s="96"/>
    </row>
    <row r="373">
      <c r="A373" s="12"/>
      <c r="D373" s="95"/>
      <c r="E373" s="14"/>
      <c r="F373" s="96"/>
    </row>
    <row r="374">
      <c r="A374" s="12"/>
      <c r="D374" s="95"/>
      <c r="E374" s="14"/>
      <c r="F374" s="96"/>
    </row>
    <row r="375">
      <c r="A375" s="12"/>
      <c r="D375" s="95"/>
      <c r="E375" s="14"/>
      <c r="F375" s="96"/>
    </row>
    <row r="376">
      <c r="A376" s="12"/>
      <c r="D376" s="95"/>
      <c r="E376" s="14"/>
      <c r="F376" s="96"/>
    </row>
    <row r="377">
      <c r="A377" s="12"/>
      <c r="D377" s="95"/>
      <c r="E377" s="14"/>
      <c r="F377" s="96"/>
    </row>
    <row r="378">
      <c r="A378" s="12"/>
      <c r="D378" s="95"/>
      <c r="E378" s="14"/>
      <c r="F378" s="96"/>
    </row>
    <row r="379">
      <c r="A379" s="12"/>
      <c r="D379" s="95"/>
      <c r="E379" s="14"/>
      <c r="F379" s="96"/>
    </row>
    <row r="380">
      <c r="A380" s="12"/>
      <c r="D380" s="95"/>
      <c r="E380" s="14"/>
      <c r="F380" s="96"/>
    </row>
    <row r="381">
      <c r="A381" s="12"/>
      <c r="D381" s="95"/>
      <c r="E381" s="14"/>
      <c r="F381" s="96"/>
    </row>
    <row r="382">
      <c r="A382" s="12"/>
      <c r="D382" s="95"/>
      <c r="E382" s="14"/>
      <c r="F382" s="96"/>
    </row>
    <row r="383">
      <c r="A383" s="12"/>
      <c r="D383" s="95"/>
      <c r="E383" s="14"/>
      <c r="F383" s="96"/>
    </row>
    <row r="384">
      <c r="A384" s="12"/>
      <c r="D384" s="95"/>
      <c r="E384" s="14"/>
      <c r="F384" s="96"/>
    </row>
    <row r="385">
      <c r="A385" s="12"/>
      <c r="D385" s="95"/>
      <c r="E385" s="14"/>
      <c r="F385" s="96"/>
    </row>
    <row r="386">
      <c r="A386" s="12"/>
      <c r="D386" s="95"/>
      <c r="E386" s="14"/>
      <c r="F386" s="96"/>
    </row>
    <row r="387">
      <c r="A387" s="12"/>
      <c r="D387" s="95"/>
      <c r="E387" s="14"/>
      <c r="F387" s="96"/>
    </row>
    <row r="388">
      <c r="A388" s="12"/>
      <c r="D388" s="95"/>
      <c r="E388" s="14"/>
      <c r="F388" s="96"/>
    </row>
    <row r="389">
      <c r="A389" s="12"/>
      <c r="D389" s="95"/>
      <c r="E389" s="14"/>
      <c r="F389" s="96"/>
    </row>
    <row r="390">
      <c r="A390" s="12"/>
      <c r="D390" s="95"/>
      <c r="E390" s="14"/>
      <c r="F390" s="96"/>
    </row>
    <row r="391">
      <c r="A391" s="12"/>
      <c r="D391" s="95"/>
      <c r="E391" s="14"/>
      <c r="F391" s="96"/>
    </row>
    <row r="392">
      <c r="A392" s="12"/>
      <c r="D392" s="95"/>
      <c r="E392" s="14"/>
      <c r="F392" s="96"/>
    </row>
    <row r="393">
      <c r="A393" s="12"/>
      <c r="D393" s="95"/>
      <c r="E393" s="14"/>
      <c r="F393" s="96"/>
    </row>
    <row r="394">
      <c r="A394" s="12"/>
      <c r="D394" s="95"/>
      <c r="E394" s="14"/>
      <c r="F394" s="96"/>
    </row>
    <row r="395">
      <c r="A395" s="12"/>
      <c r="D395" s="95"/>
      <c r="E395" s="14"/>
      <c r="F395" s="96"/>
    </row>
    <row r="396">
      <c r="A396" s="12"/>
      <c r="D396" s="95"/>
      <c r="E396" s="14"/>
      <c r="F396" s="96"/>
    </row>
    <row r="397">
      <c r="A397" s="12"/>
      <c r="D397" s="95"/>
      <c r="E397" s="14"/>
      <c r="F397" s="96"/>
    </row>
    <row r="398">
      <c r="A398" s="12"/>
      <c r="D398" s="95"/>
      <c r="E398" s="14"/>
      <c r="F398" s="96"/>
    </row>
    <row r="399">
      <c r="A399" s="12"/>
      <c r="D399" s="95"/>
      <c r="E399" s="14"/>
      <c r="F399" s="96"/>
    </row>
    <row r="400">
      <c r="A400" s="12"/>
      <c r="D400" s="95"/>
      <c r="E400" s="14"/>
      <c r="F400" s="96"/>
    </row>
    <row r="401">
      <c r="A401" s="12"/>
      <c r="D401" s="95"/>
      <c r="E401" s="14"/>
      <c r="F401" s="96"/>
    </row>
    <row r="402">
      <c r="A402" s="12"/>
      <c r="D402" s="95"/>
      <c r="E402" s="14"/>
      <c r="F402" s="96"/>
    </row>
    <row r="403">
      <c r="A403" s="12"/>
      <c r="D403" s="95"/>
      <c r="E403" s="14"/>
      <c r="F403" s="96"/>
    </row>
    <row r="404">
      <c r="A404" s="12"/>
      <c r="D404" s="95"/>
      <c r="E404" s="14"/>
      <c r="F404" s="96"/>
    </row>
    <row r="405">
      <c r="A405" s="12"/>
      <c r="D405" s="95"/>
      <c r="E405" s="14"/>
      <c r="F405" s="96"/>
    </row>
    <row r="406">
      <c r="A406" s="12"/>
      <c r="D406" s="95"/>
      <c r="E406" s="14"/>
      <c r="F406" s="96"/>
    </row>
    <row r="407">
      <c r="A407" s="12"/>
      <c r="D407" s="95"/>
      <c r="E407" s="14"/>
      <c r="F407" s="96"/>
    </row>
    <row r="408">
      <c r="A408" s="12"/>
      <c r="D408" s="95"/>
      <c r="E408" s="14"/>
      <c r="F408" s="96"/>
    </row>
    <row r="409">
      <c r="A409" s="12"/>
      <c r="D409" s="95"/>
      <c r="E409" s="14"/>
      <c r="F409" s="96"/>
    </row>
    <row r="410">
      <c r="A410" s="12"/>
      <c r="D410" s="95"/>
      <c r="E410" s="14"/>
      <c r="F410" s="96"/>
    </row>
    <row r="411">
      <c r="A411" s="12"/>
      <c r="D411" s="95"/>
      <c r="E411" s="14"/>
      <c r="F411" s="96"/>
    </row>
    <row r="412">
      <c r="A412" s="12"/>
      <c r="D412" s="95"/>
      <c r="E412" s="14"/>
      <c r="F412" s="96"/>
    </row>
    <row r="413">
      <c r="A413" s="12"/>
      <c r="D413" s="95"/>
      <c r="E413" s="14"/>
      <c r="F413" s="96"/>
    </row>
    <row r="414">
      <c r="A414" s="12"/>
      <c r="D414" s="95"/>
      <c r="E414" s="14"/>
      <c r="F414" s="96"/>
    </row>
    <row r="415">
      <c r="A415" s="12"/>
      <c r="D415" s="95"/>
      <c r="E415" s="14"/>
      <c r="F415" s="96"/>
    </row>
    <row r="416">
      <c r="A416" s="12"/>
      <c r="D416" s="95"/>
      <c r="E416" s="14"/>
      <c r="F416" s="96"/>
    </row>
    <row r="417">
      <c r="A417" s="12"/>
      <c r="D417" s="95"/>
      <c r="E417" s="14"/>
      <c r="F417" s="96"/>
    </row>
    <row r="418">
      <c r="A418" s="12"/>
      <c r="D418" s="95"/>
      <c r="E418" s="14"/>
      <c r="F418" s="96"/>
    </row>
    <row r="419">
      <c r="A419" s="12"/>
      <c r="D419" s="95"/>
      <c r="E419" s="14"/>
      <c r="F419" s="96"/>
    </row>
    <row r="420">
      <c r="A420" s="12"/>
      <c r="D420" s="95"/>
      <c r="E420" s="14"/>
      <c r="F420" s="96"/>
    </row>
    <row r="421">
      <c r="A421" s="12"/>
      <c r="D421" s="95"/>
      <c r="E421" s="14"/>
      <c r="F421" s="96"/>
    </row>
    <row r="422">
      <c r="A422" s="12"/>
      <c r="D422" s="95"/>
      <c r="E422" s="14"/>
      <c r="F422" s="96"/>
    </row>
    <row r="423">
      <c r="A423" s="12"/>
      <c r="D423" s="95"/>
      <c r="E423" s="14"/>
      <c r="F423" s="96"/>
    </row>
    <row r="424">
      <c r="A424" s="12"/>
      <c r="D424" s="95"/>
      <c r="E424" s="14"/>
      <c r="F424" s="96"/>
    </row>
    <row r="425">
      <c r="A425" s="12"/>
      <c r="D425" s="95"/>
      <c r="E425" s="14"/>
      <c r="F425" s="96"/>
    </row>
    <row r="426">
      <c r="A426" s="12"/>
      <c r="D426" s="95"/>
      <c r="E426" s="14"/>
      <c r="F426" s="96"/>
    </row>
    <row r="427">
      <c r="A427" s="12"/>
      <c r="D427" s="95"/>
      <c r="E427" s="14"/>
      <c r="F427" s="96"/>
    </row>
    <row r="428">
      <c r="A428" s="12"/>
      <c r="D428" s="95"/>
      <c r="E428" s="14"/>
      <c r="F428" s="96"/>
    </row>
    <row r="429">
      <c r="A429" s="12"/>
      <c r="D429" s="95"/>
      <c r="E429" s="14"/>
      <c r="F429" s="96"/>
    </row>
    <row r="430">
      <c r="A430" s="12"/>
      <c r="D430" s="95"/>
      <c r="E430" s="14"/>
      <c r="F430" s="96"/>
    </row>
    <row r="431">
      <c r="A431" s="12"/>
      <c r="D431" s="95"/>
      <c r="E431" s="14"/>
      <c r="F431" s="96"/>
    </row>
    <row r="432">
      <c r="A432" s="12"/>
      <c r="D432" s="95"/>
      <c r="E432" s="14"/>
      <c r="F432" s="96"/>
    </row>
    <row r="433">
      <c r="A433" s="12"/>
      <c r="D433" s="95"/>
      <c r="E433" s="14"/>
      <c r="F433" s="96"/>
    </row>
    <row r="434">
      <c r="A434" s="12"/>
      <c r="D434" s="95"/>
      <c r="E434" s="14"/>
      <c r="F434" s="96"/>
    </row>
    <row r="435">
      <c r="A435" s="12"/>
      <c r="D435" s="95"/>
      <c r="E435" s="14"/>
      <c r="F435" s="96"/>
    </row>
    <row r="436">
      <c r="A436" s="12"/>
      <c r="D436" s="95"/>
      <c r="E436" s="14"/>
      <c r="F436" s="96"/>
    </row>
    <row r="437">
      <c r="A437" s="12"/>
      <c r="D437" s="95"/>
      <c r="E437" s="14"/>
      <c r="F437" s="96"/>
    </row>
    <row r="438">
      <c r="A438" s="12"/>
      <c r="D438" s="95"/>
      <c r="E438" s="14"/>
      <c r="F438" s="96"/>
    </row>
    <row r="439">
      <c r="A439" s="12"/>
      <c r="D439" s="95"/>
      <c r="E439" s="14"/>
      <c r="F439" s="96"/>
    </row>
    <row r="440">
      <c r="A440" s="12"/>
      <c r="D440" s="95"/>
      <c r="E440" s="14"/>
      <c r="F440" s="96"/>
    </row>
    <row r="441">
      <c r="A441" s="12"/>
      <c r="D441" s="95"/>
      <c r="E441" s="14"/>
      <c r="F441" s="96"/>
    </row>
    <row r="442">
      <c r="A442" s="12"/>
      <c r="D442" s="95"/>
      <c r="E442" s="14"/>
      <c r="F442" s="96"/>
    </row>
    <row r="443">
      <c r="A443" s="12"/>
      <c r="D443" s="95"/>
      <c r="E443" s="14"/>
      <c r="F443" s="96"/>
    </row>
    <row r="444">
      <c r="A444" s="12"/>
      <c r="D444" s="95"/>
      <c r="E444" s="14"/>
      <c r="F444" s="96"/>
    </row>
    <row r="445">
      <c r="A445" s="12"/>
      <c r="D445" s="95"/>
      <c r="E445" s="14"/>
      <c r="F445" s="96"/>
    </row>
    <row r="446">
      <c r="A446" s="12"/>
      <c r="D446" s="95"/>
      <c r="E446" s="14"/>
      <c r="F446" s="96"/>
    </row>
    <row r="447">
      <c r="A447" s="12"/>
      <c r="D447" s="95"/>
      <c r="E447" s="14"/>
      <c r="F447" s="96"/>
    </row>
    <row r="448">
      <c r="A448" s="12"/>
      <c r="D448" s="95"/>
      <c r="E448" s="14"/>
      <c r="F448" s="96"/>
    </row>
    <row r="449">
      <c r="A449" s="12"/>
      <c r="D449" s="95"/>
      <c r="E449" s="14"/>
      <c r="F449" s="96"/>
    </row>
    <row r="450">
      <c r="A450" s="12"/>
      <c r="D450" s="95"/>
      <c r="E450" s="14"/>
      <c r="F450" s="96"/>
    </row>
    <row r="451">
      <c r="A451" s="12"/>
      <c r="D451" s="95"/>
      <c r="E451" s="14"/>
      <c r="F451" s="96"/>
    </row>
    <row r="452">
      <c r="A452" s="12"/>
      <c r="D452" s="95"/>
      <c r="E452" s="14"/>
      <c r="F452" s="96"/>
    </row>
    <row r="453">
      <c r="A453" s="12"/>
      <c r="D453" s="95"/>
      <c r="E453" s="14"/>
      <c r="F453" s="96"/>
    </row>
    <row r="454">
      <c r="A454" s="12"/>
      <c r="D454" s="95"/>
      <c r="E454" s="14"/>
      <c r="F454" s="96"/>
    </row>
    <row r="455">
      <c r="A455" s="12"/>
      <c r="D455" s="95"/>
      <c r="E455" s="14"/>
      <c r="F455" s="96"/>
    </row>
    <row r="456">
      <c r="A456" s="12"/>
      <c r="D456" s="95"/>
      <c r="E456" s="14"/>
      <c r="F456" s="96"/>
    </row>
    <row r="457">
      <c r="A457" s="12"/>
      <c r="D457" s="95"/>
      <c r="E457" s="14"/>
      <c r="F457" s="96"/>
    </row>
    <row r="458">
      <c r="A458" s="12"/>
      <c r="D458" s="95"/>
      <c r="E458" s="14"/>
      <c r="F458" s="96"/>
    </row>
    <row r="459">
      <c r="A459" s="12"/>
      <c r="D459" s="95"/>
      <c r="E459" s="14"/>
      <c r="F459" s="96"/>
    </row>
    <row r="460">
      <c r="A460" s="12"/>
      <c r="D460" s="95"/>
      <c r="E460" s="14"/>
      <c r="F460" s="96"/>
    </row>
    <row r="461">
      <c r="A461" s="12"/>
      <c r="D461" s="95"/>
      <c r="E461" s="14"/>
      <c r="F461" s="96"/>
    </row>
    <row r="462">
      <c r="A462" s="12"/>
      <c r="D462" s="95"/>
      <c r="E462" s="14"/>
      <c r="F462" s="96"/>
    </row>
    <row r="463">
      <c r="A463" s="12"/>
      <c r="D463" s="95"/>
      <c r="E463" s="14"/>
      <c r="F463" s="96"/>
    </row>
    <row r="464">
      <c r="A464" s="12"/>
      <c r="D464" s="95"/>
      <c r="E464" s="14"/>
      <c r="F464" s="96"/>
    </row>
    <row r="465">
      <c r="A465" s="12"/>
      <c r="D465" s="95"/>
      <c r="E465" s="14"/>
      <c r="F465" s="96"/>
    </row>
    <row r="466">
      <c r="A466" s="12"/>
      <c r="D466" s="95"/>
      <c r="E466" s="14"/>
      <c r="F466" s="96"/>
    </row>
    <row r="467">
      <c r="A467" s="12"/>
      <c r="D467" s="95"/>
      <c r="E467" s="14"/>
      <c r="F467" s="96"/>
    </row>
    <row r="468">
      <c r="A468" s="12"/>
      <c r="D468" s="95"/>
      <c r="E468" s="14"/>
      <c r="F468" s="96"/>
    </row>
    <row r="469">
      <c r="A469" s="12"/>
      <c r="D469" s="95"/>
      <c r="E469" s="14"/>
      <c r="F469" s="96"/>
    </row>
    <row r="470">
      <c r="A470" s="12"/>
      <c r="D470" s="95"/>
      <c r="E470" s="14"/>
      <c r="F470" s="96"/>
    </row>
    <row r="471">
      <c r="A471" s="12"/>
      <c r="D471" s="95"/>
      <c r="E471" s="14"/>
      <c r="F471" s="96"/>
    </row>
    <row r="472">
      <c r="A472" s="12"/>
      <c r="D472" s="95"/>
      <c r="E472" s="14"/>
      <c r="F472" s="96"/>
    </row>
    <row r="473">
      <c r="A473" s="12"/>
      <c r="D473" s="95"/>
      <c r="E473" s="14"/>
      <c r="F473" s="96"/>
    </row>
    <row r="474">
      <c r="A474" s="12"/>
      <c r="D474" s="95"/>
      <c r="E474" s="14"/>
      <c r="F474" s="96"/>
    </row>
    <row r="475">
      <c r="A475" s="12"/>
      <c r="D475" s="95"/>
      <c r="E475" s="14"/>
      <c r="F475" s="96"/>
    </row>
    <row r="476">
      <c r="A476" s="12"/>
      <c r="D476" s="95"/>
      <c r="E476" s="14"/>
      <c r="F476" s="96"/>
    </row>
    <row r="477">
      <c r="A477" s="12"/>
      <c r="D477" s="95"/>
      <c r="E477" s="14"/>
      <c r="F477" s="96"/>
    </row>
    <row r="478">
      <c r="A478" s="12"/>
      <c r="D478" s="95"/>
      <c r="E478" s="14"/>
      <c r="F478" s="96"/>
    </row>
    <row r="479">
      <c r="A479" s="12"/>
      <c r="D479" s="95"/>
      <c r="E479" s="14"/>
      <c r="F479" s="96"/>
    </row>
    <row r="480">
      <c r="A480" s="12"/>
      <c r="D480" s="95"/>
      <c r="E480" s="14"/>
      <c r="F480" s="96"/>
    </row>
    <row r="481">
      <c r="A481" s="12"/>
      <c r="D481" s="95"/>
      <c r="E481" s="14"/>
      <c r="F481" s="96"/>
    </row>
    <row r="482">
      <c r="A482" s="12"/>
      <c r="D482" s="95"/>
      <c r="E482" s="14"/>
      <c r="F482" s="96"/>
    </row>
    <row r="483">
      <c r="A483" s="12"/>
      <c r="D483" s="95"/>
      <c r="E483" s="14"/>
      <c r="F483" s="96"/>
    </row>
    <row r="484">
      <c r="A484" s="12"/>
      <c r="D484" s="95"/>
      <c r="E484" s="14"/>
      <c r="F484" s="96"/>
    </row>
    <row r="485">
      <c r="A485" s="12"/>
      <c r="D485" s="95"/>
      <c r="E485" s="14"/>
      <c r="F485" s="96"/>
    </row>
    <row r="486">
      <c r="A486" s="12"/>
      <c r="D486" s="95"/>
      <c r="E486" s="14"/>
      <c r="F486" s="96"/>
    </row>
    <row r="487">
      <c r="A487" s="12"/>
      <c r="D487" s="95"/>
      <c r="E487" s="14"/>
      <c r="F487" s="96"/>
    </row>
    <row r="488">
      <c r="A488" s="12"/>
      <c r="D488" s="95"/>
      <c r="E488" s="14"/>
      <c r="F488" s="96"/>
    </row>
    <row r="489">
      <c r="A489" s="12"/>
      <c r="D489" s="95"/>
      <c r="E489" s="14"/>
      <c r="F489" s="96"/>
    </row>
    <row r="490">
      <c r="A490" s="12"/>
      <c r="D490" s="95"/>
      <c r="E490" s="14"/>
      <c r="F490" s="96"/>
    </row>
    <row r="491">
      <c r="A491" s="12"/>
      <c r="D491" s="95"/>
      <c r="E491" s="14"/>
      <c r="F491" s="96"/>
    </row>
    <row r="492">
      <c r="A492" s="12"/>
      <c r="D492" s="95"/>
      <c r="E492" s="14"/>
      <c r="F492" s="96"/>
    </row>
    <row r="493">
      <c r="A493" s="12"/>
      <c r="D493" s="95"/>
      <c r="E493" s="14"/>
      <c r="F493" s="96"/>
    </row>
    <row r="494">
      <c r="A494" s="12"/>
      <c r="D494" s="95"/>
      <c r="E494" s="14"/>
      <c r="F494" s="96"/>
    </row>
    <row r="495">
      <c r="A495" s="12"/>
      <c r="D495" s="95"/>
      <c r="E495" s="14"/>
      <c r="F495" s="96"/>
    </row>
    <row r="496">
      <c r="A496" s="12"/>
      <c r="D496" s="95"/>
      <c r="E496" s="14"/>
      <c r="F496" s="96"/>
    </row>
    <row r="497">
      <c r="A497" s="12"/>
      <c r="D497" s="95"/>
      <c r="E497" s="14"/>
      <c r="F497" s="96"/>
    </row>
    <row r="498">
      <c r="A498" s="12"/>
      <c r="D498" s="95"/>
      <c r="E498" s="14"/>
      <c r="F498" s="96"/>
    </row>
    <row r="499">
      <c r="A499" s="12"/>
      <c r="D499" s="95"/>
      <c r="E499" s="14"/>
      <c r="F499" s="96"/>
    </row>
    <row r="500">
      <c r="A500" s="12"/>
      <c r="D500" s="95"/>
      <c r="E500" s="14"/>
      <c r="F500" s="96"/>
    </row>
    <row r="501">
      <c r="A501" s="12"/>
      <c r="D501" s="95"/>
      <c r="E501" s="14"/>
      <c r="F501" s="96"/>
    </row>
    <row r="502">
      <c r="A502" s="12"/>
      <c r="D502" s="95"/>
      <c r="E502" s="14"/>
      <c r="F502" s="96"/>
    </row>
    <row r="503">
      <c r="A503" s="12"/>
      <c r="D503" s="95"/>
      <c r="E503" s="14"/>
      <c r="F503" s="96"/>
    </row>
    <row r="504">
      <c r="A504" s="12"/>
      <c r="D504" s="95"/>
      <c r="E504" s="14"/>
      <c r="F504" s="96"/>
    </row>
    <row r="505">
      <c r="A505" s="12"/>
      <c r="D505" s="95"/>
      <c r="E505" s="14"/>
      <c r="F505" s="96"/>
    </row>
    <row r="506">
      <c r="A506" s="12"/>
      <c r="D506" s="95"/>
      <c r="E506" s="14"/>
      <c r="F506" s="96"/>
    </row>
    <row r="507">
      <c r="A507" s="12"/>
      <c r="D507" s="95"/>
      <c r="E507" s="14"/>
      <c r="F507" s="96"/>
    </row>
    <row r="508">
      <c r="A508" s="12"/>
      <c r="D508" s="95"/>
      <c r="E508" s="14"/>
      <c r="F508" s="96"/>
    </row>
    <row r="509">
      <c r="A509" s="12"/>
      <c r="D509" s="95"/>
      <c r="E509" s="14"/>
      <c r="F509" s="96"/>
    </row>
    <row r="510">
      <c r="A510" s="12"/>
      <c r="D510" s="95"/>
      <c r="E510" s="14"/>
      <c r="F510" s="96"/>
    </row>
    <row r="511">
      <c r="A511" s="12"/>
      <c r="D511" s="95"/>
      <c r="E511" s="14"/>
      <c r="F511" s="96"/>
    </row>
    <row r="512">
      <c r="A512" s="12"/>
      <c r="D512" s="95"/>
      <c r="E512" s="14"/>
      <c r="F512" s="96"/>
    </row>
    <row r="513">
      <c r="A513" s="12"/>
      <c r="D513" s="95"/>
      <c r="E513" s="14"/>
      <c r="F513" s="96"/>
    </row>
    <row r="514">
      <c r="A514" s="12"/>
      <c r="D514" s="95"/>
      <c r="E514" s="14"/>
      <c r="F514" s="96"/>
    </row>
    <row r="515">
      <c r="A515" s="12"/>
      <c r="D515" s="95"/>
      <c r="E515" s="14"/>
      <c r="F515" s="96"/>
    </row>
    <row r="516">
      <c r="A516" s="12"/>
      <c r="D516" s="95"/>
      <c r="E516" s="14"/>
      <c r="F516" s="96"/>
    </row>
    <row r="517">
      <c r="A517" s="12"/>
      <c r="D517" s="95"/>
      <c r="E517" s="14"/>
      <c r="F517" s="96"/>
    </row>
    <row r="518">
      <c r="A518" s="12"/>
      <c r="D518" s="95"/>
      <c r="E518" s="14"/>
      <c r="F518" s="96"/>
    </row>
    <row r="519">
      <c r="A519" s="12"/>
      <c r="D519" s="95"/>
      <c r="E519" s="14"/>
      <c r="F519" s="96"/>
    </row>
    <row r="520">
      <c r="A520" s="12"/>
      <c r="D520" s="95"/>
      <c r="E520" s="14"/>
      <c r="F520" s="96"/>
    </row>
    <row r="521">
      <c r="A521" s="12"/>
      <c r="D521" s="95"/>
      <c r="E521" s="14"/>
      <c r="F521" s="96"/>
    </row>
    <row r="522">
      <c r="A522" s="12"/>
      <c r="D522" s="95"/>
      <c r="E522" s="14"/>
      <c r="F522" s="96"/>
    </row>
    <row r="523">
      <c r="A523" s="12"/>
      <c r="D523" s="95"/>
      <c r="E523" s="14"/>
      <c r="F523" s="96"/>
    </row>
    <row r="524">
      <c r="A524" s="12"/>
      <c r="D524" s="95"/>
      <c r="E524" s="14"/>
      <c r="F524" s="96"/>
    </row>
    <row r="525">
      <c r="A525" s="12"/>
      <c r="D525" s="95"/>
      <c r="E525" s="14"/>
      <c r="F525" s="96"/>
    </row>
    <row r="526">
      <c r="A526" s="12"/>
      <c r="D526" s="95"/>
      <c r="E526" s="14"/>
      <c r="F526" s="96"/>
    </row>
    <row r="527">
      <c r="A527" s="12"/>
      <c r="D527" s="95"/>
      <c r="E527" s="14"/>
      <c r="F527" s="96"/>
    </row>
    <row r="528">
      <c r="A528" s="12"/>
      <c r="D528" s="95"/>
      <c r="E528" s="14"/>
      <c r="F528" s="96"/>
    </row>
    <row r="529">
      <c r="A529" s="12"/>
      <c r="D529" s="95"/>
      <c r="E529" s="14"/>
      <c r="F529" s="96"/>
    </row>
    <row r="530">
      <c r="A530" s="12"/>
      <c r="D530" s="95"/>
      <c r="E530" s="14"/>
      <c r="F530" s="96"/>
    </row>
    <row r="531">
      <c r="A531" s="12"/>
      <c r="D531" s="95"/>
      <c r="E531" s="14"/>
      <c r="F531" s="96"/>
    </row>
    <row r="532">
      <c r="A532" s="12"/>
      <c r="D532" s="95"/>
      <c r="E532" s="14"/>
      <c r="F532" s="96"/>
    </row>
    <row r="533">
      <c r="A533" s="12"/>
      <c r="D533" s="95"/>
      <c r="E533" s="14"/>
      <c r="F533" s="96"/>
    </row>
    <row r="534">
      <c r="A534" s="12"/>
      <c r="D534" s="95"/>
      <c r="E534" s="14"/>
      <c r="F534" s="96"/>
    </row>
    <row r="535">
      <c r="A535" s="12"/>
      <c r="D535" s="95"/>
      <c r="E535" s="14"/>
      <c r="F535" s="96"/>
    </row>
    <row r="536">
      <c r="A536" s="12"/>
      <c r="D536" s="95"/>
      <c r="E536" s="14"/>
      <c r="F536" s="96"/>
    </row>
    <row r="537">
      <c r="A537" s="12"/>
      <c r="D537" s="95"/>
      <c r="E537" s="14"/>
      <c r="F537" s="96"/>
    </row>
    <row r="538">
      <c r="A538" s="12"/>
      <c r="D538" s="95"/>
      <c r="E538" s="14"/>
      <c r="F538" s="96"/>
    </row>
    <row r="539">
      <c r="A539" s="12"/>
      <c r="D539" s="95"/>
      <c r="E539" s="14"/>
      <c r="F539" s="96"/>
    </row>
    <row r="540">
      <c r="A540" s="12"/>
      <c r="D540" s="95"/>
      <c r="E540" s="14"/>
      <c r="F540" s="96"/>
    </row>
    <row r="541">
      <c r="A541" s="12"/>
      <c r="D541" s="95"/>
      <c r="E541" s="14"/>
      <c r="F541" s="96"/>
    </row>
    <row r="542">
      <c r="A542" s="12"/>
      <c r="D542" s="95"/>
      <c r="E542" s="14"/>
      <c r="F542" s="96"/>
    </row>
    <row r="543">
      <c r="A543" s="12"/>
      <c r="D543" s="95"/>
      <c r="E543" s="14"/>
      <c r="F543" s="96"/>
    </row>
    <row r="544">
      <c r="A544" s="12"/>
      <c r="D544" s="95"/>
      <c r="E544" s="14"/>
      <c r="F544" s="96"/>
    </row>
    <row r="545">
      <c r="A545" s="12"/>
      <c r="D545" s="95"/>
      <c r="E545" s="14"/>
      <c r="F545" s="96"/>
    </row>
    <row r="546">
      <c r="A546" s="12"/>
      <c r="D546" s="95"/>
      <c r="E546" s="14"/>
      <c r="F546" s="96"/>
    </row>
    <row r="547">
      <c r="A547" s="12"/>
      <c r="D547" s="95"/>
      <c r="E547" s="14"/>
      <c r="F547" s="96"/>
    </row>
    <row r="548">
      <c r="A548" s="12"/>
      <c r="D548" s="95"/>
      <c r="E548" s="14"/>
      <c r="F548" s="96"/>
    </row>
    <row r="549">
      <c r="A549" s="12"/>
      <c r="D549" s="95"/>
      <c r="E549" s="14"/>
      <c r="F549" s="96"/>
    </row>
    <row r="550">
      <c r="A550" s="12"/>
      <c r="D550" s="95"/>
      <c r="E550" s="14"/>
      <c r="F550" s="96"/>
    </row>
    <row r="551">
      <c r="A551" s="12"/>
      <c r="D551" s="95"/>
      <c r="E551" s="14"/>
      <c r="F551" s="96"/>
    </row>
    <row r="552">
      <c r="A552" s="12"/>
      <c r="D552" s="95"/>
      <c r="E552" s="14"/>
      <c r="F552" s="96"/>
    </row>
    <row r="553">
      <c r="A553" s="12"/>
      <c r="D553" s="95"/>
      <c r="E553" s="14"/>
      <c r="F553" s="96"/>
    </row>
    <row r="554">
      <c r="A554" s="12"/>
      <c r="D554" s="95"/>
      <c r="E554" s="14"/>
      <c r="F554" s="96"/>
    </row>
    <row r="555">
      <c r="A555" s="12"/>
      <c r="D555" s="95"/>
      <c r="E555" s="14"/>
      <c r="F555" s="96"/>
    </row>
    <row r="556">
      <c r="A556" s="12"/>
      <c r="D556" s="95"/>
      <c r="E556" s="14"/>
      <c r="F556" s="96"/>
    </row>
    <row r="557">
      <c r="A557" s="12"/>
      <c r="D557" s="95"/>
      <c r="E557" s="14"/>
      <c r="F557" s="96"/>
    </row>
    <row r="558">
      <c r="A558" s="12"/>
      <c r="D558" s="95"/>
      <c r="E558" s="14"/>
      <c r="F558" s="96"/>
    </row>
    <row r="559">
      <c r="A559" s="12"/>
      <c r="D559" s="95"/>
      <c r="E559" s="14"/>
      <c r="F559" s="96"/>
    </row>
    <row r="560">
      <c r="A560" s="12"/>
      <c r="D560" s="95"/>
      <c r="E560" s="14"/>
      <c r="F560" s="96"/>
    </row>
    <row r="561">
      <c r="A561" s="12"/>
      <c r="D561" s="95"/>
      <c r="E561" s="14"/>
      <c r="F561" s="96"/>
    </row>
    <row r="562">
      <c r="A562" s="12"/>
      <c r="D562" s="95"/>
      <c r="E562" s="14"/>
      <c r="F562" s="96"/>
    </row>
    <row r="563">
      <c r="A563" s="12"/>
      <c r="D563" s="95"/>
      <c r="E563" s="14"/>
      <c r="F563" s="96"/>
    </row>
    <row r="564">
      <c r="A564" s="12"/>
      <c r="D564" s="95"/>
      <c r="E564" s="14"/>
      <c r="F564" s="96"/>
    </row>
    <row r="565">
      <c r="A565" s="12"/>
      <c r="D565" s="95"/>
      <c r="E565" s="14"/>
      <c r="F565" s="96"/>
    </row>
    <row r="566">
      <c r="A566" s="12"/>
      <c r="D566" s="95"/>
      <c r="E566" s="14"/>
      <c r="F566" s="96"/>
    </row>
    <row r="567">
      <c r="A567" s="12"/>
      <c r="D567" s="95"/>
      <c r="E567" s="14"/>
      <c r="F567" s="96"/>
    </row>
    <row r="568">
      <c r="A568" s="12"/>
      <c r="D568" s="95"/>
      <c r="E568" s="14"/>
      <c r="F568" s="96"/>
    </row>
    <row r="569">
      <c r="A569" s="12"/>
      <c r="D569" s="95"/>
      <c r="E569" s="14"/>
      <c r="F569" s="96"/>
    </row>
    <row r="570">
      <c r="A570" s="12"/>
      <c r="D570" s="95"/>
      <c r="E570" s="14"/>
      <c r="F570" s="96"/>
    </row>
    <row r="571">
      <c r="A571" s="12"/>
      <c r="D571" s="95"/>
      <c r="E571" s="14"/>
      <c r="F571" s="96"/>
    </row>
    <row r="572">
      <c r="A572" s="12"/>
      <c r="D572" s="95"/>
      <c r="E572" s="14"/>
      <c r="F572" s="96"/>
    </row>
    <row r="573">
      <c r="A573" s="12"/>
      <c r="D573" s="95"/>
      <c r="E573" s="14"/>
      <c r="F573" s="96"/>
    </row>
    <row r="574">
      <c r="A574" s="12"/>
      <c r="D574" s="95"/>
      <c r="E574" s="14"/>
      <c r="F574" s="96"/>
    </row>
    <row r="575">
      <c r="A575" s="12"/>
      <c r="D575" s="95"/>
      <c r="E575" s="14"/>
      <c r="F575" s="96"/>
    </row>
    <row r="576">
      <c r="A576" s="12"/>
      <c r="D576" s="95"/>
      <c r="E576" s="14"/>
      <c r="F576" s="96"/>
    </row>
    <row r="577">
      <c r="A577" s="12"/>
      <c r="D577" s="95"/>
      <c r="E577" s="14"/>
      <c r="F577" s="96"/>
    </row>
    <row r="578">
      <c r="A578" s="12"/>
      <c r="D578" s="95"/>
      <c r="E578" s="14"/>
      <c r="F578" s="96"/>
    </row>
    <row r="579">
      <c r="A579" s="12"/>
      <c r="D579" s="95"/>
      <c r="E579" s="14"/>
      <c r="F579" s="96"/>
    </row>
    <row r="580">
      <c r="A580" s="12"/>
      <c r="D580" s="95"/>
      <c r="E580" s="14"/>
      <c r="F580" s="96"/>
    </row>
    <row r="581">
      <c r="A581" s="12"/>
      <c r="D581" s="95"/>
      <c r="E581" s="14"/>
      <c r="F581" s="96"/>
    </row>
    <row r="582">
      <c r="A582" s="12"/>
      <c r="D582" s="95"/>
      <c r="E582" s="14"/>
      <c r="F582" s="96"/>
    </row>
    <row r="583">
      <c r="A583" s="12"/>
      <c r="D583" s="95"/>
      <c r="E583" s="14"/>
      <c r="F583" s="96"/>
    </row>
    <row r="584">
      <c r="A584" s="12"/>
      <c r="D584" s="95"/>
      <c r="E584" s="14"/>
      <c r="F584" s="96"/>
    </row>
    <row r="585">
      <c r="A585" s="12"/>
      <c r="D585" s="95"/>
      <c r="E585" s="14"/>
      <c r="F585" s="96"/>
    </row>
    <row r="586">
      <c r="A586" s="12"/>
      <c r="D586" s="95"/>
      <c r="E586" s="14"/>
      <c r="F586" s="96"/>
    </row>
    <row r="587">
      <c r="A587" s="12"/>
      <c r="D587" s="95"/>
      <c r="E587" s="14"/>
      <c r="F587" s="96"/>
    </row>
    <row r="588">
      <c r="A588" s="12"/>
      <c r="D588" s="95"/>
      <c r="E588" s="14"/>
      <c r="F588" s="96"/>
    </row>
    <row r="589">
      <c r="A589" s="12"/>
      <c r="D589" s="95"/>
      <c r="E589" s="14"/>
      <c r="F589" s="96"/>
    </row>
    <row r="590">
      <c r="A590" s="12"/>
      <c r="D590" s="95"/>
      <c r="E590" s="14"/>
      <c r="F590" s="96"/>
    </row>
    <row r="591">
      <c r="A591" s="12"/>
      <c r="D591" s="95"/>
      <c r="E591" s="14"/>
      <c r="F591" s="96"/>
    </row>
    <row r="592">
      <c r="A592" s="12"/>
      <c r="D592" s="95"/>
      <c r="E592" s="14"/>
      <c r="F592" s="96"/>
    </row>
    <row r="593">
      <c r="A593" s="12"/>
      <c r="D593" s="95"/>
      <c r="E593" s="14"/>
      <c r="F593" s="96"/>
    </row>
    <row r="594">
      <c r="A594" s="12"/>
      <c r="D594" s="95"/>
      <c r="E594" s="14"/>
      <c r="F594" s="96"/>
    </row>
    <row r="595">
      <c r="A595" s="12"/>
      <c r="D595" s="95"/>
      <c r="E595" s="14"/>
      <c r="F595" s="96"/>
    </row>
    <row r="596">
      <c r="A596" s="12"/>
      <c r="D596" s="95"/>
      <c r="E596" s="14"/>
      <c r="F596" s="96"/>
    </row>
    <row r="597">
      <c r="A597" s="12"/>
      <c r="D597" s="95"/>
      <c r="E597" s="14"/>
      <c r="F597" s="96"/>
    </row>
    <row r="598">
      <c r="A598" s="12"/>
      <c r="D598" s="95"/>
      <c r="E598" s="14"/>
      <c r="F598" s="96"/>
    </row>
    <row r="599">
      <c r="A599" s="12"/>
      <c r="D599" s="95"/>
      <c r="E599" s="14"/>
      <c r="F599" s="96"/>
    </row>
    <row r="600">
      <c r="A600" s="12"/>
      <c r="D600" s="95"/>
      <c r="E600" s="14"/>
      <c r="F600" s="96"/>
    </row>
    <row r="601">
      <c r="A601" s="12"/>
      <c r="D601" s="95"/>
      <c r="E601" s="14"/>
      <c r="F601" s="96"/>
    </row>
    <row r="602">
      <c r="A602" s="12"/>
      <c r="D602" s="95"/>
      <c r="E602" s="14"/>
      <c r="F602" s="96"/>
    </row>
    <row r="603">
      <c r="A603" s="12"/>
      <c r="D603" s="95"/>
      <c r="E603" s="14"/>
      <c r="F603" s="96"/>
    </row>
    <row r="604">
      <c r="A604" s="12"/>
      <c r="D604" s="95"/>
      <c r="E604" s="14"/>
      <c r="F604" s="96"/>
    </row>
    <row r="605">
      <c r="A605" s="12"/>
      <c r="D605" s="95"/>
      <c r="E605" s="14"/>
      <c r="F605" s="96"/>
    </row>
    <row r="606">
      <c r="A606" s="12"/>
      <c r="D606" s="95"/>
      <c r="E606" s="14"/>
      <c r="F606" s="96"/>
    </row>
    <row r="607">
      <c r="A607" s="12"/>
      <c r="D607" s="95"/>
      <c r="E607" s="14"/>
      <c r="F607" s="96"/>
    </row>
    <row r="608">
      <c r="A608" s="12"/>
      <c r="D608" s="95"/>
      <c r="E608" s="14"/>
      <c r="F608" s="96"/>
    </row>
    <row r="609">
      <c r="A609" s="12"/>
      <c r="D609" s="95"/>
      <c r="E609" s="14"/>
      <c r="F609" s="96"/>
    </row>
    <row r="610">
      <c r="A610" s="12"/>
      <c r="D610" s="95"/>
      <c r="E610" s="14"/>
      <c r="F610" s="96"/>
    </row>
    <row r="611">
      <c r="A611" s="12"/>
      <c r="D611" s="95"/>
      <c r="E611" s="14"/>
      <c r="F611" s="96"/>
    </row>
    <row r="612">
      <c r="A612" s="12"/>
      <c r="D612" s="95"/>
      <c r="E612" s="14"/>
      <c r="F612" s="96"/>
    </row>
    <row r="613">
      <c r="A613" s="12"/>
      <c r="D613" s="95"/>
      <c r="E613" s="14"/>
      <c r="F613" s="96"/>
    </row>
    <row r="614">
      <c r="A614" s="12"/>
      <c r="D614" s="95"/>
      <c r="E614" s="14"/>
      <c r="F614" s="96"/>
    </row>
    <row r="615">
      <c r="A615" s="12"/>
      <c r="D615" s="95"/>
      <c r="E615" s="14"/>
      <c r="F615" s="96"/>
    </row>
    <row r="616">
      <c r="A616" s="12"/>
      <c r="D616" s="95"/>
      <c r="E616" s="14"/>
      <c r="F616" s="96"/>
    </row>
    <row r="617">
      <c r="A617" s="12"/>
      <c r="D617" s="95"/>
      <c r="E617" s="14"/>
      <c r="F617" s="96"/>
    </row>
    <row r="618">
      <c r="A618" s="12"/>
      <c r="D618" s="95"/>
      <c r="E618" s="14"/>
      <c r="F618" s="96"/>
    </row>
    <row r="619">
      <c r="A619" s="12"/>
      <c r="D619" s="95"/>
      <c r="E619" s="14"/>
      <c r="F619" s="96"/>
    </row>
    <row r="620">
      <c r="A620" s="12"/>
      <c r="D620" s="95"/>
      <c r="E620" s="14"/>
      <c r="F620" s="96"/>
    </row>
    <row r="621">
      <c r="A621" s="12"/>
      <c r="D621" s="95"/>
      <c r="E621" s="14"/>
      <c r="F621" s="96"/>
    </row>
    <row r="622">
      <c r="A622" s="12"/>
      <c r="D622" s="95"/>
      <c r="E622" s="14"/>
      <c r="F622" s="96"/>
    </row>
    <row r="623">
      <c r="A623" s="12"/>
      <c r="D623" s="95"/>
      <c r="E623" s="14"/>
      <c r="F623" s="96"/>
    </row>
    <row r="624">
      <c r="A624" s="12"/>
      <c r="D624" s="95"/>
      <c r="E624" s="14"/>
      <c r="F624" s="96"/>
    </row>
    <row r="625">
      <c r="A625" s="12"/>
      <c r="D625" s="95"/>
      <c r="E625" s="14"/>
      <c r="F625" s="96"/>
    </row>
    <row r="626">
      <c r="A626" s="12"/>
      <c r="D626" s="95"/>
      <c r="E626" s="14"/>
      <c r="F626" s="96"/>
    </row>
    <row r="627">
      <c r="A627" s="12"/>
      <c r="D627" s="95"/>
      <c r="E627" s="14"/>
      <c r="F627" s="96"/>
    </row>
    <row r="628">
      <c r="A628" s="12"/>
      <c r="D628" s="95"/>
      <c r="E628" s="14"/>
      <c r="F628" s="96"/>
    </row>
    <row r="629">
      <c r="A629" s="12"/>
      <c r="D629" s="95"/>
      <c r="E629" s="14"/>
      <c r="F629" s="96"/>
    </row>
    <row r="630">
      <c r="A630" s="12"/>
      <c r="D630" s="95"/>
      <c r="E630" s="14"/>
      <c r="F630" s="96"/>
    </row>
    <row r="631">
      <c r="A631" s="12"/>
      <c r="D631" s="95"/>
      <c r="E631" s="14"/>
      <c r="F631" s="96"/>
    </row>
    <row r="632">
      <c r="A632" s="12"/>
      <c r="D632" s="95"/>
      <c r="E632" s="14"/>
      <c r="F632" s="96"/>
    </row>
    <row r="633">
      <c r="A633" s="12"/>
      <c r="D633" s="95"/>
      <c r="E633" s="14"/>
      <c r="F633" s="96"/>
    </row>
    <row r="634">
      <c r="A634" s="12"/>
      <c r="D634" s="95"/>
      <c r="E634" s="14"/>
      <c r="F634" s="96"/>
    </row>
    <row r="635">
      <c r="A635" s="12"/>
      <c r="D635" s="95"/>
      <c r="E635" s="14"/>
      <c r="F635" s="96"/>
    </row>
    <row r="636">
      <c r="A636" s="12"/>
      <c r="D636" s="95"/>
      <c r="E636" s="14"/>
      <c r="F636" s="96"/>
    </row>
    <row r="637">
      <c r="A637" s="12"/>
      <c r="D637" s="95"/>
      <c r="E637" s="14"/>
      <c r="F637" s="96"/>
    </row>
    <row r="638">
      <c r="A638" s="12"/>
      <c r="D638" s="95"/>
      <c r="E638" s="14"/>
      <c r="F638" s="96"/>
    </row>
    <row r="639">
      <c r="A639" s="12"/>
      <c r="D639" s="95"/>
      <c r="E639" s="14"/>
      <c r="F639" s="96"/>
    </row>
    <row r="640">
      <c r="A640" s="12"/>
      <c r="D640" s="95"/>
      <c r="E640" s="14"/>
      <c r="F640" s="96"/>
    </row>
    <row r="641">
      <c r="A641" s="12"/>
      <c r="D641" s="95"/>
      <c r="E641" s="14"/>
      <c r="F641" s="96"/>
    </row>
    <row r="642">
      <c r="A642" s="12"/>
      <c r="D642" s="95"/>
      <c r="E642" s="14"/>
      <c r="F642" s="96"/>
    </row>
    <row r="643">
      <c r="A643" s="12"/>
      <c r="D643" s="95"/>
      <c r="E643" s="14"/>
      <c r="F643" s="96"/>
    </row>
    <row r="644">
      <c r="A644" s="12"/>
      <c r="D644" s="95"/>
      <c r="E644" s="14"/>
      <c r="F644" s="96"/>
    </row>
    <row r="645">
      <c r="A645" s="12"/>
      <c r="D645" s="95"/>
      <c r="E645" s="14"/>
      <c r="F645" s="96"/>
    </row>
    <row r="646">
      <c r="A646" s="12"/>
      <c r="D646" s="95"/>
      <c r="E646" s="14"/>
      <c r="F646" s="96"/>
    </row>
    <row r="647">
      <c r="A647" s="12"/>
      <c r="D647" s="95"/>
      <c r="E647" s="14"/>
      <c r="F647" s="96"/>
    </row>
    <row r="648">
      <c r="A648" s="12"/>
      <c r="D648" s="95"/>
      <c r="E648" s="14"/>
      <c r="F648" s="96"/>
    </row>
    <row r="649">
      <c r="A649" s="12"/>
      <c r="D649" s="95"/>
      <c r="E649" s="14"/>
      <c r="F649" s="96"/>
    </row>
    <row r="650">
      <c r="A650" s="12"/>
      <c r="D650" s="95"/>
      <c r="E650" s="14"/>
      <c r="F650" s="96"/>
    </row>
    <row r="651">
      <c r="A651" s="12"/>
      <c r="D651" s="95"/>
      <c r="E651" s="14"/>
      <c r="F651" s="96"/>
    </row>
    <row r="652">
      <c r="A652" s="12"/>
      <c r="D652" s="95"/>
      <c r="E652" s="14"/>
      <c r="F652" s="96"/>
    </row>
    <row r="653">
      <c r="A653" s="12"/>
      <c r="D653" s="95"/>
      <c r="E653" s="14"/>
      <c r="F653" s="96"/>
    </row>
    <row r="654">
      <c r="A654" s="12"/>
      <c r="D654" s="95"/>
      <c r="E654" s="14"/>
      <c r="F654" s="96"/>
    </row>
    <row r="655">
      <c r="A655" s="12"/>
      <c r="D655" s="95"/>
      <c r="E655" s="14"/>
      <c r="F655" s="96"/>
    </row>
    <row r="656">
      <c r="A656" s="12"/>
      <c r="D656" s="95"/>
      <c r="E656" s="14"/>
      <c r="F656" s="96"/>
    </row>
    <row r="657">
      <c r="A657" s="12"/>
      <c r="D657" s="95"/>
      <c r="E657" s="14"/>
      <c r="F657" s="96"/>
    </row>
    <row r="658">
      <c r="A658" s="12"/>
      <c r="D658" s="95"/>
      <c r="E658" s="14"/>
      <c r="F658" s="96"/>
    </row>
    <row r="659">
      <c r="A659" s="12"/>
      <c r="D659" s="95"/>
      <c r="E659" s="14"/>
      <c r="F659" s="96"/>
    </row>
    <row r="660">
      <c r="A660" s="12"/>
      <c r="D660" s="95"/>
      <c r="E660" s="14"/>
      <c r="F660" s="96"/>
    </row>
    <row r="661">
      <c r="A661" s="12"/>
      <c r="D661" s="95"/>
      <c r="E661" s="14"/>
      <c r="F661" s="96"/>
    </row>
    <row r="662">
      <c r="A662" s="12"/>
      <c r="D662" s="95"/>
      <c r="E662" s="14"/>
      <c r="F662" s="96"/>
    </row>
    <row r="663">
      <c r="A663" s="12"/>
      <c r="D663" s="95"/>
      <c r="E663" s="14"/>
      <c r="F663" s="96"/>
    </row>
    <row r="664">
      <c r="A664" s="12"/>
      <c r="D664" s="95"/>
      <c r="E664" s="14"/>
      <c r="F664" s="96"/>
    </row>
    <row r="665">
      <c r="A665" s="12"/>
      <c r="D665" s="95"/>
      <c r="E665" s="14"/>
      <c r="F665" s="96"/>
    </row>
    <row r="666">
      <c r="A666" s="12"/>
      <c r="D666" s="95"/>
      <c r="E666" s="14"/>
      <c r="F666" s="96"/>
    </row>
    <row r="667">
      <c r="A667" s="12"/>
      <c r="D667" s="95"/>
      <c r="E667" s="14"/>
      <c r="F667" s="96"/>
    </row>
    <row r="668">
      <c r="A668" s="12"/>
      <c r="D668" s="95"/>
      <c r="E668" s="14"/>
      <c r="F668" s="96"/>
    </row>
    <row r="669">
      <c r="A669" s="12"/>
      <c r="D669" s="95"/>
      <c r="E669" s="14"/>
      <c r="F669" s="96"/>
    </row>
    <row r="670">
      <c r="A670" s="12"/>
      <c r="D670" s="95"/>
      <c r="E670" s="14"/>
      <c r="F670" s="96"/>
    </row>
    <row r="671">
      <c r="A671" s="12"/>
      <c r="D671" s="95"/>
      <c r="E671" s="14"/>
      <c r="F671" s="96"/>
    </row>
    <row r="672">
      <c r="A672" s="12"/>
      <c r="D672" s="95"/>
      <c r="E672" s="14"/>
      <c r="F672" s="96"/>
    </row>
    <row r="673">
      <c r="A673" s="12"/>
      <c r="D673" s="95"/>
      <c r="E673" s="14"/>
      <c r="F673" s="96"/>
    </row>
    <row r="674">
      <c r="A674" s="12"/>
      <c r="D674" s="95"/>
      <c r="E674" s="14"/>
      <c r="F674" s="96"/>
    </row>
    <row r="675">
      <c r="A675" s="12"/>
      <c r="D675" s="95"/>
      <c r="E675" s="14"/>
      <c r="F675" s="96"/>
    </row>
    <row r="676">
      <c r="A676" s="12"/>
      <c r="D676" s="95"/>
      <c r="E676" s="14"/>
      <c r="F676" s="96"/>
    </row>
    <row r="677">
      <c r="A677" s="12"/>
      <c r="D677" s="95"/>
      <c r="E677" s="14"/>
      <c r="F677" s="96"/>
    </row>
    <row r="678">
      <c r="A678" s="12"/>
      <c r="D678" s="95"/>
      <c r="E678" s="14"/>
      <c r="F678" s="96"/>
    </row>
    <row r="679">
      <c r="A679" s="12"/>
      <c r="D679" s="95"/>
      <c r="E679" s="14"/>
      <c r="F679" s="96"/>
    </row>
    <row r="680">
      <c r="A680" s="12"/>
      <c r="D680" s="95"/>
      <c r="E680" s="14"/>
      <c r="F680" s="96"/>
    </row>
    <row r="681">
      <c r="A681" s="12"/>
      <c r="D681" s="95"/>
      <c r="E681" s="14"/>
      <c r="F681" s="96"/>
    </row>
    <row r="682">
      <c r="A682" s="12"/>
      <c r="D682" s="95"/>
      <c r="E682" s="14"/>
      <c r="F682" s="96"/>
    </row>
    <row r="683">
      <c r="A683" s="12"/>
      <c r="D683" s="95"/>
      <c r="E683" s="14"/>
      <c r="F683" s="96"/>
    </row>
    <row r="684">
      <c r="A684" s="12"/>
      <c r="D684" s="95"/>
      <c r="E684" s="14"/>
      <c r="F684" s="96"/>
    </row>
    <row r="685">
      <c r="A685" s="12"/>
      <c r="D685" s="95"/>
      <c r="E685" s="14"/>
      <c r="F685" s="96"/>
    </row>
    <row r="686">
      <c r="A686" s="12"/>
      <c r="D686" s="95"/>
      <c r="E686" s="14"/>
      <c r="F686" s="96"/>
    </row>
    <row r="687">
      <c r="A687" s="12"/>
      <c r="D687" s="95"/>
      <c r="E687" s="14"/>
      <c r="F687" s="96"/>
    </row>
    <row r="688">
      <c r="A688" s="12"/>
      <c r="D688" s="95"/>
      <c r="E688" s="14"/>
      <c r="F688" s="96"/>
    </row>
    <row r="689">
      <c r="A689" s="12"/>
      <c r="D689" s="95"/>
      <c r="E689" s="14"/>
      <c r="F689" s="96"/>
    </row>
    <row r="690">
      <c r="A690" s="12"/>
      <c r="D690" s="95"/>
      <c r="E690" s="14"/>
      <c r="F690" s="96"/>
    </row>
    <row r="691">
      <c r="A691" s="12"/>
      <c r="D691" s="95"/>
      <c r="E691" s="14"/>
      <c r="F691" s="96"/>
    </row>
    <row r="692">
      <c r="A692" s="12"/>
      <c r="D692" s="95"/>
      <c r="E692" s="14"/>
      <c r="F692" s="96"/>
    </row>
    <row r="693">
      <c r="A693" s="12"/>
      <c r="D693" s="95"/>
      <c r="E693" s="14"/>
      <c r="F693" s="96"/>
    </row>
    <row r="694">
      <c r="A694" s="12"/>
      <c r="D694" s="95"/>
      <c r="E694" s="14"/>
      <c r="F694" s="96"/>
    </row>
    <row r="695">
      <c r="A695" s="12"/>
      <c r="D695" s="95"/>
      <c r="E695" s="14"/>
      <c r="F695" s="96"/>
    </row>
    <row r="696">
      <c r="A696" s="12"/>
      <c r="D696" s="95"/>
      <c r="E696" s="14"/>
      <c r="F696" s="96"/>
    </row>
    <row r="697">
      <c r="A697" s="12"/>
      <c r="D697" s="95"/>
      <c r="E697" s="14"/>
      <c r="F697" s="96"/>
    </row>
    <row r="698">
      <c r="A698" s="12"/>
      <c r="D698" s="95"/>
      <c r="E698" s="14"/>
      <c r="F698" s="96"/>
    </row>
    <row r="699">
      <c r="A699" s="12"/>
      <c r="D699" s="95"/>
      <c r="E699" s="14"/>
      <c r="F699" s="96"/>
    </row>
    <row r="700">
      <c r="A700" s="12"/>
      <c r="D700" s="95"/>
      <c r="E700" s="14"/>
      <c r="F700" s="96"/>
    </row>
    <row r="701">
      <c r="A701" s="12"/>
      <c r="D701" s="95"/>
      <c r="E701" s="14"/>
      <c r="F701" s="96"/>
    </row>
    <row r="702">
      <c r="A702" s="12"/>
      <c r="D702" s="95"/>
      <c r="E702" s="14"/>
      <c r="F702" s="96"/>
    </row>
    <row r="703">
      <c r="A703" s="12"/>
      <c r="D703" s="95"/>
      <c r="E703" s="14"/>
      <c r="F703" s="96"/>
    </row>
    <row r="704">
      <c r="A704" s="12"/>
      <c r="D704" s="95"/>
      <c r="E704" s="14"/>
      <c r="F704" s="96"/>
    </row>
    <row r="705">
      <c r="A705" s="12"/>
      <c r="D705" s="95"/>
      <c r="E705" s="14"/>
      <c r="F705" s="96"/>
    </row>
    <row r="706">
      <c r="A706" s="12"/>
      <c r="D706" s="95"/>
      <c r="E706" s="14"/>
      <c r="F706" s="96"/>
    </row>
    <row r="707">
      <c r="A707" s="12"/>
      <c r="D707" s="95"/>
      <c r="E707" s="14"/>
      <c r="F707" s="96"/>
    </row>
    <row r="708">
      <c r="A708" s="12"/>
      <c r="D708" s="95"/>
      <c r="E708" s="14"/>
      <c r="F708" s="96"/>
    </row>
    <row r="709">
      <c r="A709" s="12"/>
      <c r="D709" s="95"/>
      <c r="E709" s="14"/>
      <c r="F709" s="96"/>
    </row>
    <row r="710">
      <c r="A710" s="12"/>
      <c r="D710" s="95"/>
      <c r="E710" s="14"/>
      <c r="F710" s="96"/>
    </row>
    <row r="711">
      <c r="A711" s="12"/>
      <c r="D711" s="95"/>
      <c r="E711" s="14"/>
      <c r="F711" s="96"/>
    </row>
    <row r="712">
      <c r="A712" s="12"/>
      <c r="D712" s="95"/>
      <c r="E712" s="14"/>
      <c r="F712" s="96"/>
    </row>
    <row r="713">
      <c r="A713" s="12"/>
      <c r="D713" s="95"/>
      <c r="E713" s="14"/>
      <c r="F713" s="96"/>
    </row>
    <row r="714">
      <c r="A714" s="12"/>
      <c r="D714" s="95"/>
      <c r="E714" s="14"/>
      <c r="F714" s="96"/>
    </row>
    <row r="715">
      <c r="A715" s="12"/>
      <c r="D715" s="95"/>
      <c r="E715" s="14"/>
      <c r="F715" s="96"/>
    </row>
    <row r="716">
      <c r="A716" s="12"/>
      <c r="D716" s="95"/>
      <c r="E716" s="14"/>
      <c r="F716" s="96"/>
    </row>
    <row r="717">
      <c r="A717" s="12"/>
      <c r="D717" s="95"/>
      <c r="E717" s="14"/>
      <c r="F717" s="96"/>
    </row>
    <row r="718">
      <c r="A718" s="12"/>
      <c r="D718" s="95"/>
      <c r="E718" s="14"/>
      <c r="F718" s="96"/>
    </row>
    <row r="719">
      <c r="A719" s="12"/>
      <c r="D719" s="95"/>
      <c r="E719" s="14"/>
      <c r="F719" s="96"/>
    </row>
    <row r="720">
      <c r="A720" s="12"/>
      <c r="D720" s="95"/>
      <c r="E720" s="14"/>
      <c r="F720" s="96"/>
    </row>
    <row r="721">
      <c r="A721" s="12"/>
      <c r="D721" s="95"/>
      <c r="E721" s="14"/>
      <c r="F721" s="96"/>
    </row>
    <row r="722">
      <c r="A722" s="12"/>
      <c r="D722" s="95"/>
      <c r="E722" s="14"/>
      <c r="F722" s="96"/>
    </row>
    <row r="723">
      <c r="A723" s="12"/>
      <c r="D723" s="95"/>
      <c r="E723" s="14"/>
      <c r="F723" s="96"/>
    </row>
    <row r="724">
      <c r="A724" s="12"/>
      <c r="D724" s="95"/>
      <c r="E724" s="14"/>
      <c r="F724" s="96"/>
    </row>
    <row r="725">
      <c r="A725" s="12"/>
      <c r="D725" s="95"/>
      <c r="E725" s="14"/>
      <c r="F725" s="96"/>
    </row>
    <row r="726">
      <c r="A726" s="12"/>
      <c r="D726" s="95"/>
      <c r="E726" s="14"/>
      <c r="F726" s="96"/>
    </row>
    <row r="727">
      <c r="A727" s="12"/>
      <c r="D727" s="95"/>
      <c r="E727" s="14"/>
      <c r="F727" s="96"/>
    </row>
    <row r="728">
      <c r="A728" s="12"/>
      <c r="D728" s="95"/>
      <c r="E728" s="14"/>
      <c r="F728" s="96"/>
    </row>
    <row r="729">
      <c r="A729" s="12"/>
      <c r="D729" s="95"/>
      <c r="E729" s="14"/>
      <c r="F729" s="96"/>
    </row>
    <row r="730">
      <c r="A730" s="12"/>
      <c r="D730" s="95"/>
      <c r="E730" s="14"/>
      <c r="F730" s="96"/>
    </row>
    <row r="731">
      <c r="A731" s="12"/>
      <c r="D731" s="95"/>
      <c r="E731" s="14"/>
      <c r="F731" s="96"/>
    </row>
    <row r="732">
      <c r="A732" s="12"/>
      <c r="D732" s="95"/>
      <c r="E732" s="14"/>
      <c r="F732" s="96"/>
    </row>
    <row r="733">
      <c r="A733" s="12"/>
      <c r="D733" s="95"/>
      <c r="E733" s="14"/>
      <c r="F733" s="96"/>
    </row>
    <row r="734">
      <c r="A734" s="12"/>
      <c r="D734" s="95"/>
      <c r="E734" s="14"/>
      <c r="F734" s="96"/>
    </row>
    <row r="735">
      <c r="A735" s="12"/>
      <c r="D735" s="95"/>
      <c r="E735" s="14"/>
      <c r="F735" s="96"/>
    </row>
    <row r="736">
      <c r="A736" s="12"/>
      <c r="D736" s="95"/>
      <c r="E736" s="14"/>
      <c r="F736" s="96"/>
    </row>
    <row r="737">
      <c r="A737" s="12"/>
      <c r="D737" s="95"/>
      <c r="E737" s="14"/>
      <c r="F737" s="96"/>
    </row>
    <row r="738">
      <c r="A738" s="12"/>
      <c r="D738" s="95"/>
      <c r="E738" s="14"/>
      <c r="F738" s="96"/>
    </row>
    <row r="739">
      <c r="A739" s="12"/>
      <c r="D739" s="95"/>
      <c r="E739" s="14"/>
      <c r="F739" s="96"/>
    </row>
    <row r="740">
      <c r="A740" s="12"/>
      <c r="D740" s="95"/>
      <c r="E740" s="14"/>
      <c r="F740" s="96"/>
    </row>
    <row r="741">
      <c r="A741" s="12"/>
      <c r="D741" s="95"/>
      <c r="E741" s="14"/>
      <c r="F741" s="96"/>
    </row>
    <row r="742">
      <c r="A742" s="12"/>
      <c r="D742" s="95"/>
      <c r="E742" s="14"/>
      <c r="F742" s="96"/>
    </row>
    <row r="743">
      <c r="A743" s="12"/>
      <c r="D743" s="95"/>
      <c r="E743" s="14"/>
      <c r="F743" s="96"/>
    </row>
    <row r="744">
      <c r="A744" s="12"/>
      <c r="D744" s="95"/>
      <c r="E744" s="14"/>
      <c r="F744" s="96"/>
    </row>
    <row r="745">
      <c r="A745" s="12"/>
      <c r="D745" s="95"/>
      <c r="E745" s="14"/>
      <c r="F745" s="96"/>
    </row>
    <row r="746">
      <c r="A746" s="12"/>
      <c r="D746" s="95"/>
      <c r="E746" s="14"/>
      <c r="F746" s="96"/>
    </row>
    <row r="747">
      <c r="A747" s="12"/>
      <c r="D747" s="95"/>
      <c r="E747" s="14"/>
      <c r="F747" s="96"/>
    </row>
    <row r="748">
      <c r="A748" s="12"/>
      <c r="D748" s="95"/>
      <c r="E748" s="14"/>
      <c r="F748" s="96"/>
    </row>
    <row r="749">
      <c r="A749" s="12"/>
      <c r="D749" s="95"/>
      <c r="E749" s="14"/>
      <c r="F749" s="96"/>
    </row>
    <row r="750">
      <c r="A750" s="12"/>
      <c r="D750" s="95"/>
      <c r="E750" s="14"/>
      <c r="F750" s="96"/>
    </row>
    <row r="751">
      <c r="A751" s="12"/>
      <c r="D751" s="95"/>
      <c r="E751" s="14"/>
      <c r="F751" s="96"/>
    </row>
    <row r="752">
      <c r="A752" s="12"/>
      <c r="D752" s="95"/>
      <c r="E752" s="14"/>
      <c r="F752" s="96"/>
    </row>
    <row r="753">
      <c r="A753" s="12"/>
      <c r="D753" s="95"/>
      <c r="E753" s="14"/>
      <c r="F753" s="96"/>
    </row>
    <row r="754">
      <c r="A754" s="12"/>
      <c r="D754" s="95"/>
      <c r="E754" s="14"/>
      <c r="F754" s="96"/>
    </row>
    <row r="755">
      <c r="A755" s="12"/>
      <c r="D755" s="95"/>
      <c r="E755" s="14"/>
      <c r="F755" s="96"/>
    </row>
    <row r="756">
      <c r="A756" s="12"/>
      <c r="D756" s="95"/>
      <c r="E756" s="14"/>
      <c r="F756" s="96"/>
    </row>
    <row r="757">
      <c r="A757" s="12"/>
      <c r="D757" s="95"/>
      <c r="E757" s="14"/>
      <c r="F757" s="96"/>
    </row>
    <row r="758">
      <c r="A758" s="12"/>
      <c r="D758" s="95"/>
      <c r="E758" s="14"/>
      <c r="F758" s="96"/>
    </row>
    <row r="759">
      <c r="A759" s="12"/>
      <c r="D759" s="95"/>
      <c r="E759" s="14"/>
      <c r="F759" s="96"/>
    </row>
    <row r="760">
      <c r="A760" s="12"/>
      <c r="D760" s="95"/>
      <c r="E760" s="14"/>
      <c r="F760" s="96"/>
    </row>
    <row r="761">
      <c r="A761" s="12"/>
      <c r="D761" s="95"/>
      <c r="E761" s="14"/>
      <c r="F761" s="96"/>
    </row>
    <row r="762">
      <c r="A762" s="12"/>
      <c r="D762" s="95"/>
      <c r="E762" s="14"/>
      <c r="F762" s="96"/>
    </row>
    <row r="763">
      <c r="A763" s="12"/>
      <c r="D763" s="95"/>
      <c r="E763" s="14"/>
      <c r="F763" s="96"/>
    </row>
    <row r="764">
      <c r="A764" s="12"/>
      <c r="D764" s="95"/>
      <c r="E764" s="14"/>
      <c r="F764" s="96"/>
    </row>
    <row r="765">
      <c r="A765" s="12"/>
      <c r="D765" s="95"/>
      <c r="E765" s="14"/>
      <c r="F765" s="96"/>
    </row>
    <row r="766">
      <c r="A766" s="12"/>
      <c r="D766" s="95"/>
      <c r="E766" s="14"/>
      <c r="F766" s="96"/>
    </row>
    <row r="767">
      <c r="A767" s="12"/>
      <c r="D767" s="95"/>
      <c r="E767" s="14"/>
      <c r="F767" s="96"/>
    </row>
    <row r="768">
      <c r="A768" s="12"/>
      <c r="D768" s="95"/>
      <c r="E768" s="14"/>
      <c r="F768" s="96"/>
    </row>
    <row r="769">
      <c r="A769" s="12"/>
      <c r="D769" s="95"/>
      <c r="E769" s="14"/>
      <c r="F769" s="96"/>
    </row>
    <row r="770">
      <c r="A770" s="12"/>
      <c r="D770" s="95"/>
      <c r="E770" s="14"/>
      <c r="F770" s="96"/>
    </row>
    <row r="771">
      <c r="A771" s="12"/>
      <c r="D771" s="95"/>
      <c r="E771" s="14"/>
      <c r="F771" s="96"/>
    </row>
    <row r="772">
      <c r="A772" s="12"/>
      <c r="D772" s="95"/>
      <c r="E772" s="14"/>
      <c r="F772" s="96"/>
    </row>
    <row r="773">
      <c r="A773" s="12"/>
      <c r="D773" s="95"/>
      <c r="E773" s="14"/>
      <c r="F773" s="96"/>
    </row>
    <row r="774">
      <c r="A774" s="12"/>
      <c r="D774" s="95"/>
      <c r="E774" s="14"/>
      <c r="F774" s="96"/>
    </row>
    <row r="775">
      <c r="A775" s="12"/>
      <c r="D775" s="95"/>
      <c r="E775" s="14"/>
      <c r="F775" s="96"/>
    </row>
    <row r="776">
      <c r="A776" s="12"/>
      <c r="D776" s="95"/>
      <c r="E776" s="14"/>
      <c r="F776" s="96"/>
    </row>
    <row r="777">
      <c r="A777" s="12"/>
      <c r="D777" s="95"/>
      <c r="E777" s="14"/>
      <c r="F777" s="96"/>
    </row>
    <row r="778">
      <c r="A778" s="12"/>
      <c r="D778" s="95"/>
      <c r="E778" s="14"/>
      <c r="F778" s="96"/>
    </row>
    <row r="779">
      <c r="A779" s="12"/>
      <c r="D779" s="95"/>
      <c r="E779" s="14"/>
      <c r="F779" s="96"/>
    </row>
    <row r="780">
      <c r="A780" s="12"/>
      <c r="D780" s="95"/>
      <c r="E780" s="14"/>
      <c r="F780" s="96"/>
    </row>
    <row r="781">
      <c r="A781" s="12"/>
      <c r="D781" s="95"/>
      <c r="E781" s="14"/>
      <c r="F781" s="96"/>
    </row>
    <row r="782">
      <c r="A782" s="12"/>
      <c r="D782" s="95"/>
      <c r="E782" s="14"/>
      <c r="F782" s="96"/>
    </row>
    <row r="783">
      <c r="A783" s="12"/>
      <c r="D783" s="95"/>
      <c r="E783" s="14"/>
      <c r="F783" s="96"/>
    </row>
    <row r="784">
      <c r="A784" s="12"/>
      <c r="D784" s="95"/>
      <c r="E784" s="14"/>
      <c r="F784" s="96"/>
    </row>
    <row r="785">
      <c r="A785" s="12"/>
      <c r="D785" s="95"/>
      <c r="E785" s="14"/>
      <c r="F785" s="96"/>
    </row>
    <row r="786">
      <c r="A786" s="12"/>
      <c r="D786" s="95"/>
      <c r="E786" s="14"/>
      <c r="F786" s="96"/>
    </row>
    <row r="787">
      <c r="A787" s="12"/>
      <c r="D787" s="95"/>
      <c r="E787" s="14"/>
      <c r="F787" s="96"/>
    </row>
    <row r="788">
      <c r="A788" s="12"/>
      <c r="D788" s="95"/>
      <c r="E788" s="14"/>
      <c r="F788" s="96"/>
    </row>
    <row r="789">
      <c r="A789" s="12"/>
      <c r="D789" s="95"/>
      <c r="E789" s="14"/>
      <c r="F789" s="96"/>
    </row>
    <row r="790">
      <c r="A790" s="12"/>
      <c r="D790" s="95"/>
      <c r="E790" s="14"/>
      <c r="F790" s="96"/>
    </row>
    <row r="791">
      <c r="A791" s="12"/>
      <c r="D791" s="95"/>
      <c r="E791" s="14"/>
      <c r="F791" s="96"/>
    </row>
    <row r="792">
      <c r="A792" s="12"/>
      <c r="D792" s="95"/>
      <c r="E792" s="14"/>
      <c r="F792" s="96"/>
    </row>
    <row r="793">
      <c r="A793" s="12"/>
      <c r="D793" s="95"/>
      <c r="E793" s="14"/>
      <c r="F793" s="96"/>
    </row>
    <row r="794">
      <c r="A794" s="12"/>
      <c r="D794" s="95"/>
      <c r="E794" s="14"/>
      <c r="F794" s="96"/>
    </row>
    <row r="795">
      <c r="A795" s="12"/>
      <c r="D795" s="95"/>
      <c r="E795" s="14"/>
      <c r="F795" s="96"/>
    </row>
    <row r="796">
      <c r="A796" s="12"/>
      <c r="D796" s="95"/>
      <c r="E796" s="14"/>
      <c r="F796" s="96"/>
    </row>
    <row r="797">
      <c r="A797" s="12"/>
      <c r="D797" s="95"/>
      <c r="E797" s="14"/>
      <c r="F797" s="96"/>
    </row>
    <row r="798">
      <c r="A798" s="12"/>
      <c r="D798" s="95"/>
      <c r="E798" s="14"/>
      <c r="F798" s="96"/>
    </row>
    <row r="799">
      <c r="A799" s="12"/>
      <c r="D799" s="95"/>
      <c r="E799" s="14"/>
      <c r="F799" s="96"/>
    </row>
    <row r="800">
      <c r="A800" s="12"/>
      <c r="D800" s="95"/>
      <c r="E800" s="14"/>
      <c r="F800" s="96"/>
    </row>
    <row r="801">
      <c r="A801" s="12"/>
      <c r="D801" s="95"/>
      <c r="E801" s="14"/>
      <c r="F801" s="96"/>
    </row>
    <row r="802">
      <c r="A802" s="12"/>
      <c r="D802" s="95"/>
      <c r="E802" s="14"/>
      <c r="F802" s="96"/>
    </row>
    <row r="803">
      <c r="A803" s="12"/>
      <c r="D803" s="95"/>
      <c r="E803" s="14"/>
      <c r="F803" s="96"/>
    </row>
    <row r="804">
      <c r="A804" s="12"/>
      <c r="D804" s="95"/>
      <c r="E804" s="14"/>
      <c r="F804" s="96"/>
    </row>
    <row r="805">
      <c r="A805" s="12"/>
      <c r="D805" s="95"/>
      <c r="E805" s="14"/>
      <c r="F805" s="96"/>
    </row>
    <row r="806">
      <c r="A806" s="12"/>
      <c r="D806" s="95"/>
      <c r="E806" s="14"/>
      <c r="F806" s="96"/>
    </row>
    <row r="807">
      <c r="A807" s="12"/>
      <c r="D807" s="95"/>
      <c r="E807" s="14"/>
      <c r="F807" s="96"/>
    </row>
    <row r="808">
      <c r="A808" s="12"/>
      <c r="D808" s="95"/>
      <c r="E808" s="14"/>
      <c r="F808" s="96"/>
    </row>
    <row r="809">
      <c r="A809" s="12"/>
      <c r="D809" s="95"/>
      <c r="E809" s="14"/>
      <c r="F809" s="96"/>
    </row>
    <row r="810">
      <c r="A810" s="12"/>
      <c r="D810" s="95"/>
      <c r="E810" s="14"/>
      <c r="F810" s="96"/>
    </row>
    <row r="811">
      <c r="A811" s="12"/>
      <c r="D811" s="95"/>
      <c r="E811" s="14"/>
      <c r="F811" s="96"/>
    </row>
    <row r="812">
      <c r="A812" s="12"/>
      <c r="D812" s="95"/>
      <c r="E812" s="14"/>
      <c r="F812" s="96"/>
    </row>
    <row r="813">
      <c r="A813" s="12"/>
      <c r="D813" s="95"/>
      <c r="E813" s="14"/>
      <c r="F813" s="96"/>
    </row>
    <row r="814">
      <c r="A814" s="12"/>
      <c r="D814" s="95"/>
      <c r="E814" s="14"/>
      <c r="F814" s="96"/>
    </row>
    <row r="815">
      <c r="A815" s="12"/>
      <c r="D815" s="95"/>
      <c r="E815" s="14"/>
      <c r="F815" s="96"/>
    </row>
    <row r="816">
      <c r="A816" s="12"/>
      <c r="D816" s="95"/>
      <c r="E816" s="14"/>
      <c r="F816" s="96"/>
    </row>
    <row r="817">
      <c r="A817" s="12"/>
      <c r="D817" s="95"/>
      <c r="E817" s="14"/>
      <c r="F817" s="96"/>
    </row>
    <row r="818">
      <c r="A818" s="12"/>
      <c r="D818" s="95"/>
      <c r="E818" s="14"/>
      <c r="F818" s="96"/>
    </row>
    <row r="819">
      <c r="A819" s="12"/>
      <c r="D819" s="95"/>
      <c r="E819" s="14"/>
      <c r="F819" s="96"/>
    </row>
    <row r="820">
      <c r="A820" s="12"/>
      <c r="D820" s="95"/>
      <c r="E820" s="14"/>
      <c r="F820" s="96"/>
    </row>
    <row r="821">
      <c r="A821" s="12"/>
      <c r="D821" s="95"/>
      <c r="E821" s="14"/>
      <c r="F821" s="96"/>
    </row>
    <row r="822">
      <c r="A822" s="12"/>
      <c r="D822" s="95"/>
      <c r="E822" s="14"/>
      <c r="F822" s="96"/>
    </row>
    <row r="823">
      <c r="A823" s="12"/>
      <c r="D823" s="95"/>
      <c r="E823" s="14"/>
      <c r="F823" s="96"/>
    </row>
    <row r="824">
      <c r="A824" s="12"/>
      <c r="D824" s="95"/>
      <c r="E824" s="14"/>
      <c r="F824" s="96"/>
    </row>
    <row r="825">
      <c r="A825" s="12"/>
      <c r="D825" s="95"/>
      <c r="E825" s="14"/>
      <c r="F825" s="96"/>
    </row>
    <row r="826">
      <c r="A826" s="12"/>
      <c r="D826" s="95"/>
      <c r="E826" s="14"/>
      <c r="F826" s="96"/>
    </row>
    <row r="827">
      <c r="A827" s="12"/>
      <c r="D827" s="95"/>
      <c r="E827" s="14"/>
      <c r="F827" s="96"/>
    </row>
    <row r="828">
      <c r="A828" s="12"/>
      <c r="D828" s="95"/>
      <c r="E828" s="14"/>
      <c r="F828" s="96"/>
    </row>
    <row r="829">
      <c r="A829" s="12"/>
      <c r="D829" s="95"/>
      <c r="E829" s="14"/>
      <c r="F829" s="96"/>
    </row>
    <row r="830">
      <c r="A830" s="12"/>
      <c r="D830" s="95"/>
      <c r="E830" s="14"/>
      <c r="F830" s="96"/>
    </row>
    <row r="831">
      <c r="A831" s="12"/>
      <c r="D831" s="95"/>
      <c r="E831" s="14"/>
      <c r="F831" s="96"/>
    </row>
    <row r="832">
      <c r="A832" s="12"/>
      <c r="D832" s="95"/>
      <c r="E832" s="14"/>
      <c r="F832" s="96"/>
    </row>
    <row r="833">
      <c r="A833" s="12"/>
      <c r="D833" s="95"/>
      <c r="E833" s="14"/>
      <c r="F833" s="96"/>
    </row>
    <row r="834">
      <c r="A834" s="12"/>
      <c r="D834" s="95"/>
      <c r="E834" s="14"/>
      <c r="F834" s="96"/>
    </row>
    <row r="835">
      <c r="A835" s="12"/>
      <c r="D835" s="95"/>
      <c r="E835" s="14"/>
      <c r="F835" s="96"/>
    </row>
    <row r="836">
      <c r="A836" s="12"/>
      <c r="D836" s="95"/>
      <c r="E836" s="14"/>
      <c r="F836" s="96"/>
    </row>
    <row r="837">
      <c r="A837" s="12"/>
      <c r="D837" s="95"/>
      <c r="E837" s="14"/>
      <c r="F837" s="96"/>
    </row>
    <row r="838">
      <c r="A838" s="12"/>
      <c r="D838" s="95"/>
      <c r="E838" s="14"/>
      <c r="F838" s="96"/>
    </row>
    <row r="839">
      <c r="A839" s="12"/>
      <c r="D839" s="95"/>
      <c r="E839" s="14"/>
      <c r="F839" s="96"/>
    </row>
    <row r="840">
      <c r="A840" s="12"/>
      <c r="D840" s="95"/>
      <c r="E840" s="14"/>
      <c r="F840" s="96"/>
    </row>
    <row r="841">
      <c r="A841" s="12"/>
      <c r="D841" s="95"/>
      <c r="E841" s="14"/>
      <c r="F841" s="96"/>
    </row>
    <row r="842">
      <c r="A842" s="12"/>
      <c r="D842" s="95"/>
      <c r="E842" s="14"/>
      <c r="F842" s="96"/>
    </row>
    <row r="843">
      <c r="A843" s="12"/>
      <c r="D843" s="95"/>
      <c r="E843" s="14"/>
      <c r="F843" s="96"/>
    </row>
    <row r="844">
      <c r="A844" s="12"/>
      <c r="D844" s="95"/>
      <c r="E844" s="14"/>
      <c r="F844" s="96"/>
    </row>
    <row r="845">
      <c r="A845" s="12"/>
      <c r="D845" s="95"/>
      <c r="E845" s="14"/>
      <c r="F845" s="96"/>
    </row>
    <row r="846">
      <c r="A846" s="12"/>
      <c r="D846" s="95"/>
      <c r="E846" s="14"/>
      <c r="F846" s="96"/>
    </row>
    <row r="847">
      <c r="A847" s="12"/>
      <c r="D847" s="95"/>
      <c r="E847" s="14"/>
      <c r="F847" s="96"/>
    </row>
    <row r="848">
      <c r="A848" s="12"/>
      <c r="D848" s="95"/>
      <c r="E848" s="14"/>
      <c r="F848" s="96"/>
    </row>
    <row r="849">
      <c r="A849" s="12"/>
      <c r="D849" s="95"/>
      <c r="E849" s="14"/>
      <c r="F849" s="96"/>
    </row>
    <row r="850">
      <c r="A850" s="12"/>
      <c r="D850" s="95"/>
      <c r="E850" s="14"/>
      <c r="F850" s="96"/>
    </row>
    <row r="851">
      <c r="A851" s="12"/>
      <c r="D851" s="95"/>
      <c r="E851" s="14"/>
      <c r="F851" s="96"/>
    </row>
    <row r="852">
      <c r="A852" s="12"/>
      <c r="D852" s="95"/>
      <c r="E852" s="14"/>
      <c r="F852" s="96"/>
    </row>
    <row r="853">
      <c r="A853" s="12"/>
      <c r="D853" s="95"/>
      <c r="E853" s="14"/>
      <c r="F853" s="96"/>
    </row>
    <row r="854">
      <c r="A854" s="12"/>
      <c r="D854" s="95"/>
      <c r="E854" s="14"/>
      <c r="F854" s="96"/>
    </row>
    <row r="855">
      <c r="A855" s="12"/>
      <c r="D855" s="95"/>
      <c r="E855" s="14"/>
      <c r="F855" s="96"/>
    </row>
    <row r="856">
      <c r="A856" s="12"/>
      <c r="D856" s="95"/>
      <c r="E856" s="14"/>
      <c r="F856" s="96"/>
    </row>
    <row r="857">
      <c r="A857" s="12"/>
      <c r="D857" s="95"/>
      <c r="E857" s="14"/>
      <c r="F857" s="96"/>
    </row>
    <row r="858">
      <c r="A858" s="12"/>
      <c r="D858" s="95"/>
      <c r="E858" s="14"/>
      <c r="F858" s="96"/>
    </row>
    <row r="859">
      <c r="A859" s="12"/>
      <c r="D859" s="95"/>
      <c r="E859" s="14"/>
      <c r="F859" s="96"/>
    </row>
    <row r="860">
      <c r="A860" s="12"/>
      <c r="D860" s="95"/>
      <c r="E860" s="14"/>
      <c r="F860" s="96"/>
    </row>
    <row r="861">
      <c r="A861" s="12"/>
      <c r="D861" s="95"/>
      <c r="E861" s="14"/>
      <c r="F861" s="96"/>
    </row>
    <row r="862">
      <c r="A862" s="12"/>
      <c r="D862" s="95"/>
      <c r="E862" s="14"/>
      <c r="F862" s="96"/>
    </row>
    <row r="863">
      <c r="A863" s="12"/>
      <c r="D863" s="95"/>
      <c r="E863" s="14"/>
      <c r="F863" s="96"/>
    </row>
    <row r="864">
      <c r="A864" s="12"/>
      <c r="D864" s="95"/>
      <c r="E864" s="14"/>
      <c r="F864" s="96"/>
    </row>
    <row r="865">
      <c r="A865" s="12"/>
      <c r="D865" s="95"/>
      <c r="E865" s="14"/>
      <c r="F865" s="96"/>
    </row>
    <row r="866">
      <c r="A866" s="12"/>
      <c r="D866" s="95"/>
      <c r="E866" s="14"/>
      <c r="F866" s="96"/>
    </row>
    <row r="867">
      <c r="A867" s="12"/>
      <c r="D867" s="95"/>
      <c r="E867" s="14"/>
      <c r="F867" s="96"/>
    </row>
    <row r="868">
      <c r="A868" s="12"/>
      <c r="D868" s="95"/>
      <c r="E868" s="14"/>
      <c r="F868" s="96"/>
    </row>
    <row r="869">
      <c r="A869" s="12"/>
      <c r="D869" s="95"/>
      <c r="E869" s="14"/>
      <c r="F869" s="96"/>
    </row>
    <row r="870">
      <c r="A870" s="12"/>
      <c r="D870" s="95"/>
      <c r="E870" s="14"/>
      <c r="F870" s="96"/>
    </row>
    <row r="871">
      <c r="A871" s="12"/>
      <c r="D871" s="95"/>
      <c r="E871" s="14"/>
      <c r="F871" s="96"/>
    </row>
    <row r="872">
      <c r="A872" s="12"/>
      <c r="D872" s="95"/>
      <c r="E872" s="14"/>
      <c r="F872" s="96"/>
    </row>
    <row r="873">
      <c r="A873" s="12"/>
      <c r="D873" s="95"/>
      <c r="E873" s="14"/>
      <c r="F873" s="96"/>
    </row>
    <row r="874">
      <c r="A874" s="12"/>
      <c r="D874" s="95"/>
      <c r="E874" s="14"/>
      <c r="F874" s="96"/>
    </row>
    <row r="875">
      <c r="A875" s="12"/>
      <c r="D875" s="95"/>
      <c r="E875" s="14"/>
      <c r="F875" s="96"/>
    </row>
    <row r="876">
      <c r="A876" s="12"/>
      <c r="D876" s="95"/>
      <c r="E876" s="14"/>
      <c r="F876" s="96"/>
    </row>
    <row r="877">
      <c r="A877" s="12"/>
      <c r="D877" s="95"/>
      <c r="E877" s="14"/>
      <c r="F877" s="96"/>
    </row>
    <row r="878">
      <c r="A878" s="12"/>
      <c r="D878" s="95"/>
      <c r="E878" s="14"/>
      <c r="F878" s="96"/>
    </row>
    <row r="879">
      <c r="A879" s="12"/>
      <c r="D879" s="95"/>
      <c r="E879" s="14"/>
      <c r="F879" s="96"/>
    </row>
    <row r="880">
      <c r="A880" s="12"/>
      <c r="D880" s="95"/>
      <c r="E880" s="14"/>
      <c r="F880" s="96"/>
    </row>
    <row r="881">
      <c r="A881" s="12"/>
      <c r="D881" s="95"/>
      <c r="E881" s="14"/>
      <c r="F881" s="96"/>
    </row>
    <row r="882">
      <c r="A882" s="12"/>
      <c r="D882" s="95"/>
      <c r="E882" s="14"/>
      <c r="F882" s="96"/>
    </row>
    <row r="883">
      <c r="A883" s="12"/>
      <c r="D883" s="95"/>
      <c r="E883" s="14"/>
      <c r="F883" s="96"/>
    </row>
    <row r="884">
      <c r="A884" s="12"/>
      <c r="D884" s="95"/>
      <c r="E884" s="14"/>
      <c r="F884" s="96"/>
    </row>
    <row r="885">
      <c r="A885" s="12"/>
      <c r="D885" s="95"/>
      <c r="E885" s="14"/>
      <c r="F885" s="96"/>
    </row>
    <row r="886">
      <c r="A886" s="12"/>
      <c r="D886" s="95"/>
      <c r="E886" s="14"/>
      <c r="F886" s="96"/>
    </row>
    <row r="887">
      <c r="A887" s="12"/>
      <c r="D887" s="95"/>
      <c r="E887" s="14"/>
      <c r="F887" s="96"/>
    </row>
    <row r="888">
      <c r="A888" s="12"/>
      <c r="D888" s="95"/>
      <c r="E888" s="14"/>
      <c r="F888" s="96"/>
    </row>
    <row r="889">
      <c r="A889" s="12"/>
      <c r="D889" s="95"/>
      <c r="E889" s="14"/>
      <c r="F889" s="96"/>
    </row>
    <row r="890">
      <c r="A890" s="12"/>
      <c r="D890" s="95"/>
      <c r="E890" s="14"/>
      <c r="F890" s="96"/>
    </row>
    <row r="891">
      <c r="A891" s="12"/>
      <c r="D891" s="95"/>
      <c r="E891" s="14"/>
      <c r="F891" s="96"/>
    </row>
    <row r="892">
      <c r="A892" s="12"/>
      <c r="D892" s="95"/>
      <c r="E892" s="14"/>
      <c r="F892" s="96"/>
    </row>
    <row r="893">
      <c r="A893" s="12"/>
      <c r="D893" s="95"/>
      <c r="E893" s="14"/>
      <c r="F893" s="96"/>
    </row>
    <row r="894">
      <c r="A894" s="12"/>
      <c r="D894" s="95"/>
      <c r="E894" s="14"/>
      <c r="F894" s="96"/>
    </row>
    <row r="895">
      <c r="A895" s="12"/>
      <c r="D895" s="95"/>
      <c r="E895" s="14"/>
      <c r="F895" s="96"/>
    </row>
    <row r="896">
      <c r="A896" s="12"/>
      <c r="D896" s="95"/>
      <c r="E896" s="14"/>
      <c r="F896" s="96"/>
    </row>
    <row r="897">
      <c r="A897" s="12"/>
      <c r="D897" s="95"/>
      <c r="E897" s="14"/>
      <c r="F897" s="96"/>
    </row>
    <row r="898">
      <c r="A898" s="12"/>
      <c r="D898" s="95"/>
      <c r="E898" s="14"/>
      <c r="F898" s="96"/>
    </row>
    <row r="899">
      <c r="A899" s="12"/>
      <c r="D899" s="95"/>
      <c r="E899" s="14"/>
      <c r="F899" s="96"/>
    </row>
    <row r="900">
      <c r="A900" s="12"/>
      <c r="D900" s="95"/>
      <c r="E900" s="14"/>
      <c r="F900" s="96"/>
    </row>
    <row r="901">
      <c r="A901" s="12"/>
      <c r="D901" s="95"/>
      <c r="E901" s="14"/>
      <c r="F901" s="96"/>
    </row>
    <row r="902">
      <c r="A902" s="12"/>
      <c r="D902" s="95"/>
      <c r="E902" s="14"/>
      <c r="F902" s="96"/>
    </row>
    <row r="903">
      <c r="A903" s="12"/>
      <c r="D903" s="95"/>
      <c r="E903" s="14"/>
      <c r="F903" s="96"/>
    </row>
    <row r="904">
      <c r="A904" s="12"/>
      <c r="D904" s="95"/>
      <c r="E904" s="14"/>
      <c r="F904" s="96"/>
    </row>
    <row r="905">
      <c r="A905" s="12"/>
      <c r="D905" s="95"/>
      <c r="E905" s="14"/>
      <c r="F905" s="96"/>
    </row>
    <row r="906">
      <c r="A906" s="12"/>
      <c r="D906" s="95"/>
      <c r="E906" s="14"/>
      <c r="F906" s="96"/>
    </row>
    <row r="907">
      <c r="A907" s="12"/>
      <c r="D907" s="95"/>
      <c r="E907" s="14"/>
      <c r="F907" s="96"/>
    </row>
    <row r="908">
      <c r="A908" s="12"/>
      <c r="D908" s="95"/>
      <c r="E908" s="14"/>
      <c r="F908" s="96"/>
    </row>
    <row r="909">
      <c r="A909" s="12"/>
      <c r="D909" s="95"/>
      <c r="E909" s="14"/>
      <c r="F909" s="96"/>
    </row>
    <row r="910">
      <c r="A910" s="12"/>
      <c r="D910" s="95"/>
      <c r="E910" s="14"/>
      <c r="F910" s="96"/>
    </row>
    <row r="911">
      <c r="A911" s="12"/>
      <c r="D911" s="95"/>
      <c r="E911" s="14"/>
      <c r="F911" s="96"/>
    </row>
    <row r="912">
      <c r="A912" s="12"/>
      <c r="D912" s="95"/>
      <c r="E912" s="14"/>
      <c r="F912" s="96"/>
    </row>
    <row r="913">
      <c r="A913" s="12"/>
      <c r="D913" s="95"/>
      <c r="E913" s="14"/>
      <c r="F913" s="96"/>
    </row>
    <row r="914">
      <c r="A914" s="12"/>
      <c r="D914" s="95"/>
      <c r="E914" s="14"/>
      <c r="F914" s="96"/>
    </row>
    <row r="915">
      <c r="A915" s="12"/>
      <c r="D915" s="95"/>
      <c r="E915" s="14"/>
      <c r="F915" s="96"/>
    </row>
    <row r="916">
      <c r="A916" s="12"/>
      <c r="D916" s="95"/>
      <c r="E916" s="14"/>
      <c r="F916" s="96"/>
    </row>
    <row r="917">
      <c r="A917" s="12"/>
      <c r="D917" s="95"/>
      <c r="E917" s="14"/>
      <c r="F917" s="96"/>
    </row>
    <row r="918">
      <c r="A918" s="12"/>
      <c r="D918" s="95"/>
      <c r="E918" s="14"/>
      <c r="F918" s="96"/>
    </row>
    <row r="919">
      <c r="A919" s="12"/>
      <c r="D919" s="95"/>
      <c r="E919" s="14"/>
      <c r="F919" s="96"/>
    </row>
    <row r="920">
      <c r="A920" s="12"/>
      <c r="D920" s="95"/>
      <c r="E920" s="14"/>
      <c r="F920" s="96"/>
    </row>
    <row r="921">
      <c r="A921" s="12"/>
      <c r="D921" s="95"/>
      <c r="E921" s="14"/>
      <c r="F921" s="96"/>
    </row>
    <row r="922">
      <c r="A922" s="12"/>
      <c r="D922" s="95"/>
      <c r="E922" s="14"/>
      <c r="F922" s="96"/>
    </row>
    <row r="923">
      <c r="A923" s="12"/>
      <c r="D923" s="95"/>
      <c r="E923" s="14"/>
      <c r="F923" s="96"/>
    </row>
    <row r="924">
      <c r="A924" s="12"/>
      <c r="D924" s="95"/>
      <c r="E924" s="14"/>
      <c r="F924" s="96"/>
    </row>
    <row r="925">
      <c r="A925" s="12"/>
      <c r="D925" s="95"/>
      <c r="E925" s="14"/>
      <c r="F925" s="96"/>
    </row>
    <row r="926">
      <c r="A926" s="12"/>
      <c r="D926" s="95"/>
      <c r="E926" s="14"/>
      <c r="F926" s="96"/>
    </row>
    <row r="927">
      <c r="A927" s="12"/>
      <c r="D927" s="95"/>
      <c r="E927" s="14"/>
      <c r="F927" s="96"/>
    </row>
    <row r="928">
      <c r="A928" s="12"/>
      <c r="D928" s="95"/>
      <c r="E928" s="14"/>
      <c r="F928" s="96"/>
    </row>
    <row r="929">
      <c r="A929" s="12"/>
      <c r="D929" s="95"/>
      <c r="E929" s="14"/>
      <c r="F929" s="96"/>
    </row>
    <row r="930">
      <c r="A930" s="12"/>
      <c r="D930" s="95"/>
      <c r="E930" s="14"/>
      <c r="F930" s="96"/>
    </row>
    <row r="931">
      <c r="A931" s="12"/>
      <c r="D931" s="95"/>
      <c r="E931" s="14"/>
      <c r="F931" s="96"/>
    </row>
    <row r="932">
      <c r="A932" s="12"/>
      <c r="D932" s="95"/>
      <c r="E932" s="14"/>
      <c r="F932" s="96"/>
    </row>
    <row r="933">
      <c r="A933" s="12"/>
      <c r="D933" s="95"/>
      <c r="E933" s="14"/>
      <c r="F933" s="96"/>
    </row>
    <row r="934">
      <c r="A934" s="12"/>
      <c r="D934" s="95"/>
      <c r="E934" s="14"/>
      <c r="F934" s="96"/>
    </row>
    <row r="935">
      <c r="A935" s="12"/>
      <c r="D935" s="95"/>
      <c r="E935" s="14"/>
      <c r="F935" s="96"/>
    </row>
    <row r="936">
      <c r="A936" s="12"/>
      <c r="D936" s="95"/>
      <c r="E936" s="14"/>
      <c r="F936" s="96"/>
    </row>
    <row r="937">
      <c r="A937" s="12"/>
      <c r="D937" s="95"/>
      <c r="E937" s="14"/>
      <c r="F937" s="96"/>
    </row>
    <row r="938">
      <c r="A938" s="12"/>
      <c r="D938" s="95"/>
      <c r="E938" s="14"/>
      <c r="F938" s="96"/>
    </row>
    <row r="939">
      <c r="A939" s="12"/>
      <c r="D939" s="95"/>
      <c r="E939" s="14"/>
      <c r="F939" s="96"/>
    </row>
    <row r="940">
      <c r="A940" s="12"/>
      <c r="D940" s="95"/>
      <c r="E940" s="14"/>
      <c r="F940" s="96"/>
    </row>
    <row r="941">
      <c r="A941" s="12"/>
      <c r="D941" s="95"/>
      <c r="E941" s="14"/>
      <c r="F941" s="96"/>
    </row>
    <row r="942">
      <c r="A942" s="12"/>
      <c r="D942" s="95"/>
      <c r="E942" s="14"/>
      <c r="F942" s="96"/>
    </row>
    <row r="943">
      <c r="A943" s="12"/>
      <c r="D943" s="95"/>
      <c r="E943" s="14"/>
      <c r="F943" s="96"/>
    </row>
    <row r="944">
      <c r="A944" s="12"/>
      <c r="D944" s="95"/>
      <c r="E944" s="14"/>
      <c r="F944" s="96"/>
    </row>
    <row r="945">
      <c r="A945" s="12"/>
      <c r="D945" s="95"/>
      <c r="E945" s="14"/>
      <c r="F945" s="96"/>
    </row>
    <row r="946">
      <c r="A946" s="12"/>
      <c r="D946" s="95"/>
      <c r="E946" s="14"/>
      <c r="F946" s="96"/>
    </row>
    <row r="947">
      <c r="A947" s="12"/>
      <c r="D947" s="95"/>
      <c r="E947" s="14"/>
      <c r="F947" s="96"/>
    </row>
    <row r="948">
      <c r="A948" s="12"/>
      <c r="D948" s="95"/>
      <c r="E948" s="14"/>
      <c r="F948" s="96"/>
    </row>
    <row r="949">
      <c r="A949" s="12"/>
      <c r="D949" s="95"/>
      <c r="E949" s="14"/>
      <c r="F949" s="96"/>
    </row>
    <row r="950">
      <c r="A950" s="12"/>
      <c r="D950" s="95"/>
      <c r="E950" s="14"/>
      <c r="F950" s="96"/>
    </row>
    <row r="951">
      <c r="A951" s="12"/>
      <c r="D951" s="95"/>
      <c r="E951" s="14"/>
      <c r="F951" s="96"/>
    </row>
    <row r="952">
      <c r="A952" s="12"/>
      <c r="D952" s="95"/>
      <c r="E952" s="14"/>
      <c r="F952" s="96"/>
    </row>
    <row r="953">
      <c r="A953" s="12"/>
      <c r="D953" s="95"/>
      <c r="E953" s="14"/>
      <c r="F953" s="96"/>
    </row>
    <row r="954">
      <c r="A954" s="12"/>
      <c r="D954" s="95"/>
      <c r="E954" s="14"/>
      <c r="F954" s="96"/>
    </row>
    <row r="955">
      <c r="A955" s="12"/>
      <c r="D955" s="95"/>
      <c r="E955" s="14"/>
      <c r="F955" s="96"/>
    </row>
    <row r="956">
      <c r="A956" s="12"/>
      <c r="D956" s="95"/>
      <c r="E956" s="14"/>
      <c r="F956" s="96"/>
    </row>
    <row r="957">
      <c r="A957" s="12"/>
      <c r="D957" s="95"/>
      <c r="E957" s="14"/>
      <c r="F957" s="96"/>
    </row>
    <row r="958">
      <c r="A958" s="12"/>
      <c r="D958" s="95"/>
      <c r="E958" s="14"/>
      <c r="F958" s="96"/>
    </row>
    <row r="959">
      <c r="A959" s="12"/>
      <c r="D959" s="95"/>
      <c r="E959" s="14"/>
      <c r="F959" s="96"/>
    </row>
    <row r="960">
      <c r="A960" s="12"/>
      <c r="D960" s="95"/>
      <c r="E960" s="14"/>
      <c r="F960" s="96"/>
    </row>
    <row r="961">
      <c r="A961" s="12"/>
      <c r="D961" s="95"/>
      <c r="E961" s="14"/>
      <c r="F961" s="96"/>
    </row>
    <row r="962">
      <c r="A962" s="12"/>
      <c r="D962" s="95"/>
      <c r="E962" s="14"/>
      <c r="F962" s="96"/>
    </row>
    <row r="963">
      <c r="A963" s="12"/>
      <c r="D963" s="95"/>
      <c r="E963" s="14"/>
      <c r="F963" s="96"/>
    </row>
    <row r="964">
      <c r="A964" s="12"/>
      <c r="D964" s="95"/>
      <c r="E964" s="14"/>
      <c r="F964" s="96"/>
    </row>
    <row r="965">
      <c r="A965" s="12"/>
      <c r="D965" s="95"/>
      <c r="E965" s="14"/>
      <c r="F965" s="96"/>
    </row>
    <row r="966">
      <c r="A966" s="12"/>
      <c r="D966" s="95"/>
      <c r="E966" s="14"/>
      <c r="F966" s="96"/>
    </row>
    <row r="967">
      <c r="A967" s="12"/>
      <c r="D967" s="95"/>
      <c r="E967" s="14"/>
      <c r="F967" s="96"/>
    </row>
    <row r="968">
      <c r="A968" s="12"/>
      <c r="D968" s="95"/>
      <c r="E968" s="14"/>
      <c r="F968" s="96"/>
    </row>
    <row r="969">
      <c r="A969" s="12"/>
      <c r="D969" s="95"/>
      <c r="E969" s="14"/>
      <c r="F969" s="96"/>
    </row>
    <row r="970">
      <c r="A970" s="12"/>
      <c r="D970" s="95"/>
      <c r="E970" s="14"/>
      <c r="F970" s="96"/>
    </row>
    <row r="971">
      <c r="A971" s="12"/>
      <c r="D971" s="95"/>
      <c r="E971" s="14"/>
      <c r="F971" s="96"/>
    </row>
    <row r="972">
      <c r="A972" s="12"/>
      <c r="D972" s="95"/>
      <c r="E972" s="14"/>
      <c r="F972" s="96"/>
    </row>
    <row r="973">
      <c r="A973" s="12"/>
      <c r="D973" s="95"/>
      <c r="E973" s="14"/>
      <c r="F973" s="96"/>
    </row>
    <row r="974">
      <c r="A974" s="12"/>
      <c r="D974" s="95"/>
      <c r="E974" s="14"/>
      <c r="F974" s="96"/>
    </row>
    <row r="975">
      <c r="A975" s="12"/>
      <c r="D975" s="95"/>
      <c r="E975" s="14"/>
      <c r="F975" s="96"/>
    </row>
    <row r="976">
      <c r="A976" s="12"/>
      <c r="D976" s="95"/>
      <c r="E976" s="14"/>
      <c r="F976" s="96"/>
    </row>
    <row r="977">
      <c r="A977" s="12"/>
      <c r="D977" s="95"/>
      <c r="E977" s="14"/>
      <c r="F977" s="96"/>
    </row>
    <row r="978">
      <c r="A978" s="12"/>
      <c r="D978" s="95"/>
      <c r="E978" s="14"/>
      <c r="F978" s="96"/>
    </row>
    <row r="979">
      <c r="A979" s="12"/>
      <c r="D979" s="95"/>
      <c r="E979" s="14"/>
      <c r="F979" s="96"/>
    </row>
    <row r="980">
      <c r="A980" s="12"/>
      <c r="D980" s="95"/>
      <c r="E980" s="14"/>
      <c r="F980" s="96"/>
    </row>
    <row r="981">
      <c r="A981" s="12"/>
      <c r="D981" s="95"/>
      <c r="E981" s="14"/>
      <c r="F981" s="96"/>
    </row>
    <row r="982">
      <c r="A982" s="12"/>
      <c r="D982" s="95"/>
      <c r="E982" s="14"/>
      <c r="F982" s="96"/>
    </row>
    <row r="983">
      <c r="A983" s="12"/>
      <c r="D983" s="95"/>
      <c r="E983" s="14"/>
      <c r="F983" s="96"/>
    </row>
    <row r="984">
      <c r="A984" s="12"/>
      <c r="D984" s="95"/>
      <c r="E984" s="14"/>
      <c r="F984" s="96"/>
    </row>
    <row r="985">
      <c r="A985" s="12"/>
      <c r="D985" s="95"/>
      <c r="E985" s="14"/>
      <c r="F985" s="96"/>
    </row>
    <row r="986">
      <c r="A986" s="12"/>
      <c r="D986" s="95"/>
      <c r="E986" s="14"/>
      <c r="F986" s="96"/>
    </row>
    <row r="987">
      <c r="A987" s="12"/>
      <c r="D987" s="95"/>
      <c r="E987" s="14"/>
      <c r="F987" s="96"/>
    </row>
    <row r="988">
      <c r="A988" s="12"/>
      <c r="D988" s="95"/>
      <c r="E988" s="14"/>
      <c r="F988" s="96"/>
    </row>
    <row r="989">
      <c r="A989" s="12"/>
      <c r="D989" s="95"/>
      <c r="E989" s="14"/>
      <c r="F989" s="96"/>
    </row>
    <row r="990">
      <c r="A990" s="12"/>
      <c r="D990" s="95"/>
      <c r="E990" s="14"/>
      <c r="F990" s="96"/>
    </row>
    <row r="991">
      <c r="A991" s="12"/>
      <c r="D991" s="95"/>
      <c r="E991" s="14"/>
      <c r="F991" s="96"/>
    </row>
    <row r="992">
      <c r="A992" s="12"/>
      <c r="D992" s="95"/>
      <c r="E992" s="14"/>
      <c r="F992" s="96"/>
    </row>
    <row r="993">
      <c r="A993" s="12"/>
      <c r="D993" s="95"/>
      <c r="E993" s="14"/>
      <c r="F993" s="96"/>
    </row>
    <row r="994">
      <c r="A994" s="12"/>
      <c r="D994" s="95"/>
      <c r="E994" s="14"/>
      <c r="F994" s="96"/>
    </row>
    <row r="995">
      <c r="A995" s="12"/>
      <c r="D995" s="95"/>
      <c r="E995" s="14"/>
      <c r="F995" s="96"/>
    </row>
    <row r="996">
      <c r="A996" s="12"/>
      <c r="D996" s="95"/>
      <c r="E996" s="14"/>
      <c r="F996" s="96"/>
    </row>
    <row r="997">
      <c r="A997" s="12"/>
      <c r="D997" s="95"/>
      <c r="E997" s="14"/>
      <c r="F997" s="96"/>
    </row>
    <row r="998">
      <c r="A998" s="12"/>
      <c r="D998" s="95"/>
      <c r="E998" s="14"/>
      <c r="F998" s="96"/>
    </row>
    <row r="999">
      <c r="A999" s="12"/>
      <c r="D999" s="95"/>
      <c r="E999" s="14"/>
      <c r="F999" s="96"/>
    </row>
    <row r="1000">
      <c r="A1000" s="12"/>
      <c r="D1000" s="95"/>
      <c r="E1000" s="14"/>
      <c r="F1000" s="96"/>
    </row>
    <row r="1001">
      <c r="A1001" s="12"/>
      <c r="D1001" s="95"/>
      <c r="E1001" s="14"/>
      <c r="F1001" s="96"/>
    </row>
    <row r="1002">
      <c r="A1002" s="12"/>
      <c r="D1002" s="95"/>
      <c r="E1002" s="14"/>
      <c r="F1002" s="96"/>
    </row>
  </sheetData>
  <conditionalFormatting sqref="H2:Q27">
    <cfRule type="cellIs" dxfId="41" priority="1" operator="equal">
      <formula>0</formula>
    </cfRule>
  </conditionalFormatting>
  <conditionalFormatting sqref="P2:P27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27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27">
    <cfRule type="colorScale" priority="4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27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27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27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27">
    <cfRule type="colorScale" priority="8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H2:H27">
    <cfRule type="colorScale" priority="9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Q2:Q27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27">
    <cfRule type="colorScale" priority="11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33:C40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3:F40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0">
      <formula1>OR(NOT(ISERROR(DATEVALUE(F30))), AND(ISNUMBER(F30), LEFT(CELL("format", F30))="D"))</formula1>
    </dataValidation>
    <dataValidation type="list" allowBlank="1" showDropDown="1" sqref="C2:C27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8.88"/>
    <col customWidth="1" min="3" max="3" width="15.5"/>
    <col customWidth="1" min="4" max="4" width="35.38"/>
    <col customWidth="1" min="5" max="5" width="9.25"/>
    <col customWidth="1" min="6" max="6" width="29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276" t="s">
        <v>48</v>
      </c>
      <c r="B1" s="1277" t="s">
        <v>49</v>
      </c>
      <c r="C1" s="1277" t="s">
        <v>50</v>
      </c>
      <c r="D1" s="1278" t="s">
        <v>56</v>
      </c>
      <c r="E1" s="1276" t="s">
        <v>57</v>
      </c>
      <c r="F1" s="1279" t="s">
        <v>52</v>
      </c>
      <c r="G1" s="1280" t="s">
        <v>53</v>
      </c>
      <c r="H1" s="1276" t="s">
        <v>4</v>
      </c>
      <c r="I1" s="1276" t="s">
        <v>58</v>
      </c>
      <c r="J1" s="1276" t="s">
        <v>59</v>
      </c>
      <c r="K1" s="1276" t="s">
        <v>60</v>
      </c>
      <c r="L1" s="1276" t="s">
        <v>61</v>
      </c>
      <c r="M1" s="1276" t="s">
        <v>62</v>
      </c>
      <c r="N1" s="1276" t="s">
        <v>63</v>
      </c>
      <c r="O1" s="1281" t="s">
        <v>64</v>
      </c>
      <c r="P1" s="1276" t="s">
        <v>65</v>
      </c>
    </row>
    <row r="2" ht="22.5" customHeight="1">
      <c r="A2" s="1282">
        <v>1.0</v>
      </c>
      <c r="B2" s="1283" t="s">
        <v>1979</v>
      </c>
      <c r="C2" s="1284" t="s">
        <v>67</v>
      </c>
      <c r="D2" s="1285" t="s">
        <v>206</v>
      </c>
      <c r="E2" s="1286" t="str">
        <f>IMAGE("https://flagcdn.com/w320/it.png")</f>
        <v/>
      </c>
      <c r="F2" s="1287">
        <v>35345.0</v>
      </c>
      <c r="G2" s="1288">
        <f t="shared" ref="G2:G35" si="1">DATEDIF(F2,TODAY(),"Y")</f>
        <v>29</v>
      </c>
      <c r="H2" s="1289">
        <f>1+1+1+1+1+1+1</f>
        <v>7</v>
      </c>
      <c r="I2" s="1289">
        <f>90+90+90+90+90+90+90</f>
        <v>630</v>
      </c>
      <c r="J2" s="1289"/>
      <c r="K2" s="1289"/>
      <c r="L2" s="1289"/>
      <c r="M2" s="1289"/>
      <c r="N2" s="1289">
        <f>1+1+1+1+1</f>
        <v>5</v>
      </c>
      <c r="O2" s="1289">
        <f t="shared" ref="O2:O35" si="2">J2+K2</f>
        <v>0</v>
      </c>
      <c r="P2" s="1289"/>
    </row>
    <row r="3" ht="22.5" customHeight="1">
      <c r="A3" s="1282">
        <v>4.0</v>
      </c>
      <c r="B3" s="1283" t="s">
        <v>1980</v>
      </c>
      <c r="C3" s="1284" t="s">
        <v>70</v>
      </c>
      <c r="D3" s="1285" t="s">
        <v>475</v>
      </c>
      <c r="E3" s="1286" t="str">
        <f>IMAGE("https://flagcdn.com/w320/at.png")</f>
        <v/>
      </c>
      <c r="F3" s="1287">
        <v>36057.0</v>
      </c>
      <c r="G3" s="1288">
        <f t="shared" si="1"/>
        <v>27</v>
      </c>
      <c r="H3" s="1289">
        <f>1+1+1+1+1</f>
        <v>5</v>
      </c>
      <c r="I3" s="1289">
        <f>1+90+90+18+90</f>
        <v>289</v>
      </c>
      <c r="J3" s="1289"/>
      <c r="K3" s="1289"/>
      <c r="L3" s="1289"/>
      <c r="M3" s="1289"/>
      <c r="N3" s="1289"/>
      <c r="O3" s="1289">
        <f t="shared" si="2"/>
        <v>0</v>
      </c>
      <c r="P3" s="1289"/>
    </row>
    <row r="4" ht="22.5" customHeight="1">
      <c r="A4" s="1282">
        <v>6.0</v>
      </c>
      <c r="B4" s="1290" t="s">
        <v>1981</v>
      </c>
      <c r="C4" s="1284" t="s">
        <v>79</v>
      </c>
      <c r="D4" s="1285" t="s">
        <v>477</v>
      </c>
      <c r="E4" s="1286" t="str">
        <f>IMAGE("https://flagcdn.com/w320/pt.png")</f>
        <v/>
      </c>
      <c r="F4" s="1287">
        <v>34889.0</v>
      </c>
      <c r="G4" s="1288">
        <f t="shared" si="1"/>
        <v>30</v>
      </c>
      <c r="H4" s="1289">
        <f>1+1+1+1+1+1</f>
        <v>6</v>
      </c>
      <c r="I4" s="1289">
        <f>22+22+90+30+15+90</f>
        <v>269</v>
      </c>
      <c r="J4" s="1289">
        <f t="shared" ref="J4:J6" si="3">1</f>
        <v>1</v>
      </c>
      <c r="K4" s="1289"/>
      <c r="L4" s="1289">
        <f>1</f>
        <v>1</v>
      </c>
      <c r="M4" s="1289"/>
      <c r="N4" s="1289"/>
      <c r="O4" s="1289">
        <f t="shared" si="2"/>
        <v>1</v>
      </c>
      <c r="P4" s="1289"/>
    </row>
    <row r="5" ht="22.5" customHeight="1">
      <c r="A5" s="1282">
        <v>7.0</v>
      </c>
      <c r="B5" s="1283" t="s">
        <v>1982</v>
      </c>
      <c r="C5" s="1284" t="s">
        <v>79</v>
      </c>
      <c r="D5" s="1285" t="s">
        <v>1983</v>
      </c>
      <c r="E5" s="1286" t="str">
        <f>IMAGE("https://flagcdn.com/w320/nl.png")</f>
        <v/>
      </c>
      <c r="F5" s="1287">
        <v>37732.0</v>
      </c>
      <c r="G5" s="1288">
        <f t="shared" si="1"/>
        <v>22</v>
      </c>
      <c r="H5" s="1289">
        <f>1+1+1+1+1+1+1</f>
        <v>7</v>
      </c>
      <c r="I5" s="1289">
        <f>76+31+31+60+7+90+90</f>
        <v>385</v>
      </c>
      <c r="J5" s="1289">
        <f t="shared" si="3"/>
        <v>1</v>
      </c>
      <c r="K5" s="1289">
        <f t="shared" ref="K5:L5" si="4">1</f>
        <v>1</v>
      </c>
      <c r="L5" s="1289">
        <f t="shared" si="4"/>
        <v>1</v>
      </c>
      <c r="M5" s="1289"/>
      <c r="N5" s="1289"/>
      <c r="O5" s="1289">
        <f t="shared" si="2"/>
        <v>2</v>
      </c>
      <c r="P5" s="1289"/>
    </row>
    <row r="6" ht="22.5" customHeight="1">
      <c r="A6" s="1282">
        <v>9.0</v>
      </c>
      <c r="B6" s="1290" t="s">
        <v>1984</v>
      </c>
      <c r="C6" s="1284" t="s">
        <v>82</v>
      </c>
      <c r="D6" s="1285" t="s">
        <v>182</v>
      </c>
      <c r="E6" s="1286" t="str">
        <f>IMAGE("https://flagcdn.com/w320/br.png")</f>
        <v/>
      </c>
      <c r="F6" s="1287">
        <v>35560.0</v>
      </c>
      <c r="G6" s="1288">
        <f t="shared" si="1"/>
        <v>28</v>
      </c>
      <c r="H6" s="1289">
        <f>1+1+1+1+1+1</f>
        <v>6</v>
      </c>
      <c r="I6" s="1289">
        <f>76+90+69+18+90+67</f>
        <v>410</v>
      </c>
      <c r="J6" s="1289">
        <f t="shared" si="3"/>
        <v>1</v>
      </c>
      <c r="K6" s="1289"/>
      <c r="L6" s="1289">
        <f>1+1</f>
        <v>2</v>
      </c>
      <c r="M6" s="1289"/>
      <c r="N6" s="1289"/>
      <c r="O6" s="1289">
        <f t="shared" si="2"/>
        <v>1</v>
      </c>
      <c r="P6" s="1289"/>
    </row>
    <row r="7" ht="22.5" customHeight="1">
      <c r="A7" s="1291">
        <v>11.0</v>
      </c>
      <c r="B7" s="1292" t="s">
        <v>1985</v>
      </c>
      <c r="C7" s="1293" t="s">
        <v>82</v>
      </c>
      <c r="D7" s="1294" t="s">
        <v>1986</v>
      </c>
      <c r="E7" s="1295" t="str">
        <f>IMAGE("https://flagcdn.com/w320/fr.png")</f>
        <v/>
      </c>
      <c r="F7" s="1296">
        <v>38469.0</v>
      </c>
      <c r="G7" s="1297">
        <f t="shared" si="1"/>
        <v>20</v>
      </c>
      <c r="H7" s="1298">
        <f>1</f>
        <v>1</v>
      </c>
      <c r="I7" s="1298">
        <f>33</f>
        <v>33</v>
      </c>
      <c r="J7" s="1298"/>
      <c r="K7" s="1298"/>
      <c r="L7" s="1298"/>
      <c r="M7" s="1298"/>
      <c r="N7" s="1298"/>
      <c r="O7" s="1298">
        <f t="shared" si="2"/>
        <v>0</v>
      </c>
      <c r="P7" s="1298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ht="22.5" customHeight="1">
      <c r="A8" s="1282">
        <v>13.0</v>
      </c>
      <c r="B8" s="1283" t="s">
        <v>1987</v>
      </c>
      <c r="C8" s="1284" t="s">
        <v>70</v>
      </c>
      <c r="D8" s="1285" t="s">
        <v>1988</v>
      </c>
      <c r="E8" s="1286" t="str">
        <f>IMAGE("https://flagcdn.com/w320/it.png")</f>
        <v/>
      </c>
      <c r="F8" s="1287">
        <v>37588.0</v>
      </c>
      <c r="G8" s="1288">
        <f t="shared" si="1"/>
        <v>23</v>
      </c>
      <c r="H8" s="1289">
        <f t="shared" ref="H8:H9" si="5">1+1+1+1+1</f>
        <v>5</v>
      </c>
      <c r="I8" s="1289">
        <f>22+9+72+7+90</f>
        <v>200</v>
      </c>
      <c r="J8" s="1289"/>
      <c r="K8" s="1289"/>
      <c r="L8" s="1289"/>
      <c r="M8" s="1289"/>
      <c r="N8" s="1289"/>
      <c r="O8" s="1289">
        <f t="shared" si="2"/>
        <v>0</v>
      </c>
      <c r="P8" s="1289"/>
    </row>
    <row r="9" ht="22.5" customHeight="1">
      <c r="A9" s="1282">
        <v>14.0</v>
      </c>
      <c r="B9" s="1283" t="s">
        <v>1989</v>
      </c>
      <c r="C9" s="1284" t="s">
        <v>79</v>
      </c>
      <c r="D9" s="1285" t="s">
        <v>1990</v>
      </c>
      <c r="E9" s="1286" t="str">
        <f>IMAGE("https://flagcdn.com/w320/gb-eng.png")</f>
        <v/>
      </c>
      <c r="F9" s="1287">
        <v>38788.0</v>
      </c>
      <c r="G9" s="1288">
        <f t="shared" si="1"/>
        <v>19</v>
      </c>
      <c r="H9" s="1299">
        <f t="shared" si="5"/>
        <v>5</v>
      </c>
      <c r="I9" s="1299">
        <f>9+90+75+57+90</f>
        <v>321</v>
      </c>
      <c r="J9" s="1289"/>
      <c r="K9" s="1289"/>
      <c r="L9" s="1289">
        <f t="shared" ref="L9:L10" si="6">1</f>
        <v>1</v>
      </c>
      <c r="M9" s="1289"/>
      <c r="N9" s="1289"/>
      <c r="O9" s="1289">
        <f t="shared" si="2"/>
        <v>0</v>
      </c>
      <c r="P9" s="1289"/>
    </row>
    <row r="10" ht="22.5" customHeight="1">
      <c r="A10" s="1282">
        <v>15.0</v>
      </c>
      <c r="B10" s="1283" t="s">
        <v>1991</v>
      </c>
      <c r="C10" s="1284" t="s">
        <v>79</v>
      </c>
      <c r="D10" s="1285" t="s">
        <v>481</v>
      </c>
      <c r="E10" s="1286" t="str">
        <f>IMAGE("https://flagcdn.com/w320/se.png")</f>
        <v/>
      </c>
      <c r="F10" s="1287">
        <v>38750.0</v>
      </c>
      <c r="G10" s="1288">
        <f t="shared" si="1"/>
        <v>19</v>
      </c>
      <c r="H10" s="1289">
        <f>1+1+1+1+1+1</f>
        <v>6</v>
      </c>
      <c r="I10" s="1289">
        <f>89+59+59+75+15+61</f>
        <v>358</v>
      </c>
      <c r="J10" s="1289"/>
      <c r="K10" s="1289"/>
      <c r="L10" s="1289">
        <f t="shared" si="6"/>
        <v>1</v>
      </c>
      <c r="M10" s="1289"/>
      <c r="N10" s="1289"/>
      <c r="O10" s="1289">
        <f t="shared" si="2"/>
        <v>0</v>
      </c>
      <c r="P10" s="1289"/>
    </row>
    <row r="11" ht="22.5" customHeight="1">
      <c r="A11" s="1282">
        <v>17.0</v>
      </c>
      <c r="B11" s="1283" t="s">
        <v>1992</v>
      </c>
      <c r="C11" s="1284" t="s">
        <v>70</v>
      </c>
      <c r="D11" s="1285" t="s">
        <v>403</v>
      </c>
      <c r="E11" s="1286" t="str">
        <f>IMAGE("https://flagcdn.com/w320/ar.png")</f>
        <v/>
      </c>
      <c r="F11" s="1287">
        <v>35912.0</v>
      </c>
      <c r="G11" s="1288">
        <f t="shared" si="1"/>
        <v>27</v>
      </c>
      <c r="H11" s="1289">
        <f>1+1+1+1+1</f>
        <v>5</v>
      </c>
      <c r="I11" s="1289">
        <f>90+72+90+90+90</f>
        <v>432</v>
      </c>
      <c r="J11" s="1289">
        <f t="shared" ref="J11:K11" si="7">1</f>
        <v>1</v>
      </c>
      <c r="K11" s="1289">
        <f t="shared" si="7"/>
        <v>1</v>
      </c>
      <c r="L11" s="1289"/>
      <c r="M11" s="1289"/>
      <c r="N11" s="1289"/>
      <c r="O11" s="1289">
        <f t="shared" si="2"/>
        <v>2</v>
      </c>
      <c r="P11" s="1289"/>
    </row>
    <row r="12" ht="22.5" customHeight="1">
      <c r="A12" s="1282">
        <v>19.0</v>
      </c>
      <c r="B12" s="1283" t="s">
        <v>1993</v>
      </c>
      <c r="C12" s="1284" t="s">
        <v>82</v>
      </c>
      <c r="D12" s="1285" t="s">
        <v>1994</v>
      </c>
      <c r="E12" s="1286" t="str">
        <f>IMAGE("https://flagcdn.com/w320/gb-eng.png")</f>
        <v/>
      </c>
      <c r="F12" s="1287">
        <v>35687.0</v>
      </c>
      <c r="G12" s="1288">
        <f t="shared" si="1"/>
        <v>28</v>
      </c>
      <c r="H12" s="1289">
        <f>1</f>
        <v>1</v>
      </c>
      <c r="I12" s="1289">
        <f>69</f>
        <v>69</v>
      </c>
      <c r="J12" s="1289">
        <f t="shared" ref="J12:J13" si="8">1</f>
        <v>1</v>
      </c>
      <c r="K12" s="1289"/>
      <c r="L12" s="1289"/>
      <c r="M12" s="1289"/>
      <c r="N12" s="1289"/>
      <c r="O12" s="1289">
        <f t="shared" si="2"/>
        <v>1</v>
      </c>
      <c r="P12" s="1289"/>
    </row>
    <row r="13" ht="22.5" customHeight="1">
      <c r="A13" s="1282">
        <v>20.0</v>
      </c>
      <c r="B13" s="1283" t="s">
        <v>1995</v>
      </c>
      <c r="C13" s="1284" t="s">
        <v>79</v>
      </c>
      <c r="D13" s="1285" t="s">
        <v>291</v>
      </c>
      <c r="E13" s="1286" t="str">
        <f>IMAGE("https://flagcdn.com/w320/gh.png")</f>
        <v/>
      </c>
      <c r="F13" s="1287">
        <v>36740.0</v>
      </c>
      <c r="G13" s="1288">
        <f t="shared" si="1"/>
        <v>25</v>
      </c>
      <c r="H13" s="1289">
        <f>1+1+1+1+1</f>
        <v>5</v>
      </c>
      <c r="I13" s="1289">
        <f>90+31+78+15+57</f>
        <v>271</v>
      </c>
      <c r="J13" s="1289">
        <f t="shared" si="8"/>
        <v>1</v>
      </c>
      <c r="K13" s="1289"/>
      <c r="L13" s="1289"/>
      <c r="M13" s="1289"/>
      <c r="N13" s="1289"/>
      <c r="O13" s="1289">
        <f t="shared" si="2"/>
        <v>1</v>
      </c>
      <c r="P13" s="1289"/>
    </row>
    <row r="14" ht="22.5" customHeight="1">
      <c r="A14" s="1282">
        <v>21.0</v>
      </c>
      <c r="B14" s="1283" t="s">
        <v>1996</v>
      </c>
      <c r="C14" s="1284" t="s">
        <v>79</v>
      </c>
      <c r="D14" s="1285" t="s">
        <v>1997</v>
      </c>
      <c r="E14" s="1286" t="str">
        <f>IMAGE("https://flagcdn.com/w320/se.png")</f>
        <v/>
      </c>
      <c r="F14" s="1287">
        <v>36641.0</v>
      </c>
      <c r="G14" s="1288">
        <f t="shared" si="1"/>
        <v>25</v>
      </c>
      <c r="H14" s="1289"/>
      <c r="I14" s="1289"/>
      <c r="J14" s="1289"/>
      <c r="K14" s="1289"/>
      <c r="L14" s="1289"/>
      <c r="M14" s="1289"/>
      <c r="N14" s="1289"/>
      <c r="O14" s="1289">
        <f t="shared" si="2"/>
        <v>0</v>
      </c>
      <c r="P14" s="1289"/>
    </row>
    <row r="15" ht="22.5" customHeight="1">
      <c r="A15" s="1282">
        <v>22.0</v>
      </c>
      <c r="B15" s="1283" t="s">
        <v>1998</v>
      </c>
      <c r="C15" s="1284" t="s">
        <v>82</v>
      </c>
      <c r="D15" s="1285" t="s">
        <v>1999</v>
      </c>
      <c r="E15" s="1286" t="str">
        <f>IMAGE("https://flagcdn.com/w320/gb-wls.png")</f>
        <v/>
      </c>
      <c r="F15" s="1287">
        <v>37034.0</v>
      </c>
      <c r="G15" s="1288">
        <f t="shared" si="1"/>
        <v>24</v>
      </c>
      <c r="H15" s="1289">
        <f>1+1+1+1</f>
        <v>4</v>
      </c>
      <c r="I15" s="1289">
        <f>14+59+21+54</f>
        <v>148</v>
      </c>
      <c r="J15" s="1289">
        <f>1</f>
        <v>1</v>
      </c>
      <c r="K15" s="1289"/>
      <c r="L15" s="1289"/>
      <c r="M15" s="1289">
        <f>1</f>
        <v>1</v>
      </c>
      <c r="N15" s="1289"/>
      <c r="O15" s="1289">
        <f t="shared" si="2"/>
        <v>1</v>
      </c>
      <c r="P15" s="1289"/>
    </row>
    <row r="16" ht="22.5" customHeight="1">
      <c r="A16" s="1282">
        <v>23.0</v>
      </c>
      <c r="B16" s="1283" t="s">
        <v>2000</v>
      </c>
      <c r="C16" s="1284" t="s">
        <v>70</v>
      </c>
      <c r="D16" s="1285" t="s">
        <v>83</v>
      </c>
      <c r="E16" s="1286" t="str">
        <f>IMAGE("https://flagcdn.com/w320/es.png")</f>
        <v/>
      </c>
      <c r="F16" s="1287">
        <v>36416.0</v>
      </c>
      <c r="G16" s="1288">
        <f t="shared" si="1"/>
        <v>26</v>
      </c>
      <c r="H16" s="1289">
        <f t="shared" ref="H16:H17" si="10">1+1+1+1+1+1+1</f>
        <v>7</v>
      </c>
      <c r="I16" s="1289">
        <f>90+90+90+90+90+67+90</f>
        <v>607</v>
      </c>
      <c r="J16" s="1289"/>
      <c r="K16" s="1289">
        <f t="shared" ref="K16:L16" si="9">1</f>
        <v>1</v>
      </c>
      <c r="L16" s="1289">
        <f t="shared" si="9"/>
        <v>1</v>
      </c>
      <c r="M16" s="1289"/>
      <c r="N16" s="1289"/>
      <c r="O16" s="1289">
        <f t="shared" si="2"/>
        <v>1</v>
      </c>
      <c r="P16" s="1289"/>
    </row>
    <row r="17" ht="22.5" customHeight="1">
      <c r="A17" s="1282">
        <v>24.0</v>
      </c>
      <c r="B17" s="1283" t="s">
        <v>2001</v>
      </c>
      <c r="C17" s="1284" t="s">
        <v>70</v>
      </c>
      <c r="D17" s="1285" t="s">
        <v>2002</v>
      </c>
      <c r="E17" s="1286" t="str">
        <f>IMAGE("https://flagcdn.com/w320/gb-eng.png")</f>
        <v/>
      </c>
      <c r="F17" s="1287">
        <v>36747.0</v>
      </c>
      <c r="G17" s="1288">
        <f t="shared" si="1"/>
        <v>25</v>
      </c>
      <c r="H17" s="1289">
        <f t="shared" si="10"/>
        <v>7</v>
      </c>
      <c r="I17" s="1289">
        <f>68+81+12+18+83+90+90</f>
        <v>442</v>
      </c>
      <c r="J17" s="1289"/>
      <c r="K17" s="1289"/>
      <c r="L17" s="1289"/>
      <c r="M17" s="1289"/>
      <c r="N17" s="1289"/>
      <c r="O17" s="1289">
        <f t="shared" si="2"/>
        <v>0</v>
      </c>
      <c r="P17" s="1289"/>
    </row>
    <row r="18" ht="22.5" customHeight="1">
      <c r="A18" s="1282">
        <v>28.0</v>
      </c>
      <c r="B18" s="1283" t="s">
        <v>2003</v>
      </c>
      <c r="C18" s="1284" t="s">
        <v>82</v>
      </c>
      <c r="D18" s="1285" t="s">
        <v>2004</v>
      </c>
      <c r="E18" s="1286" t="str">
        <f>IMAGE("https://flagcdn.com/w320/fr.png")</f>
        <v/>
      </c>
      <c r="F18" s="1287">
        <v>38319.0</v>
      </c>
      <c r="G18" s="1288">
        <f t="shared" si="1"/>
        <v>21</v>
      </c>
      <c r="H18" s="1299">
        <f t="shared" ref="H18:H19" si="11">1+1+1+1+1+1</f>
        <v>6</v>
      </c>
      <c r="I18" s="1299">
        <f>90+69+79+7+75+90</f>
        <v>410</v>
      </c>
      <c r="J18" s="1289">
        <f>1</f>
        <v>1</v>
      </c>
      <c r="K18" s="1289">
        <f>2</f>
        <v>2</v>
      </c>
      <c r="L18" s="1289"/>
      <c r="M18" s="1289"/>
      <c r="N18" s="1289"/>
      <c r="O18" s="1289">
        <f t="shared" si="2"/>
        <v>3</v>
      </c>
      <c r="P18" s="1289"/>
    </row>
    <row r="19" ht="22.5" customHeight="1">
      <c r="A19" s="1282">
        <v>29.0</v>
      </c>
      <c r="B19" s="1283" t="s">
        <v>2005</v>
      </c>
      <c r="C19" s="1284" t="s">
        <v>79</v>
      </c>
      <c r="D19" s="1285" t="s">
        <v>1418</v>
      </c>
      <c r="E19" s="1286" t="str">
        <f>IMAGE("https://flagcdn.com/w320/sn.png")</f>
        <v/>
      </c>
      <c r="F19" s="1287">
        <v>37513.0</v>
      </c>
      <c r="G19" s="1288">
        <f t="shared" si="1"/>
        <v>23</v>
      </c>
      <c r="H19" s="1289">
        <f t="shared" si="11"/>
        <v>6</v>
      </c>
      <c r="I19" s="1289">
        <f>68+68+31+90+83+33</f>
        <v>373</v>
      </c>
      <c r="J19" s="1289"/>
      <c r="K19" s="1289"/>
      <c r="L19" s="1289"/>
      <c r="M19" s="1289"/>
      <c r="N19" s="1289"/>
      <c r="O19" s="1289">
        <f t="shared" si="2"/>
        <v>0</v>
      </c>
      <c r="P19" s="1289"/>
    </row>
    <row r="20" ht="22.5" customHeight="1">
      <c r="A20" s="1282">
        <v>30.0</v>
      </c>
      <c r="B20" s="1283" t="s">
        <v>2006</v>
      </c>
      <c r="C20" s="1284" t="s">
        <v>79</v>
      </c>
      <c r="D20" s="1285" t="s">
        <v>1899</v>
      </c>
      <c r="E20" s="1286" t="str">
        <f>IMAGE("https://flagcdn.com/w320/uy.png")</f>
        <v/>
      </c>
      <c r="F20" s="1287">
        <v>35606.0</v>
      </c>
      <c r="G20" s="1288">
        <f t="shared" si="1"/>
        <v>28</v>
      </c>
      <c r="H20" s="1289">
        <f>1+1+1+1+1</f>
        <v>5</v>
      </c>
      <c r="I20" s="1289">
        <f>90+81+59+90+90</f>
        <v>410</v>
      </c>
      <c r="J20" s="1289"/>
      <c r="K20" s="1289">
        <f>1</f>
        <v>1</v>
      </c>
      <c r="L20" s="1289"/>
      <c r="M20" s="1289"/>
      <c r="N20" s="1289"/>
      <c r="O20" s="1289">
        <f t="shared" si="2"/>
        <v>1</v>
      </c>
      <c r="P20" s="1289"/>
    </row>
    <row r="21" ht="22.5" customHeight="1">
      <c r="A21" s="1282">
        <v>31.0</v>
      </c>
      <c r="B21" s="1283" t="s">
        <v>2007</v>
      </c>
      <c r="C21" s="1284" t="s">
        <v>67</v>
      </c>
      <c r="D21" s="1285" t="s">
        <v>68</v>
      </c>
      <c r="E21" s="1286" t="str">
        <f>IMAGE("https://flagcdn.com/w320/cz.png")</f>
        <v/>
      </c>
      <c r="F21" s="1287">
        <v>37693.0</v>
      </c>
      <c r="G21" s="1288">
        <f t="shared" si="1"/>
        <v>22</v>
      </c>
      <c r="H21" s="1299">
        <v>0.0</v>
      </c>
      <c r="I21" s="1299">
        <v>0.0</v>
      </c>
      <c r="J21" s="1289"/>
      <c r="K21" s="1289"/>
      <c r="L21" s="1289"/>
      <c r="M21" s="1289"/>
      <c r="N21" s="1289"/>
      <c r="O21" s="1289">
        <f t="shared" si="2"/>
        <v>0</v>
      </c>
      <c r="P21" s="1289"/>
    </row>
    <row r="22" ht="22.5" customHeight="1">
      <c r="A22" s="1282">
        <v>33.0</v>
      </c>
      <c r="B22" s="1283" t="s">
        <v>2008</v>
      </c>
      <c r="C22" s="1284" t="s">
        <v>70</v>
      </c>
      <c r="D22" s="1285" t="s">
        <v>2009</v>
      </c>
      <c r="E22" s="1286" t="str">
        <f>IMAGE("https://flagcdn.com/w320/gb-wls.png")</f>
        <v/>
      </c>
      <c r="F22" s="1287">
        <v>34083.0</v>
      </c>
      <c r="G22" s="1288">
        <f t="shared" si="1"/>
        <v>32</v>
      </c>
      <c r="H22" s="1299">
        <f>1</f>
        <v>1</v>
      </c>
      <c r="I22" s="1299">
        <f>23</f>
        <v>23</v>
      </c>
      <c r="J22" s="1289"/>
      <c r="K22" s="1289"/>
      <c r="L22" s="1289"/>
      <c r="M22" s="1289"/>
      <c r="N22" s="1289"/>
      <c r="O22" s="1289">
        <f t="shared" si="2"/>
        <v>0</v>
      </c>
      <c r="P22" s="1289"/>
    </row>
    <row r="23" ht="22.5" customHeight="1">
      <c r="A23" s="1282">
        <v>37.0</v>
      </c>
      <c r="B23" s="1283" t="s">
        <v>2010</v>
      </c>
      <c r="C23" s="1284" t="s">
        <v>70</v>
      </c>
      <c r="D23" s="1285" t="s">
        <v>80</v>
      </c>
      <c r="E23" s="1286" t="str">
        <f>IMAGE("https://flagcdn.com/w320/nl.png")</f>
        <v/>
      </c>
      <c r="F23" s="1287">
        <v>37000.0</v>
      </c>
      <c r="G23" s="1288">
        <f t="shared" si="1"/>
        <v>24</v>
      </c>
      <c r="H23" s="1289">
        <f t="shared" ref="H23:H24" si="12">1+1+1+1+1+1</f>
        <v>6</v>
      </c>
      <c r="I23" s="1289">
        <f>90+90+90+90+90+90</f>
        <v>540</v>
      </c>
      <c r="J23" s="1289">
        <f>1+1</f>
        <v>2</v>
      </c>
      <c r="K23" s="1289"/>
      <c r="L23" s="1289">
        <f>1+1+1</f>
        <v>3</v>
      </c>
      <c r="M23" s="1289"/>
      <c r="N23" s="1289"/>
      <c r="O23" s="1289">
        <f t="shared" si="2"/>
        <v>2</v>
      </c>
      <c r="P23" s="1289"/>
    </row>
    <row r="24" ht="22.5" customHeight="1">
      <c r="A24" s="1282">
        <v>39.0</v>
      </c>
      <c r="B24" s="1283" t="s">
        <v>2011</v>
      </c>
      <c r="C24" s="1284" t="s">
        <v>82</v>
      </c>
      <c r="D24" s="1285" t="s">
        <v>2012</v>
      </c>
      <c r="E24" s="1286" t="str">
        <f>IMAGE("https://flagcdn.com/w320/fr.png")</f>
        <v/>
      </c>
      <c r="F24" s="1287">
        <v>36134.0</v>
      </c>
      <c r="G24" s="1288">
        <f t="shared" si="1"/>
        <v>27</v>
      </c>
      <c r="H24" s="1289">
        <f t="shared" si="12"/>
        <v>6</v>
      </c>
      <c r="I24" s="1289">
        <f>14+21+72+83+23+21</f>
        <v>234</v>
      </c>
      <c r="J24" s="1289">
        <f>2</f>
        <v>2</v>
      </c>
      <c r="K24" s="1289">
        <f t="shared" ref="K24:L24" si="13">1+1</f>
        <v>2</v>
      </c>
      <c r="L24" s="1289">
        <f t="shared" si="13"/>
        <v>2</v>
      </c>
      <c r="M24" s="1289"/>
      <c r="N24" s="1289"/>
      <c r="O24" s="1289">
        <f t="shared" si="2"/>
        <v>4</v>
      </c>
      <c r="P24" s="1289"/>
    </row>
    <row r="25" ht="22.5" customHeight="1">
      <c r="A25" s="1282">
        <v>40.0</v>
      </c>
      <c r="B25" s="1283" t="s">
        <v>2013</v>
      </c>
      <c r="C25" s="1284" t="s">
        <v>67</v>
      </c>
      <c r="D25" s="1285" t="s">
        <v>2014</v>
      </c>
      <c r="E25" s="1286" t="str">
        <f t="shared" ref="E25:E33" si="14">IMAGE("https://flagcdn.com/w320/gb-eng.png")</f>
        <v/>
      </c>
      <c r="F25" s="1287">
        <v>36168.0</v>
      </c>
      <c r="G25" s="1288">
        <f t="shared" si="1"/>
        <v>27</v>
      </c>
      <c r="H25" s="1299">
        <v>0.0</v>
      </c>
      <c r="I25" s="1299">
        <v>0.0</v>
      </c>
      <c r="J25" s="1289"/>
      <c r="K25" s="1289"/>
      <c r="L25" s="1289"/>
      <c r="M25" s="1289"/>
      <c r="N25" s="1289"/>
      <c r="O25" s="1289">
        <f t="shared" si="2"/>
        <v>0</v>
      </c>
      <c r="P25" s="1289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22.5" customHeight="1">
      <c r="A26" s="1300">
        <v>44.0</v>
      </c>
      <c r="B26" s="1301" t="s">
        <v>2015</v>
      </c>
      <c r="C26" s="1302" t="s">
        <v>82</v>
      </c>
      <c r="D26" s="1303" t="s">
        <v>2016</v>
      </c>
      <c r="E26" s="1304" t="str">
        <f t="shared" si="14"/>
        <v/>
      </c>
      <c r="F26" s="1305">
        <v>38070.0</v>
      </c>
      <c r="G26" s="1297">
        <f t="shared" si="1"/>
        <v>21</v>
      </c>
      <c r="H26" s="1306">
        <f>1</f>
        <v>1</v>
      </c>
      <c r="I26" s="1306">
        <f>11</f>
        <v>11</v>
      </c>
      <c r="J26" s="1298"/>
      <c r="K26" s="1298"/>
      <c r="L26" s="1298"/>
      <c r="M26" s="1298"/>
      <c r="N26" s="1298"/>
      <c r="O26" s="1298">
        <f t="shared" si="2"/>
        <v>0</v>
      </c>
      <c r="P26" s="1298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22.5" customHeight="1">
      <c r="A27" s="1300">
        <v>46.0</v>
      </c>
      <c r="B27" s="1301" t="s">
        <v>2017</v>
      </c>
      <c r="C27" s="1302" t="s">
        <v>67</v>
      </c>
      <c r="D27" s="1303" t="s">
        <v>94</v>
      </c>
      <c r="E27" s="1304" t="str">
        <f t="shared" si="14"/>
        <v/>
      </c>
      <c r="F27" s="1305">
        <v>38434.0</v>
      </c>
      <c r="G27" s="1297">
        <f t="shared" si="1"/>
        <v>20</v>
      </c>
      <c r="H27" s="1306">
        <v>0.0</v>
      </c>
      <c r="I27" s="1306">
        <v>0.0</v>
      </c>
      <c r="J27" s="1298"/>
      <c r="K27" s="1298"/>
      <c r="L27" s="1298"/>
      <c r="M27" s="1298"/>
      <c r="N27" s="1298"/>
      <c r="O27" s="1298">
        <f t="shared" si="2"/>
        <v>0</v>
      </c>
      <c r="P27" s="1298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1300">
        <v>52.0</v>
      </c>
      <c r="B28" s="1301" t="s">
        <v>2018</v>
      </c>
      <c r="C28" s="1302" t="s">
        <v>79</v>
      </c>
      <c r="D28" s="1303" t="s">
        <v>2019</v>
      </c>
      <c r="E28" s="1304" t="str">
        <f t="shared" si="14"/>
        <v/>
      </c>
      <c r="F28" s="1305">
        <v>39152.0</v>
      </c>
      <c r="G28" s="1297">
        <f t="shared" si="1"/>
        <v>18</v>
      </c>
      <c r="H28" s="1306">
        <v>0.0</v>
      </c>
      <c r="I28" s="1306">
        <v>0.0</v>
      </c>
      <c r="J28" s="1298"/>
      <c r="K28" s="1298"/>
      <c r="L28" s="1298"/>
      <c r="M28" s="1298"/>
      <c r="N28" s="1298"/>
      <c r="O28" s="1298">
        <f t="shared" si="2"/>
        <v>0</v>
      </c>
      <c r="P28" s="1298"/>
    </row>
    <row r="29" ht="22.5" customHeight="1">
      <c r="A29" s="1300">
        <v>54.0</v>
      </c>
      <c r="B29" s="1301" t="s">
        <v>2020</v>
      </c>
      <c r="C29" s="1302" t="s">
        <v>82</v>
      </c>
      <c r="D29" s="1303" t="s">
        <v>94</v>
      </c>
      <c r="E29" s="1304" t="str">
        <f t="shared" si="14"/>
        <v/>
      </c>
      <c r="F29" s="1305">
        <v>39555.0</v>
      </c>
      <c r="G29" s="1297">
        <f t="shared" si="1"/>
        <v>17</v>
      </c>
      <c r="H29" s="1306">
        <v>0.0</v>
      </c>
      <c r="I29" s="1306">
        <v>0.0</v>
      </c>
      <c r="J29" s="1298"/>
      <c r="K29" s="1298"/>
      <c r="L29" s="1298"/>
      <c r="M29" s="1298"/>
      <c r="N29" s="1298"/>
      <c r="O29" s="1298">
        <f t="shared" si="2"/>
        <v>0</v>
      </c>
      <c r="P29" s="1298"/>
    </row>
    <row r="30" ht="22.5" customHeight="1">
      <c r="A30" s="1300">
        <v>57.0</v>
      </c>
      <c r="B30" s="1301" t="s">
        <v>2021</v>
      </c>
      <c r="C30" s="1302" t="s">
        <v>79</v>
      </c>
      <c r="D30" s="1303" t="s">
        <v>2022</v>
      </c>
      <c r="E30" s="1304" t="str">
        <f t="shared" si="14"/>
        <v/>
      </c>
      <c r="F30" s="1305">
        <v>38512.0</v>
      </c>
      <c r="G30" s="1297">
        <f t="shared" si="1"/>
        <v>20</v>
      </c>
      <c r="H30" s="1306">
        <v>0.0</v>
      </c>
      <c r="I30" s="1306">
        <v>0.0</v>
      </c>
      <c r="J30" s="1298"/>
      <c r="K30" s="1298"/>
      <c r="L30" s="1298"/>
      <c r="M30" s="1298"/>
      <c r="N30" s="1298"/>
      <c r="O30" s="1298">
        <f t="shared" si="2"/>
        <v>0</v>
      </c>
      <c r="P30" s="1298"/>
    </row>
    <row r="31" ht="22.5" customHeight="1">
      <c r="A31" s="1300">
        <v>66.0</v>
      </c>
      <c r="B31" s="1301" t="s">
        <v>2023</v>
      </c>
      <c r="C31" s="1302" t="s">
        <v>70</v>
      </c>
      <c r="D31" s="1303" t="s">
        <v>94</v>
      </c>
      <c r="E31" s="1304" t="str">
        <f t="shared" si="14"/>
        <v/>
      </c>
      <c r="F31" s="1305">
        <v>39517.0</v>
      </c>
      <c r="G31" s="1297">
        <f t="shared" si="1"/>
        <v>17</v>
      </c>
      <c r="H31" s="1306">
        <v>0.0</v>
      </c>
      <c r="I31" s="1306">
        <v>0.0</v>
      </c>
      <c r="J31" s="1298"/>
      <c r="K31" s="1298"/>
      <c r="L31" s="1298"/>
      <c r="M31" s="1298"/>
      <c r="N31" s="1298"/>
      <c r="O31" s="1298">
        <f t="shared" si="2"/>
        <v>0</v>
      </c>
      <c r="P31" s="1298"/>
    </row>
    <row r="32" ht="22.5" customHeight="1">
      <c r="A32" s="1300">
        <v>67.0</v>
      </c>
      <c r="B32" s="1301" t="s">
        <v>2024</v>
      </c>
      <c r="C32" s="1302" t="s">
        <v>70</v>
      </c>
      <c r="D32" s="1303" t="s">
        <v>94</v>
      </c>
      <c r="E32" s="1304" t="str">
        <f t="shared" si="14"/>
        <v/>
      </c>
      <c r="F32" s="1305">
        <v>39788.0</v>
      </c>
      <c r="G32" s="1297">
        <f t="shared" si="1"/>
        <v>17</v>
      </c>
      <c r="H32" s="1306">
        <f>1</f>
        <v>1</v>
      </c>
      <c r="I32" s="1306">
        <f>29</f>
        <v>29</v>
      </c>
      <c r="J32" s="1298"/>
      <c r="K32" s="1298"/>
      <c r="L32" s="1298"/>
      <c r="M32" s="1298"/>
      <c r="N32" s="1298"/>
      <c r="O32" s="1298">
        <f t="shared" si="2"/>
        <v>0</v>
      </c>
      <c r="P32" s="1298"/>
    </row>
    <row r="33" ht="22.5" customHeight="1">
      <c r="A33" s="1300">
        <v>68.0</v>
      </c>
      <c r="B33" s="1301" t="s">
        <v>2025</v>
      </c>
      <c r="C33" s="1302" t="s">
        <v>79</v>
      </c>
      <c r="D33" s="1303" t="s">
        <v>94</v>
      </c>
      <c r="E33" s="1304" t="str">
        <f t="shared" si="14"/>
        <v/>
      </c>
      <c r="F33" s="1305">
        <v>39722.0</v>
      </c>
      <c r="G33" s="1297">
        <f t="shared" si="1"/>
        <v>17</v>
      </c>
      <c r="H33" s="1306">
        <v>0.0</v>
      </c>
      <c r="I33" s="1306">
        <v>0.0</v>
      </c>
      <c r="J33" s="1298"/>
      <c r="K33" s="1298"/>
      <c r="L33" s="1298"/>
      <c r="M33" s="1298"/>
      <c r="N33" s="1298"/>
      <c r="O33" s="1298">
        <f t="shared" si="2"/>
        <v>0</v>
      </c>
      <c r="P33" s="1298"/>
    </row>
    <row r="34" ht="22.5" customHeight="1">
      <c r="A34" s="1300">
        <v>70.0</v>
      </c>
      <c r="B34" s="1301" t="s">
        <v>2026</v>
      </c>
      <c r="C34" s="1302" t="s">
        <v>82</v>
      </c>
      <c r="D34" s="1303" t="s">
        <v>2027</v>
      </c>
      <c r="E34" s="1304" t="str">
        <f>IMAGE("https://flagcdn.com/w320/ma.png")</f>
        <v/>
      </c>
      <c r="F34" s="1305">
        <v>38600.0</v>
      </c>
      <c r="G34" s="1297">
        <f t="shared" si="1"/>
        <v>20</v>
      </c>
      <c r="H34" s="1306">
        <v>0.0</v>
      </c>
      <c r="I34" s="1306">
        <v>0.0</v>
      </c>
      <c r="J34" s="1298"/>
      <c r="K34" s="1298"/>
      <c r="L34" s="1298"/>
      <c r="M34" s="1298"/>
      <c r="N34" s="1298"/>
      <c r="O34" s="1298">
        <f t="shared" si="2"/>
        <v>0</v>
      </c>
      <c r="P34" s="1298"/>
    </row>
    <row r="35" ht="22.5" customHeight="1">
      <c r="A35" s="1300">
        <v>76.0</v>
      </c>
      <c r="B35" s="1301" t="s">
        <v>2028</v>
      </c>
      <c r="C35" s="1302" t="s">
        <v>70</v>
      </c>
      <c r="D35" s="1303" t="s">
        <v>94</v>
      </c>
      <c r="E35" s="1304" t="str">
        <f>IMAGE("https://flagcdn.com/w320/gb-eng.png")</f>
        <v/>
      </c>
      <c r="F35" s="1305">
        <v>38911.0</v>
      </c>
      <c r="G35" s="1297">
        <f t="shared" si="1"/>
        <v>19</v>
      </c>
      <c r="H35" s="1306">
        <v>0.0</v>
      </c>
      <c r="I35" s="1306">
        <v>0.0</v>
      </c>
      <c r="J35" s="1298"/>
      <c r="K35" s="1298"/>
      <c r="L35" s="1298"/>
      <c r="M35" s="1298"/>
      <c r="N35" s="1298"/>
      <c r="O35" s="1298">
        <f t="shared" si="2"/>
        <v>0</v>
      </c>
      <c r="P35" s="1298"/>
    </row>
    <row r="36">
      <c r="A36" s="18"/>
      <c r="B36" s="18"/>
      <c r="C36" s="18"/>
      <c r="D36" s="64"/>
      <c r="E36" s="65"/>
      <c r="F36" s="18"/>
      <c r="G36" s="18"/>
      <c r="H36" s="73">
        <f>SUM(H2:H35)</f>
        <v>109</v>
      </c>
      <c r="I36" s="73">
        <f>SUM(I2:I35)+36</f>
        <v>6930</v>
      </c>
      <c r="J36" s="73">
        <f t="shared" ref="J36:P36" si="15">SUM(J2:J35)</f>
        <v>12</v>
      </c>
      <c r="K36" s="73">
        <f t="shared" si="15"/>
        <v>8</v>
      </c>
      <c r="L36" s="73">
        <f t="shared" si="15"/>
        <v>12</v>
      </c>
      <c r="M36" s="73">
        <f t="shared" si="15"/>
        <v>1</v>
      </c>
      <c r="N36" s="73">
        <f t="shared" si="15"/>
        <v>5</v>
      </c>
      <c r="O36" s="73">
        <f t="shared" si="15"/>
        <v>20</v>
      </c>
      <c r="P36" s="73">
        <f t="shared" si="1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22.5" customHeight="1">
      <c r="A37" s="1276" t="s">
        <v>150</v>
      </c>
      <c r="B37" s="1277" t="s">
        <v>49</v>
      </c>
      <c r="C37" s="1277" t="s">
        <v>265</v>
      </c>
      <c r="D37" s="1307" t="s">
        <v>56</v>
      </c>
      <c r="E37" s="1308" t="s">
        <v>57</v>
      </c>
      <c r="F37" s="1277" t="s">
        <v>52</v>
      </c>
      <c r="G37" s="1277" t="s">
        <v>53</v>
      </c>
      <c r="H37" s="1277" t="s">
        <v>4</v>
      </c>
      <c r="I37" s="1277" t="s">
        <v>5</v>
      </c>
      <c r="J37" s="1277" t="s">
        <v>6</v>
      </c>
      <c r="K37" s="1277" t="s">
        <v>7</v>
      </c>
      <c r="L37" s="1277" t="s">
        <v>8</v>
      </c>
      <c r="M37" s="1277" t="s">
        <v>9</v>
      </c>
      <c r="N37" s="1277" t="s">
        <v>10</v>
      </c>
    </row>
    <row r="38" ht="22.5" customHeight="1">
      <c r="A38" s="1309"/>
      <c r="B38" s="1309" t="s">
        <v>2029</v>
      </c>
      <c r="C38" s="1310" t="s">
        <v>153</v>
      </c>
      <c r="D38" s="1311" t="s">
        <v>73</v>
      </c>
      <c r="E38" s="1312" t="str">
        <f>IMAGE("https://flagcdn.com/w320/dk.png")</f>
        <v/>
      </c>
      <c r="F38" s="1313">
        <v>26946.0</v>
      </c>
      <c r="G38" s="1314">
        <f>DATEDIF(F38,TODAY(),"Y")</f>
        <v>52</v>
      </c>
      <c r="H38" s="1315">
        <f>L38+M38+N38</f>
        <v>7</v>
      </c>
      <c r="I38" s="1315">
        <f>(3*L38)+M38</f>
        <v>14</v>
      </c>
      <c r="J38" s="1315">
        <f>1+2+4+3+3+2</f>
        <v>15</v>
      </c>
      <c r="K38" s="1315">
        <f>2+5</f>
        <v>7</v>
      </c>
      <c r="L38" s="1316">
        <f>1+1+1+1</f>
        <v>4</v>
      </c>
      <c r="M38" s="1317">
        <f>1+1</f>
        <v>2</v>
      </c>
      <c r="N38" s="1318">
        <f>1</f>
        <v>1</v>
      </c>
    </row>
    <row r="39">
      <c r="A39" s="18"/>
      <c r="B39" s="18"/>
      <c r="C39" s="18"/>
      <c r="D39" s="64"/>
      <c r="E39" s="65"/>
      <c r="F39" s="18"/>
      <c r="G39" s="18"/>
      <c r="H39" s="73">
        <f>SUM(trenerTottenham[mecze])</f>
        <v>7</v>
      </c>
      <c r="I39" s="73">
        <f>SUM(trenerTottenham[punkty])</f>
        <v>14</v>
      </c>
      <c r="J39" s="73">
        <f>SUM(trenerTottenham[strzelone])</f>
        <v>15</v>
      </c>
      <c r="K39" s="73">
        <f>SUM(trenerTottenham[stracone])</f>
        <v>7</v>
      </c>
      <c r="L39" s="73">
        <f>SUM(trenerTottenham[wygrane])</f>
        <v>4</v>
      </c>
      <c r="M39" s="73">
        <f>SUM(trenerTottenham[remisy])</f>
        <v>2</v>
      </c>
      <c r="N39" s="73">
        <f>SUM(trenerTottenham[porażki])</f>
        <v>1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22.5" customHeight="1">
      <c r="A40" s="1276" t="s">
        <v>156</v>
      </c>
      <c r="B40" s="1276" t="s">
        <v>157</v>
      </c>
      <c r="C40" s="1276" t="s">
        <v>158</v>
      </c>
      <c r="D40" s="1280" t="s">
        <v>2030</v>
      </c>
      <c r="E40" s="1276" t="s">
        <v>160</v>
      </c>
      <c r="F40" s="1276" t="s">
        <v>161</v>
      </c>
    </row>
    <row r="41" ht="22.5" customHeight="1">
      <c r="A41" s="86">
        <v>1.0</v>
      </c>
      <c r="B41" s="87" t="s">
        <v>20</v>
      </c>
      <c r="C41" s="87" t="s">
        <v>46</v>
      </c>
      <c r="D41" s="88" t="s">
        <v>2031</v>
      </c>
      <c r="E41" s="161" t="s">
        <v>677</v>
      </c>
      <c r="F41" s="87" t="s">
        <v>510</v>
      </c>
    </row>
    <row r="42" ht="22.5" customHeight="1">
      <c r="A42" s="197">
        <v>2.0</v>
      </c>
      <c r="B42" s="727" t="s">
        <v>44</v>
      </c>
      <c r="C42" s="198" t="s">
        <v>20</v>
      </c>
      <c r="D42" s="264" t="s">
        <v>2032</v>
      </c>
      <c r="E42" s="265">
        <v>45690.0</v>
      </c>
      <c r="F42" s="198" t="s">
        <v>719</v>
      </c>
    </row>
    <row r="43" ht="22.5" customHeight="1">
      <c r="A43" s="197">
        <v>3.0</v>
      </c>
      <c r="B43" s="727" t="s">
        <v>29</v>
      </c>
      <c r="C43" s="727" t="s">
        <v>20</v>
      </c>
      <c r="D43" s="199"/>
      <c r="E43" s="200" t="s">
        <v>331</v>
      </c>
      <c r="F43" s="198" t="s">
        <v>997</v>
      </c>
    </row>
    <row r="44" ht="22.5" customHeight="1">
      <c r="A44" s="86">
        <v>4.0</v>
      </c>
      <c r="B44" s="847" t="s">
        <v>20</v>
      </c>
      <c r="C44" s="847" t="s">
        <v>34</v>
      </c>
      <c r="D44" s="88" t="s">
        <v>2033</v>
      </c>
      <c r="E44" s="161" t="s">
        <v>164</v>
      </c>
      <c r="F44" s="87" t="s">
        <v>510</v>
      </c>
    </row>
    <row r="45" ht="22.5" customHeight="1">
      <c r="A45" s="77">
        <v>5.0</v>
      </c>
      <c r="B45" s="78" t="s">
        <v>15</v>
      </c>
      <c r="C45" s="697" t="s">
        <v>20</v>
      </c>
      <c r="D45" s="83" t="s">
        <v>2034</v>
      </c>
      <c r="E45" s="84">
        <v>45780.0</v>
      </c>
      <c r="F45" s="78" t="s">
        <v>328</v>
      </c>
    </row>
    <row r="46" ht="22.5" customHeight="1">
      <c r="A46" s="86">
        <v>6.0</v>
      </c>
      <c r="B46" s="847" t="s">
        <v>20</v>
      </c>
      <c r="C46" s="87" t="s">
        <v>45</v>
      </c>
      <c r="D46" s="88" t="s">
        <v>2035</v>
      </c>
      <c r="E46" s="161" t="s">
        <v>560</v>
      </c>
      <c r="F46" s="87" t="s">
        <v>510</v>
      </c>
    </row>
    <row r="47" ht="22.5" customHeight="1">
      <c r="A47" s="90">
        <v>7.0</v>
      </c>
      <c r="B47" s="91" t="s">
        <v>20</v>
      </c>
      <c r="C47" s="925" t="s">
        <v>21</v>
      </c>
      <c r="D47" s="1319" t="s">
        <v>2036</v>
      </c>
      <c r="E47" s="1320" t="s">
        <v>271</v>
      </c>
      <c r="F47" s="94" t="s">
        <v>510</v>
      </c>
    </row>
    <row r="48" ht="22.5" customHeight="1">
      <c r="A48" s="90">
        <v>8.0</v>
      </c>
      <c r="B48" s="925" t="s">
        <v>41</v>
      </c>
      <c r="C48" s="91" t="s">
        <v>20</v>
      </c>
      <c r="D48" s="92"/>
      <c r="E48" s="93"/>
      <c r="F48" s="94" t="s">
        <v>335</v>
      </c>
    </row>
    <row r="49">
      <c r="D49" s="95"/>
      <c r="E49" s="14"/>
    </row>
    <row r="50">
      <c r="D50" s="95"/>
      <c r="E50" s="14"/>
    </row>
    <row r="51">
      <c r="D51" s="95"/>
      <c r="E51" s="14"/>
    </row>
    <row r="52">
      <c r="D52" s="95"/>
      <c r="E52" s="14"/>
    </row>
    <row r="53">
      <c r="D53" s="95"/>
      <c r="E53" s="14"/>
    </row>
    <row r="54">
      <c r="D54" s="95"/>
      <c r="E54" s="14"/>
    </row>
    <row r="55">
      <c r="D55" s="95"/>
      <c r="E55" s="14"/>
    </row>
    <row r="56">
      <c r="D56" s="95"/>
      <c r="E56" s="14"/>
    </row>
    <row r="57">
      <c r="D57" s="95"/>
      <c r="E57" s="14"/>
    </row>
    <row r="58">
      <c r="D58" s="95"/>
      <c r="E58" s="14"/>
    </row>
    <row r="59">
      <c r="D59" s="95"/>
      <c r="E59" s="14"/>
    </row>
    <row r="60">
      <c r="D60" s="95"/>
      <c r="E60" s="14"/>
    </row>
    <row r="61">
      <c r="D61" s="95"/>
      <c r="E61" s="14"/>
    </row>
    <row r="62">
      <c r="D62" s="95"/>
      <c r="E62" s="14"/>
    </row>
    <row r="63">
      <c r="D63" s="95"/>
      <c r="E63" s="14"/>
    </row>
    <row r="64">
      <c r="D64" s="95"/>
      <c r="E64" s="14"/>
    </row>
    <row r="65">
      <c r="D65" s="95"/>
      <c r="E65" s="14"/>
    </row>
    <row r="66">
      <c r="D66" s="95"/>
      <c r="E66" s="14"/>
    </row>
    <row r="67">
      <c r="D67" s="95"/>
      <c r="E67" s="14"/>
    </row>
    <row r="68">
      <c r="D68" s="95"/>
      <c r="E68" s="14"/>
    </row>
    <row r="69">
      <c r="D69" s="95"/>
      <c r="E69" s="14"/>
    </row>
    <row r="70">
      <c r="D70" s="95"/>
      <c r="E70" s="14"/>
    </row>
    <row r="71">
      <c r="D71" s="95"/>
      <c r="E71" s="14"/>
    </row>
    <row r="72">
      <c r="D72" s="95"/>
      <c r="E72" s="14"/>
    </row>
    <row r="73">
      <c r="D73" s="95"/>
      <c r="E73" s="14"/>
    </row>
    <row r="74">
      <c r="D74" s="95"/>
      <c r="E74" s="14"/>
    </row>
    <row r="75">
      <c r="D75" s="95"/>
      <c r="E75" s="14"/>
    </row>
    <row r="76">
      <c r="D76" s="95"/>
      <c r="E76" s="14"/>
    </row>
    <row r="77">
      <c r="D77" s="95"/>
      <c r="E77" s="14"/>
    </row>
    <row r="78">
      <c r="D78" s="95"/>
      <c r="E78" s="14"/>
    </row>
    <row r="79">
      <c r="D79" s="95"/>
      <c r="E79" s="14"/>
    </row>
    <row r="80">
      <c r="D80" s="95"/>
      <c r="E80" s="14"/>
    </row>
    <row r="81">
      <c r="D81" s="95"/>
      <c r="E81" s="14"/>
    </row>
    <row r="82">
      <c r="D82" s="95"/>
      <c r="E82" s="14"/>
    </row>
    <row r="83">
      <c r="D83" s="95"/>
      <c r="E83" s="14"/>
    </row>
    <row r="84">
      <c r="D84" s="95"/>
      <c r="E84" s="14"/>
    </row>
    <row r="85">
      <c r="D85" s="95"/>
      <c r="E85" s="14"/>
    </row>
    <row r="86">
      <c r="D86" s="95"/>
      <c r="E86" s="14"/>
    </row>
    <row r="87">
      <c r="D87" s="95"/>
      <c r="E87" s="14"/>
    </row>
    <row r="88">
      <c r="D88" s="95"/>
      <c r="E88" s="14"/>
    </row>
    <row r="89">
      <c r="D89" s="95"/>
      <c r="E89" s="14"/>
    </row>
    <row r="90">
      <c r="D90" s="95"/>
      <c r="E90" s="14"/>
    </row>
    <row r="91">
      <c r="D91" s="95"/>
      <c r="E91" s="14"/>
    </row>
    <row r="92">
      <c r="D92" s="95"/>
      <c r="E92" s="14"/>
    </row>
    <row r="93">
      <c r="D93" s="95"/>
      <c r="E93" s="14"/>
    </row>
    <row r="94">
      <c r="D94" s="95"/>
      <c r="E94" s="14"/>
    </row>
    <row r="95">
      <c r="D95" s="95"/>
      <c r="E95" s="14"/>
    </row>
    <row r="96">
      <c r="D96" s="95"/>
      <c r="E96" s="14"/>
    </row>
    <row r="97">
      <c r="D97" s="95"/>
      <c r="E97" s="14"/>
    </row>
    <row r="98">
      <c r="D98" s="95"/>
      <c r="E98" s="14"/>
    </row>
    <row r="99">
      <c r="D99" s="95"/>
      <c r="E99" s="14"/>
    </row>
    <row r="100">
      <c r="D100" s="95"/>
      <c r="E100" s="14"/>
    </row>
    <row r="101">
      <c r="D101" s="95"/>
      <c r="E101" s="14"/>
    </row>
    <row r="102">
      <c r="D102" s="95"/>
      <c r="E102" s="14"/>
    </row>
    <row r="103">
      <c r="D103" s="95"/>
      <c r="E103" s="14"/>
    </row>
    <row r="104">
      <c r="D104" s="95"/>
      <c r="E104" s="14"/>
    </row>
    <row r="105">
      <c r="D105" s="95"/>
      <c r="E105" s="14"/>
    </row>
    <row r="106">
      <c r="D106" s="95"/>
      <c r="E106" s="14"/>
    </row>
    <row r="107">
      <c r="D107" s="95"/>
      <c r="E107" s="14"/>
    </row>
    <row r="108">
      <c r="D108" s="95"/>
      <c r="E108" s="14"/>
    </row>
    <row r="109">
      <c r="D109" s="95"/>
      <c r="E109" s="14"/>
    </row>
    <row r="110">
      <c r="D110" s="95"/>
      <c r="E110" s="14"/>
    </row>
    <row r="111">
      <c r="D111" s="95"/>
      <c r="E111" s="14"/>
    </row>
    <row r="112">
      <c r="D112" s="95"/>
      <c r="E112" s="14"/>
    </row>
    <row r="113">
      <c r="D113" s="95"/>
      <c r="E113" s="14"/>
    </row>
    <row r="114">
      <c r="D114" s="95"/>
      <c r="E114" s="14"/>
    </row>
    <row r="115">
      <c r="D115" s="95"/>
      <c r="E115" s="14"/>
    </row>
    <row r="116">
      <c r="D116" s="95"/>
      <c r="E116" s="14"/>
    </row>
    <row r="117">
      <c r="D117" s="95"/>
      <c r="E117" s="14"/>
    </row>
    <row r="118">
      <c r="D118" s="95"/>
      <c r="E118" s="14"/>
    </row>
    <row r="119">
      <c r="D119" s="95"/>
      <c r="E119" s="14"/>
    </row>
    <row r="120">
      <c r="D120" s="95"/>
      <c r="E120" s="14"/>
    </row>
    <row r="121">
      <c r="D121" s="95"/>
      <c r="E121" s="14"/>
    </row>
    <row r="122">
      <c r="D122" s="95"/>
      <c r="E122" s="14"/>
    </row>
    <row r="123">
      <c r="D123" s="95"/>
      <c r="E123" s="14"/>
    </row>
    <row r="124">
      <c r="D124" s="95"/>
      <c r="E124" s="14"/>
    </row>
    <row r="125">
      <c r="D125" s="95"/>
      <c r="E125" s="14"/>
    </row>
    <row r="126">
      <c r="D126" s="95"/>
      <c r="E126" s="14"/>
    </row>
    <row r="127">
      <c r="D127" s="95"/>
      <c r="E127" s="14"/>
    </row>
    <row r="128">
      <c r="D128" s="95"/>
      <c r="E128" s="14"/>
    </row>
    <row r="129">
      <c r="D129" s="95"/>
      <c r="E129" s="14"/>
    </row>
    <row r="130">
      <c r="D130" s="95"/>
      <c r="E130" s="14"/>
    </row>
    <row r="131">
      <c r="D131" s="95"/>
      <c r="E131" s="14"/>
    </row>
    <row r="132">
      <c r="D132" s="95"/>
      <c r="E132" s="14"/>
    </row>
    <row r="133">
      <c r="D133" s="95"/>
      <c r="E133" s="14"/>
    </row>
    <row r="134">
      <c r="D134" s="95"/>
      <c r="E134" s="14"/>
    </row>
    <row r="135">
      <c r="D135" s="95"/>
      <c r="E135" s="14"/>
    </row>
    <row r="136">
      <c r="D136" s="95"/>
      <c r="E136" s="14"/>
    </row>
    <row r="137">
      <c r="D137" s="95"/>
      <c r="E137" s="14"/>
    </row>
    <row r="138">
      <c r="D138" s="95"/>
      <c r="E138" s="14"/>
    </row>
    <row r="139">
      <c r="D139" s="95"/>
      <c r="E139" s="14"/>
    </row>
    <row r="140">
      <c r="D140" s="95"/>
      <c r="E140" s="14"/>
    </row>
    <row r="141">
      <c r="D141" s="95"/>
      <c r="E141" s="14"/>
    </row>
    <row r="142">
      <c r="D142" s="95"/>
      <c r="E142" s="14"/>
    </row>
    <row r="143">
      <c r="D143" s="95"/>
      <c r="E143" s="14"/>
    </row>
    <row r="144">
      <c r="D144" s="95"/>
      <c r="E144" s="14"/>
    </row>
    <row r="145">
      <c r="D145" s="95"/>
      <c r="E145" s="14"/>
    </row>
    <row r="146">
      <c r="D146" s="95"/>
      <c r="E146" s="14"/>
    </row>
    <row r="147">
      <c r="D147" s="95"/>
      <c r="E147" s="14"/>
    </row>
    <row r="148">
      <c r="D148" s="95"/>
      <c r="E148" s="14"/>
    </row>
    <row r="149">
      <c r="D149" s="95"/>
      <c r="E149" s="14"/>
    </row>
    <row r="150">
      <c r="D150" s="95"/>
      <c r="E150" s="14"/>
    </row>
    <row r="151">
      <c r="D151" s="95"/>
      <c r="E151" s="14"/>
    </row>
    <row r="152">
      <c r="D152" s="95"/>
      <c r="E152" s="14"/>
    </row>
    <row r="153">
      <c r="D153" s="95"/>
      <c r="E153" s="14"/>
    </row>
    <row r="154">
      <c r="D154" s="95"/>
      <c r="E154" s="14"/>
    </row>
    <row r="155">
      <c r="D155" s="95"/>
      <c r="E155" s="14"/>
    </row>
    <row r="156">
      <c r="D156" s="95"/>
      <c r="E156" s="14"/>
    </row>
    <row r="157">
      <c r="D157" s="95"/>
      <c r="E157" s="14"/>
    </row>
    <row r="158">
      <c r="D158" s="95"/>
      <c r="E158" s="14"/>
    </row>
    <row r="159">
      <c r="D159" s="95"/>
      <c r="E159" s="14"/>
    </row>
    <row r="160">
      <c r="D160" s="95"/>
      <c r="E160" s="14"/>
    </row>
    <row r="161">
      <c r="D161" s="95"/>
      <c r="E161" s="14"/>
    </row>
    <row r="162">
      <c r="D162" s="95"/>
      <c r="E162" s="14"/>
    </row>
    <row r="163">
      <c r="D163" s="95"/>
      <c r="E163" s="14"/>
    </row>
    <row r="164">
      <c r="D164" s="95"/>
      <c r="E164" s="14"/>
    </row>
    <row r="165">
      <c r="D165" s="95"/>
      <c r="E165" s="14"/>
    </row>
    <row r="166">
      <c r="D166" s="95"/>
      <c r="E166" s="14"/>
    </row>
    <row r="167">
      <c r="D167" s="95"/>
      <c r="E167" s="14"/>
    </row>
    <row r="168">
      <c r="D168" s="95"/>
      <c r="E168" s="14"/>
    </row>
    <row r="169">
      <c r="D169" s="95"/>
      <c r="E169" s="14"/>
    </row>
    <row r="170">
      <c r="D170" s="95"/>
      <c r="E170" s="14"/>
    </row>
    <row r="171">
      <c r="D171" s="95"/>
      <c r="E171" s="14"/>
    </row>
    <row r="172">
      <c r="D172" s="95"/>
      <c r="E172" s="14"/>
    </row>
    <row r="173">
      <c r="D173" s="95"/>
      <c r="E173" s="14"/>
    </row>
    <row r="174">
      <c r="D174" s="95"/>
      <c r="E174" s="14"/>
    </row>
    <row r="175">
      <c r="D175" s="95"/>
      <c r="E175" s="14"/>
    </row>
    <row r="176">
      <c r="D176" s="95"/>
      <c r="E176" s="14"/>
    </row>
    <row r="177">
      <c r="D177" s="95"/>
      <c r="E177" s="14"/>
    </row>
    <row r="178">
      <c r="D178" s="95"/>
      <c r="E178" s="14"/>
    </row>
    <row r="179">
      <c r="D179" s="95"/>
      <c r="E179" s="14"/>
    </row>
    <row r="180">
      <c r="D180" s="95"/>
      <c r="E180" s="14"/>
    </row>
    <row r="181">
      <c r="D181" s="95"/>
      <c r="E181" s="14"/>
    </row>
    <row r="182">
      <c r="D182" s="95"/>
      <c r="E182" s="14"/>
    </row>
    <row r="183">
      <c r="D183" s="95"/>
      <c r="E183" s="14"/>
    </row>
    <row r="184">
      <c r="D184" s="95"/>
      <c r="E184" s="14"/>
    </row>
    <row r="185">
      <c r="D185" s="95"/>
      <c r="E185" s="14"/>
    </row>
    <row r="186">
      <c r="D186" s="95"/>
      <c r="E186" s="14"/>
    </row>
    <row r="187">
      <c r="D187" s="95"/>
      <c r="E187" s="14"/>
    </row>
    <row r="188">
      <c r="D188" s="95"/>
      <c r="E188" s="14"/>
    </row>
    <row r="189">
      <c r="D189" s="95"/>
      <c r="E189" s="14"/>
    </row>
    <row r="190">
      <c r="D190" s="95"/>
      <c r="E190" s="14"/>
    </row>
    <row r="191">
      <c r="D191" s="95"/>
      <c r="E191" s="14"/>
    </row>
    <row r="192">
      <c r="D192" s="95"/>
      <c r="E192" s="14"/>
    </row>
    <row r="193">
      <c r="D193" s="95"/>
      <c r="E193" s="14"/>
    </row>
    <row r="194">
      <c r="D194" s="95"/>
      <c r="E194" s="14"/>
    </row>
    <row r="195">
      <c r="D195" s="95"/>
      <c r="E195" s="14"/>
    </row>
    <row r="196">
      <c r="D196" s="95"/>
      <c r="E196" s="14"/>
    </row>
    <row r="197">
      <c r="D197" s="95"/>
      <c r="E197" s="14"/>
    </row>
    <row r="198">
      <c r="D198" s="95"/>
      <c r="E198" s="14"/>
    </row>
    <row r="199">
      <c r="D199" s="95"/>
      <c r="E199" s="14"/>
    </row>
    <row r="200">
      <c r="D200" s="95"/>
      <c r="E200" s="14"/>
    </row>
    <row r="201">
      <c r="D201" s="95"/>
      <c r="E201" s="14"/>
    </row>
    <row r="202">
      <c r="D202" s="95"/>
      <c r="E202" s="14"/>
    </row>
    <row r="203">
      <c r="D203" s="95"/>
      <c r="E203" s="14"/>
    </row>
    <row r="204">
      <c r="D204" s="95"/>
      <c r="E204" s="14"/>
    </row>
    <row r="205">
      <c r="D205" s="95"/>
      <c r="E205" s="14"/>
    </row>
    <row r="206">
      <c r="D206" s="95"/>
      <c r="E206" s="14"/>
    </row>
    <row r="207">
      <c r="D207" s="95"/>
      <c r="E207" s="14"/>
    </row>
    <row r="208">
      <c r="D208" s="95"/>
      <c r="E208" s="14"/>
    </row>
    <row r="209">
      <c r="D209" s="95"/>
      <c r="E209" s="14"/>
    </row>
    <row r="210">
      <c r="D210" s="95"/>
      <c r="E210" s="14"/>
    </row>
    <row r="211">
      <c r="D211" s="95"/>
      <c r="E211" s="14"/>
    </row>
    <row r="212">
      <c r="D212" s="95"/>
      <c r="E212" s="14"/>
    </row>
    <row r="213">
      <c r="D213" s="95"/>
      <c r="E213" s="14"/>
    </row>
    <row r="214">
      <c r="D214" s="95"/>
      <c r="E214" s="14"/>
    </row>
    <row r="215">
      <c r="D215" s="95"/>
      <c r="E215" s="14"/>
    </row>
    <row r="216">
      <c r="D216" s="95"/>
      <c r="E216" s="14"/>
    </row>
    <row r="217">
      <c r="D217" s="95"/>
      <c r="E217" s="14"/>
    </row>
    <row r="218">
      <c r="D218" s="95"/>
      <c r="E218" s="14"/>
    </row>
    <row r="219">
      <c r="D219" s="95"/>
      <c r="E219" s="14"/>
    </row>
    <row r="220">
      <c r="D220" s="95"/>
      <c r="E220" s="14"/>
    </row>
    <row r="221">
      <c r="D221" s="95"/>
      <c r="E221" s="14"/>
    </row>
    <row r="222">
      <c r="D222" s="95"/>
      <c r="E222" s="14"/>
    </row>
    <row r="223">
      <c r="D223" s="95"/>
      <c r="E223" s="14"/>
    </row>
    <row r="224">
      <c r="D224" s="95"/>
      <c r="E224" s="14"/>
    </row>
    <row r="225">
      <c r="D225" s="95"/>
      <c r="E225" s="14"/>
    </row>
    <row r="226">
      <c r="D226" s="95"/>
      <c r="E226" s="14"/>
    </row>
    <row r="227">
      <c r="D227" s="95"/>
      <c r="E227" s="14"/>
    </row>
    <row r="228">
      <c r="D228" s="95"/>
      <c r="E228" s="14"/>
    </row>
    <row r="229">
      <c r="D229" s="95"/>
      <c r="E229" s="14"/>
    </row>
    <row r="230">
      <c r="D230" s="95"/>
      <c r="E230" s="14"/>
    </row>
    <row r="231">
      <c r="D231" s="95"/>
      <c r="E231" s="14"/>
    </row>
    <row r="232">
      <c r="D232" s="95"/>
      <c r="E232" s="14"/>
    </row>
    <row r="233">
      <c r="D233" s="95"/>
      <c r="E233" s="14"/>
    </row>
    <row r="234">
      <c r="D234" s="95"/>
      <c r="E234" s="14"/>
    </row>
    <row r="235">
      <c r="D235" s="95"/>
      <c r="E235" s="14"/>
    </row>
    <row r="236">
      <c r="D236" s="95"/>
      <c r="E236" s="14"/>
    </row>
    <row r="237">
      <c r="D237" s="95"/>
      <c r="E237" s="14"/>
    </row>
    <row r="238">
      <c r="D238" s="95"/>
      <c r="E238" s="14"/>
    </row>
    <row r="239">
      <c r="D239" s="95"/>
      <c r="E239" s="14"/>
    </row>
    <row r="240">
      <c r="D240" s="95"/>
      <c r="E240" s="14"/>
    </row>
    <row r="241">
      <c r="D241" s="95"/>
      <c r="E241" s="14"/>
    </row>
    <row r="242">
      <c r="D242" s="95"/>
      <c r="E242" s="14"/>
    </row>
    <row r="243">
      <c r="D243" s="95"/>
      <c r="E243" s="14"/>
    </row>
    <row r="244">
      <c r="D244" s="95"/>
      <c r="E244" s="14"/>
    </row>
    <row r="245">
      <c r="D245" s="95"/>
      <c r="E245" s="14"/>
    </row>
    <row r="246">
      <c r="D246" s="95"/>
      <c r="E246" s="14"/>
    </row>
    <row r="247">
      <c r="D247" s="95"/>
      <c r="E247" s="14"/>
    </row>
    <row r="248">
      <c r="D248" s="95"/>
      <c r="E248" s="14"/>
    </row>
    <row r="249">
      <c r="D249" s="95"/>
      <c r="E249" s="14"/>
    </row>
    <row r="250">
      <c r="D250" s="95"/>
      <c r="E250" s="14"/>
    </row>
    <row r="251">
      <c r="D251" s="95"/>
      <c r="E251" s="14"/>
    </row>
    <row r="252">
      <c r="D252" s="95"/>
      <c r="E252" s="14"/>
    </row>
    <row r="253">
      <c r="D253" s="95"/>
      <c r="E253" s="14"/>
    </row>
    <row r="254">
      <c r="D254" s="95"/>
      <c r="E254" s="14"/>
    </row>
    <row r="255">
      <c r="D255" s="95"/>
      <c r="E255" s="14"/>
    </row>
    <row r="256">
      <c r="D256" s="95"/>
      <c r="E256" s="14"/>
    </row>
    <row r="257">
      <c r="D257" s="95"/>
      <c r="E257" s="14"/>
    </row>
    <row r="258">
      <c r="D258" s="95"/>
      <c r="E258" s="14"/>
    </row>
    <row r="259">
      <c r="D259" s="95"/>
      <c r="E259" s="14"/>
    </row>
    <row r="260">
      <c r="D260" s="95"/>
      <c r="E260" s="14"/>
    </row>
    <row r="261">
      <c r="D261" s="95"/>
      <c r="E261" s="14"/>
    </row>
    <row r="262">
      <c r="D262" s="95"/>
      <c r="E262" s="14"/>
    </row>
    <row r="263">
      <c r="D263" s="95"/>
      <c r="E263" s="14"/>
    </row>
    <row r="264">
      <c r="D264" s="95"/>
      <c r="E264" s="14"/>
    </row>
    <row r="265">
      <c r="D265" s="95"/>
      <c r="E265" s="14"/>
    </row>
    <row r="266">
      <c r="D266" s="95"/>
      <c r="E266" s="14"/>
    </row>
    <row r="267">
      <c r="D267" s="95"/>
      <c r="E267" s="14"/>
    </row>
    <row r="268">
      <c r="D268" s="95"/>
      <c r="E268" s="14"/>
    </row>
    <row r="269">
      <c r="D269" s="95"/>
      <c r="E269" s="14"/>
    </row>
    <row r="270">
      <c r="D270" s="95"/>
      <c r="E270" s="14"/>
    </row>
    <row r="271">
      <c r="D271" s="95"/>
      <c r="E271" s="14"/>
    </row>
    <row r="272">
      <c r="D272" s="95"/>
      <c r="E272" s="14"/>
    </row>
    <row r="273">
      <c r="D273" s="95"/>
      <c r="E273" s="14"/>
    </row>
    <row r="274">
      <c r="D274" s="95"/>
      <c r="E274" s="14"/>
    </row>
    <row r="275">
      <c r="D275" s="95"/>
      <c r="E275" s="14"/>
    </row>
    <row r="276">
      <c r="D276" s="95"/>
      <c r="E276" s="14"/>
    </row>
    <row r="277">
      <c r="D277" s="95"/>
      <c r="E277" s="14"/>
    </row>
    <row r="278">
      <c r="D278" s="95"/>
      <c r="E278" s="14"/>
    </row>
    <row r="279">
      <c r="D279" s="95"/>
      <c r="E279" s="14"/>
    </row>
    <row r="280">
      <c r="D280" s="95"/>
      <c r="E280" s="14"/>
    </row>
    <row r="281">
      <c r="D281" s="95"/>
      <c r="E281" s="14"/>
    </row>
    <row r="282">
      <c r="D282" s="95"/>
      <c r="E282" s="14"/>
    </row>
    <row r="283">
      <c r="D283" s="95"/>
      <c r="E283" s="14"/>
    </row>
    <row r="284">
      <c r="D284" s="95"/>
      <c r="E284" s="14"/>
    </row>
    <row r="285">
      <c r="D285" s="95"/>
      <c r="E285" s="14"/>
    </row>
    <row r="286">
      <c r="D286" s="95"/>
      <c r="E286" s="14"/>
    </row>
    <row r="287">
      <c r="D287" s="95"/>
      <c r="E287" s="14"/>
    </row>
    <row r="288">
      <c r="D288" s="95"/>
      <c r="E288" s="14"/>
    </row>
    <row r="289">
      <c r="D289" s="95"/>
      <c r="E289" s="14"/>
    </row>
    <row r="290">
      <c r="D290" s="95"/>
      <c r="E290" s="14"/>
    </row>
    <row r="291">
      <c r="D291" s="95"/>
      <c r="E291" s="14"/>
    </row>
    <row r="292">
      <c r="D292" s="95"/>
      <c r="E292" s="14"/>
    </row>
    <row r="293">
      <c r="D293" s="95"/>
      <c r="E293" s="14"/>
    </row>
    <row r="294">
      <c r="D294" s="95"/>
      <c r="E294" s="14"/>
    </row>
    <row r="295">
      <c r="D295" s="95"/>
      <c r="E295" s="14"/>
    </row>
    <row r="296">
      <c r="D296" s="95"/>
      <c r="E296" s="14"/>
    </row>
    <row r="297">
      <c r="D297" s="95"/>
      <c r="E297" s="14"/>
    </row>
    <row r="298">
      <c r="D298" s="95"/>
      <c r="E298" s="14"/>
    </row>
    <row r="299">
      <c r="D299" s="95"/>
      <c r="E299" s="14"/>
    </row>
    <row r="300">
      <c r="D300" s="95"/>
      <c r="E300" s="14"/>
    </row>
    <row r="301">
      <c r="D301" s="95"/>
      <c r="E301" s="14"/>
    </row>
    <row r="302">
      <c r="D302" s="95"/>
      <c r="E302" s="14"/>
    </row>
    <row r="303">
      <c r="D303" s="95"/>
      <c r="E303" s="14"/>
    </row>
    <row r="304">
      <c r="D304" s="95"/>
      <c r="E304" s="14"/>
    </row>
    <row r="305">
      <c r="D305" s="95"/>
      <c r="E305" s="14"/>
    </row>
    <row r="306">
      <c r="D306" s="95"/>
      <c r="E306" s="14"/>
    </row>
    <row r="307">
      <c r="D307" s="95"/>
      <c r="E307" s="14"/>
    </row>
    <row r="308">
      <c r="D308" s="95"/>
      <c r="E308" s="14"/>
    </row>
    <row r="309">
      <c r="D309" s="95"/>
      <c r="E309" s="14"/>
    </row>
    <row r="310">
      <c r="D310" s="95"/>
      <c r="E310" s="14"/>
    </row>
    <row r="311">
      <c r="D311" s="95"/>
      <c r="E311" s="14"/>
    </row>
    <row r="312">
      <c r="D312" s="95"/>
      <c r="E312" s="14"/>
    </row>
    <row r="313">
      <c r="D313" s="95"/>
      <c r="E313" s="14"/>
    </row>
    <row r="314">
      <c r="D314" s="95"/>
      <c r="E314" s="14"/>
    </row>
    <row r="315">
      <c r="D315" s="95"/>
      <c r="E315" s="14"/>
    </row>
    <row r="316">
      <c r="D316" s="95"/>
      <c r="E316" s="14"/>
    </row>
    <row r="317">
      <c r="D317" s="95"/>
      <c r="E317" s="14"/>
    </row>
    <row r="318">
      <c r="D318" s="95"/>
      <c r="E318" s="14"/>
    </row>
    <row r="319">
      <c r="D319" s="95"/>
      <c r="E319" s="14"/>
    </row>
    <row r="320">
      <c r="D320" s="95"/>
      <c r="E320" s="14"/>
    </row>
    <row r="321">
      <c r="D321" s="95"/>
      <c r="E321" s="14"/>
    </row>
    <row r="322">
      <c r="D322" s="95"/>
      <c r="E322" s="14"/>
    </row>
    <row r="323">
      <c r="D323" s="95"/>
      <c r="E323" s="14"/>
    </row>
    <row r="324">
      <c r="D324" s="95"/>
      <c r="E324" s="14"/>
    </row>
    <row r="325">
      <c r="D325" s="95"/>
      <c r="E325" s="14"/>
    </row>
    <row r="326">
      <c r="D326" s="95"/>
      <c r="E326" s="14"/>
    </row>
    <row r="327">
      <c r="D327" s="95"/>
      <c r="E327" s="14"/>
    </row>
    <row r="328">
      <c r="D328" s="95"/>
      <c r="E328" s="14"/>
    </row>
    <row r="329">
      <c r="D329" s="95"/>
      <c r="E329" s="14"/>
    </row>
    <row r="330">
      <c r="D330" s="95"/>
      <c r="E330" s="14"/>
    </row>
    <row r="331">
      <c r="D331" s="95"/>
      <c r="E331" s="14"/>
    </row>
    <row r="332">
      <c r="D332" s="95"/>
      <c r="E332" s="14"/>
    </row>
    <row r="333">
      <c r="D333" s="95"/>
      <c r="E333" s="14"/>
    </row>
    <row r="334">
      <c r="D334" s="95"/>
      <c r="E334" s="14"/>
    </row>
    <row r="335">
      <c r="D335" s="95"/>
      <c r="E335" s="14"/>
    </row>
    <row r="336">
      <c r="D336" s="95"/>
      <c r="E336" s="14"/>
    </row>
    <row r="337">
      <c r="D337" s="95"/>
      <c r="E337" s="14"/>
    </row>
    <row r="338">
      <c r="D338" s="95"/>
      <c r="E338" s="14"/>
    </row>
    <row r="339">
      <c r="D339" s="95"/>
      <c r="E339" s="14"/>
    </row>
    <row r="340">
      <c r="D340" s="95"/>
      <c r="E340" s="14"/>
    </row>
    <row r="341">
      <c r="D341" s="95"/>
      <c r="E341" s="14"/>
    </row>
    <row r="342">
      <c r="D342" s="95"/>
      <c r="E342" s="14"/>
    </row>
    <row r="343">
      <c r="D343" s="95"/>
      <c r="E343" s="14"/>
    </row>
    <row r="344">
      <c r="D344" s="95"/>
      <c r="E344" s="14"/>
    </row>
    <row r="345">
      <c r="D345" s="95"/>
      <c r="E345" s="14"/>
    </row>
    <row r="346">
      <c r="D346" s="95"/>
      <c r="E346" s="14"/>
    </row>
    <row r="347">
      <c r="D347" s="95"/>
      <c r="E347" s="14"/>
    </row>
    <row r="348">
      <c r="D348" s="95"/>
      <c r="E348" s="14"/>
    </row>
    <row r="349">
      <c r="D349" s="95"/>
      <c r="E349" s="14"/>
    </row>
    <row r="350">
      <c r="D350" s="95"/>
      <c r="E350" s="14"/>
    </row>
    <row r="351">
      <c r="D351" s="95"/>
      <c r="E351" s="14"/>
    </row>
    <row r="352">
      <c r="D352" s="95"/>
      <c r="E352" s="14"/>
    </row>
    <row r="353">
      <c r="D353" s="95"/>
      <c r="E353" s="14"/>
    </row>
    <row r="354">
      <c r="D354" s="95"/>
      <c r="E354" s="14"/>
    </row>
    <row r="355">
      <c r="D355" s="95"/>
      <c r="E355" s="14"/>
    </row>
    <row r="356">
      <c r="D356" s="95"/>
      <c r="E356" s="14"/>
    </row>
    <row r="357">
      <c r="D357" s="95"/>
      <c r="E357" s="14"/>
    </row>
    <row r="358">
      <c r="D358" s="95"/>
      <c r="E358" s="14"/>
    </row>
    <row r="359">
      <c r="D359" s="95"/>
      <c r="E359" s="14"/>
    </row>
    <row r="360">
      <c r="D360" s="95"/>
      <c r="E360" s="14"/>
    </row>
    <row r="361">
      <c r="D361" s="95"/>
      <c r="E361" s="14"/>
    </row>
    <row r="362">
      <c r="D362" s="95"/>
      <c r="E362" s="14"/>
    </row>
    <row r="363">
      <c r="D363" s="95"/>
      <c r="E363" s="14"/>
    </row>
    <row r="364">
      <c r="D364" s="95"/>
      <c r="E364" s="14"/>
    </row>
    <row r="365">
      <c r="D365" s="95"/>
      <c r="E365" s="14"/>
    </row>
    <row r="366">
      <c r="D366" s="95"/>
      <c r="E366" s="14"/>
    </row>
    <row r="367">
      <c r="D367" s="95"/>
      <c r="E367" s="14"/>
    </row>
    <row r="368">
      <c r="D368" s="95"/>
      <c r="E368" s="14"/>
    </row>
    <row r="369">
      <c r="D369" s="95"/>
      <c r="E369" s="14"/>
    </row>
    <row r="370">
      <c r="D370" s="95"/>
      <c r="E370" s="14"/>
    </row>
    <row r="371">
      <c r="D371" s="95"/>
      <c r="E371" s="14"/>
    </row>
    <row r="372">
      <c r="D372" s="95"/>
      <c r="E372" s="14"/>
    </row>
    <row r="373">
      <c r="D373" s="95"/>
      <c r="E373" s="14"/>
    </row>
    <row r="374">
      <c r="D374" s="95"/>
      <c r="E374" s="14"/>
    </row>
    <row r="375">
      <c r="D375" s="95"/>
      <c r="E375" s="14"/>
    </row>
    <row r="376">
      <c r="D376" s="95"/>
      <c r="E376" s="14"/>
    </row>
    <row r="377">
      <c r="D377" s="95"/>
      <c r="E377" s="14"/>
    </row>
    <row r="378">
      <c r="D378" s="95"/>
      <c r="E378" s="14"/>
    </row>
    <row r="379">
      <c r="D379" s="95"/>
      <c r="E379" s="14"/>
    </row>
    <row r="380">
      <c r="D380" s="95"/>
      <c r="E380" s="14"/>
    </row>
    <row r="381">
      <c r="D381" s="95"/>
      <c r="E381" s="14"/>
    </row>
    <row r="382">
      <c r="D382" s="95"/>
      <c r="E382" s="14"/>
    </row>
    <row r="383">
      <c r="D383" s="95"/>
      <c r="E383" s="14"/>
    </row>
    <row r="384">
      <c r="D384" s="95"/>
      <c r="E384" s="14"/>
    </row>
    <row r="385">
      <c r="D385" s="95"/>
      <c r="E385" s="14"/>
    </row>
    <row r="386">
      <c r="D386" s="95"/>
      <c r="E386" s="14"/>
    </row>
    <row r="387">
      <c r="D387" s="95"/>
      <c r="E387" s="14"/>
    </row>
    <row r="388">
      <c r="D388" s="95"/>
      <c r="E388" s="14"/>
    </row>
    <row r="389">
      <c r="D389" s="95"/>
      <c r="E389" s="14"/>
    </row>
    <row r="390">
      <c r="D390" s="95"/>
      <c r="E390" s="14"/>
    </row>
    <row r="391">
      <c r="D391" s="95"/>
      <c r="E391" s="14"/>
    </row>
    <row r="392">
      <c r="D392" s="95"/>
      <c r="E392" s="14"/>
    </row>
    <row r="393">
      <c r="D393" s="95"/>
      <c r="E393" s="14"/>
    </row>
    <row r="394">
      <c r="D394" s="95"/>
      <c r="E394" s="14"/>
    </row>
    <row r="395">
      <c r="D395" s="95"/>
      <c r="E395" s="14"/>
    </row>
    <row r="396">
      <c r="D396" s="95"/>
      <c r="E396" s="14"/>
    </row>
    <row r="397">
      <c r="D397" s="95"/>
      <c r="E397" s="14"/>
    </row>
    <row r="398">
      <c r="D398" s="95"/>
      <c r="E398" s="14"/>
    </row>
    <row r="399">
      <c r="D399" s="95"/>
      <c r="E399" s="14"/>
    </row>
    <row r="400">
      <c r="D400" s="95"/>
      <c r="E400" s="14"/>
    </row>
    <row r="401">
      <c r="D401" s="95"/>
      <c r="E401" s="14"/>
    </row>
    <row r="402">
      <c r="D402" s="95"/>
      <c r="E402" s="14"/>
    </row>
    <row r="403">
      <c r="D403" s="95"/>
      <c r="E403" s="14"/>
    </row>
    <row r="404">
      <c r="D404" s="95"/>
      <c r="E404" s="14"/>
    </row>
    <row r="405">
      <c r="D405" s="95"/>
      <c r="E405" s="14"/>
    </row>
    <row r="406">
      <c r="D406" s="95"/>
      <c r="E406" s="14"/>
    </row>
    <row r="407">
      <c r="D407" s="95"/>
      <c r="E407" s="14"/>
    </row>
    <row r="408">
      <c r="D408" s="95"/>
      <c r="E408" s="14"/>
    </row>
    <row r="409">
      <c r="D409" s="95"/>
      <c r="E409" s="14"/>
    </row>
    <row r="410">
      <c r="D410" s="95"/>
      <c r="E410" s="14"/>
    </row>
    <row r="411">
      <c r="D411" s="95"/>
      <c r="E411" s="14"/>
    </row>
    <row r="412">
      <c r="D412" s="95"/>
      <c r="E412" s="14"/>
    </row>
    <row r="413">
      <c r="D413" s="95"/>
      <c r="E413" s="14"/>
    </row>
    <row r="414">
      <c r="D414" s="95"/>
      <c r="E414" s="14"/>
    </row>
    <row r="415">
      <c r="D415" s="95"/>
      <c r="E415" s="14"/>
    </row>
    <row r="416">
      <c r="D416" s="95"/>
      <c r="E416" s="14"/>
    </row>
    <row r="417">
      <c r="D417" s="95"/>
      <c r="E417" s="14"/>
    </row>
    <row r="418">
      <c r="D418" s="95"/>
      <c r="E418" s="14"/>
    </row>
    <row r="419">
      <c r="D419" s="95"/>
      <c r="E419" s="14"/>
    </row>
    <row r="420">
      <c r="D420" s="95"/>
      <c r="E420" s="14"/>
    </row>
    <row r="421">
      <c r="D421" s="95"/>
      <c r="E421" s="14"/>
    </row>
    <row r="422">
      <c r="D422" s="95"/>
      <c r="E422" s="14"/>
    </row>
    <row r="423">
      <c r="D423" s="95"/>
      <c r="E423" s="14"/>
    </row>
    <row r="424">
      <c r="D424" s="95"/>
      <c r="E424" s="14"/>
    </row>
    <row r="425">
      <c r="D425" s="95"/>
      <c r="E425" s="14"/>
    </row>
    <row r="426">
      <c r="D426" s="95"/>
      <c r="E426" s="14"/>
    </row>
    <row r="427">
      <c r="D427" s="95"/>
      <c r="E427" s="14"/>
    </row>
    <row r="428">
      <c r="D428" s="95"/>
      <c r="E428" s="14"/>
    </row>
    <row r="429">
      <c r="D429" s="95"/>
      <c r="E429" s="14"/>
    </row>
    <row r="430">
      <c r="D430" s="95"/>
      <c r="E430" s="14"/>
    </row>
    <row r="431">
      <c r="D431" s="95"/>
      <c r="E431" s="14"/>
    </row>
    <row r="432">
      <c r="D432" s="95"/>
      <c r="E432" s="14"/>
    </row>
    <row r="433">
      <c r="D433" s="95"/>
      <c r="E433" s="14"/>
    </row>
    <row r="434">
      <c r="D434" s="95"/>
      <c r="E434" s="14"/>
    </row>
    <row r="435">
      <c r="D435" s="95"/>
      <c r="E435" s="14"/>
    </row>
    <row r="436">
      <c r="D436" s="95"/>
      <c r="E436" s="14"/>
    </row>
    <row r="437">
      <c r="D437" s="95"/>
      <c r="E437" s="14"/>
    </row>
    <row r="438">
      <c r="D438" s="95"/>
      <c r="E438" s="14"/>
    </row>
    <row r="439">
      <c r="D439" s="95"/>
      <c r="E439" s="14"/>
    </row>
    <row r="440">
      <c r="D440" s="95"/>
      <c r="E440" s="14"/>
    </row>
    <row r="441">
      <c r="D441" s="95"/>
      <c r="E441" s="14"/>
    </row>
    <row r="442">
      <c r="D442" s="95"/>
      <c r="E442" s="14"/>
    </row>
    <row r="443">
      <c r="D443" s="95"/>
      <c r="E443" s="14"/>
    </row>
    <row r="444">
      <c r="D444" s="95"/>
      <c r="E444" s="14"/>
    </row>
    <row r="445">
      <c r="D445" s="95"/>
      <c r="E445" s="14"/>
    </row>
    <row r="446">
      <c r="D446" s="95"/>
      <c r="E446" s="14"/>
    </row>
    <row r="447">
      <c r="D447" s="95"/>
      <c r="E447" s="14"/>
    </row>
    <row r="448">
      <c r="D448" s="95"/>
      <c r="E448" s="14"/>
    </row>
    <row r="449">
      <c r="D449" s="95"/>
      <c r="E449" s="14"/>
    </row>
    <row r="450">
      <c r="D450" s="95"/>
      <c r="E450" s="14"/>
    </row>
    <row r="451">
      <c r="D451" s="95"/>
      <c r="E451" s="14"/>
    </row>
    <row r="452">
      <c r="D452" s="95"/>
      <c r="E452" s="14"/>
    </row>
    <row r="453">
      <c r="D453" s="95"/>
      <c r="E453" s="14"/>
    </row>
    <row r="454">
      <c r="D454" s="95"/>
      <c r="E454" s="14"/>
    </row>
    <row r="455">
      <c r="D455" s="95"/>
      <c r="E455" s="14"/>
    </row>
    <row r="456">
      <c r="D456" s="95"/>
      <c r="E456" s="14"/>
    </row>
    <row r="457">
      <c r="D457" s="95"/>
      <c r="E457" s="14"/>
    </row>
    <row r="458">
      <c r="D458" s="95"/>
      <c r="E458" s="14"/>
    </row>
    <row r="459">
      <c r="D459" s="95"/>
      <c r="E459" s="14"/>
    </row>
    <row r="460">
      <c r="D460" s="95"/>
      <c r="E460" s="14"/>
    </row>
    <row r="461">
      <c r="D461" s="95"/>
      <c r="E461" s="14"/>
    </row>
    <row r="462">
      <c r="D462" s="95"/>
      <c r="E462" s="14"/>
    </row>
    <row r="463">
      <c r="D463" s="95"/>
      <c r="E463" s="14"/>
    </row>
    <row r="464">
      <c r="D464" s="95"/>
      <c r="E464" s="14"/>
    </row>
    <row r="465">
      <c r="D465" s="95"/>
      <c r="E465" s="14"/>
    </row>
    <row r="466">
      <c r="D466" s="95"/>
      <c r="E466" s="14"/>
    </row>
    <row r="467">
      <c r="D467" s="95"/>
      <c r="E467" s="14"/>
    </row>
    <row r="468">
      <c r="D468" s="95"/>
      <c r="E468" s="14"/>
    </row>
    <row r="469">
      <c r="D469" s="95"/>
      <c r="E469" s="14"/>
    </row>
    <row r="470">
      <c r="D470" s="95"/>
      <c r="E470" s="14"/>
    </row>
    <row r="471">
      <c r="D471" s="95"/>
      <c r="E471" s="14"/>
    </row>
    <row r="472">
      <c r="D472" s="95"/>
      <c r="E472" s="14"/>
    </row>
    <row r="473">
      <c r="D473" s="95"/>
      <c r="E473" s="14"/>
    </row>
    <row r="474">
      <c r="D474" s="95"/>
      <c r="E474" s="14"/>
    </row>
    <row r="475">
      <c r="D475" s="95"/>
      <c r="E475" s="14"/>
    </row>
    <row r="476">
      <c r="D476" s="95"/>
      <c r="E476" s="14"/>
    </row>
    <row r="477">
      <c r="D477" s="95"/>
      <c r="E477" s="14"/>
    </row>
    <row r="478">
      <c r="D478" s="95"/>
      <c r="E478" s="14"/>
    </row>
    <row r="479">
      <c r="D479" s="95"/>
      <c r="E479" s="14"/>
    </row>
    <row r="480">
      <c r="D480" s="95"/>
      <c r="E480" s="14"/>
    </row>
    <row r="481">
      <c r="D481" s="95"/>
      <c r="E481" s="14"/>
    </row>
    <row r="482">
      <c r="D482" s="95"/>
      <c r="E482" s="14"/>
    </row>
    <row r="483">
      <c r="D483" s="95"/>
      <c r="E483" s="14"/>
    </row>
    <row r="484">
      <c r="D484" s="95"/>
      <c r="E484" s="14"/>
    </row>
    <row r="485">
      <c r="D485" s="95"/>
      <c r="E485" s="14"/>
    </row>
    <row r="486">
      <c r="D486" s="95"/>
      <c r="E486" s="14"/>
    </row>
    <row r="487">
      <c r="D487" s="95"/>
      <c r="E487" s="14"/>
    </row>
    <row r="488">
      <c r="D488" s="95"/>
      <c r="E488" s="14"/>
    </row>
    <row r="489">
      <c r="D489" s="95"/>
      <c r="E489" s="14"/>
    </row>
    <row r="490">
      <c r="D490" s="95"/>
      <c r="E490" s="14"/>
    </row>
    <row r="491">
      <c r="D491" s="95"/>
      <c r="E491" s="14"/>
    </row>
    <row r="492">
      <c r="D492" s="95"/>
      <c r="E492" s="14"/>
    </row>
    <row r="493">
      <c r="D493" s="95"/>
      <c r="E493" s="14"/>
    </row>
    <row r="494">
      <c r="D494" s="95"/>
      <c r="E494" s="14"/>
    </row>
    <row r="495">
      <c r="D495" s="95"/>
      <c r="E495" s="14"/>
    </row>
    <row r="496">
      <c r="D496" s="95"/>
      <c r="E496" s="14"/>
    </row>
    <row r="497">
      <c r="D497" s="95"/>
      <c r="E497" s="14"/>
    </row>
    <row r="498">
      <c r="D498" s="95"/>
      <c r="E498" s="14"/>
    </row>
    <row r="499">
      <c r="D499" s="95"/>
      <c r="E499" s="14"/>
    </row>
    <row r="500">
      <c r="D500" s="95"/>
      <c r="E500" s="14"/>
    </row>
    <row r="501">
      <c r="D501" s="95"/>
      <c r="E501" s="14"/>
    </row>
    <row r="502">
      <c r="D502" s="95"/>
      <c r="E502" s="14"/>
    </row>
    <row r="503">
      <c r="D503" s="95"/>
      <c r="E503" s="14"/>
    </row>
    <row r="504">
      <c r="D504" s="95"/>
      <c r="E504" s="14"/>
    </row>
    <row r="505">
      <c r="D505" s="95"/>
      <c r="E505" s="14"/>
    </row>
    <row r="506">
      <c r="D506" s="95"/>
      <c r="E506" s="14"/>
    </row>
    <row r="507">
      <c r="D507" s="95"/>
      <c r="E507" s="14"/>
    </row>
    <row r="508">
      <c r="D508" s="95"/>
      <c r="E508" s="14"/>
    </row>
    <row r="509">
      <c r="D509" s="95"/>
      <c r="E509" s="14"/>
    </row>
    <row r="510">
      <c r="D510" s="95"/>
      <c r="E510" s="14"/>
    </row>
    <row r="511">
      <c r="D511" s="95"/>
      <c r="E511" s="14"/>
    </row>
    <row r="512">
      <c r="D512" s="95"/>
      <c r="E512" s="14"/>
    </row>
    <row r="513">
      <c r="D513" s="95"/>
      <c r="E513" s="14"/>
    </row>
    <row r="514">
      <c r="D514" s="95"/>
      <c r="E514" s="14"/>
    </row>
    <row r="515">
      <c r="D515" s="95"/>
      <c r="E515" s="14"/>
    </row>
    <row r="516">
      <c r="D516" s="95"/>
      <c r="E516" s="14"/>
    </row>
    <row r="517">
      <c r="D517" s="95"/>
      <c r="E517" s="14"/>
    </row>
    <row r="518">
      <c r="D518" s="95"/>
      <c r="E518" s="14"/>
    </row>
    <row r="519">
      <c r="D519" s="95"/>
      <c r="E519" s="14"/>
    </row>
    <row r="520">
      <c r="D520" s="95"/>
      <c r="E520" s="14"/>
    </row>
    <row r="521">
      <c r="D521" s="95"/>
      <c r="E521" s="14"/>
    </row>
    <row r="522">
      <c r="D522" s="95"/>
      <c r="E522" s="14"/>
    </row>
    <row r="523">
      <c r="D523" s="95"/>
      <c r="E523" s="14"/>
    </row>
    <row r="524">
      <c r="D524" s="95"/>
      <c r="E524" s="14"/>
    </row>
    <row r="525">
      <c r="D525" s="95"/>
      <c r="E525" s="14"/>
    </row>
    <row r="526">
      <c r="D526" s="95"/>
      <c r="E526" s="14"/>
    </row>
    <row r="527">
      <c r="D527" s="95"/>
      <c r="E527" s="14"/>
    </row>
    <row r="528">
      <c r="D528" s="95"/>
      <c r="E528" s="14"/>
    </row>
    <row r="529">
      <c r="D529" s="95"/>
      <c r="E529" s="14"/>
    </row>
    <row r="530">
      <c r="D530" s="95"/>
      <c r="E530" s="14"/>
    </row>
    <row r="531">
      <c r="D531" s="95"/>
      <c r="E531" s="14"/>
    </row>
    <row r="532">
      <c r="D532" s="95"/>
      <c r="E532" s="14"/>
    </row>
    <row r="533">
      <c r="D533" s="95"/>
      <c r="E533" s="14"/>
    </row>
    <row r="534">
      <c r="D534" s="95"/>
      <c r="E534" s="14"/>
    </row>
    <row r="535">
      <c r="D535" s="95"/>
      <c r="E535" s="14"/>
    </row>
    <row r="536">
      <c r="D536" s="95"/>
      <c r="E536" s="14"/>
    </row>
    <row r="537">
      <c r="D537" s="95"/>
      <c r="E537" s="14"/>
    </row>
    <row r="538">
      <c r="D538" s="95"/>
      <c r="E538" s="14"/>
    </row>
    <row r="539">
      <c r="D539" s="95"/>
      <c r="E539" s="14"/>
    </row>
    <row r="540">
      <c r="D540" s="95"/>
      <c r="E540" s="14"/>
    </row>
    <row r="541">
      <c r="D541" s="95"/>
      <c r="E541" s="14"/>
    </row>
    <row r="542">
      <c r="D542" s="95"/>
      <c r="E542" s="14"/>
    </row>
    <row r="543">
      <c r="D543" s="95"/>
      <c r="E543" s="14"/>
    </row>
    <row r="544">
      <c r="D544" s="95"/>
      <c r="E544" s="14"/>
    </row>
    <row r="545">
      <c r="D545" s="95"/>
      <c r="E545" s="14"/>
    </row>
    <row r="546">
      <c r="D546" s="95"/>
      <c r="E546" s="14"/>
    </row>
    <row r="547">
      <c r="D547" s="95"/>
      <c r="E547" s="14"/>
    </row>
    <row r="548">
      <c r="D548" s="95"/>
      <c r="E548" s="14"/>
    </row>
    <row r="549">
      <c r="D549" s="95"/>
      <c r="E549" s="14"/>
    </row>
    <row r="550">
      <c r="D550" s="95"/>
      <c r="E550" s="14"/>
    </row>
    <row r="551">
      <c r="D551" s="95"/>
      <c r="E551" s="14"/>
    </row>
    <row r="552">
      <c r="D552" s="95"/>
      <c r="E552" s="14"/>
    </row>
    <row r="553">
      <c r="D553" s="95"/>
      <c r="E553" s="14"/>
    </row>
    <row r="554">
      <c r="D554" s="95"/>
      <c r="E554" s="14"/>
    </row>
    <row r="555">
      <c r="D555" s="95"/>
      <c r="E555" s="14"/>
    </row>
    <row r="556">
      <c r="D556" s="95"/>
      <c r="E556" s="14"/>
    </row>
    <row r="557">
      <c r="D557" s="95"/>
      <c r="E557" s="14"/>
    </row>
    <row r="558">
      <c r="D558" s="95"/>
      <c r="E558" s="14"/>
    </row>
    <row r="559">
      <c r="D559" s="95"/>
      <c r="E559" s="14"/>
    </row>
    <row r="560">
      <c r="D560" s="95"/>
      <c r="E560" s="14"/>
    </row>
    <row r="561">
      <c r="D561" s="95"/>
      <c r="E561" s="14"/>
    </row>
    <row r="562">
      <c r="D562" s="95"/>
      <c r="E562" s="14"/>
    </row>
    <row r="563">
      <c r="D563" s="95"/>
      <c r="E563" s="14"/>
    </row>
    <row r="564">
      <c r="D564" s="95"/>
      <c r="E564" s="14"/>
    </row>
    <row r="565">
      <c r="D565" s="95"/>
      <c r="E565" s="14"/>
    </row>
    <row r="566">
      <c r="D566" s="95"/>
      <c r="E566" s="14"/>
    </row>
    <row r="567">
      <c r="D567" s="95"/>
      <c r="E567" s="14"/>
    </row>
    <row r="568">
      <c r="D568" s="95"/>
      <c r="E568" s="14"/>
    </row>
    <row r="569">
      <c r="D569" s="95"/>
      <c r="E569" s="14"/>
    </row>
    <row r="570">
      <c r="D570" s="95"/>
      <c r="E570" s="14"/>
    </row>
    <row r="571">
      <c r="D571" s="95"/>
      <c r="E571" s="14"/>
    </row>
    <row r="572">
      <c r="D572" s="95"/>
      <c r="E572" s="14"/>
    </row>
    <row r="573">
      <c r="D573" s="95"/>
      <c r="E573" s="14"/>
    </row>
    <row r="574">
      <c r="D574" s="95"/>
      <c r="E574" s="14"/>
    </row>
    <row r="575">
      <c r="D575" s="95"/>
      <c r="E575" s="14"/>
    </row>
    <row r="576">
      <c r="D576" s="95"/>
      <c r="E576" s="14"/>
    </row>
    <row r="577">
      <c r="D577" s="95"/>
      <c r="E577" s="14"/>
    </row>
    <row r="578">
      <c r="D578" s="95"/>
      <c r="E578" s="14"/>
    </row>
    <row r="579">
      <c r="D579" s="95"/>
      <c r="E579" s="14"/>
    </row>
    <row r="580">
      <c r="D580" s="95"/>
      <c r="E580" s="14"/>
    </row>
    <row r="581">
      <c r="D581" s="95"/>
      <c r="E581" s="14"/>
    </row>
    <row r="582">
      <c r="D582" s="95"/>
      <c r="E582" s="14"/>
    </row>
    <row r="583">
      <c r="D583" s="95"/>
      <c r="E583" s="14"/>
    </row>
    <row r="584">
      <c r="D584" s="95"/>
      <c r="E584" s="14"/>
    </row>
    <row r="585">
      <c r="D585" s="95"/>
      <c r="E585" s="14"/>
    </row>
    <row r="586">
      <c r="D586" s="95"/>
      <c r="E586" s="14"/>
    </row>
    <row r="587">
      <c r="D587" s="95"/>
      <c r="E587" s="14"/>
    </row>
    <row r="588">
      <c r="D588" s="95"/>
      <c r="E588" s="14"/>
    </row>
    <row r="589">
      <c r="D589" s="95"/>
      <c r="E589" s="14"/>
    </row>
    <row r="590">
      <c r="D590" s="95"/>
      <c r="E590" s="14"/>
    </row>
    <row r="591">
      <c r="D591" s="95"/>
      <c r="E591" s="14"/>
    </row>
    <row r="592">
      <c r="D592" s="95"/>
      <c r="E592" s="14"/>
    </row>
    <row r="593">
      <c r="D593" s="95"/>
      <c r="E593" s="14"/>
    </row>
    <row r="594">
      <c r="D594" s="95"/>
      <c r="E594" s="14"/>
    </row>
    <row r="595">
      <c r="D595" s="95"/>
      <c r="E595" s="14"/>
    </row>
    <row r="596">
      <c r="D596" s="95"/>
      <c r="E596" s="14"/>
    </row>
    <row r="597">
      <c r="D597" s="95"/>
      <c r="E597" s="14"/>
    </row>
    <row r="598">
      <c r="D598" s="95"/>
      <c r="E598" s="14"/>
    </row>
    <row r="599">
      <c r="D599" s="95"/>
      <c r="E599" s="14"/>
    </row>
    <row r="600">
      <c r="D600" s="95"/>
      <c r="E600" s="14"/>
    </row>
    <row r="601">
      <c r="D601" s="95"/>
      <c r="E601" s="14"/>
    </row>
    <row r="602">
      <c r="D602" s="95"/>
      <c r="E602" s="14"/>
    </row>
    <row r="603">
      <c r="D603" s="95"/>
      <c r="E603" s="14"/>
    </row>
    <row r="604">
      <c r="D604" s="95"/>
      <c r="E604" s="14"/>
    </row>
    <row r="605">
      <c r="D605" s="95"/>
      <c r="E605" s="14"/>
    </row>
    <row r="606">
      <c r="D606" s="95"/>
      <c r="E606" s="14"/>
    </row>
    <row r="607">
      <c r="D607" s="95"/>
      <c r="E607" s="14"/>
    </row>
    <row r="608">
      <c r="D608" s="95"/>
      <c r="E608" s="14"/>
    </row>
    <row r="609">
      <c r="D609" s="95"/>
      <c r="E609" s="14"/>
    </row>
    <row r="610">
      <c r="D610" s="95"/>
      <c r="E610" s="14"/>
    </row>
    <row r="611">
      <c r="D611" s="95"/>
      <c r="E611" s="14"/>
    </row>
    <row r="612">
      <c r="D612" s="95"/>
      <c r="E612" s="14"/>
    </row>
    <row r="613">
      <c r="D613" s="95"/>
      <c r="E613" s="14"/>
    </row>
    <row r="614">
      <c r="D614" s="95"/>
      <c r="E614" s="14"/>
    </row>
    <row r="615">
      <c r="D615" s="95"/>
      <c r="E615" s="14"/>
    </row>
    <row r="616">
      <c r="D616" s="95"/>
      <c r="E616" s="14"/>
    </row>
    <row r="617">
      <c r="D617" s="95"/>
      <c r="E617" s="14"/>
    </row>
    <row r="618">
      <c r="D618" s="95"/>
      <c r="E618" s="14"/>
    </row>
    <row r="619">
      <c r="D619" s="95"/>
      <c r="E619" s="14"/>
    </row>
    <row r="620">
      <c r="D620" s="95"/>
      <c r="E620" s="14"/>
    </row>
    <row r="621">
      <c r="D621" s="95"/>
      <c r="E621" s="14"/>
    </row>
    <row r="622">
      <c r="D622" s="95"/>
      <c r="E622" s="14"/>
    </row>
    <row r="623">
      <c r="D623" s="95"/>
      <c r="E623" s="14"/>
    </row>
    <row r="624">
      <c r="D624" s="95"/>
      <c r="E624" s="14"/>
    </row>
    <row r="625">
      <c r="D625" s="95"/>
      <c r="E625" s="14"/>
    </row>
    <row r="626">
      <c r="D626" s="95"/>
      <c r="E626" s="14"/>
    </row>
    <row r="627">
      <c r="D627" s="95"/>
      <c r="E627" s="14"/>
    </row>
    <row r="628">
      <c r="D628" s="95"/>
      <c r="E628" s="14"/>
    </row>
    <row r="629">
      <c r="D629" s="95"/>
      <c r="E629" s="14"/>
    </row>
    <row r="630">
      <c r="D630" s="95"/>
      <c r="E630" s="14"/>
    </row>
    <row r="631">
      <c r="D631" s="95"/>
      <c r="E631" s="14"/>
    </row>
    <row r="632">
      <c r="D632" s="95"/>
      <c r="E632" s="14"/>
    </row>
    <row r="633">
      <c r="D633" s="95"/>
      <c r="E633" s="14"/>
    </row>
    <row r="634">
      <c r="D634" s="95"/>
      <c r="E634" s="14"/>
    </row>
    <row r="635">
      <c r="D635" s="95"/>
      <c r="E635" s="14"/>
    </row>
    <row r="636">
      <c r="D636" s="95"/>
      <c r="E636" s="14"/>
    </row>
    <row r="637">
      <c r="D637" s="95"/>
      <c r="E637" s="14"/>
    </row>
    <row r="638">
      <c r="D638" s="95"/>
      <c r="E638" s="14"/>
    </row>
    <row r="639">
      <c r="D639" s="95"/>
      <c r="E639" s="14"/>
    </row>
    <row r="640">
      <c r="D640" s="95"/>
      <c r="E640" s="14"/>
    </row>
    <row r="641">
      <c r="D641" s="95"/>
      <c r="E641" s="14"/>
    </row>
    <row r="642">
      <c r="D642" s="95"/>
      <c r="E642" s="14"/>
    </row>
    <row r="643">
      <c r="D643" s="95"/>
      <c r="E643" s="14"/>
    </row>
    <row r="644">
      <c r="D644" s="95"/>
      <c r="E644" s="14"/>
    </row>
    <row r="645">
      <c r="D645" s="95"/>
      <c r="E645" s="14"/>
    </row>
    <row r="646">
      <c r="D646" s="95"/>
      <c r="E646" s="14"/>
    </row>
    <row r="647">
      <c r="D647" s="95"/>
      <c r="E647" s="14"/>
    </row>
    <row r="648">
      <c r="D648" s="95"/>
      <c r="E648" s="14"/>
    </row>
    <row r="649">
      <c r="D649" s="95"/>
      <c r="E649" s="14"/>
    </row>
    <row r="650">
      <c r="D650" s="95"/>
      <c r="E650" s="14"/>
    </row>
    <row r="651">
      <c r="D651" s="95"/>
      <c r="E651" s="14"/>
    </row>
    <row r="652">
      <c r="D652" s="95"/>
      <c r="E652" s="14"/>
    </row>
    <row r="653">
      <c r="D653" s="95"/>
      <c r="E653" s="14"/>
    </row>
    <row r="654">
      <c r="D654" s="95"/>
      <c r="E654" s="14"/>
    </row>
    <row r="655">
      <c r="D655" s="95"/>
      <c r="E655" s="14"/>
    </row>
    <row r="656">
      <c r="D656" s="95"/>
      <c r="E656" s="14"/>
    </row>
    <row r="657">
      <c r="D657" s="95"/>
      <c r="E657" s="14"/>
    </row>
    <row r="658">
      <c r="D658" s="95"/>
      <c r="E658" s="14"/>
    </row>
    <row r="659">
      <c r="D659" s="95"/>
      <c r="E659" s="14"/>
    </row>
    <row r="660">
      <c r="D660" s="95"/>
      <c r="E660" s="14"/>
    </row>
    <row r="661">
      <c r="D661" s="95"/>
      <c r="E661" s="14"/>
    </row>
    <row r="662">
      <c r="D662" s="95"/>
      <c r="E662" s="14"/>
    </row>
    <row r="663">
      <c r="D663" s="95"/>
      <c r="E663" s="14"/>
    </row>
    <row r="664">
      <c r="D664" s="95"/>
      <c r="E664" s="14"/>
    </row>
    <row r="665">
      <c r="D665" s="95"/>
      <c r="E665" s="14"/>
    </row>
    <row r="666">
      <c r="D666" s="95"/>
      <c r="E666" s="14"/>
    </row>
    <row r="667">
      <c r="D667" s="95"/>
      <c r="E667" s="14"/>
    </row>
    <row r="668">
      <c r="D668" s="95"/>
      <c r="E668" s="14"/>
    </row>
    <row r="669">
      <c r="D669" s="95"/>
      <c r="E669" s="14"/>
    </row>
    <row r="670">
      <c r="D670" s="95"/>
      <c r="E670" s="14"/>
    </row>
    <row r="671">
      <c r="D671" s="95"/>
      <c r="E671" s="14"/>
    </row>
    <row r="672">
      <c r="D672" s="95"/>
      <c r="E672" s="14"/>
    </row>
    <row r="673">
      <c r="D673" s="95"/>
      <c r="E673" s="14"/>
    </row>
    <row r="674">
      <c r="D674" s="95"/>
      <c r="E674" s="14"/>
    </row>
    <row r="675">
      <c r="D675" s="95"/>
      <c r="E675" s="14"/>
    </row>
    <row r="676">
      <c r="D676" s="95"/>
      <c r="E676" s="14"/>
    </row>
    <row r="677">
      <c r="D677" s="95"/>
      <c r="E677" s="14"/>
    </row>
    <row r="678">
      <c r="D678" s="95"/>
      <c r="E678" s="14"/>
    </row>
    <row r="679">
      <c r="D679" s="95"/>
      <c r="E679" s="14"/>
    </row>
    <row r="680">
      <c r="D680" s="95"/>
      <c r="E680" s="14"/>
    </row>
    <row r="681">
      <c r="D681" s="95"/>
      <c r="E681" s="14"/>
    </row>
    <row r="682">
      <c r="D682" s="95"/>
      <c r="E682" s="14"/>
    </row>
    <row r="683">
      <c r="D683" s="95"/>
      <c r="E683" s="14"/>
    </row>
    <row r="684">
      <c r="D684" s="95"/>
      <c r="E684" s="14"/>
    </row>
    <row r="685">
      <c r="D685" s="95"/>
      <c r="E685" s="14"/>
    </row>
    <row r="686">
      <c r="D686" s="95"/>
      <c r="E686" s="14"/>
    </row>
    <row r="687">
      <c r="D687" s="95"/>
      <c r="E687" s="14"/>
    </row>
    <row r="688">
      <c r="D688" s="95"/>
      <c r="E688" s="14"/>
    </row>
    <row r="689">
      <c r="D689" s="95"/>
      <c r="E689" s="14"/>
    </row>
    <row r="690">
      <c r="D690" s="95"/>
      <c r="E690" s="14"/>
    </row>
    <row r="691">
      <c r="D691" s="95"/>
      <c r="E691" s="14"/>
    </row>
    <row r="692">
      <c r="D692" s="95"/>
      <c r="E692" s="14"/>
    </row>
    <row r="693">
      <c r="D693" s="95"/>
      <c r="E693" s="14"/>
    </row>
    <row r="694">
      <c r="D694" s="95"/>
      <c r="E694" s="14"/>
    </row>
    <row r="695">
      <c r="D695" s="95"/>
      <c r="E695" s="14"/>
    </row>
    <row r="696">
      <c r="D696" s="95"/>
      <c r="E696" s="14"/>
    </row>
    <row r="697">
      <c r="D697" s="95"/>
      <c r="E697" s="14"/>
    </row>
    <row r="698">
      <c r="D698" s="95"/>
      <c r="E698" s="14"/>
    </row>
    <row r="699">
      <c r="D699" s="95"/>
      <c r="E699" s="14"/>
    </row>
    <row r="700">
      <c r="D700" s="95"/>
      <c r="E700" s="14"/>
    </row>
    <row r="701">
      <c r="D701" s="95"/>
      <c r="E701" s="14"/>
    </row>
    <row r="702">
      <c r="D702" s="95"/>
      <c r="E702" s="14"/>
    </row>
    <row r="703">
      <c r="D703" s="95"/>
      <c r="E703" s="14"/>
    </row>
    <row r="704">
      <c r="D704" s="95"/>
      <c r="E704" s="14"/>
    </row>
    <row r="705">
      <c r="D705" s="95"/>
      <c r="E705" s="14"/>
    </row>
    <row r="706">
      <c r="D706" s="95"/>
      <c r="E706" s="14"/>
    </row>
    <row r="707">
      <c r="D707" s="95"/>
      <c r="E707" s="14"/>
    </row>
    <row r="708">
      <c r="D708" s="95"/>
      <c r="E708" s="14"/>
    </row>
    <row r="709">
      <c r="D709" s="95"/>
      <c r="E709" s="14"/>
    </row>
    <row r="710">
      <c r="D710" s="95"/>
      <c r="E710" s="14"/>
    </row>
    <row r="711">
      <c r="D711" s="95"/>
      <c r="E711" s="14"/>
    </row>
    <row r="712">
      <c r="D712" s="95"/>
      <c r="E712" s="14"/>
    </row>
    <row r="713">
      <c r="D713" s="95"/>
      <c r="E713" s="14"/>
    </row>
    <row r="714">
      <c r="D714" s="95"/>
      <c r="E714" s="14"/>
    </row>
    <row r="715">
      <c r="D715" s="95"/>
      <c r="E715" s="14"/>
    </row>
    <row r="716">
      <c r="D716" s="95"/>
      <c r="E716" s="14"/>
    </row>
    <row r="717">
      <c r="D717" s="95"/>
      <c r="E717" s="14"/>
    </row>
    <row r="718">
      <c r="D718" s="95"/>
      <c r="E718" s="14"/>
    </row>
    <row r="719">
      <c r="D719" s="95"/>
      <c r="E719" s="14"/>
    </row>
    <row r="720">
      <c r="D720" s="95"/>
      <c r="E720" s="14"/>
    </row>
    <row r="721">
      <c r="D721" s="95"/>
      <c r="E721" s="14"/>
    </row>
    <row r="722">
      <c r="D722" s="95"/>
      <c r="E722" s="14"/>
    </row>
    <row r="723">
      <c r="D723" s="95"/>
      <c r="E723" s="14"/>
    </row>
    <row r="724">
      <c r="D724" s="95"/>
      <c r="E724" s="14"/>
    </row>
    <row r="725">
      <c r="D725" s="95"/>
      <c r="E725" s="14"/>
    </row>
    <row r="726">
      <c r="D726" s="95"/>
      <c r="E726" s="14"/>
    </row>
    <row r="727">
      <c r="D727" s="95"/>
      <c r="E727" s="14"/>
    </row>
    <row r="728">
      <c r="D728" s="95"/>
      <c r="E728" s="14"/>
    </row>
    <row r="729">
      <c r="D729" s="95"/>
      <c r="E729" s="14"/>
    </row>
    <row r="730">
      <c r="D730" s="95"/>
      <c r="E730" s="14"/>
    </row>
    <row r="731">
      <c r="D731" s="95"/>
      <c r="E731" s="14"/>
    </row>
    <row r="732">
      <c r="D732" s="95"/>
      <c r="E732" s="14"/>
    </row>
    <row r="733">
      <c r="D733" s="95"/>
      <c r="E733" s="14"/>
    </row>
    <row r="734">
      <c r="D734" s="95"/>
      <c r="E734" s="14"/>
    </row>
    <row r="735">
      <c r="D735" s="95"/>
      <c r="E735" s="14"/>
    </row>
    <row r="736">
      <c r="D736" s="95"/>
      <c r="E736" s="14"/>
    </row>
    <row r="737">
      <c r="D737" s="95"/>
      <c r="E737" s="14"/>
    </row>
    <row r="738">
      <c r="D738" s="95"/>
      <c r="E738" s="14"/>
    </row>
    <row r="739">
      <c r="D739" s="95"/>
      <c r="E739" s="14"/>
    </row>
    <row r="740">
      <c r="D740" s="95"/>
      <c r="E740" s="14"/>
    </row>
    <row r="741">
      <c r="D741" s="95"/>
      <c r="E741" s="14"/>
    </row>
    <row r="742">
      <c r="D742" s="95"/>
      <c r="E742" s="14"/>
    </row>
    <row r="743">
      <c r="D743" s="95"/>
      <c r="E743" s="14"/>
    </row>
    <row r="744">
      <c r="D744" s="95"/>
      <c r="E744" s="14"/>
    </row>
    <row r="745">
      <c r="D745" s="95"/>
      <c r="E745" s="14"/>
    </row>
    <row r="746">
      <c r="D746" s="95"/>
      <c r="E746" s="14"/>
    </row>
    <row r="747">
      <c r="D747" s="95"/>
      <c r="E747" s="14"/>
    </row>
    <row r="748">
      <c r="D748" s="95"/>
      <c r="E748" s="14"/>
    </row>
    <row r="749">
      <c r="D749" s="95"/>
      <c r="E749" s="14"/>
    </row>
    <row r="750">
      <c r="D750" s="95"/>
      <c r="E750" s="14"/>
    </row>
    <row r="751">
      <c r="D751" s="95"/>
      <c r="E751" s="14"/>
    </row>
    <row r="752">
      <c r="D752" s="95"/>
      <c r="E752" s="14"/>
    </row>
    <row r="753">
      <c r="D753" s="95"/>
      <c r="E753" s="14"/>
    </row>
    <row r="754">
      <c r="D754" s="95"/>
      <c r="E754" s="14"/>
    </row>
    <row r="755">
      <c r="D755" s="95"/>
      <c r="E755" s="14"/>
    </row>
    <row r="756">
      <c r="D756" s="95"/>
      <c r="E756" s="14"/>
    </row>
    <row r="757">
      <c r="D757" s="95"/>
      <c r="E757" s="14"/>
    </row>
    <row r="758">
      <c r="D758" s="95"/>
      <c r="E758" s="14"/>
    </row>
    <row r="759">
      <c r="D759" s="95"/>
      <c r="E759" s="14"/>
    </row>
    <row r="760">
      <c r="D760" s="95"/>
      <c r="E760" s="14"/>
    </row>
    <row r="761">
      <c r="D761" s="95"/>
      <c r="E761" s="14"/>
    </row>
    <row r="762">
      <c r="D762" s="95"/>
      <c r="E762" s="14"/>
    </row>
    <row r="763">
      <c r="D763" s="95"/>
      <c r="E763" s="14"/>
    </row>
    <row r="764">
      <c r="D764" s="95"/>
      <c r="E764" s="14"/>
    </row>
    <row r="765">
      <c r="D765" s="95"/>
      <c r="E765" s="14"/>
    </row>
    <row r="766">
      <c r="D766" s="95"/>
      <c r="E766" s="14"/>
    </row>
    <row r="767">
      <c r="D767" s="95"/>
      <c r="E767" s="14"/>
    </row>
    <row r="768">
      <c r="D768" s="95"/>
      <c r="E768" s="14"/>
    </row>
    <row r="769">
      <c r="D769" s="95"/>
      <c r="E769" s="14"/>
    </row>
    <row r="770">
      <c r="D770" s="95"/>
      <c r="E770" s="14"/>
    </row>
    <row r="771">
      <c r="D771" s="95"/>
      <c r="E771" s="14"/>
    </row>
    <row r="772">
      <c r="D772" s="95"/>
      <c r="E772" s="14"/>
    </row>
    <row r="773">
      <c r="D773" s="95"/>
      <c r="E773" s="14"/>
    </row>
    <row r="774">
      <c r="D774" s="95"/>
      <c r="E774" s="14"/>
    </row>
    <row r="775">
      <c r="D775" s="95"/>
      <c r="E775" s="14"/>
    </row>
    <row r="776">
      <c r="D776" s="95"/>
      <c r="E776" s="14"/>
    </row>
    <row r="777">
      <c r="D777" s="95"/>
      <c r="E777" s="14"/>
    </row>
    <row r="778">
      <c r="D778" s="95"/>
      <c r="E778" s="14"/>
    </row>
    <row r="779">
      <c r="D779" s="95"/>
      <c r="E779" s="14"/>
    </row>
    <row r="780">
      <c r="D780" s="95"/>
      <c r="E780" s="14"/>
    </row>
    <row r="781">
      <c r="D781" s="95"/>
      <c r="E781" s="14"/>
    </row>
    <row r="782">
      <c r="D782" s="95"/>
      <c r="E782" s="14"/>
    </row>
    <row r="783">
      <c r="D783" s="95"/>
      <c r="E783" s="14"/>
    </row>
    <row r="784">
      <c r="D784" s="95"/>
      <c r="E784" s="14"/>
    </row>
    <row r="785">
      <c r="D785" s="95"/>
      <c r="E785" s="14"/>
    </row>
    <row r="786">
      <c r="D786" s="95"/>
      <c r="E786" s="14"/>
    </row>
    <row r="787">
      <c r="D787" s="95"/>
      <c r="E787" s="14"/>
    </row>
    <row r="788">
      <c r="D788" s="95"/>
      <c r="E788" s="14"/>
    </row>
    <row r="789">
      <c r="D789" s="95"/>
      <c r="E789" s="14"/>
    </row>
    <row r="790">
      <c r="D790" s="95"/>
      <c r="E790" s="14"/>
    </row>
    <row r="791">
      <c r="D791" s="95"/>
      <c r="E791" s="14"/>
    </row>
    <row r="792">
      <c r="D792" s="95"/>
      <c r="E792" s="14"/>
    </row>
    <row r="793">
      <c r="D793" s="95"/>
      <c r="E793" s="14"/>
    </row>
    <row r="794">
      <c r="D794" s="95"/>
      <c r="E794" s="14"/>
    </row>
    <row r="795">
      <c r="D795" s="95"/>
      <c r="E795" s="14"/>
    </row>
    <row r="796">
      <c r="D796" s="95"/>
      <c r="E796" s="14"/>
    </row>
    <row r="797">
      <c r="D797" s="95"/>
      <c r="E797" s="14"/>
    </row>
    <row r="798">
      <c r="D798" s="95"/>
      <c r="E798" s="14"/>
    </row>
    <row r="799">
      <c r="D799" s="95"/>
      <c r="E799" s="14"/>
    </row>
    <row r="800">
      <c r="D800" s="95"/>
      <c r="E800" s="14"/>
    </row>
    <row r="801">
      <c r="D801" s="95"/>
      <c r="E801" s="14"/>
    </row>
    <row r="802">
      <c r="D802" s="95"/>
      <c r="E802" s="14"/>
    </row>
    <row r="803">
      <c r="D803" s="95"/>
      <c r="E803" s="14"/>
    </row>
    <row r="804">
      <c r="D804" s="95"/>
      <c r="E804" s="14"/>
    </row>
    <row r="805">
      <c r="D805" s="95"/>
      <c r="E805" s="14"/>
    </row>
    <row r="806">
      <c r="D806" s="95"/>
      <c r="E806" s="14"/>
    </row>
    <row r="807">
      <c r="D807" s="95"/>
      <c r="E807" s="14"/>
    </row>
    <row r="808">
      <c r="D808" s="95"/>
      <c r="E808" s="14"/>
    </row>
    <row r="809">
      <c r="D809" s="95"/>
      <c r="E809" s="14"/>
    </row>
    <row r="810">
      <c r="D810" s="95"/>
      <c r="E810" s="14"/>
    </row>
    <row r="811">
      <c r="D811" s="95"/>
      <c r="E811" s="14"/>
    </row>
    <row r="812">
      <c r="D812" s="95"/>
      <c r="E812" s="14"/>
    </row>
    <row r="813">
      <c r="D813" s="95"/>
      <c r="E813" s="14"/>
    </row>
    <row r="814">
      <c r="D814" s="95"/>
      <c r="E814" s="14"/>
    </row>
    <row r="815">
      <c r="D815" s="95"/>
      <c r="E815" s="14"/>
    </row>
    <row r="816">
      <c r="D816" s="95"/>
      <c r="E816" s="14"/>
    </row>
    <row r="817">
      <c r="D817" s="95"/>
      <c r="E817" s="14"/>
    </row>
    <row r="818">
      <c r="D818" s="95"/>
      <c r="E818" s="14"/>
    </row>
    <row r="819">
      <c r="D819" s="95"/>
      <c r="E819" s="14"/>
    </row>
    <row r="820">
      <c r="D820" s="95"/>
      <c r="E820" s="14"/>
    </row>
    <row r="821">
      <c r="D821" s="95"/>
      <c r="E821" s="14"/>
    </row>
    <row r="822">
      <c r="D822" s="95"/>
      <c r="E822" s="14"/>
    </row>
    <row r="823">
      <c r="D823" s="95"/>
      <c r="E823" s="14"/>
    </row>
    <row r="824">
      <c r="D824" s="95"/>
      <c r="E824" s="14"/>
    </row>
    <row r="825">
      <c r="D825" s="95"/>
      <c r="E825" s="14"/>
    </row>
    <row r="826">
      <c r="D826" s="95"/>
      <c r="E826" s="14"/>
    </row>
    <row r="827">
      <c r="D827" s="95"/>
      <c r="E827" s="14"/>
    </row>
    <row r="828">
      <c r="D828" s="95"/>
      <c r="E828" s="14"/>
    </row>
    <row r="829">
      <c r="D829" s="95"/>
      <c r="E829" s="14"/>
    </row>
    <row r="830">
      <c r="D830" s="95"/>
      <c r="E830" s="14"/>
    </row>
    <row r="831">
      <c r="D831" s="95"/>
      <c r="E831" s="14"/>
    </row>
    <row r="832">
      <c r="D832" s="95"/>
      <c r="E832" s="14"/>
    </row>
    <row r="833">
      <c r="D833" s="95"/>
      <c r="E833" s="14"/>
    </row>
    <row r="834">
      <c r="D834" s="95"/>
      <c r="E834" s="14"/>
    </row>
    <row r="835">
      <c r="D835" s="95"/>
      <c r="E835" s="14"/>
    </row>
    <row r="836">
      <c r="D836" s="95"/>
      <c r="E836" s="14"/>
    </row>
    <row r="837">
      <c r="D837" s="95"/>
      <c r="E837" s="14"/>
    </row>
    <row r="838">
      <c r="D838" s="95"/>
      <c r="E838" s="14"/>
    </row>
    <row r="839">
      <c r="D839" s="95"/>
      <c r="E839" s="14"/>
    </row>
    <row r="840">
      <c r="D840" s="95"/>
      <c r="E840" s="14"/>
    </row>
    <row r="841">
      <c r="D841" s="95"/>
      <c r="E841" s="14"/>
    </row>
    <row r="842">
      <c r="D842" s="95"/>
      <c r="E842" s="14"/>
    </row>
    <row r="843">
      <c r="D843" s="95"/>
      <c r="E843" s="14"/>
    </row>
    <row r="844">
      <c r="D844" s="95"/>
      <c r="E844" s="14"/>
    </row>
    <row r="845">
      <c r="D845" s="95"/>
      <c r="E845" s="14"/>
    </row>
    <row r="846">
      <c r="D846" s="95"/>
      <c r="E846" s="14"/>
    </row>
    <row r="847">
      <c r="D847" s="95"/>
      <c r="E847" s="14"/>
    </row>
    <row r="848">
      <c r="D848" s="95"/>
      <c r="E848" s="14"/>
    </row>
    <row r="849">
      <c r="D849" s="95"/>
      <c r="E849" s="14"/>
    </row>
    <row r="850">
      <c r="D850" s="95"/>
      <c r="E850" s="14"/>
    </row>
    <row r="851">
      <c r="D851" s="95"/>
      <c r="E851" s="14"/>
    </row>
    <row r="852">
      <c r="D852" s="95"/>
      <c r="E852" s="14"/>
    </row>
    <row r="853">
      <c r="D853" s="95"/>
      <c r="E853" s="14"/>
    </row>
    <row r="854">
      <c r="D854" s="95"/>
      <c r="E854" s="14"/>
    </row>
    <row r="855">
      <c r="D855" s="95"/>
      <c r="E855" s="14"/>
    </row>
    <row r="856">
      <c r="D856" s="95"/>
      <c r="E856" s="14"/>
    </row>
    <row r="857">
      <c r="D857" s="95"/>
      <c r="E857" s="14"/>
    </row>
    <row r="858">
      <c r="D858" s="95"/>
      <c r="E858" s="14"/>
    </row>
    <row r="859">
      <c r="D859" s="95"/>
      <c r="E859" s="14"/>
    </row>
    <row r="860">
      <c r="D860" s="95"/>
      <c r="E860" s="14"/>
    </row>
    <row r="861">
      <c r="D861" s="95"/>
      <c r="E861" s="14"/>
    </row>
    <row r="862">
      <c r="D862" s="95"/>
      <c r="E862" s="14"/>
    </row>
    <row r="863">
      <c r="D863" s="95"/>
      <c r="E863" s="14"/>
    </row>
    <row r="864">
      <c r="D864" s="95"/>
      <c r="E864" s="14"/>
    </row>
    <row r="865">
      <c r="D865" s="95"/>
      <c r="E865" s="14"/>
    </row>
    <row r="866">
      <c r="D866" s="95"/>
      <c r="E866" s="14"/>
    </row>
    <row r="867">
      <c r="D867" s="95"/>
      <c r="E867" s="14"/>
    </row>
    <row r="868">
      <c r="D868" s="95"/>
      <c r="E868" s="14"/>
    </row>
    <row r="869">
      <c r="D869" s="95"/>
      <c r="E869" s="14"/>
    </row>
    <row r="870">
      <c r="D870" s="95"/>
      <c r="E870" s="14"/>
    </row>
    <row r="871">
      <c r="D871" s="95"/>
      <c r="E871" s="14"/>
    </row>
    <row r="872">
      <c r="D872" s="95"/>
      <c r="E872" s="14"/>
    </row>
    <row r="873">
      <c r="D873" s="95"/>
      <c r="E873" s="14"/>
    </row>
    <row r="874">
      <c r="D874" s="95"/>
      <c r="E874" s="14"/>
    </row>
    <row r="875">
      <c r="D875" s="95"/>
      <c r="E875" s="14"/>
    </row>
    <row r="876">
      <c r="D876" s="95"/>
      <c r="E876" s="14"/>
    </row>
    <row r="877">
      <c r="D877" s="95"/>
      <c r="E877" s="14"/>
    </row>
    <row r="878">
      <c r="D878" s="95"/>
      <c r="E878" s="14"/>
    </row>
    <row r="879">
      <c r="D879" s="95"/>
      <c r="E879" s="14"/>
    </row>
    <row r="880">
      <c r="D880" s="95"/>
      <c r="E880" s="14"/>
    </row>
    <row r="881">
      <c r="D881" s="95"/>
      <c r="E881" s="14"/>
    </row>
    <row r="882">
      <c r="D882" s="95"/>
      <c r="E882" s="14"/>
    </row>
    <row r="883">
      <c r="D883" s="95"/>
      <c r="E883" s="14"/>
    </row>
    <row r="884">
      <c r="D884" s="95"/>
      <c r="E884" s="14"/>
    </row>
    <row r="885">
      <c r="D885" s="95"/>
      <c r="E885" s="14"/>
    </row>
    <row r="886">
      <c r="D886" s="95"/>
      <c r="E886" s="14"/>
    </row>
    <row r="887">
      <c r="D887" s="95"/>
      <c r="E887" s="14"/>
    </row>
    <row r="888">
      <c r="D888" s="95"/>
      <c r="E888" s="14"/>
    </row>
    <row r="889">
      <c r="D889" s="95"/>
      <c r="E889" s="14"/>
    </row>
    <row r="890">
      <c r="D890" s="95"/>
      <c r="E890" s="14"/>
    </row>
    <row r="891">
      <c r="D891" s="95"/>
      <c r="E891" s="14"/>
    </row>
    <row r="892">
      <c r="D892" s="95"/>
      <c r="E892" s="14"/>
    </row>
    <row r="893">
      <c r="D893" s="95"/>
      <c r="E893" s="14"/>
    </row>
    <row r="894">
      <c r="D894" s="95"/>
      <c r="E894" s="14"/>
    </row>
    <row r="895">
      <c r="D895" s="95"/>
      <c r="E895" s="14"/>
    </row>
    <row r="896">
      <c r="D896" s="95"/>
      <c r="E896" s="14"/>
    </row>
    <row r="897">
      <c r="D897" s="95"/>
      <c r="E897" s="14"/>
    </row>
    <row r="898">
      <c r="D898" s="95"/>
      <c r="E898" s="14"/>
    </row>
    <row r="899">
      <c r="D899" s="95"/>
      <c r="E899" s="14"/>
    </row>
    <row r="900">
      <c r="D900" s="95"/>
      <c r="E900" s="14"/>
    </row>
    <row r="901">
      <c r="D901" s="95"/>
      <c r="E901" s="14"/>
    </row>
    <row r="902">
      <c r="D902" s="95"/>
      <c r="E902" s="14"/>
    </row>
    <row r="903">
      <c r="D903" s="95"/>
      <c r="E903" s="14"/>
    </row>
    <row r="904">
      <c r="D904" s="95"/>
      <c r="E904" s="14"/>
    </row>
    <row r="905">
      <c r="D905" s="95"/>
      <c r="E905" s="14"/>
    </row>
    <row r="906">
      <c r="D906" s="95"/>
      <c r="E906" s="14"/>
    </row>
    <row r="907">
      <c r="D907" s="95"/>
      <c r="E907" s="14"/>
    </row>
    <row r="908">
      <c r="D908" s="95"/>
      <c r="E908" s="14"/>
    </row>
    <row r="909">
      <c r="D909" s="95"/>
      <c r="E909" s="14"/>
    </row>
    <row r="910">
      <c r="D910" s="95"/>
      <c r="E910" s="14"/>
    </row>
    <row r="911">
      <c r="D911" s="95"/>
      <c r="E911" s="14"/>
    </row>
    <row r="912">
      <c r="D912" s="95"/>
      <c r="E912" s="14"/>
    </row>
    <row r="913">
      <c r="D913" s="95"/>
      <c r="E913" s="14"/>
    </row>
    <row r="914">
      <c r="D914" s="95"/>
      <c r="E914" s="14"/>
    </row>
    <row r="915">
      <c r="D915" s="95"/>
      <c r="E915" s="14"/>
    </row>
    <row r="916">
      <c r="D916" s="95"/>
      <c r="E916" s="14"/>
    </row>
    <row r="917">
      <c r="D917" s="95"/>
      <c r="E917" s="14"/>
    </row>
    <row r="918">
      <c r="D918" s="95"/>
      <c r="E918" s="14"/>
    </row>
    <row r="919">
      <c r="D919" s="95"/>
      <c r="E919" s="14"/>
    </row>
    <row r="920">
      <c r="D920" s="95"/>
      <c r="E920" s="14"/>
    </row>
    <row r="921">
      <c r="D921" s="95"/>
      <c r="E921" s="14"/>
    </row>
    <row r="922">
      <c r="D922" s="95"/>
      <c r="E922" s="14"/>
    </row>
    <row r="923">
      <c r="D923" s="95"/>
      <c r="E923" s="14"/>
    </row>
    <row r="924">
      <c r="D924" s="95"/>
      <c r="E924" s="14"/>
    </row>
    <row r="925">
      <c r="D925" s="95"/>
      <c r="E925" s="14"/>
    </row>
    <row r="926">
      <c r="D926" s="95"/>
      <c r="E926" s="14"/>
    </row>
    <row r="927">
      <c r="D927" s="95"/>
      <c r="E927" s="14"/>
    </row>
    <row r="928">
      <c r="D928" s="95"/>
      <c r="E928" s="14"/>
    </row>
    <row r="929">
      <c r="D929" s="95"/>
      <c r="E929" s="14"/>
    </row>
    <row r="930">
      <c r="D930" s="95"/>
      <c r="E930" s="14"/>
    </row>
    <row r="931">
      <c r="D931" s="95"/>
      <c r="E931" s="14"/>
    </row>
    <row r="932">
      <c r="D932" s="95"/>
      <c r="E932" s="14"/>
    </row>
    <row r="933">
      <c r="D933" s="95"/>
      <c r="E933" s="14"/>
    </row>
    <row r="934">
      <c r="D934" s="95"/>
      <c r="E934" s="14"/>
    </row>
    <row r="935">
      <c r="D935" s="95"/>
      <c r="E935" s="14"/>
    </row>
    <row r="936">
      <c r="D936" s="95"/>
      <c r="E936" s="14"/>
    </row>
    <row r="937">
      <c r="D937" s="95"/>
      <c r="E937" s="14"/>
    </row>
    <row r="938">
      <c r="D938" s="95"/>
      <c r="E938" s="14"/>
    </row>
    <row r="939">
      <c r="D939" s="95"/>
      <c r="E939" s="14"/>
    </row>
    <row r="940">
      <c r="D940" s="95"/>
      <c r="E940" s="14"/>
    </row>
    <row r="941">
      <c r="D941" s="95"/>
      <c r="E941" s="14"/>
    </row>
    <row r="942">
      <c r="D942" s="95"/>
      <c r="E942" s="14"/>
    </row>
    <row r="943">
      <c r="D943" s="95"/>
      <c r="E943" s="14"/>
    </row>
    <row r="944">
      <c r="D944" s="95"/>
      <c r="E944" s="14"/>
    </row>
    <row r="945">
      <c r="D945" s="95"/>
      <c r="E945" s="14"/>
    </row>
    <row r="946">
      <c r="D946" s="95"/>
      <c r="E946" s="14"/>
    </row>
    <row r="947">
      <c r="D947" s="95"/>
      <c r="E947" s="14"/>
    </row>
    <row r="948">
      <c r="D948" s="95"/>
      <c r="E948" s="14"/>
    </row>
    <row r="949">
      <c r="D949" s="95"/>
      <c r="E949" s="14"/>
    </row>
    <row r="950">
      <c r="D950" s="95"/>
      <c r="E950" s="14"/>
    </row>
    <row r="951">
      <c r="D951" s="95"/>
      <c r="E951" s="14"/>
    </row>
    <row r="952">
      <c r="D952" s="95"/>
      <c r="E952" s="14"/>
    </row>
    <row r="953">
      <c r="D953" s="95"/>
      <c r="E953" s="14"/>
    </row>
    <row r="954">
      <c r="D954" s="95"/>
      <c r="E954" s="14"/>
    </row>
    <row r="955">
      <c r="D955" s="95"/>
      <c r="E955" s="14"/>
    </row>
    <row r="956">
      <c r="D956" s="95"/>
      <c r="E956" s="14"/>
    </row>
    <row r="957">
      <c r="D957" s="95"/>
      <c r="E957" s="14"/>
    </row>
    <row r="958">
      <c r="D958" s="95"/>
      <c r="E958" s="14"/>
    </row>
    <row r="959">
      <c r="D959" s="95"/>
      <c r="E959" s="14"/>
    </row>
    <row r="960">
      <c r="D960" s="95"/>
      <c r="E960" s="14"/>
    </row>
    <row r="961">
      <c r="D961" s="95"/>
      <c r="E961" s="14"/>
    </row>
    <row r="962">
      <c r="D962" s="95"/>
      <c r="E962" s="14"/>
    </row>
    <row r="963">
      <c r="D963" s="95"/>
      <c r="E963" s="14"/>
    </row>
    <row r="964">
      <c r="D964" s="95"/>
      <c r="E964" s="14"/>
    </row>
    <row r="965">
      <c r="D965" s="95"/>
      <c r="E965" s="14"/>
    </row>
    <row r="966">
      <c r="D966" s="95"/>
      <c r="E966" s="14"/>
    </row>
    <row r="967">
      <c r="D967" s="95"/>
      <c r="E967" s="14"/>
    </row>
    <row r="968">
      <c r="D968" s="95"/>
      <c r="E968" s="14"/>
    </row>
    <row r="969">
      <c r="D969" s="95"/>
      <c r="E969" s="14"/>
    </row>
    <row r="970">
      <c r="D970" s="95"/>
      <c r="E970" s="14"/>
    </row>
    <row r="971">
      <c r="D971" s="95"/>
      <c r="E971" s="14"/>
    </row>
    <row r="972">
      <c r="D972" s="95"/>
      <c r="E972" s="14"/>
    </row>
    <row r="973">
      <c r="D973" s="95"/>
      <c r="E973" s="14"/>
    </row>
    <row r="974">
      <c r="D974" s="95"/>
      <c r="E974" s="14"/>
    </row>
    <row r="975">
      <c r="D975" s="95"/>
      <c r="E975" s="14"/>
    </row>
    <row r="976">
      <c r="D976" s="95"/>
      <c r="E976" s="14"/>
    </row>
    <row r="977">
      <c r="D977" s="95"/>
      <c r="E977" s="14"/>
    </row>
    <row r="978">
      <c r="D978" s="95"/>
      <c r="E978" s="14"/>
    </row>
    <row r="979">
      <c r="D979" s="95"/>
      <c r="E979" s="14"/>
    </row>
    <row r="980">
      <c r="D980" s="95"/>
      <c r="E980" s="14"/>
    </row>
    <row r="981">
      <c r="D981" s="95"/>
      <c r="E981" s="14"/>
    </row>
    <row r="982">
      <c r="D982" s="95"/>
      <c r="E982" s="14"/>
    </row>
    <row r="983">
      <c r="D983" s="95"/>
      <c r="E983" s="14"/>
    </row>
    <row r="984">
      <c r="D984" s="95"/>
      <c r="E984" s="14"/>
    </row>
    <row r="985">
      <c r="D985" s="95"/>
      <c r="E985" s="14"/>
    </row>
    <row r="986">
      <c r="D986" s="95"/>
      <c r="E986" s="14"/>
    </row>
    <row r="987">
      <c r="D987" s="95"/>
      <c r="E987" s="14"/>
    </row>
    <row r="988">
      <c r="D988" s="95"/>
      <c r="E988" s="14"/>
    </row>
    <row r="989">
      <c r="D989" s="95"/>
      <c r="E989" s="14"/>
    </row>
    <row r="990">
      <c r="D990" s="95"/>
      <c r="E990" s="14"/>
    </row>
    <row r="991">
      <c r="D991" s="95"/>
      <c r="E991" s="14"/>
    </row>
    <row r="992">
      <c r="D992" s="95"/>
      <c r="E992" s="14"/>
    </row>
    <row r="993">
      <c r="D993" s="95"/>
      <c r="E993" s="14"/>
    </row>
    <row r="994">
      <c r="D994" s="95"/>
      <c r="E994" s="14"/>
    </row>
    <row r="995">
      <c r="D995" s="95"/>
      <c r="E995" s="14"/>
    </row>
    <row r="996">
      <c r="D996" s="95"/>
      <c r="E996" s="14"/>
    </row>
    <row r="997">
      <c r="D997" s="95"/>
      <c r="E997" s="14"/>
    </row>
    <row r="998">
      <c r="D998" s="95"/>
      <c r="E998" s="14"/>
    </row>
    <row r="999">
      <c r="D999" s="95"/>
      <c r="E999" s="14"/>
    </row>
    <row r="1000">
      <c r="D1000" s="95"/>
      <c r="E1000" s="14"/>
    </row>
    <row r="1001">
      <c r="D1001" s="95"/>
      <c r="E1001" s="14"/>
    </row>
    <row r="1002">
      <c r="D1002" s="95"/>
      <c r="E1002" s="14"/>
    </row>
    <row r="1003">
      <c r="D1003" s="95"/>
      <c r="E1003" s="14"/>
    </row>
    <row r="1004">
      <c r="D1004" s="95"/>
      <c r="E1004" s="14"/>
    </row>
    <row r="1005">
      <c r="D1005" s="95"/>
      <c r="E1005" s="14"/>
    </row>
    <row r="1006">
      <c r="D1006" s="95"/>
      <c r="E1006" s="14"/>
    </row>
    <row r="1007">
      <c r="D1007" s="95"/>
      <c r="E1007" s="14"/>
    </row>
    <row r="1008">
      <c r="D1008" s="95"/>
      <c r="E1008" s="14"/>
    </row>
    <row r="1009">
      <c r="D1009" s="95"/>
      <c r="E1009" s="14"/>
    </row>
    <row r="1010">
      <c r="D1010" s="95"/>
      <c r="E1010" s="14"/>
    </row>
    <row r="1011">
      <c r="D1011" s="95"/>
      <c r="E1011" s="14"/>
    </row>
  </sheetData>
  <conditionalFormatting sqref="H2:P35">
    <cfRule type="cellIs" dxfId="38" priority="1" operator="equal">
      <formula>0</formula>
    </cfRule>
  </conditionalFormatting>
  <conditionalFormatting sqref="O2:P35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35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35">
    <cfRule type="colorScale" priority="4">
      <colorScale>
        <cfvo type="formula" val="0"/>
        <cfvo type="percentile" val="50"/>
        <cfvo type="max"/>
        <color rgb="FF34A853"/>
        <color rgb="FFFFFF00"/>
        <color rgb="FFFF0000"/>
      </colorScale>
    </cfRule>
  </conditionalFormatting>
  <conditionalFormatting sqref="L2:L35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35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5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5">
    <cfRule type="colorScale" priority="8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H2:H35">
    <cfRule type="colorScale" priority="9">
      <colorScale>
        <cfvo type="min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1:C48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1:F48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8">
      <formula1>OR(NOT(ISERROR(DATEVALUE(F38))), AND(ISNUMBER(F38), LEFT(CELL("format", F38))="D"))</formula1>
    </dataValidation>
    <dataValidation type="list" allowBlank="1" showDropDown="1" sqref="C2:C35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20.25"/>
    <col customWidth="1" min="3" max="3" width="15.88"/>
    <col customWidth="1" min="4" max="4" width="33.88"/>
    <col customWidth="1" min="5" max="5" width="9.25"/>
    <col customWidth="1" min="6" max="6" width="33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321" t="s">
        <v>48</v>
      </c>
      <c r="B1" s="1322" t="s">
        <v>49</v>
      </c>
      <c r="C1" s="1322" t="s">
        <v>50</v>
      </c>
      <c r="D1" s="1323" t="s">
        <v>56</v>
      </c>
      <c r="E1" s="1321" t="s">
        <v>57</v>
      </c>
      <c r="F1" s="1324" t="s">
        <v>52</v>
      </c>
      <c r="G1" s="1325" t="s">
        <v>53</v>
      </c>
      <c r="H1" s="1321" t="s">
        <v>4</v>
      </c>
      <c r="I1" s="1321" t="s">
        <v>58</v>
      </c>
      <c r="J1" s="1321" t="s">
        <v>59</v>
      </c>
      <c r="K1" s="1321" t="s">
        <v>60</v>
      </c>
      <c r="L1" s="1321" t="s">
        <v>61</v>
      </c>
      <c r="M1" s="1321" t="s">
        <v>62</v>
      </c>
      <c r="N1" s="1321" t="s">
        <v>63</v>
      </c>
      <c r="O1" s="1326" t="s">
        <v>64</v>
      </c>
      <c r="P1" s="1321" t="s">
        <v>65</v>
      </c>
    </row>
    <row r="2" ht="22.5" customHeight="1">
      <c r="A2" s="1327">
        <v>1.0</v>
      </c>
      <c r="B2" s="1328" t="s">
        <v>2037</v>
      </c>
      <c r="C2" s="1329" t="s">
        <v>67</v>
      </c>
      <c r="D2" s="1330" t="s">
        <v>89</v>
      </c>
      <c r="E2" s="1331" t="str">
        <f>IMAGE("https://flagcdn.com/w320/be.png")</f>
        <v/>
      </c>
      <c r="F2" s="1332">
        <v>37631.0</v>
      </c>
      <c r="G2" s="1333">
        <f t="shared" ref="G2:G33" si="2">DATEDIF(F2,TODAY(),"Y")</f>
        <v>23</v>
      </c>
      <c r="H2" s="1334">
        <f t="shared" ref="H2:I2" si="1">0</f>
        <v>0</v>
      </c>
      <c r="I2" s="1334">
        <f t="shared" si="1"/>
        <v>0</v>
      </c>
      <c r="J2" s="1334"/>
      <c r="K2" s="1334"/>
      <c r="L2" s="1334"/>
      <c r="M2" s="1334"/>
      <c r="N2" s="1334"/>
      <c r="O2" s="1334">
        <f t="shared" ref="O2:O33" si="4">J2+K2</f>
        <v>0</v>
      </c>
      <c r="P2" s="1334"/>
    </row>
    <row r="3" ht="22.5" customHeight="1">
      <c r="A3" s="1327">
        <v>3.0</v>
      </c>
      <c r="B3" s="1328" t="s">
        <v>2038</v>
      </c>
      <c r="C3" s="1329" t="s">
        <v>70</v>
      </c>
      <c r="D3" s="1330" t="s">
        <v>1418</v>
      </c>
      <c r="E3" s="1331" t="str">
        <f>IMAGE("https://flagcdn.com/w320/sn.png")</f>
        <v/>
      </c>
      <c r="F3" s="1332">
        <v>38431.0</v>
      </c>
      <c r="G3" s="1333">
        <f t="shared" si="2"/>
        <v>20</v>
      </c>
      <c r="H3" s="1334">
        <f t="shared" ref="H3:I3" si="3">0</f>
        <v>0</v>
      </c>
      <c r="I3" s="1334">
        <f t="shared" si="3"/>
        <v>0</v>
      </c>
      <c r="J3" s="1334"/>
      <c r="K3" s="1334"/>
      <c r="L3" s="1334"/>
      <c r="M3" s="1334"/>
      <c r="N3" s="1334"/>
      <c r="O3" s="1334">
        <f t="shared" si="4"/>
        <v>0</v>
      </c>
      <c r="P3" s="1334"/>
    </row>
    <row r="4" ht="22.5" customHeight="1">
      <c r="A4" s="1327">
        <v>4.0</v>
      </c>
      <c r="B4" s="1328" t="s">
        <v>2039</v>
      </c>
      <c r="C4" s="1329" t="s">
        <v>79</v>
      </c>
      <c r="D4" s="1330" t="s">
        <v>96</v>
      </c>
      <c r="E4" s="1331" t="str">
        <f>IMAGE("https://flagcdn.com/w320/no.png")</f>
        <v/>
      </c>
      <c r="F4" s="1332">
        <v>35759.0</v>
      </c>
      <c r="G4" s="1333">
        <f t="shared" si="2"/>
        <v>28</v>
      </c>
      <c r="H4" s="1334">
        <f>1+1+1+1+1</f>
        <v>5</v>
      </c>
      <c r="I4" s="1334">
        <f>90+24+60+17+9</f>
        <v>200</v>
      </c>
      <c r="J4" s="1334"/>
      <c r="K4" s="1334"/>
      <c r="L4" s="1334"/>
      <c r="M4" s="1334"/>
      <c r="N4" s="1334"/>
      <c r="O4" s="1334">
        <f t="shared" si="4"/>
        <v>0</v>
      </c>
      <c r="P4" s="1334"/>
    </row>
    <row r="5" ht="22.5" customHeight="1">
      <c r="A5" s="1327">
        <v>5.0</v>
      </c>
      <c r="B5" s="1328" t="s">
        <v>2040</v>
      </c>
      <c r="C5" s="1329" t="s">
        <v>79</v>
      </c>
      <c r="D5" s="1330" t="s">
        <v>2041</v>
      </c>
      <c r="E5" s="1331" t="str">
        <f>IMAGE("https://flagcdn.com/w320/ar.png")</f>
        <v/>
      </c>
      <c r="F5" s="1332">
        <v>35741.0</v>
      </c>
      <c r="G5" s="1333">
        <f t="shared" si="2"/>
        <v>28</v>
      </c>
      <c r="H5" s="1334">
        <f t="shared" ref="H5:H6" si="5">1+1+1+1+1+1+1</f>
        <v>7</v>
      </c>
      <c r="I5" s="1334">
        <f>90+66+90+90+90+90+90</f>
        <v>606</v>
      </c>
      <c r="J5" s="1334">
        <f>1</f>
        <v>1</v>
      </c>
      <c r="K5" s="1334"/>
      <c r="L5" s="1334">
        <f t="shared" ref="L5:L6" si="6">1+1</f>
        <v>2</v>
      </c>
      <c r="M5" s="1334"/>
      <c r="N5" s="1334"/>
      <c r="O5" s="1334">
        <f t="shared" si="4"/>
        <v>1</v>
      </c>
      <c r="P5" s="1334"/>
    </row>
    <row r="6" ht="22.5" customHeight="1">
      <c r="A6" s="1327">
        <v>6.0</v>
      </c>
      <c r="B6" s="1328" t="s">
        <v>2042</v>
      </c>
      <c r="C6" s="1329" t="s">
        <v>79</v>
      </c>
      <c r="D6" s="1330" t="s">
        <v>89</v>
      </c>
      <c r="E6" s="1331" t="str">
        <f>IMAGE("https://flagcdn.com/w320/be.png")</f>
        <v/>
      </c>
      <c r="F6" s="1332">
        <v>38029.0</v>
      </c>
      <c r="G6" s="1333">
        <f t="shared" si="2"/>
        <v>21</v>
      </c>
      <c r="H6" s="1334">
        <f t="shared" si="5"/>
        <v>7</v>
      </c>
      <c r="I6" s="1334">
        <f>16+66+90+73+90+81+90</f>
        <v>506</v>
      </c>
      <c r="J6" s="1334"/>
      <c r="K6" s="1334"/>
      <c r="L6" s="1334">
        <f t="shared" si="6"/>
        <v>2</v>
      </c>
      <c r="M6" s="1334"/>
      <c r="N6" s="1334"/>
      <c r="O6" s="1334">
        <f t="shared" si="4"/>
        <v>0</v>
      </c>
      <c r="P6" s="1334"/>
    </row>
    <row r="7" ht="22.5" customHeight="1">
      <c r="A7" s="1327">
        <v>7.0</v>
      </c>
      <c r="B7" s="1328" t="s">
        <v>2043</v>
      </c>
      <c r="C7" s="1329" t="s">
        <v>82</v>
      </c>
      <c r="D7" s="1330" t="s">
        <v>291</v>
      </c>
      <c r="E7" s="1331" t="str">
        <f>IMAGE("https://flagcdn.com/w320/gh.png")</f>
        <v/>
      </c>
      <c r="F7" s="1332">
        <v>37392.0</v>
      </c>
      <c r="G7" s="1333">
        <f t="shared" si="2"/>
        <v>23</v>
      </c>
      <c r="H7" s="1334">
        <f>1</f>
        <v>1</v>
      </c>
      <c r="I7" s="1334">
        <f>24</f>
        <v>24</v>
      </c>
      <c r="J7" s="1334"/>
      <c r="K7" s="1334"/>
      <c r="L7" s="1334"/>
      <c r="M7" s="1334"/>
      <c r="N7" s="1334"/>
      <c r="O7" s="1334">
        <f t="shared" si="4"/>
        <v>0</v>
      </c>
      <c r="P7" s="1334"/>
    </row>
    <row r="8" ht="22.5" customHeight="1">
      <c r="A8" s="1327">
        <v>8.0</v>
      </c>
      <c r="B8" s="1328" t="s">
        <v>2044</v>
      </c>
      <c r="C8" s="1329" t="s">
        <v>79</v>
      </c>
      <c r="D8" s="1330" t="s">
        <v>461</v>
      </c>
      <c r="E8" s="1331" t="str">
        <f>IMAGE("https://flagcdn.com/w320/dz.png")</f>
        <v/>
      </c>
      <c r="F8" s="1332">
        <v>36531.0</v>
      </c>
      <c r="G8" s="1333">
        <f t="shared" si="2"/>
        <v>26</v>
      </c>
      <c r="H8" s="1334">
        <f>1+1+1+1+1+1+1</f>
        <v>7</v>
      </c>
      <c r="I8" s="1334">
        <f>90+90+83+90+90+90+81</f>
        <v>614</v>
      </c>
      <c r="J8" s="1334"/>
      <c r="K8" s="1334">
        <f t="shared" ref="K8:L8" si="7">1</f>
        <v>1</v>
      </c>
      <c r="L8" s="1334">
        <f t="shared" si="7"/>
        <v>1</v>
      </c>
      <c r="M8" s="1334"/>
      <c r="N8" s="1334"/>
      <c r="O8" s="1334">
        <f t="shared" si="4"/>
        <v>1</v>
      </c>
      <c r="P8" s="1334"/>
    </row>
    <row r="9" ht="22.5" customHeight="1">
      <c r="A9" s="1327">
        <v>10.0</v>
      </c>
      <c r="B9" s="1328" t="s">
        <v>2045</v>
      </c>
      <c r="C9" s="1329" t="s">
        <v>79</v>
      </c>
      <c r="D9" s="1330" t="s">
        <v>2046</v>
      </c>
      <c r="E9" s="1331" t="str">
        <f>IMAGE("https://flagcdn.com/w320/be.png")</f>
        <v/>
      </c>
      <c r="F9" s="1332">
        <v>37366.0</v>
      </c>
      <c r="G9" s="1333">
        <f t="shared" si="2"/>
        <v>23</v>
      </c>
      <c r="H9" s="1334">
        <f>1+1+1+1+1+1</f>
        <v>6</v>
      </c>
      <c r="I9" s="1334">
        <f>74+90+59+73+70+66</f>
        <v>432</v>
      </c>
      <c r="J9" s="1334">
        <f>1</f>
        <v>1</v>
      </c>
      <c r="K9" s="1334"/>
      <c r="L9" s="1334"/>
      <c r="M9" s="1334"/>
      <c r="N9" s="1334"/>
      <c r="O9" s="1334">
        <f t="shared" si="4"/>
        <v>1</v>
      </c>
      <c r="P9" s="1334"/>
    </row>
    <row r="10" ht="22.5" customHeight="1">
      <c r="A10" s="1327">
        <v>11.0</v>
      </c>
      <c r="B10" s="1335" t="s">
        <v>2047</v>
      </c>
      <c r="C10" s="1329" t="s">
        <v>82</v>
      </c>
      <c r="D10" s="1330" t="s">
        <v>182</v>
      </c>
      <c r="E10" s="1331" t="str">
        <f>IMAGE("https://flagcdn.com/w320/br.png")</f>
        <v/>
      </c>
      <c r="F10" s="1332">
        <v>37783.0</v>
      </c>
      <c r="G10" s="1333">
        <f t="shared" si="2"/>
        <v>22</v>
      </c>
      <c r="H10" s="1334">
        <f>1</f>
        <v>1</v>
      </c>
      <c r="I10" s="1334">
        <f>66</f>
        <v>66</v>
      </c>
      <c r="J10" s="1334"/>
      <c r="K10" s="1334"/>
      <c r="L10" s="1334"/>
      <c r="M10" s="1334"/>
      <c r="N10" s="1334"/>
      <c r="O10" s="1334">
        <f t="shared" si="4"/>
        <v>0</v>
      </c>
      <c r="P10" s="1334"/>
    </row>
    <row r="11" ht="22.5" customHeight="1">
      <c r="A11" s="1327">
        <v>12.0</v>
      </c>
      <c r="B11" s="1328" t="s">
        <v>2048</v>
      </c>
      <c r="C11" s="1329" t="s">
        <v>82</v>
      </c>
      <c r="D11" s="1330" t="s">
        <v>2049</v>
      </c>
      <c r="E11" s="1331" t="str">
        <f>IMAGE("https://flagcdn.com/w320/ca.png")</f>
        <v/>
      </c>
      <c r="F11" s="1332">
        <v>37075.0</v>
      </c>
      <c r="G11" s="1333">
        <f t="shared" si="2"/>
        <v>24</v>
      </c>
      <c r="H11" s="1334">
        <f>1+1+1+1+1+1+1</f>
        <v>7</v>
      </c>
      <c r="I11" s="1334">
        <f>66+45+60+31+57+28+81</f>
        <v>368</v>
      </c>
      <c r="J11" s="1334">
        <f>1+1</f>
        <v>2</v>
      </c>
      <c r="K11" s="1334"/>
      <c r="L11" s="1334">
        <f>1+1+1</f>
        <v>3</v>
      </c>
      <c r="M11" s="1334"/>
      <c r="N11" s="1334"/>
      <c r="O11" s="1334">
        <f t="shared" si="4"/>
        <v>2</v>
      </c>
      <c r="P11" s="1334"/>
    </row>
    <row r="12" ht="22.5" customHeight="1">
      <c r="A12" s="1327">
        <v>13.0</v>
      </c>
      <c r="B12" s="1328" t="s">
        <v>2050</v>
      </c>
      <c r="C12" s="1329" t="s">
        <v>82</v>
      </c>
      <c r="D12" s="1330" t="s">
        <v>180</v>
      </c>
      <c r="E12" s="1331" t="str">
        <f>IMAGE("https://flagcdn.com/w320/ec.png")</f>
        <v/>
      </c>
      <c r="F12" s="1332">
        <v>36589.0</v>
      </c>
      <c r="G12" s="1333">
        <f t="shared" si="2"/>
        <v>25</v>
      </c>
      <c r="H12" s="1334">
        <f>1+1+1+1+1+1</f>
        <v>6</v>
      </c>
      <c r="I12" s="1334">
        <f>87+73+30+73+33+81</f>
        <v>377</v>
      </c>
      <c r="J12" s="1334"/>
      <c r="K12" s="1334">
        <f>1</f>
        <v>1</v>
      </c>
      <c r="L12" s="1334"/>
      <c r="M12" s="1334"/>
      <c r="N12" s="1334"/>
      <c r="O12" s="1334">
        <f t="shared" si="4"/>
        <v>1</v>
      </c>
      <c r="P12" s="1334"/>
    </row>
    <row r="13" ht="22.5" customHeight="1">
      <c r="A13" s="1327">
        <v>16.0</v>
      </c>
      <c r="B13" s="1328" t="s">
        <v>2051</v>
      </c>
      <c r="C13" s="1329" t="s">
        <v>70</v>
      </c>
      <c r="D13" s="1330" t="s">
        <v>94</v>
      </c>
      <c r="E13" s="1331" t="str">
        <f>IMAGE("https://flagcdn.com/w320/gb-eng.png")</f>
        <v/>
      </c>
      <c r="F13" s="1332">
        <v>33518.0</v>
      </c>
      <c r="G13" s="1333">
        <f t="shared" si="2"/>
        <v>34</v>
      </c>
      <c r="H13" s="1334">
        <f>1+1+1+1+1+1+1</f>
        <v>7</v>
      </c>
      <c r="I13" s="1334">
        <f>90+90+90+90+90+90+90</f>
        <v>630</v>
      </c>
      <c r="J13" s="1334"/>
      <c r="K13" s="1334"/>
      <c r="L13" s="1334">
        <f>1+1</f>
        <v>2</v>
      </c>
      <c r="M13" s="1334"/>
      <c r="N13" s="1334"/>
      <c r="O13" s="1334">
        <f t="shared" si="4"/>
        <v>0</v>
      </c>
      <c r="P13" s="1334"/>
    </row>
    <row r="14" ht="22.5" customHeight="1">
      <c r="A14" s="1327">
        <v>17.0</v>
      </c>
      <c r="B14" s="1328" t="s">
        <v>2052</v>
      </c>
      <c r="C14" s="1329" t="s">
        <v>79</v>
      </c>
      <c r="D14" s="1330" t="s">
        <v>89</v>
      </c>
      <c r="E14" s="1331" t="str">
        <f>IMAGE("https://flagcdn.com/w320/be.png")</f>
        <v/>
      </c>
      <c r="F14" s="1332">
        <v>34416.0</v>
      </c>
      <c r="G14" s="1333">
        <f t="shared" si="2"/>
        <v>31</v>
      </c>
      <c r="H14" s="1334">
        <f>1+1+1+1+1+1</f>
        <v>6</v>
      </c>
      <c r="I14" s="1334">
        <f>3+7+59+20+62+9</f>
        <v>160</v>
      </c>
      <c r="J14" s="1334"/>
      <c r="K14" s="1334">
        <f t="shared" ref="K14:L14" si="8">1</f>
        <v>1</v>
      </c>
      <c r="L14" s="1334">
        <f t="shared" si="8"/>
        <v>1</v>
      </c>
      <c r="M14" s="1334"/>
      <c r="N14" s="1334"/>
      <c r="O14" s="1334">
        <f t="shared" si="4"/>
        <v>1</v>
      </c>
      <c r="P14" s="1334"/>
    </row>
    <row r="15" ht="22.5" customHeight="1">
      <c r="A15" s="1327">
        <v>20.0</v>
      </c>
      <c r="B15" s="1328" t="s">
        <v>2053</v>
      </c>
      <c r="C15" s="1329" t="s">
        <v>82</v>
      </c>
      <c r="D15" s="1330" t="s">
        <v>2054</v>
      </c>
      <c r="E15" s="1331" t="str">
        <f>IMAGE("https://flagcdn.com/w320/ch.png")</f>
        <v/>
      </c>
      <c r="F15" s="1332">
        <v>38073.0</v>
      </c>
      <c r="G15" s="1333">
        <f t="shared" si="2"/>
        <v>21</v>
      </c>
      <c r="H15" s="1334">
        <f>1+1+1+1+1</f>
        <v>5</v>
      </c>
      <c r="I15" s="1334">
        <f>24+45+30+17+9</f>
        <v>125</v>
      </c>
      <c r="J15" s="1334"/>
      <c r="K15" s="1334"/>
      <c r="L15" s="1334">
        <f>1</f>
        <v>1</v>
      </c>
      <c r="M15" s="1334"/>
      <c r="N15" s="1334"/>
      <c r="O15" s="1334">
        <f t="shared" si="4"/>
        <v>0</v>
      </c>
      <c r="P15" s="1334"/>
    </row>
    <row r="16" ht="22.5" customHeight="1">
      <c r="A16" s="1327">
        <v>22.0</v>
      </c>
      <c r="B16" s="1328" t="s">
        <v>2055</v>
      </c>
      <c r="C16" s="1329" t="s">
        <v>79</v>
      </c>
      <c r="D16" s="1330" t="s">
        <v>1418</v>
      </c>
      <c r="E16" s="1331" t="str">
        <f>IMAGE("https://flagcdn.com/w320/sn.png")</f>
        <v/>
      </c>
      <c r="F16" s="1332">
        <v>37176.0</v>
      </c>
      <c r="G16" s="1333">
        <f t="shared" si="2"/>
        <v>24</v>
      </c>
      <c r="H16" s="1334">
        <f>1+1+1+1+1+1</f>
        <v>6</v>
      </c>
      <c r="I16" s="1334">
        <f>90+90+74+90+89+89</f>
        <v>522</v>
      </c>
      <c r="J16" s="1334"/>
      <c r="K16" s="1334"/>
      <c r="L16" s="1334">
        <f>1+1</f>
        <v>2</v>
      </c>
      <c r="M16" s="1334"/>
      <c r="N16" s="1334"/>
      <c r="O16" s="1334">
        <f t="shared" si="4"/>
        <v>0</v>
      </c>
      <c r="P16" s="1334"/>
    </row>
    <row r="17" ht="22.5" customHeight="1">
      <c r="A17" s="1327">
        <v>23.0</v>
      </c>
      <c r="B17" s="1328" t="s">
        <v>2056</v>
      </c>
      <c r="C17" s="1329" t="s">
        <v>79</v>
      </c>
      <c r="D17" s="1330" t="s">
        <v>2057</v>
      </c>
      <c r="E17" s="1331" t="str">
        <f>IMAGE("https://flagcdn.com/w320/ma.png")</f>
        <v/>
      </c>
      <c r="F17" s="1332">
        <v>34229.0</v>
      </c>
      <c r="G17" s="1333">
        <f t="shared" si="2"/>
        <v>32</v>
      </c>
      <c r="H17" s="1334">
        <f>1+1+1+1</f>
        <v>4</v>
      </c>
      <c r="I17" s="1334">
        <f>17+17+20+28</f>
        <v>82</v>
      </c>
      <c r="J17" s="1334"/>
      <c r="K17" s="1334">
        <f>1</f>
        <v>1</v>
      </c>
      <c r="L17" s="1334"/>
      <c r="M17" s="1334"/>
      <c r="N17" s="1334"/>
      <c r="O17" s="1334">
        <f t="shared" si="4"/>
        <v>1</v>
      </c>
      <c r="P17" s="1334"/>
    </row>
    <row r="18" ht="22.5" customHeight="1">
      <c r="A18" s="1327">
        <v>25.0</v>
      </c>
      <c r="B18" s="1328" t="s">
        <v>2058</v>
      </c>
      <c r="C18" s="1329" t="s">
        <v>79</v>
      </c>
      <c r="D18" s="1330" t="s">
        <v>87</v>
      </c>
      <c r="E18" s="1331" t="str">
        <f>IMAGE("https://flagcdn.com/w320/il.png")</f>
        <v/>
      </c>
      <c r="F18" s="1332">
        <v>38233.0</v>
      </c>
      <c r="G18" s="1333">
        <f t="shared" si="2"/>
        <v>21</v>
      </c>
      <c r="H18" s="1334">
        <f>1+1+1+1+1+1+1</f>
        <v>7</v>
      </c>
      <c r="I18" s="1334">
        <f>90+77+90+84+90+90+90</f>
        <v>611</v>
      </c>
      <c r="J18" s="1334">
        <f>2</f>
        <v>2</v>
      </c>
      <c r="K18" s="1334"/>
      <c r="L18" s="1334">
        <f>1</f>
        <v>1</v>
      </c>
      <c r="M18" s="1334"/>
      <c r="N18" s="1334"/>
      <c r="O18" s="1334">
        <f t="shared" si="4"/>
        <v>2</v>
      </c>
      <c r="P18" s="1334"/>
    </row>
    <row r="19" ht="22.5" customHeight="1">
      <c r="A19" s="1327">
        <v>26.0</v>
      </c>
      <c r="B19" s="1328" t="s">
        <v>2059</v>
      </c>
      <c r="C19" s="1329" t="s">
        <v>70</v>
      </c>
      <c r="D19" s="1330" t="s">
        <v>94</v>
      </c>
      <c r="E19" s="1331" t="str">
        <f>IMAGE("https://flagcdn.com/w320/gb-eng.png")</f>
        <v/>
      </c>
      <c r="F19" s="1332">
        <v>36245.0</v>
      </c>
      <c r="G19" s="1333">
        <f t="shared" si="2"/>
        <v>26</v>
      </c>
      <c r="H19" s="1334">
        <f>1+1+1+1+1</f>
        <v>5</v>
      </c>
      <c r="I19" s="1334">
        <f>24+90+90+1+90</f>
        <v>295</v>
      </c>
      <c r="J19" s="1334">
        <f>1</f>
        <v>1</v>
      </c>
      <c r="K19" s="1334"/>
      <c r="L19" s="1334"/>
      <c r="M19" s="1334"/>
      <c r="N19" s="1334"/>
      <c r="O19" s="1334">
        <f t="shared" si="4"/>
        <v>1</v>
      </c>
      <c r="P19" s="1334"/>
    </row>
    <row r="20" ht="22.5" customHeight="1">
      <c r="A20" s="1327">
        <v>27.0</v>
      </c>
      <c r="B20" s="1328" t="s">
        <v>2060</v>
      </c>
      <c r="C20" s="1329" t="s">
        <v>70</v>
      </c>
      <c r="D20" s="1330" t="s">
        <v>89</v>
      </c>
      <c r="E20" s="1331" t="str">
        <f>IMAGE("https://flagcdn.com/w320/be.png")</f>
        <v/>
      </c>
      <c r="F20" s="1332">
        <v>37049.0</v>
      </c>
      <c r="G20" s="1333">
        <f t="shared" si="2"/>
        <v>24</v>
      </c>
      <c r="H20" s="1334">
        <f t="shared" ref="H20:H21" si="9">1+1+1+1</f>
        <v>4</v>
      </c>
      <c r="I20" s="1334">
        <f>13+16+6+24</f>
        <v>59</v>
      </c>
      <c r="J20" s="1334"/>
      <c r="K20" s="1334"/>
      <c r="L20" s="1334"/>
      <c r="M20" s="1334"/>
      <c r="N20" s="1334"/>
      <c r="O20" s="1334">
        <f t="shared" si="4"/>
        <v>0</v>
      </c>
      <c r="P20" s="1334"/>
    </row>
    <row r="21" ht="22.5" customHeight="1">
      <c r="A21" s="1327">
        <v>30.0</v>
      </c>
      <c r="B21" s="1328" t="s">
        <v>2061</v>
      </c>
      <c r="C21" s="1329" t="s">
        <v>82</v>
      </c>
      <c r="D21" s="1330" t="s">
        <v>475</v>
      </c>
      <c r="E21" s="1331" t="str">
        <f>IMAGE("https://flagcdn.com/w320/at.png")</f>
        <v/>
      </c>
      <c r="F21" s="1332">
        <v>37052.0</v>
      </c>
      <c r="G21" s="1333">
        <f t="shared" si="2"/>
        <v>24</v>
      </c>
      <c r="H21" s="1334">
        <f t="shared" si="9"/>
        <v>4</v>
      </c>
      <c r="I21" s="1334">
        <f>31+70+62+66</f>
        <v>229</v>
      </c>
      <c r="J21" s="1334"/>
      <c r="K21" s="1334"/>
      <c r="L21" s="1334"/>
      <c r="M21" s="1334"/>
      <c r="N21" s="1334"/>
      <c r="O21" s="1334">
        <f t="shared" si="4"/>
        <v>0</v>
      </c>
      <c r="P21" s="1334"/>
    </row>
    <row r="22" ht="22.5" customHeight="1">
      <c r="A22" s="1336">
        <v>31.0</v>
      </c>
      <c r="B22" s="1337" t="s">
        <v>2062</v>
      </c>
      <c r="C22" s="1338" t="s">
        <v>79</v>
      </c>
      <c r="D22" s="1339" t="s">
        <v>89</v>
      </c>
      <c r="E22" s="1340" t="str">
        <f t="shared" ref="E22:E24" si="10">IMAGE("https://flagcdn.com/w320/be.png")</f>
        <v/>
      </c>
      <c r="F22" s="1341">
        <v>38432.0</v>
      </c>
      <c r="G22" s="1342">
        <f t="shared" si="2"/>
        <v>20</v>
      </c>
      <c r="H22" s="1343"/>
      <c r="I22" s="1343"/>
      <c r="J22" s="1343"/>
      <c r="K22" s="1343"/>
      <c r="L22" s="1343"/>
      <c r="M22" s="1343"/>
      <c r="N22" s="1343"/>
      <c r="O22" s="1343">
        <f t="shared" si="4"/>
        <v>0</v>
      </c>
      <c r="P22" s="1343"/>
    </row>
    <row r="23" ht="22.5" customHeight="1">
      <c r="A23" s="1336">
        <v>32.0</v>
      </c>
      <c r="B23" s="1337" t="s">
        <v>2063</v>
      </c>
      <c r="C23" s="1338" t="s">
        <v>82</v>
      </c>
      <c r="D23" s="1339" t="s">
        <v>2064</v>
      </c>
      <c r="E23" s="1340" t="str">
        <f t="shared" si="10"/>
        <v/>
      </c>
      <c r="F23" s="1341">
        <v>38839.0</v>
      </c>
      <c r="G23" s="1342">
        <f t="shared" si="2"/>
        <v>19</v>
      </c>
      <c r="H23" s="1343">
        <f>1</f>
        <v>1</v>
      </c>
      <c r="I23" s="1343">
        <f>9</f>
        <v>9</v>
      </c>
      <c r="J23" s="1343"/>
      <c r="K23" s="1343"/>
      <c r="L23" s="1343"/>
      <c r="M23" s="1343"/>
      <c r="N23" s="1343"/>
      <c r="O23" s="1343">
        <f t="shared" si="4"/>
        <v>0</v>
      </c>
      <c r="P23" s="1343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22.5" customHeight="1">
      <c r="A24" s="1336">
        <v>33.0</v>
      </c>
      <c r="B24" s="1337" t="s">
        <v>2065</v>
      </c>
      <c r="C24" s="1338" t="s">
        <v>82</v>
      </c>
      <c r="D24" s="1339" t="s">
        <v>2066</v>
      </c>
      <c r="E24" s="1340" t="str">
        <f t="shared" si="10"/>
        <v/>
      </c>
      <c r="F24" s="1341">
        <v>38311.0</v>
      </c>
      <c r="G24" s="1342">
        <f t="shared" si="2"/>
        <v>21</v>
      </c>
      <c r="H24" s="1343">
        <f t="shared" ref="H24:I24" si="11">0</f>
        <v>0</v>
      </c>
      <c r="I24" s="1343">
        <f t="shared" si="11"/>
        <v>0</v>
      </c>
      <c r="J24" s="1343"/>
      <c r="K24" s="1343"/>
      <c r="L24" s="1343"/>
      <c r="M24" s="1343"/>
      <c r="N24" s="1343"/>
      <c r="O24" s="1343">
        <f t="shared" si="4"/>
        <v>0</v>
      </c>
      <c r="P24" s="1343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22.5" customHeight="1">
      <c r="A25" s="1336">
        <v>34.0</v>
      </c>
      <c r="B25" s="1337" t="s">
        <v>2067</v>
      </c>
      <c r="C25" s="1338" t="s">
        <v>79</v>
      </c>
      <c r="D25" s="1339" t="s">
        <v>521</v>
      </c>
      <c r="E25" s="1340" t="str">
        <f>IMAGE("https://flagcdn.com/w320/pl.png")</f>
        <v/>
      </c>
      <c r="F25" s="1341">
        <v>38397.0</v>
      </c>
      <c r="G25" s="1342">
        <f t="shared" si="2"/>
        <v>20</v>
      </c>
      <c r="H25" s="1343"/>
      <c r="I25" s="1343"/>
      <c r="J25" s="1343"/>
      <c r="K25" s="1343"/>
      <c r="L25" s="1343"/>
      <c r="M25" s="1343"/>
      <c r="N25" s="1343"/>
      <c r="O25" s="1343">
        <f t="shared" si="4"/>
        <v>0</v>
      </c>
      <c r="P25" s="1343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22.5" customHeight="1">
      <c r="A26" s="1336">
        <v>35.0</v>
      </c>
      <c r="B26" s="1337" t="s">
        <v>2068</v>
      </c>
      <c r="C26" s="1338" t="s">
        <v>79</v>
      </c>
      <c r="D26" s="1339" t="s">
        <v>89</v>
      </c>
      <c r="E26" s="1340" t="str">
        <f t="shared" ref="E26:E27" si="12">IMAGE("https://flagcdn.com/w320/be.png")</f>
        <v/>
      </c>
      <c r="F26" s="1341">
        <v>38009.0</v>
      </c>
      <c r="G26" s="1342">
        <f t="shared" si="2"/>
        <v>22</v>
      </c>
      <c r="H26" s="1343"/>
      <c r="I26" s="1343"/>
      <c r="J26" s="1343"/>
      <c r="K26" s="1343"/>
      <c r="L26" s="1343"/>
      <c r="M26" s="1343"/>
      <c r="N26" s="1343"/>
      <c r="O26" s="1343">
        <f t="shared" si="4"/>
        <v>0</v>
      </c>
      <c r="P26" s="134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22.5" customHeight="1">
      <c r="A27" s="1336">
        <v>36.0</v>
      </c>
      <c r="B27" s="1337" t="s">
        <v>2069</v>
      </c>
      <c r="C27" s="1338" t="s">
        <v>82</v>
      </c>
      <c r="D27" s="1339" t="s">
        <v>89</v>
      </c>
      <c r="E27" s="1340" t="str">
        <f t="shared" si="12"/>
        <v/>
      </c>
      <c r="F27" s="1341">
        <v>38316.0</v>
      </c>
      <c r="G27" s="1342">
        <f t="shared" si="2"/>
        <v>21</v>
      </c>
      <c r="H27" s="1343"/>
      <c r="I27" s="1343"/>
      <c r="J27" s="1343"/>
      <c r="K27" s="1343"/>
      <c r="L27" s="1343"/>
      <c r="M27" s="1343"/>
      <c r="N27" s="1343"/>
      <c r="O27" s="1343">
        <f t="shared" si="4"/>
        <v>0</v>
      </c>
      <c r="P27" s="134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1327">
        <v>37.0</v>
      </c>
      <c r="B28" s="1328" t="s">
        <v>2070</v>
      </c>
      <c r="C28" s="1329" t="s">
        <v>67</v>
      </c>
      <c r="D28" s="1330" t="s">
        <v>80</v>
      </c>
      <c r="E28" s="1331" t="str">
        <f>IMAGE("https://flagcdn.com/w320/nl.png")</f>
        <v/>
      </c>
      <c r="F28" s="1332">
        <v>36548.0</v>
      </c>
      <c r="G28" s="1333">
        <f t="shared" si="2"/>
        <v>26</v>
      </c>
      <c r="H28" s="1334">
        <f>1+1+1+1+1+1+1</f>
        <v>7</v>
      </c>
      <c r="I28" s="1334">
        <f>90+90+90+90+90+90+90</f>
        <v>630</v>
      </c>
      <c r="J28" s="1334"/>
      <c r="K28" s="1334"/>
      <c r="L28" s="1334"/>
      <c r="M28" s="1334"/>
      <c r="N28" s="1334">
        <f>1</f>
        <v>1</v>
      </c>
      <c r="O28" s="1334">
        <f t="shared" si="4"/>
        <v>0</v>
      </c>
      <c r="P28" s="1334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22.5" customHeight="1">
      <c r="A29" s="1336">
        <v>38.0</v>
      </c>
      <c r="B29" s="1337" t="s">
        <v>2071</v>
      </c>
      <c r="C29" s="1338" t="s">
        <v>79</v>
      </c>
      <c r="D29" s="1339" t="s">
        <v>89</v>
      </c>
      <c r="E29" s="1340" t="str">
        <f t="shared" ref="E29:E33" si="13">IMAGE("https://flagcdn.com/w320/be.png")</f>
        <v/>
      </c>
      <c r="F29" s="1341">
        <v>38413.0</v>
      </c>
      <c r="G29" s="1342">
        <f t="shared" si="2"/>
        <v>20</v>
      </c>
      <c r="H29" s="1343"/>
      <c r="I29" s="1343"/>
      <c r="J29" s="1343"/>
      <c r="K29" s="1343"/>
      <c r="L29" s="1343"/>
      <c r="M29" s="1343"/>
      <c r="N29" s="1343"/>
      <c r="O29" s="1343">
        <f t="shared" si="4"/>
        <v>0</v>
      </c>
      <c r="P29" s="134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22.5" customHeight="1">
      <c r="A30" s="1336">
        <v>39.0</v>
      </c>
      <c r="B30" s="1337" t="s">
        <v>2072</v>
      </c>
      <c r="C30" s="1338" t="s">
        <v>79</v>
      </c>
      <c r="D30" s="1339" t="s">
        <v>89</v>
      </c>
      <c r="E30" s="1340" t="str">
        <f t="shared" si="13"/>
        <v/>
      </c>
      <c r="F30" s="1341">
        <v>38866.0</v>
      </c>
      <c r="G30" s="1342">
        <f t="shared" si="2"/>
        <v>19</v>
      </c>
      <c r="H30" s="1343"/>
      <c r="I30" s="1343"/>
      <c r="J30" s="1343"/>
      <c r="K30" s="1343"/>
      <c r="L30" s="1343"/>
      <c r="M30" s="1343"/>
      <c r="N30" s="1343"/>
      <c r="O30" s="1343">
        <f t="shared" si="4"/>
        <v>0</v>
      </c>
      <c r="P30" s="134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ht="22.5" customHeight="1">
      <c r="A31" s="1336">
        <v>40.0</v>
      </c>
      <c r="B31" s="1337" t="s">
        <v>2073</v>
      </c>
      <c r="C31" s="1338" t="s">
        <v>67</v>
      </c>
      <c r="D31" s="1339" t="s">
        <v>89</v>
      </c>
      <c r="E31" s="1340" t="str">
        <f t="shared" si="13"/>
        <v/>
      </c>
      <c r="F31" s="1341">
        <v>39296.0</v>
      </c>
      <c r="G31" s="1342">
        <f t="shared" si="2"/>
        <v>18</v>
      </c>
      <c r="H31" s="1343"/>
      <c r="I31" s="1343"/>
      <c r="J31" s="1343"/>
      <c r="K31" s="1343"/>
      <c r="L31" s="1343"/>
      <c r="M31" s="1343"/>
      <c r="N31" s="1343"/>
      <c r="O31" s="1343">
        <f t="shared" si="4"/>
        <v>0</v>
      </c>
      <c r="P31" s="134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ht="22.5" customHeight="1">
      <c r="A32" s="1336">
        <v>41.0</v>
      </c>
      <c r="B32" s="1337" t="s">
        <v>2074</v>
      </c>
      <c r="C32" s="1338" t="s">
        <v>79</v>
      </c>
      <c r="D32" s="1339" t="s">
        <v>89</v>
      </c>
      <c r="E32" s="1340" t="str">
        <f t="shared" si="13"/>
        <v/>
      </c>
      <c r="F32" s="1341">
        <v>38146.0</v>
      </c>
      <c r="G32" s="1342">
        <f t="shared" si="2"/>
        <v>21</v>
      </c>
      <c r="H32" s="1343"/>
      <c r="I32" s="1343"/>
      <c r="J32" s="1343"/>
      <c r="K32" s="1343"/>
      <c r="L32" s="1343"/>
      <c r="M32" s="1343"/>
      <c r="N32" s="1343"/>
      <c r="O32" s="1343">
        <f t="shared" si="4"/>
        <v>0</v>
      </c>
      <c r="P32" s="134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ht="22.5" customHeight="1">
      <c r="A33" s="1327">
        <v>48.0</v>
      </c>
      <c r="B33" s="1328" t="s">
        <v>2075</v>
      </c>
      <c r="C33" s="1329" t="s">
        <v>70</v>
      </c>
      <c r="D33" s="1330" t="s">
        <v>89</v>
      </c>
      <c r="E33" s="1331" t="str">
        <f t="shared" si="13"/>
        <v/>
      </c>
      <c r="F33" s="1332">
        <v>37811.0</v>
      </c>
      <c r="G33" s="1333">
        <f t="shared" si="2"/>
        <v>22</v>
      </c>
      <c r="H33" s="1334">
        <f>1+1+1+1+1+1</f>
        <v>6</v>
      </c>
      <c r="I33" s="1334">
        <f>90+90+90+1+90+24</f>
        <v>385</v>
      </c>
      <c r="J33" s="1334"/>
      <c r="K33" s="1334"/>
      <c r="L33" s="1334"/>
      <c r="M33" s="1334"/>
      <c r="N33" s="1334"/>
      <c r="O33" s="1334">
        <f t="shared" si="4"/>
        <v>0</v>
      </c>
      <c r="P33" s="1334"/>
    </row>
    <row r="34">
      <c r="A34" s="11"/>
      <c r="B34" s="18"/>
      <c r="C34" s="18"/>
      <c r="D34" s="64"/>
      <c r="E34" s="65"/>
      <c r="F34" s="66"/>
      <c r="G34" s="18"/>
      <c r="H34" s="73">
        <f t="shared" ref="H34:P34" si="14">SUM(H2:H33)</f>
        <v>109</v>
      </c>
      <c r="I34" s="73">
        <f t="shared" si="14"/>
        <v>6930</v>
      </c>
      <c r="J34" s="73">
        <f t="shared" si="14"/>
        <v>7</v>
      </c>
      <c r="K34" s="73">
        <f t="shared" si="14"/>
        <v>4</v>
      </c>
      <c r="L34" s="73">
        <f t="shared" si="14"/>
        <v>15</v>
      </c>
      <c r="M34" s="73">
        <f t="shared" si="14"/>
        <v>0</v>
      </c>
      <c r="N34" s="73">
        <f t="shared" si="14"/>
        <v>1</v>
      </c>
      <c r="O34" s="73">
        <f t="shared" si="14"/>
        <v>11</v>
      </c>
      <c r="P34" s="73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22.5" customHeight="1">
      <c r="A35" s="1321" t="s">
        <v>150</v>
      </c>
      <c r="B35" s="1322" t="s">
        <v>49</v>
      </c>
      <c r="C35" s="1322" t="s">
        <v>265</v>
      </c>
      <c r="D35" s="1344" t="s">
        <v>56</v>
      </c>
      <c r="E35" s="1322" t="s">
        <v>57</v>
      </c>
      <c r="F35" s="1322" t="s">
        <v>52</v>
      </c>
      <c r="G35" s="1322" t="s">
        <v>53</v>
      </c>
      <c r="H35" s="1322" t="s">
        <v>4</v>
      </c>
      <c r="I35" s="1322" t="s">
        <v>5</v>
      </c>
      <c r="J35" s="1322" t="s">
        <v>6</v>
      </c>
      <c r="K35" s="1322" t="s">
        <v>7</v>
      </c>
      <c r="L35" s="1322" t="s">
        <v>8</v>
      </c>
      <c r="M35" s="1322" t="s">
        <v>9</v>
      </c>
      <c r="N35" s="1322" t="s">
        <v>10</v>
      </c>
    </row>
    <row r="36" ht="22.5" customHeight="1">
      <c r="A36" s="1345"/>
      <c r="B36" s="1328" t="s">
        <v>2076</v>
      </c>
      <c r="C36" s="1346" t="s">
        <v>153</v>
      </c>
      <c r="D36" s="1330" t="s">
        <v>2077</v>
      </c>
      <c r="E36" s="1347" t="str">
        <f t="shared" ref="E36:E37" si="15">IMAGE("https://flagcdn.com/w320/be.png")</f>
        <v/>
      </c>
      <c r="F36" s="1332">
        <v>31990.0</v>
      </c>
      <c r="G36" s="1333">
        <f t="shared" ref="G36:G37" si="16">DATEDIF(F36,TODAY(),"Y")</f>
        <v>38</v>
      </c>
      <c r="H36" s="1348">
        <f t="shared" ref="H36:H37" si="17">L36+M36+N36</f>
        <v>2</v>
      </c>
      <c r="I36" s="1348">
        <f t="shared" ref="I36:I37" si="18">(3*L36)+M36</f>
        <v>3</v>
      </c>
      <c r="J36" s="1348">
        <f>3</f>
        <v>3</v>
      </c>
      <c r="K36" s="1348">
        <f>1+4</f>
        <v>5</v>
      </c>
      <c r="L36" s="1349">
        <f t="shared" ref="L36:L37" si="19">1</f>
        <v>1</v>
      </c>
      <c r="M36" s="1350">
        <f t="shared" ref="M36:M37" si="20">0</f>
        <v>0</v>
      </c>
      <c r="N36" s="1351">
        <f>1</f>
        <v>1</v>
      </c>
    </row>
    <row r="37" ht="22.5" customHeight="1">
      <c r="A37" s="1345"/>
      <c r="B37" s="1328" t="s">
        <v>2078</v>
      </c>
      <c r="C37" s="1346" t="s">
        <v>153</v>
      </c>
      <c r="D37" s="1330" t="s">
        <v>89</v>
      </c>
      <c r="E37" s="1347" t="str">
        <f t="shared" si="15"/>
        <v/>
      </c>
      <c r="F37" s="1332">
        <v>32185.0</v>
      </c>
      <c r="G37" s="1333">
        <f t="shared" si="16"/>
        <v>37</v>
      </c>
      <c r="H37" s="1348">
        <f t="shared" si="17"/>
        <v>5</v>
      </c>
      <c r="I37" s="1348">
        <f t="shared" si="18"/>
        <v>3</v>
      </c>
      <c r="J37" s="1348">
        <f>1+1+2</f>
        <v>4</v>
      </c>
      <c r="K37" s="1348">
        <f>4+3+3+2</f>
        <v>12</v>
      </c>
      <c r="L37" s="1349">
        <f t="shared" si="19"/>
        <v>1</v>
      </c>
      <c r="M37" s="1350">
        <f t="shared" si="20"/>
        <v>0</v>
      </c>
      <c r="N37" s="1351">
        <f>1+1+1+1</f>
        <v>4</v>
      </c>
    </row>
    <row r="38">
      <c r="A38" s="11"/>
      <c r="B38" s="18"/>
      <c r="C38" s="18"/>
      <c r="D38" s="64"/>
      <c r="E38" s="65"/>
      <c r="F38" s="66"/>
      <c r="G38" s="18"/>
      <c r="H38" s="11">
        <f>SUM(trenerUSG[mecze])</f>
        <v>7</v>
      </c>
      <c r="I38" s="11">
        <f>SUM(trenerUSG[punkty])</f>
        <v>6</v>
      </c>
      <c r="J38" s="11">
        <f>SUM(trenerUSG[strzelone])</f>
        <v>7</v>
      </c>
      <c r="K38" s="11">
        <f>SUM(trenerUSG[stracone])</f>
        <v>17</v>
      </c>
      <c r="L38" s="11">
        <f>SUM(trenerUSG[wygrane])</f>
        <v>2</v>
      </c>
      <c r="M38" s="11">
        <f>SUM(trenerUSG[remisy])</f>
        <v>0</v>
      </c>
      <c r="N38" s="11">
        <f>SUM(trenerUSG[porażki])</f>
        <v>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22.5" customHeight="1">
      <c r="A39" s="1321" t="s">
        <v>156</v>
      </c>
      <c r="B39" s="1321" t="s">
        <v>157</v>
      </c>
      <c r="C39" s="1321" t="s">
        <v>158</v>
      </c>
      <c r="D39" s="1325" t="s">
        <v>2079</v>
      </c>
      <c r="E39" s="1321" t="s">
        <v>160</v>
      </c>
      <c r="F39" s="1321" t="s">
        <v>161</v>
      </c>
    </row>
    <row r="40" ht="22.5" customHeight="1">
      <c r="A40" s="86">
        <v>1.0</v>
      </c>
      <c r="B40" s="87" t="s">
        <v>30</v>
      </c>
      <c r="C40" s="87" t="s">
        <v>37</v>
      </c>
      <c r="D40" s="88" t="s">
        <v>2080</v>
      </c>
      <c r="E40" s="89">
        <v>45660.0</v>
      </c>
      <c r="F40" s="87" t="s">
        <v>451</v>
      </c>
    </row>
    <row r="41" ht="22.5" customHeight="1">
      <c r="A41" s="77">
        <v>2.0</v>
      </c>
      <c r="B41" s="697" t="s">
        <v>37</v>
      </c>
      <c r="C41" s="78" t="s">
        <v>26</v>
      </c>
      <c r="D41" s="79"/>
      <c r="E41" s="80" t="s">
        <v>1045</v>
      </c>
      <c r="F41" s="78" t="s">
        <v>338</v>
      </c>
    </row>
    <row r="42" ht="22.5" customHeight="1">
      <c r="A42" s="77">
        <v>3.0</v>
      </c>
      <c r="B42" s="697" t="s">
        <v>37</v>
      </c>
      <c r="C42" s="697" t="s">
        <v>16</v>
      </c>
      <c r="D42" s="79"/>
      <c r="E42" s="80" t="s">
        <v>1045</v>
      </c>
      <c r="F42" s="78" t="s">
        <v>338</v>
      </c>
    </row>
    <row r="43" ht="22.5" customHeight="1">
      <c r="A43" s="77">
        <v>4.0</v>
      </c>
      <c r="B43" s="697" t="s">
        <v>273</v>
      </c>
      <c r="C43" s="697" t="s">
        <v>37</v>
      </c>
      <c r="D43" s="83" t="s">
        <v>2081</v>
      </c>
      <c r="E43" s="84">
        <v>45717.0</v>
      </c>
      <c r="F43" s="78" t="s">
        <v>447</v>
      </c>
    </row>
    <row r="44" ht="22.5" customHeight="1">
      <c r="A44" s="86">
        <v>5.0</v>
      </c>
      <c r="B44" s="87" t="s">
        <v>27</v>
      </c>
      <c r="C44" s="847" t="s">
        <v>37</v>
      </c>
      <c r="D44" s="88" t="s">
        <v>2082</v>
      </c>
      <c r="E44" s="161" t="s">
        <v>333</v>
      </c>
      <c r="F44" s="87" t="s">
        <v>453</v>
      </c>
    </row>
    <row r="45" ht="22.5" customHeight="1">
      <c r="A45" s="77">
        <v>6.0</v>
      </c>
      <c r="B45" s="697" t="s">
        <v>37</v>
      </c>
      <c r="C45" s="78" t="s">
        <v>28</v>
      </c>
      <c r="D45" s="83" t="s">
        <v>2083</v>
      </c>
      <c r="E45" s="84">
        <v>45691.0</v>
      </c>
      <c r="F45" s="78" t="s">
        <v>338</v>
      </c>
    </row>
    <row r="46" ht="22.5" customHeight="1">
      <c r="A46" s="77">
        <v>7.0</v>
      </c>
      <c r="B46" s="78" t="s">
        <v>13</v>
      </c>
      <c r="C46" s="697" t="s">
        <v>37</v>
      </c>
      <c r="D46" s="79"/>
      <c r="E46" s="80" t="s">
        <v>271</v>
      </c>
      <c r="F46" s="78" t="s">
        <v>617</v>
      </c>
    </row>
    <row r="47" ht="22.5" customHeight="1">
      <c r="A47" s="90">
        <v>8.0</v>
      </c>
      <c r="B47" s="925" t="s">
        <v>37</v>
      </c>
      <c r="C47" s="91" t="s">
        <v>14</v>
      </c>
      <c r="D47" s="92"/>
      <c r="E47" s="93"/>
      <c r="F47" s="94" t="s">
        <v>338</v>
      </c>
    </row>
    <row r="48">
      <c r="A48" s="12"/>
      <c r="D48" s="95"/>
      <c r="E48" s="14"/>
      <c r="F48" s="96"/>
    </row>
    <row r="49">
      <c r="A49" s="12"/>
      <c r="D49" s="95"/>
      <c r="E49" s="14"/>
      <c r="F49" s="96"/>
    </row>
    <row r="50">
      <c r="A50" s="12"/>
      <c r="D50" s="95"/>
      <c r="E50" s="14"/>
      <c r="F50" s="96"/>
    </row>
    <row r="51">
      <c r="A51" s="12"/>
      <c r="D51" s="95"/>
      <c r="E51" s="14"/>
      <c r="F51" s="96"/>
    </row>
    <row r="52">
      <c r="A52" s="12"/>
      <c r="D52" s="95"/>
      <c r="E52" s="14"/>
      <c r="F52" s="96"/>
    </row>
    <row r="53">
      <c r="A53" s="12"/>
      <c r="D53" s="95"/>
      <c r="E53" s="14"/>
      <c r="F53" s="96"/>
    </row>
    <row r="54">
      <c r="A54" s="12"/>
      <c r="D54" s="95"/>
      <c r="E54" s="14"/>
      <c r="F54" s="96"/>
    </row>
    <row r="55">
      <c r="A55" s="12"/>
      <c r="D55" s="95"/>
      <c r="E55" s="14"/>
      <c r="F55" s="96"/>
    </row>
    <row r="56">
      <c r="A56" s="12"/>
      <c r="D56" s="95"/>
      <c r="E56" s="14"/>
      <c r="F56" s="96"/>
    </row>
    <row r="57">
      <c r="A57" s="12"/>
      <c r="D57" s="95"/>
      <c r="E57" s="14"/>
      <c r="F57" s="96"/>
    </row>
    <row r="58">
      <c r="A58" s="12"/>
      <c r="D58" s="95"/>
      <c r="E58" s="14"/>
      <c r="F58" s="96"/>
    </row>
    <row r="59">
      <c r="A59" s="12"/>
      <c r="D59" s="95"/>
      <c r="E59" s="14"/>
      <c r="F59" s="96"/>
    </row>
    <row r="60">
      <c r="A60" s="12"/>
      <c r="D60" s="95"/>
      <c r="E60" s="14"/>
      <c r="F60" s="96"/>
    </row>
    <row r="61">
      <c r="A61" s="12"/>
      <c r="D61" s="95"/>
      <c r="E61" s="14"/>
      <c r="F61" s="96"/>
    </row>
    <row r="62">
      <c r="A62" s="12"/>
      <c r="D62" s="95"/>
      <c r="E62" s="14"/>
      <c r="F62" s="96"/>
    </row>
    <row r="63">
      <c r="A63" s="12"/>
      <c r="D63" s="95"/>
      <c r="E63" s="14"/>
      <c r="F63" s="96"/>
    </row>
    <row r="64">
      <c r="A64" s="12"/>
      <c r="D64" s="95"/>
      <c r="E64" s="14"/>
      <c r="F64" s="96"/>
    </row>
    <row r="65">
      <c r="A65" s="12"/>
      <c r="D65" s="95"/>
      <c r="E65" s="14"/>
      <c r="F65" s="96"/>
    </row>
    <row r="66">
      <c r="A66" s="12"/>
      <c r="D66" s="95"/>
      <c r="E66" s="14"/>
      <c r="F66" s="96"/>
    </row>
    <row r="67">
      <c r="A67" s="12"/>
      <c r="D67" s="95"/>
      <c r="E67" s="14"/>
      <c r="F67" s="96"/>
    </row>
    <row r="68">
      <c r="A68" s="12"/>
      <c r="D68" s="95"/>
      <c r="E68" s="14"/>
      <c r="F68" s="96"/>
    </row>
    <row r="69">
      <c r="A69" s="12"/>
      <c r="D69" s="95"/>
      <c r="E69" s="14"/>
      <c r="F69" s="96"/>
    </row>
    <row r="70">
      <c r="A70" s="12"/>
      <c r="D70" s="95"/>
      <c r="E70" s="14"/>
      <c r="F70" s="96"/>
    </row>
    <row r="71">
      <c r="A71" s="12"/>
      <c r="D71" s="95"/>
      <c r="E71" s="14"/>
      <c r="F71" s="96"/>
    </row>
    <row r="72">
      <c r="A72" s="12"/>
      <c r="D72" s="95"/>
      <c r="E72" s="14"/>
      <c r="F72" s="96"/>
    </row>
    <row r="73">
      <c r="A73" s="12"/>
      <c r="D73" s="95"/>
      <c r="E73" s="14"/>
      <c r="F73" s="96"/>
    </row>
    <row r="74">
      <c r="A74" s="12"/>
      <c r="D74" s="95"/>
      <c r="E74" s="14"/>
      <c r="F74" s="96"/>
    </row>
    <row r="75">
      <c r="A75" s="12"/>
      <c r="D75" s="95"/>
      <c r="E75" s="14"/>
      <c r="F75" s="96"/>
    </row>
    <row r="76">
      <c r="A76" s="12"/>
      <c r="D76" s="95"/>
      <c r="E76" s="14"/>
      <c r="F76" s="96"/>
    </row>
    <row r="77">
      <c r="A77" s="12"/>
      <c r="D77" s="95"/>
      <c r="E77" s="14"/>
      <c r="F77" s="96"/>
    </row>
    <row r="78">
      <c r="A78" s="12"/>
      <c r="D78" s="95"/>
      <c r="E78" s="14"/>
      <c r="F78" s="96"/>
    </row>
    <row r="79">
      <c r="A79" s="12"/>
      <c r="D79" s="95"/>
      <c r="E79" s="14"/>
      <c r="F79" s="96"/>
    </row>
    <row r="80">
      <c r="A80" s="12"/>
      <c r="D80" s="95"/>
      <c r="E80" s="14"/>
      <c r="F80" s="96"/>
    </row>
    <row r="81">
      <c r="A81" s="12"/>
      <c r="D81" s="95"/>
      <c r="E81" s="14"/>
      <c r="F81" s="96"/>
    </row>
    <row r="82">
      <c r="A82" s="12"/>
      <c r="D82" s="95"/>
      <c r="E82" s="14"/>
      <c r="F82" s="96"/>
    </row>
    <row r="83">
      <c r="A83" s="12"/>
      <c r="D83" s="95"/>
      <c r="E83" s="14"/>
      <c r="F83" s="96"/>
    </row>
    <row r="84">
      <c r="A84" s="12"/>
      <c r="D84" s="95"/>
      <c r="E84" s="14"/>
      <c r="F84" s="96"/>
    </row>
    <row r="85">
      <c r="A85" s="12"/>
      <c r="D85" s="95"/>
      <c r="E85" s="14"/>
      <c r="F85" s="96"/>
    </row>
    <row r="86">
      <c r="A86" s="12"/>
      <c r="D86" s="95"/>
      <c r="E86" s="14"/>
      <c r="F86" s="96"/>
    </row>
    <row r="87">
      <c r="A87" s="12"/>
      <c r="D87" s="95"/>
      <c r="E87" s="14"/>
      <c r="F87" s="96"/>
    </row>
    <row r="88">
      <c r="A88" s="12"/>
      <c r="D88" s="95"/>
      <c r="E88" s="14"/>
      <c r="F88" s="96"/>
    </row>
    <row r="89">
      <c r="A89" s="12"/>
      <c r="D89" s="95"/>
      <c r="E89" s="14"/>
      <c r="F89" s="96"/>
    </row>
    <row r="90">
      <c r="A90" s="12"/>
      <c r="D90" s="95"/>
      <c r="E90" s="14"/>
      <c r="F90" s="96"/>
    </row>
    <row r="91">
      <c r="A91" s="12"/>
      <c r="D91" s="95"/>
      <c r="E91" s="14"/>
      <c r="F91" s="96"/>
    </row>
    <row r="92">
      <c r="A92" s="12"/>
      <c r="D92" s="95"/>
      <c r="E92" s="14"/>
      <c r="F92" s="96"/>
    </row>
    <row r="93">
      <c r="A93" s="12"/>
      <c r="D93" s="95"/>
      <c r="E93" s="14"/>
      <c r="F93" s="96"/>
    </row>
    <row r="94">
      <c r="A94" s="12"/>
      <c r="D94" s="95"/>
      <c r="E94" s="14"/>
      <c r="F94" s="96"/>
    </row>
    <row r="95">
      <c r="A95" s="12"/>
      <c r="D95" s="95"/>
      <c r="E95" s="14"/>
      <c r="F95" s="96"/>
    </row>
    <row r="96">
      <c r="A96" s="12"/>
      <c r="D96" s="95"/>
      <c r="E96" s="14"/>
      <c r="F96" s="96"/>
    </row>
    <row r="97">
      <c r="A97" s="12"/>
      <c r="D97" s="95"/>
      <c r="E97" s="14"/>
      <c r="F97" s="96"/>
    </row>
    <row r="98">
      <c r="A98" s="12"/>
      <c r="D98" s="95"/>
      <c r="E98" s="14"/>
      <c r="F98" s="96"/>
    </row>
    <row r="99">
      <c r="A99" s="12"/>
      <c r="D99" s="95"/>
      <c r="E99" s="14"/>
      <c r="F99" s="96"/>
    </row>
    <row r="100">
      <c r="A100" s="12"/>
      <c r="D100" s="95"/>
      <c r="E100" s="14"/>
      <c r="F100" s="96"/>
    </row>
    <row r="101">
      <c r="A101" s="12"/>
      <c r="D101" s="95"/>
      <c r="E101" s="14"/>
      <c r="F101" s="96"/>
    </row>
    <row r="102">
      <c r="A102" s="12"/>
      <c r="D102" s="95"/>
      <c r="E102" s="14"/>
      <c r="F102" s="96"/>
    </row>
    <row r="103">
      <c r="A103" s="12"/>
      <c r="D103" s="95"/>
      <c r="E103" s="14"/>
      <c r="F103" s="96"/>
    </row>
    <row r="104">
      <c r="A104" s="12"/>
      <c r="D104" s="95"/>
      <c r="E104" s="14"/>
      <c r="F104" s="96"/>
    </row>
    <row r="105">
      <c r="A105" s="12"/>
      <c r="D105" s="95"/>
      <c r="E105" s="14"/>
      <c r="F105" s="96"/>
    </row>
    <row r="106">
      <c r="A106" s="12"/>
      <c r="D106" s="95"/>
      <c r="E106" s="14"/>
      <c r="F106" s="96"/>
    </row>
    <row r="107">
      <c r="A107" s="12"/>
      <c r="D107" s="95"/>
      <c r="E107" s="14"/>
      <c r="F107" s="96"/>
    </row>
    <row r="108">
      <c r="A108" s="12"/>
      <c r="D108" s="95"/>
      <c r="E108" s="14"/>
      <c r="F108" s="96"/>
    </row>
    <row r="109">
      <c r="A109" s="12"/>
      <c r="D109" s="95"/>
      <c r="E109" s="14"/>
      <c r="F109" s="96"/>
    </row>
    <row r="110">
      <c r="A110" s="12"/>
      <c r="D110" s="95"/>
      <c r="E110" s="14"/>
      <c r="F110" s="96"/>
    </row>
    <row r="111">
      <c r="A111" s="12"/>
      <c r="D111" s="95"/>
      <c r="E111" s="14"/>
      <c r="F111" s="96"/>
    </row>
    <row r="112">
      <c r="A112" s="12"/>
      <c r="D112" s="95"/>
      <c r="E112" s="14"/>
      <c r="F112" s="96"/>
    </row>
    <row r="113">
      <c r="A113" s="12"/>
      <c r="D113" s="95"/>
      <c r="E113" s="14"/>
      <c r="F113" s="96"/>
    </row>
    <row r="114">
      <c r="A114" s="12"/>
      <c r="D114" s="95"/>
      <c r="E114" s="14"/>
      <c r="F114" s="96"/>
    </row>
    <row r="115">
      <c r="A115" s="12"/>
      <c r="D115" s="95"/>
      <c r="E115" s="14"/>
      <c r="F115" s="96"/>
    </row>
    <row r="116">
      <c r="A116" s="12"/>
      <c r="D116" s="95"/>
      <c r="E116" s="14"/>
      <c r="F116" s="96"/>
    </row>
    <row r="117">
      <c r="A117" s="12"/>
      <c r="D117" s="95"/>
      <c r="E117" s="14"/>
      <c r="F117" s="96"/>
    </row>
    <row r="118">
      <c r="A118" s="12"/>
      <c r="D118" s="95"/>
      <c r="E118" s="14"/>
      <c r="F118" s="96"/>
    </row>
    <row r="119">
      <c r="A119" s="12"/>
      <c r="D119" s="95"/>
      <c r="E119" s="14"/>
      <c r="F119" s="96"/>
    </row>
    <row r="120">
      <c r="A120" s="12"/>
      <c r="D120" s="95"/>
      <c r="E120" s="14"/>
      <c r="F120" s="96"/>
    </row>
    <row r="121">
      <c r="A121" s="12"/>
      <c r="D121" s="95"/>
      <c r="E121" s="14"/>
      <c r="F121" s="96"/>
    </row>
    <row r="122">
      <c r="A122" s="12"/>
      <c r="D122" s="95"/>
      <c r="E122" s="14"/>
      <c r="F122" s="96"/>
    </row>
    <row r="123">
      <c r="A123" s="12"/>
      <c r="D123" s="95"/>
      <c r="E123" s="14"/>
      <c r="F123" s="96"/>
    </row>
    <row r="124">
      <c r="A124" s="12"/>
      <c r="D124" s="95"/>
      <c r="E124" s="14"/>
      <c r="F124" s="96"/>
    </row>
    <row r="125">
      <c r="A125" s="12"/>
      <c r="D125" s="95"/>
      <c r="E125" s="14"/>
      <c r="F125" s="96"/>
    </row>
    <row r="126">
      <c r="A126" s="12"/>
      <c r="D126" s="95"/>
      <c r="E126" s="14"/>
      <c r="F126" s="96"/>
    </row>
    <row r="127">
      <c r="A127" s="12"/>
      <c r="D127" s="95"/>
      <c r="E127" s="14"/>
      <c r="F127" s="96"/>
    </row>
    <row r="128">
      <c r="A128" s="12"/>
      <c r="D128" s="95"/>
      <c r="E128" s="14"/>
      <c r="F128" s="96"/>
    </row>
    <row r="129">
      <c r="A129" s="12"/>
      <c r="D129" s="95"/>
      <c r="E129" s="14"/>
      <c r="F129" s="96"/>
    </row>
    <row r="130">
      <c r="A130" s="12"/>
      <c r="D130" s="95"/>
      <c r="E130" s="14"/>
      <c r="F130" s="96"/>
    </row>
    <row r="131">
      <c r="A131" s="12"/>
      <c r="D131" s="95"/>
      <c r="E131" s="14"/>
      <c r="F131" s="96"/>
    </row>
    <row r="132">
      <c r="A132" s="12"/>
      <c r="D132" s="95"/>
      <c r="E132" s="14"/>
      <c r="F132" s="96"/>
    </row>
    <row r="133">
      <c r="A133" s="12"/>
      <c r="D133" s="95"/>
      <c r="E133" s="14"/>
      <c r="F133" s="96"/>
    </row>
    <row r="134">
      <c r="A134" s="12"/>
      <c r="D134" s="95"/>
      <c r="E134" s="14"/>
      <c r="F134" s="96"/>
    </row>
    <row r="135">
      <c r="A135" s="12"/>
      <c r="D135" s="95"/>
      <c r="E135" s="14"/>
      <c r="F135" s="96"/>
    </row>
    <row r="136">
      <c r="A136" s="12"/>
      <c r="D136" s="95"/>
      <c r="E136" s="14"/>
      <c r="F136" s="96"/>
    </row>
    <row r="137">
      <c r="A137" s="12"/>
      <c r="D137" s="95"/>
      <c r="E137" s="14"/>
      <c r="F137" s="96"/>
    </row>
    <row r="138">
      <c r="A138" s="12"/>
      <c r="D138" s="95"/>
      <c r="E138" s="14"/>
      <c r="F138" s="96"/>
    </row>
    <row r="139">
      <c r="A139" s="12"/>
      <c r="D139" s="95"/>
      <c r="E139" s="14"/>
      <c r="F139" s="96"/>
    </row>
    <row r="140">
      <c r="A140" s="12"/>
      <c r="D140" s="95"/>
      <c r="E140" s="14"/>
      <c r="F140" s="96"/>
    </row>
    <row r="141">
      <c r="A141" s="12"/>
      <c r="D141" s="95"/>
      <c r="E141" s="14"/>
      <c r="F141" s="96"/>
    </row>
    <row r="142">
      <c r="A142" s="12"/>
      <c r="D142" s="95"/>
      <c r="E142" s="14"/>
      <c r="F142" s="96"/>
    </row>
    <row r="143">
      <c r="A143" s="12"/>
      <c r="D143" s="95"/>
      <c r="E143" s="14"/>
      <c r="F143" s="96"/>
    </row>
    <row r="144">
      <c r="A144" s="12"/>
      <c r="D144" s="95"/>
      <c r="E144" s="14"/>
      <c r="F144" s="96"/>
    </row>
    <row r="145">
      <c r="A145" s="12"/>
      <c r="D145" s="95"/>
      <c r="E145" s="14"/>
      <c r="F145" s="96"/>
    </row>
    <row r="146">
      <c r="A146" s="12"/>
      <c r="D146" s="95"/>
      <c r="E146" s="14"/>
      <c r="F146" s="96"/>
    </row>
    <row r="147">
      <c r="A147" s="12"/>
      <c r="D147" s="95"/>
      <c r="E147" s="14"/>
      <c r="F147" s="96"/>
    </row>
    <row r="148">
      <c r="A148" s="12"/>
      <c r="D148" s="95"/>
      <c r="E148" s="14"/>
      <c r="F148" s="96"/>
    </row>
    <row r="149">
      <c r="A149" s="12"/>
      <c r="D149" s="95"/>
      <c r="E149" s="14"/>
      <c r="F149" s="96"/>
    </row>
    <row r="150">
      <c r="A150" s="12"/>
      <c r="D150" s="95"/>
      <c r="E150" s="14"/>
      <c r="F150" s="96"/>
    </row>
    <row r="151">
      <c r="A151" s="12"/>
      <c r="D151" s="95"/>
      <c r="E151" s="14"/>
      <c r="F151" s="96"/>
    </row>
    <row r="152">
      <c r="A152" s="12"/>
      <c r="D152" s="95"/>
      <c r="E152" s="14"/>
      <c r="F152" s="96"/>
    </row>
    <row r="153">
      <c r="A153" s="12"/>
      <c r="D153" s="95"/>
      <c r="E153" s="14"/>
      <c r="F153" s="96"/>
    </row>
    <row r="154">
      <c r="A154" s="12"/>
      <c r="D154" s="95"/>
      <c r="E154" s="14"/>
      <c r="F154" s="96"/>
    </row>
    <row r="155">
      <c r="A155" s="12"/>
      <c r="D155" s="95"/>
      <c r="E155" s="14"/>
      <c r="F155" s="96"/>
    </row>
    <row r="156">
      <c r="A156" s="12"/>
      <c r="D156" s="95"/>
      <c r="E156" s="14"/>
      <c r="F156" s="96"/>
    </row>
    <row r="157">
      <c r="A157" s="12"/>
      <c r="D157" s="95"/>
      <c r="E157" s="14"/>
      <c r="F157" s="96"/>
    </row>
    <row r="158">
      <c r="A158" s="12"/>
      <c r="D158" s="95"/>
      <c r="E158" s="14"/>
      <c r="F158" s="96"/>
    </row>
    <row r="159">
      <c r="A159" s="12"/>
      <c r="D159" s="95"/>
      <c r="E159" s="14"/>
      <c r="F159" s="96"/>
    </row>
    <row r="160">
      <c r="A160" s="12"/>
      <c r="D160" s="95"/>
      <c r="E160" s="14"/>
      <c r="F160" s="96"/>
    </row>
    <row r="161">
      <c r="A161" s="12"/>
      <c r="D161" s="95"/>
      <c r="E161" s="14"/>
      <c r="F161" s="96"/>
    </row>
    <row r="162">
      <c r="A162" s="12"/>
      <c r="D162" s="95"/>
      <c r="E162" s="14"/>
      <c r="F162" s="96"/>
    </row>
    <row r="163">
      <c r="A163" s="12"/>
      <c r="D163" s="95"/>
      <c r="E163" s="14"/>
      <c r="F163" s="96"/>
    </row>
    <row r="164">
      <c r="A164" s="12"/>
      <c r="D164" s="95"/>
      <c r="E164" s="14"/>
      <c r="F164" s="96"/>
    </row>
    <row r="165">
      <c r="A165" s="12"/>
      <c r="D165" s="95"/>
      <c r="E165" s="14"/>
      <c r="F165" s="96"/>
    </row>
    <row r="166">
      <c r="A166" s="12"/>
      <c r="D166" s="95"/>
      <c r="E166" s="14"/>
      <c r="F166" s="96"/>
    </row>
    <row r="167">
      <c r="A167" s="12"/>
      <c r="D167" s="95"/>
      <c r="E167" s="14"/>
      <c r="F167" s="96"/>
    </row>
    <row r="168">
      <c r="A168" s="12"/>
      <c r="D168" s="95"/>
      <c r="E168" s="14"/>
      <c r="F168" s="96"/>
    </row>
    <row r="169">
      <c r="A169" s="12"/>
      <c r="D169" s="95"/>
      <c r="E169" s="14"/>
      <c r="F169" s="96"/>
    </row>
    <row r="170">
      <c r="A170" s="12"/>
      <c r="D170" s="95"/>
      <c r="E170" s="14"/>
      <c r="F170" s="96"/>
    </row>
    <row r="171">
      <c r="A171" s="12"/>
      <c r="D171" s="95"/>
      <c r="E171" s="14"/>
      <c r="F171" s="96"/>
    </row>
    <row r="172">
      <c r="A172" s="12"/>
      <c r="D172" s="95"/>
      <c r="E172" s="14"/>
      <c r="F172" s="96"/>
    </row>
    <row r="173">
      <c r="A173" s="12"/>
      <c r="D173" s="95"/>
      <c r="E173" s="14"/>
      <c r="F173" s="96"/>
    </row>
    <row r="174">
      <c r="A174" s="12"/>
      <c r="D174" s="95"/>
      <c r="E174" s="14"/>
      <c r="F174" s="96"/>
    </row>
    <row r="175">
      <c r="A175" s="12"/>
      <c r="D175" s="95"/>
      <c r="E175" s="14"/>
      <c r="F175" s="96"/>
    </row>
    <row r="176">
      <c r="A176" s="12"/>
      <c r="D176" s="95"/>
      <c r="E176" s="14"/>
      <c r="F176" s="96"/>
    </row>
    <row r="177">
      <c r="A177" s="12"/>
      <c r="D177" s="95"/>
      <c r="E177" s="14"/>
      <c r="F177" s="96"/>
    </row>
    <row r="178">
      <c r="A178" s="12"/>
      <c r="D178" s="95"/>
      <c r="E178" s="14"/>
      <c r="F178" s="96"/>
    </row>
    <row r="179">
      <c r="A179" s="12"/>
      <c r="D179" s="95"/>
      <c r="E179" s="14"/>
      <c r="F179" s="96"/>
    </row>
    <row r="180">
      <c r="A180" s="12"/>
      <c r="D180" s="95"/>
      <c r="E180" s="14"/>
      <c r="F180" s="96"/>
    </row>
    <row r="181">
      <c r="A181" s="12"/>
      <c r="D181" s="95"/>
      <c r="E181" s="14"/>
      <c r="F181" s="96"/>
    </row>
    <row r="182">
      <c r="A182" s="12"/>
      <c r="D182" s="95"/>
      <c r="E182" s="14"/>
      <c r="F182" s="96"/>
    </row>
    <row r="183">
      <c r="A183" s="12"/>
      <c r="D183" s="95"/>
      <c r="E183" s="14"/>
      <c r="F183" s="96"/>
    </row>
    <row r="184">
      <c r="A184" s="12"/>
      <c r="D184" s="95"/>
      <c r="E184" s="14"/>
      <c r="F184" s="96"/>
    </row>
    <row r="185">
      <c r="A185" s="12"/>
      <c r="D185" s="95"/>
      <c r="E185" s="14"/>
      <c r="F185" s="96"/>
    </row>
    <row r="186">
      <c r="A186" s="12"/>
      <c r="D186" s="95"/>
      <c r="E186" s="14"/>
      <c r="F186" s="96"/>
    </row>
    <row r="187">
      <c r="A187" s="12"/>
      <c r="D187" s="95"/>
      <c r="E187" s="14"/>
      <c r="F187" s="96"/>
    </row>
    <row r="188">
      <c r="A188" s="12"/>
      <c r="D188" s="95"/>
      <c r="E188" s="14"/>
      <c r="F188" s="96"/>
    </row>
    <row r="189">
      <c r="A189" s="12"/>
      <c r="D189" s="95"/>
      <c r="E189" s="14"/>
      <c r="F189" s="96"/>
    </row>
    <row r="190">
      <c r="A190" s="12"/>
      <c r="D190" s="95"/>
      <c r="E190" s="14"/>
      <c r="F190" s="96"/>
    </row>
    <row r="191">
      <c r="A191" s="12"/>
      <c r="D191" s="95"/>
      <c r="E191" s="14"/>
      <c r="F191" s="96"/>
    </row>
    <row r="192">
      <c r="A192" s="12"/>
      <c r="D192" s="95"/>
      <c r="E192" s="14"/>
      <c r="F192" s="96"/>
    </row>
    <row r="193">
      <c r="A193" s="12"/>
      <c r="D193" s="95"/>
      <c r="E193" s="14"/>
      <c r="F193" s="96"/>
    </row>
    <row r="194">
      <c r="A194" s="12"/>
      <c r="D194" s="95"/>
      <c r="E194" s="14"/>
      <c r="F194" s="96"/>
    </row>
    <row r="195">
      <c r="A195" s="12"/>
      <c r="D195" s="95"/>
      <c r="E195" s="14"/>
      <c r="F195" s="96"/>
    </row>
    <row r="196">
      <c r="A196" s="12"/>
      <c r="D196" s="95"/>
      <c r="E196" s="14"/>
      <c r="F196" s="96"/>
    </row>
    <row r="197">
      <c r="A197" s="12"/>
      <c r="D197" s="95"/>
      <c r="E197" s="14"/>
      <c r="F197" s="96"/>
    </row>
    <row r="198">
      <c r="A198" s="12"/>
      <c r="D198" s="95"/>
      <c r="E198" s="14"/>
      <c r="F198" s="96"/>
    </row>
    <row r="199">
      <c r="A199" s="12"/>
      <c r="D199" s="95"/>
      <c r="E199" s="14"/>
      <c r="F199" s="96"/>
    </row>
    <row r="200">
      <c r="A200" s="12"/>
      <c r="D200" s="95"/>
      <c r="E200" s="14"/>
      <c r="F200" s="96"/>
    </row>
    <row r="201">
      <c r="A201" s="12"/>
      <c r="D201" s="95"/>
      <c r="E201" s="14"/>
      <c r="F201" s="96"/>
    </row>
    <row r="202">
      <c r="A202" s="12"/>
      <c r="D202" s="95"/>
      <c r="E202" s="14"/>
      <c r="F202" s="96"/>
    </row>
    <row r="203">
      <c r="A203" s="12"/>
      <c r="D203" s="95"/>
      <c r="E203" s="14"/>
      <c r="F203" s="96"/>
    </row>
    <row r="204">
      <c r="A204" s="12"/>
      <c r="D204" s="95"/>
      <c r="E204" s="14"/>
      <c r="F204" s="96"/>
    </row>
    <row r="205">
      <c r="A205" s="12"/>
      <c r="D205" s="95"/>
      <c r="E205" s="14"/>
      <c r="F205" s="96"/>
    </row>
    <row r="206">
      <c r="A206" s="12"/>
      <c r="D206" s="95"/>
      <c r="E206" s="14"/>
      <c r="F206" s="96"/>
    </row>
    <row r="207">
      <c r="A207" s="12"/>
      <c r="D207" s="95"/>
      <c r="E207" s="14"/>
      <c r="F207" s="96"/>
    </row>
    <row r="208">
      <c r="A208" s="12"/>
      <c r="D208" s="95"/>
      <c r="E208" s="14"/>
      <c r="F208" s="96"/>
    </row>
    <row r="209">
      <c r="A209" s="12"/>
      <c r="D209" s="95"/>
      <c r="E209" s="14"/>
      <c r="F209" s="96"/>
    </row>
    <row r="210">
      <c r="A210" s="12"/>
      <c r="D210" s="95"/>
      <c r="E210" s="14"/>
      <c r="F210" s="96"/>
    </row>
    <row r="211">
      <c r="A211" s="12"/>
      <c r="D211" s="95"/>
      <c r="E211" s="14"/>
      <c r="F211" s="96"/>
    </row>
    <row r="212">
      <c r="A212" s="12"/>
      <c r="D212" s="95"/>
      <c r="E212" s="14"/>
      <c r="F212" s="96"/>
    </row>
    <row r="213">
      <c r="A213" s="12"/>
      <c r="D213" s="95"/>
      <c r="E213" s="14"/>
      <c r="F213" s="96"/>
    </row>
    <row r="214">
      <c r="A214" s="12"/>
      <c r="D214" s="95"/>
      <c r="E214" s="14"/>
      <c r="F214" s="96"/>
    </row>
    <row r="215">
      <c r="A215" s="12"/>
      <c r="D215" s="95"/>
      <c r="E215" s="14"/>
      <c r="F215" s="96"/>
    </row>
    <row r="216">
      <c r="A216" s="12"/>
      <c r="D216" s="95"/>
      <c r="E216" s="14"/>
      <c r="F216" s="96"/>
    </row>
    <row r="217">
      <c r="A217" s="12"/>
      <c r="D217" s="95"/>
      <c r="E217" s="14"/>
      <c r="F217" s="96"/>
    </row>
    <row r="218">
      <c r="A218" s="12"/>
      <c r="D218" s="95"/>
      <c r="E218" s="14"/>
      <c r="F218" s="96"/>
    </row>
    <row r="219">
      <c r="A219" s="12"/>
      <c r="D219" s="95"/>
      <c r="E219" s="14"/>
      <c r="F219" s="96"/>
    </row>
    <row r="220">
      <c r="A220" s="12"/>
      <c r="D220" s="95"/>
      <c r="E220" s="14"/>
      <c r="F220" s="96"/>
    </row>
    <row r="221">
      <c r="A221" s="12"/>
      <c r="D221" s="95"/>
      <c r="E221" s="14"/>
      <c r="F221" s="96"/>
    </row>
    <row r="222">
      <c r="A222" s="12"/>
      <c r="D222" s="95"/>
      <c r="E222" s="14"/>
      <c r="F222" s="96"/>
    </row>
    <row r="223">
      <c r="A223" s="12"/>
      <c r="D223" s="95"/>
      <c r="E223" s="14"/>
      <c r="F223" s="96"/>
    </row>
    <row r="224">
      <c r="A224" s="12"/>
      <c r="D224" s="95"/>
      <c r="E224" s="14"/>
      <c r="F224" s="96"/>
    </row>
    <row r="225">
      <c r="A225" s="12"/>
      <c r="D225" s="95"/>
      <c r="E225" s="14"/>
      <c r="F225" s="96"/>
    </row>
    <row r="226">
      <c r="A226" s="12"/>
      <c r="D226" s="95"/>
      <c r="E226" s="14"/>
      <c r="F226" s="96"/>
    </row>
    <row r="227">
      <c r="A227" s="12"/>
      <c r="D227" s="95"/>
      <c r="E227" s="14"/>
      <c r="F227" s="96"/>
    </row>
    <row r="228">
      <c r="A228" s="12"/>
      <c r="D228" s="95"/>
      <c r="E228" s="14"/>
      <c r="F228" s="96"/>
    </row>
    <row r="229">
      <c r="A229" s="12"/>
      <c r="D229" s="95"/>
      <c r="E229" s="14"/>
      <c r="F229" s="96"/>
    </row>
    <row r="230">
      <c r="A230" s="12"/>
      <c r="D230" s="95"/>
      <c r="E230" s="14"/>
      <c r="F230" s="96"/>
    </row>
    <row r="231">
      <c r="A231" s="12"/>
      <c r="D231" s="95"/>
      <c r="E231" s="14"/>
      <c r="F231" s="96"/>
    </row>
    <row r="232">
      <c r="A232" s="12"/>
      <c r="D232" s="95"/>
      <c r="E232" s="14"/>
      <c r="F232" s="96"/>
    </row>
    <row r="233">
      <c r="A233" s="12"/>
      <c r="D233" s="95"/>
      <c r="E233" s="14"/>
      <c r="F233" s="96"/>
    </row>
    <row r="234">
      <c r="A234" s="12"/>
      <c r="D234" s="95"/>
      <c r="E234" s="14"/>
      <c r="F234" s="96"/>
    </row>
    <row r="235">
      <c r="A235" s="12"/>
      <c r="D235" s="95"/>
      <c r="E235" s="14"/>
      <c r="F235" s="96"/>
    </row>
    <row r="236">
      <c r="A236" s="12"/>
      <c r="D236" s="95"/>
      <c r="E236" s="14"/>
      <c r="F236" s="96"/>
    </row>
    <row r="237">
      <c r="A237" s="12"/>
      <c r="D237" s="95"/>
      <c r="E237" s="14"/>
      <c r="F237" s="96"/>
    </row>
    <row r="238">
      <c r="A238" s="12"/>
      <c r="D238" s="95"/>
      <c r="E238" s="14"/>
      <c r="F238" s="96"/>
    </row>
    <row r="239">
      <c r="A239" s="12"/>
      <c r="D239" s="95"/>
      <c r="E239" s="14"/>
      <c r="F239" s="96"/>
    </row>
    <row r="240">
      <c r="A240" s="12"/>
      <c r="D240" s="95"/>
      <c r="E240" s="14"/>
      <c r="F240" s="96"/>
    </row>
    <row r="241">
      <c r="A241" s="12"/>
      <c r="D241" s="95"/>
      <c r="E241" s="14"/>
      <c r="F241" s="96"/>
    </row>
    <row r="242">
      <c r="A242" s="12"/>
      <c r="D242" s="95"/>
      <c r="E242" s="14"/>
      <c r="F242" s="96"/>
    </row>
    <row r="243">
      <c r="A243" s="12"/>
      <c r="D243" s="95"/>
      <c r="E243" s="14"/>
      <c r="F243" s="96"/>
    </row>
    <row r="244">
      <c r="A244" s="12"/>
      <c r="D244" s="95"/>
      <c r="E244" s="14"/>
      <c r="F244" s="96"/>
    </row>
    <row r="245">
      <c r="A245" s="12"/>
      <c r="D245" s="95"/>
      <c r="E245" s="14"/>
      <c r="F245" s="96"/>
    </row>
    <row r="246">
      <c r="A246" s="12"/>
      <c r="D246" s="95"/>
      <c r="E246" s="14"/>
      <c r="F246" s="96"/>
    </row>
    <row r="247">
      <c r="A247" s="12"/>
      <c r="D247" s="95"/>
      <c r="E247" s="14"/>
      <c r="F247" s="96"/>
    </row>
    <row r="248">
      <c r="A248" s="12"/>
      <c r="D248" s="95"/>
      <c r="E248" s="14"/>
      <c r="F248" s="96"/>
    </row>
    <row r="249">
      <c r="A249" s="12"/>
      <c r="D249" s="95"/>
      <c r="E249" s="14"/>
      <c r="F249" s="96"/>
    </row>
    <row r="250">
      <c r="A250" s="12"/>
      <c r="D250" s="95"/>
      <c r="E250" s="14"/>
      <c r="F250" s="96"/>
    </row>
    <row r="251">
      <c r="A251" s="12"/>
      <c r="D251" s="95"/>
      <c r="E251" s="14"/>
      <c r="F251" s="96"/>
    </row>
    <row r="252">
      <c r="A252" s="12"/>
      <c r="D252" s="95"/>
      <c r="E252" s="14"/>
      <c r="F252" s="96"/>
    </row>
    <row r="253">
      <c r="A253" s="12"/>
      <c r="D253" s="95"/>
      <c r="E253" s="14"/>
      <c r="F253" s="96"/>
    </row>
    <row r="254">
      <c r="A254" s="12"/>
      <c r="D254" s="95"/>
      <c r="E254" s="14"/>
      <c r="F254" s="96"/>
    </row>
    <row r="255">
      <c r="A255" s="12"/>
      <c r="D255" s="95"/>
      <c r="E255" s="14"/>
      <c r="F255" s="96"/>
    </row>
    <row r="256">
      <c r="A256" s="12"/>
      <c r="D256" s="95"/>
      <c r="E256" s="14"/>
      <c r="F256" s="96"/>
    </row>
    <row r="257">
      <c r="A257" s="12"/>
      <c r="D257" s="95"/>
      <c r="E257" s="14"/>
      <c r="F257" s="96"/>
    </row>
    <row r="258">
      <c r="A258" s="12"/>
      <c r="D258" s="95"/>
      <c r="E258" s="14"/>
      <c r="F258" s="96"/>
    </row>
    <row r="259">
      <c r="A259" s="12"/>
      <c r="D259" s="95"/>
      <c r="E259" s="14"/>
      <c r="F259" s="96"/>
    </row>
    <row r="260">
      <c r="A260" s="12"/>
      <c r="D260" s="95"/>
      <c r="E260" s="14"/>
      <c r="F260" s="96"/>
    </row>
    <row r="261">
      <c r="A261" s="12"/>
      <c r="D261" s="95"/>
      <c r="E261" s="14"/>
      <c r="F261" s="96"/>
    </row>
    <row r="262">
      <c r="A262" s="12"/>
      <c r="D262" s="95"/>
      <c r="E262" s="14"/>
      <c r="F262" s="96"/>
    </row>
    <row r="263">
      <c r="A263" s="12"/>
      <c r="D263" s="95"/>
      <c r="E263" s="14"/>
      <c r="F263" s="96"/>
    </row>
    <row r="264">
      <c r="A264" s="12"/>
      <c r="D264" s="95"/>
      <c r="E264" s="14"/>
      <c r="F264" s="96"/>
    </row>
    <row r="265">
      <c r="A265" s="12"/>
      <c r="D265" s="95"/>
      <c r="E265" s="14"/>
      <c r="F265" s="96"/>
    </row>
    <row r="266">
      <c r="A266" s="12"/>
      <c r="D266" s="95"/>
      <c r="E266" s="14"/>
      <c r="F266" s="96"/>
    </row>
    <row r="267">
      <c r="A267" s="12"/>
      <c r="D267" s="95"/>
      <c r="E267" s="14"/>
      <c r="F267" s="96"/>
    </row>
    <row r="268">
      <c r="A268" s="12"/>
      <c r="D268" s="95"/>
      <c r="E268" s="14"/>
      <c r="F268" s="96"/>
    </row>
    <row r="269">
      <c r="A269" s="12"/>
      <c r="D269" s="95"/>
      <c r="E269" s="14"/>
      <c r="F269" s="96"/>
    </row>
    <row r="270">
      <c r="A270" s="12"/>
      <c r="D270" s="95"/>
      <c r="E270" s="14"/>
      <c r="F270" s="96"/>
    </row>
    <row r="271">
      <c r="A271" s="12"/>
      <c r="D271" s="95"/>
      <c r="E271" s="14"/>
      <c r="F271" s="96"/>
    </row>
    <row r="272">
      <c r="A272" s="12"/>
      <c r="D272" s="95"/>
      <c r="E272" s="14"/>
      <c r="F272" s="96"/>
    </row>
    <row r="273">
      <c r="A273" s="12"/>
      <c r="D273" s="95"/>
      <c r="E273" s="14"/>
      <c r="F273" s="96"/>
    </row>
    <row r="274">
      <c r="A274" s="12"/>
      <c r="D274" s="95"/>
      <c r="E274" s="14"/>
      <c r="F274" s="96"/>
    </row>
    <row r="275">
      <c r="A275" s="12"/>
      <c r="D275" s="95"/>
      <c r="E275" s="14"/>
      <c r="F275" s="96"/>
    </row>
    <row r="276">
      <c r="A276" s="12"/>
      <c r="D276" s="95"/>
      <c r="E276" s="14"/>
      <c r="F276" s="96"/>
    </row>
    <row r="277">
      <c r="A277" s="12"/>
      <c r="D277" s="95"/>
      <c r="E277" s="14"/>
      <c r="F277" s="96"/>
    </row>
    <row r="278">
      <c r="A278" s="12"/>
      <c r="D278" s="95"/>
      <c r="E278" s="14"/>
      <c r="F278" s="96"/>
    </row>
    <row r="279">
      <c r="A279" s="12"/>
      <c r="D279" s="95"/>
      <c r="E279" s="14"/>
      <c r="F279" s="96"/>
    </row>
    <row r="280">
      <c r="A280" s="12"/>
      <c r="D280" s="95"/>
      <c r="E280" s="14"/>
      <c r="F280" s="96"/>
    </row>
    <row r="281">
      <c r="A281" s="12"/>
      <c r="D281" s="95"/>
      <c r="E281" s="14"/>
      <c r="F281" s="96"/>
    </row>
    <row r="282">
      <c r="A282" s="12"/>
      <c r="D282" s="95"/>
      <c r="E282" s="14"/>
      <c r="F282" s="96"/>
    </row>
    <row r="283">
      <c r="A283" s="12"/>
      <c r="D283" s="95"/>
      <c r="E283" s="14"/>
      <c r="F283" s="96"/>
    </row>
    <row r="284">
      <c r="A284" s="12"/>
      <c r="D284" s="95"/>
      <c r="E284" s="14"/>
      <c r="F284" s="96"/>
    </row>
    <row r="285">
      <c r="A285" s="12"/>
      <c r="D285" s="95"/>
      <c r="E285" s="14"/>
      <c r="F285" s="96"/>
    </row>
    <row r="286">
      <c r="A286" s="12"/>
      <c r="D286" s="95"/>
      <c r="E286" s="14"/>
      <c r="F286" s="96"/>
    </row>
    <row r="287">
      <c r="A287" s="12"/>
      <c r="D287" s="95"/>
      <c r="E287" s="14"/>
      <c r="F287" s="96"/>
    </row>
    <row r="288">
      <c r="A288" s="12"/>
      <c r="D288" s="95"/>
      <c r="E288" s="14"/>
      <c r="F288" s="96"/>
    </row>
    <row r="289">
      <c r="A289" s="12"/>
      <c r="D289" s="95"/>
      <c r="E289" s="14"/>
      <c r="F289" s="96"/>
    </row>
    <row r="290">
      <c r="A290" s="12"/>
      <c r="D290" s="95"/>
      <c r="E290" s="14"/>
      <c r="F290" s="96"/>
    </row>
    <row r="291">
      <c r="A291" s="12"/>
      <c r="D291" s="95"/>
      <c r="E291" s="14"/>
      <c r="F291" s="96"/>
    </row>
    <row r="292">
      <c r="A292" s="12"/>
      <c r="D292" s="95"/>
      <c r="E292" s="14"/>
      <c r="F292" s="96"/>
    </row>
    <row r="293">
      <c r="A293" s="12"/>
      <c r="D293" s="95"/>
      <c r="E293" s="14"/>
      <c r="F293" s="96"/>
    </row>
    <row r="294">
      <c r="A294" s="12"/>
      <c r="D294" s="95"/>
      <c r="E294" s="14"/>
      <c r="F294" s="96"/>
    </row>
    <row r="295">
      <c r="A295" s="12"/>
      <c r="D295" s="95"/>
      <c r="E295" s="14"/>
      <c r="F295" s="96"/>
    </row>
    <row r="296">
      <c r="A296" s="12"/>
      <c r="D296" s="95"/>
      <c r="E296" s="14"/>
      <c r="F296" s="96"/>
    </row>
    <row r="297">
      <c r="A297" s="12"/>
      <c r="D297" s="95"/>
      <c r="E297" s="14"/>
      <c r="F297" s="96"/>
    </row>
    <row r="298">
      <c r="A298" s="12"/>
      <c r="D298" s="95"/>
      <c r="E298" s="14"/>
      <c r="F298" s="96"/>
    </row>
    <row r="299">
      <c r="A299" s="12"/>
      <c r="D299" s="95"/>
      <c r="E299" s="14"/>
      <c r="F299" s="96"/>
    </row>
    <row r="300">
      <c r="A300" s="12"/>
      <c r="D300" s="95"/>
      <c r="E300" s="14"/>
      <c r="F300" s="96"/>
    </row>
    <row r="301">
      <c r="A301" s="12"/>
      <c r="D301" s="95"/>
      <c r="E301" s="14"/>
      <c r="F301" s="96"/>
    </row>
    <row r="302">
      <c r="A302" s="12"/>
      <c r="D302" s="95"/>
      <c r="E302" s="14"/>
      <c r="F302" s="96"/>
    </row>
    <row r="303">
      <c r="A303" s="12"/>
      <c r="D303" s="95"/>
      <c r="E303" s="14"/>
      <c r="F303" s="96"/>
    </row>
    <row r="304">
      <c r="A304" s="12"/>
      <c r="D304" s="95"/>
      <c r="E304" s="14"/>
      <c r="F304" s="96"/>
    </row>
    <row r="305">
      <c r="A305" s="12"/>
      <c r="D305" s="95"/>
      <c r="E305" s="14"/>
      <c r="F305" s="96"/>
    </row>
    <row r="306">
      <c r="A306" s="12"/>
      <c r="D306" s="95"/>
      <c r="E306" s="14"/>
      <c r="F306" s="96"/>
    </row>
    <row r="307">
      <c r="A307" s="12"/>
      <c r="D307" s="95"/>
      <c r="E307" s="14"/>
      <c r="F307" s="96"/>
    </row>
    <row r="308">
      <c r="A308" s="12"/>
      <c r="D308" s="95"/>
      <c r="E308" s="14"/>
      <c r="F308" s="96"/>
    </row>
    <row r="309">
      <c r="A309" s="12"/>
      <c r="D309" s="95"/>
      <c r="E309" s="14"/>
      <c r="F309" s="96"/>
    </row>
    <row r="310">
      <c r="A310" s="12"/>
      <c r="D310" s="95"/>
      <c r="E310" s="14"/>
      <c r="F310" s="96"/>
    </row>
    <row r="311">
      <c r="A311" s="12"/>
      <c r="D311" s="95"/>
      <c r="E311" s="14"/>
      <c r="F311" s="96"/>
    </row>
    <row r="312">
      <c r="A312" s="12"/>
      <c r="D312" s="95"/>
      <c r="E312" s="14"/>
      <c r="F312" s="96"/>
    </row>
    <row r="313">
      <c r="A313" s="12"/>
      <c r="D313" s="95"/>
      <c r="E313" s="14"/>
      <c r="F313" s="96"/>
    </row>
    <row r="314">
      <c r="A314" s="12"/>
      <c r="D314" s="95"/>
      <c r="E314" s="14"/>
      <c r="F314" s="96"/>
    </row>
    <row r="315">
      <c r="A315" s="12"/>
      <c r="D315" s="95"/>
      <c r="E315" s="14"/>
      <c r="F315" s="96"/>
    </row>
    <row r="316">
      <c r="A316" s="12"/>
      <c r="D316" s="95"/>
      <c r="E316" s="14"/>
      <c r="F316" s="96"/>
    </row>
    <row r="317">
      <c r="A317" s="12"/>
      <c r="D317" s="95"/>
      <c r="E317" s="14"/>
      <c r="F317" s="96"/>
    </row>
    <row r="318">
      <c r="A318" s="12"/>
      <c r="D318" s="95"/>
      <c r="E318" s="14"/>
      <c r="F318" s="96"/>
    </row>
    <row r="319">
      <c r="A319" s="12"/>
      <c r="D319" s="95"/>
      <c r="E319" s="14"/>
      <c r="F319" s="96"/>
    </row>
    <row r="320">
      <c r="A320" s="12"/>
      <c r="D320" s="95"/>
      <c r="E320" s="14"/>
      <c r="F320" s="96"/>
    </row>
    <row r="321">
      <c r="A321" s="12"/>
      <c r="D321" s="95"/>
      <c r="E321" s="14"/>
      <c r="F321" s="96"/>
    </row>
    <row r="322">
      <c r="A322" s="12"/>
      <c r="D322" s="95"/>
      <c r="E322" s="14"/>
      <c r="F322" s="96"/>
    </row>
    <row r="323">
      <c r="A323" s="12"/>
      <c r="D323" s="95"/>
      <c r="E323" s="14"/>
      <c r="F323" s="96"/>
    </row>
    <row r="324">
      <c r="A324" s="12"/>
      <c r="D324" s="95"/>
      <c r="E324" s="14"/>
      <c r="F324" s="96"/>
    </row>
    <row r="325">
      <c r="A325" s="12"/>
      <c r="D325" s="95"/>
      <c r="E325" s="14"/>
      <c r="F325" s="96"/>
    </row>
    <row r="326">
      <c r="A326" s="12"/>
      <c r="D326" s="95"/>
      <c r="E326" s="14"/>
      <c r="F326" s="96"/>
    </row>
    <row r="327">
      <c r="A327" s="12"/>
      <c r="D327" s="95"/>
      <c r="E327" s="14"/>
      <c r="F327" s="96"/>
    </row>
    <row r="328">
      <c r="A328" s="12"/>
      <c r="D328" s="95"/>
      <c r="E328" s="14"/>
      <c r="F328" s="96"/>
    </row>
    <row r="329">
      <c r="A329" s="12"/>
      <c r="D329" s="95"/>
      <c r="E329" s="14"/>
      <c r="F329" s="96"/>
    </row>
    <row r="330">
      <c r="A330" s="12"/>
      <c r="D330" s="95"/>
      <c r="E330" s="14"/>
      <c r="F330" s="96"/>
    </row>
    <row r="331">
      <c r="A331" s="12"/>
      <c r="D331" s="95"/>
      <c r="E331" s="14"/>
      <c r="F331" s="96"/>
    </row>
    <row r="332">
      <c r="A332" s="12"/>
      <c r="D332" s="95"/>
      <c r="E332" s="14"/>
      <c r="F332" s="96"/>
    </row>
    <row r="333">
      <c r="A333" s="12"/>
      <c r="D333" s="95"/>
      <c r="E333" s="14"/>
      <c r="F333" s="96"/>
    </row>
    <row r="334">
      <c r="A334" s="12"/>
      <c r="D334" s="95"/>
      <c r="E334" s="14"/>
      <c r="F334" s="96"/>
    </row>
    <row r="335">
      <c r="A335" s="12"/>
      <c r="D335" s="95"/>
      <c r="E335" s="14"/>
      <c r="F335" s="96"/>
    </row>
    <row r="336">
      <c r="A336" s="12"/>
      <c r="D336" s="95"/>
      <c r="E336" s="14"/>
      <c r="F336" s="96"/>
    </row>
    <row r="337">
      <c r="A337" s="12"/>
      <c r="D337" s="95"/>
      <c r="E337" s="14"/>
      <c r="F337" s="96"/>
    </row>
    <row r="338">
      <c r="A338" s="12"/>
      <c r="D338" s="95"/>
      <c r="E338" s="14"/>
      <c r="F338" s="96"/>
    </row>
    <row r="339">
      <c r="A339" s="12"/>
      <c r="D339" s="95"/>
      <c r="E339" s="14"/>
      <c r="F339" s="96"/>
    </row>
    <row r="340">
      <c r="A340" s="12"/>
      <c r="D340" s="95"/>
      <c r="E340" s="14"/>
      <c r="F340" s="96"/>
    </row>
    <row r="341">
      <c r="A341" s="12"/>
      <c r="D341" s="95"/>
      <c r="E341" s="14"/>
      <c r="F341" s="96"/>
    </row>
    <row r="342">
      <c r="A342" s="12"/>
      <c r="D342" s="95"/>
      <c r="E342" s="14"/>
      <c r="F342" s="96"/>
    </row>
    <row r="343">
      <c r="A343" s="12"/>
      <c r="D343" s="95"/>
      <c r="E343" s="14"/>
      <c r="F343" s="96"/>
    </row>
    <row r="344">
      <c r="A344" s="12"/>
      <c r="D344" s="95"/>
      <c r="E344" s="14"/>
      <c r="F344" s="96"/>
    </row>
    <row r="345">
      <c r="A345" s="12"/>
      <c r="D345" s="95"/>
      <c r="E345" s="14"/>
      <c r="F345" s="96"/>
    </row>
    <row r="346">
      <c r="A346" s="12"/>
      <c r="D346" s="95"/>
      <c r="E346" s="14"/>
      <c r="F346" s="96"/>
    </row>
    <row r="347">
      <c r="A347" s="12"/>
      <c r="D347" s="95"/>
      <c r="E347" s="14"/>
      <c r="F347" s="96"/>
    </row>
    <row r="348">
      <c r="A348" s="12"/>
      <c r="D348" s="95"/>
      <c r="E348" s="14"/>
      <c r="F348" s="96"/>
    </row>
    <row r="349">
      <c r="A349" s="12"/>
      <c r="D349" s="95"/>
      <c r="E349" s="14"/>
      <c r="F349" s="96"/>
    </row>
    <row r="350">
      <c r="A350" s="12"/>
      <c r="D350" s="95"/>
      <c r="E350" s="14"/>
      <c r="F350" s="96"/>
    </row>
    <row r="351">
      <c r="A351" s="12"/>
      <c r="D351" s="95"/>
      <c r="E351" s="14"/>
      <c r="F351" s="96"/>
    </row>
    <row r="352">
      <c r="A352" s="12"/>
      <c r="D352" s="95"/>
      <c r="E352" s="14"/>
      <c r="F352" s="96"/>
    </row>
    <row r="353">
      <c r="A353" s="12"/>
      <c r="D353" s="95"/>
      <c r="E353" s="14"/>
      <c r="F353" s="96"/>
    </row>
    <row r="354">
      <c r="A354" s="12"/>
      <c r="D354" s="95"/>
      <c r="E354" s="14"/>
      <c r="F354" s="96"/>
    </row>
    <row r="355">
      <c r="A355" s="12"/>
      <c r="D355" s="95"/>
      <c r="E355" s="14"/>
      <c r="F355" s="96"/>
    </row>
    <row r="356">
      <c r="A356" s="12"/>
      <c r="D356" s="95"/>
      <c r="E356" s="14"/>
      <c r="F356" s="96"/>
    </row>
    <row r="357">
      <c r="A357" s="12"/>
      <c r="D357" s="95"/>
      <c r="E357" s="14"/>
      <c r="F357" s="96"/>
    </row>
    <row r="358">
      <c r="A358" s="12"/>
      <c r="D358" s="95"/>
      <c r="E358" s="14"/>
      <c r="F358" s="96"/>
    </row>
    <row r="359">
      <c r="A359" s="12"/>
      <c r="D359" s="95"/>
      <c r="E359" s="14"/>
      <c r="F359" s="96"/>
    </row>
    <row r="360">
      <c r="A360" s="12"/>
      <c r="D360" s="95"/>
      <c r="E360" s="14"/>
      <c r="F360" s="96"/>
    </row>
    <row r="361">
      <c r="A361" s="12"/>
      <c r="D361" s="95"/>
      <c r="E361" s="14"/>
      <c r="F361" s="96"/>
    </row>
    <row r="362">
      <c r="A362" s="12"/>
      <c r="D362" s="95"/>
      <c r="E362" s="14"/>
      <c r="F362" s="96"/>
    </row>
    <row r="363">
      <c r="A363" s="12"/>
      <c r="D363" s="95"/>
      <c r="E363" s="14"/>
      <c r="F363" s="96"/>
    </row>
    <row r="364">
      <c r="A364" s="12"/>
      <c r="D364" s="95"/>
      <c r="E364" s="14"/>
      <c r="F364" s="96"/>
    </row>
    <row r="365">
      <c r="A365" s="12"/>
      <c r="D365" s="95"/>
      <c r="E365" s="14"/>
      <c r="F365" s="96"/>
    </row>
    <row r="366">
      <c r="A366" s="12"/>
      <c r="D366" s="95"/>
      <c r="E366" s="14"/>
      <c r="F366" s="96"/>
    </row>
    <row r="367">
      <c r="A367" s="12"/>
      <c r="D367" s="95"/>
      <c r="E367" s="14"/>
      <c r="F367" s="96"/>
    </row>
    <row r="368">
      <c r="A368" s="12"/>
      <c r="D368" s="95"/>
      <c r="E368" s="14"/>
      <c r="F368" s="96"/>
    </row>
    <row r="369">
      <c r="A369" s="12"/>
      <c r="D369" s="95"/>
      <c r="E369" s="14"/>
      <c r="F369" s="96"/>
    </row>
    <row r="370">
      <c r="A370" s="12"/>
      <c r="D370" s="95"/>
      <c r="E370" s="14"/>
      <c r="F370" s="96"/>
    </row>
    <row r="371">
      <c r="A371" s="12"/>
      <c r="D371" s="95"/>
      <c r="E371" s="14"/>
      <c r="F371" s="96"/>
    </row>
    <row r="372">
      <c r="A372" s="12"/>
      <c r="D372" s="95"/>
      <c r="E372" s="14"/>
      <c r="F372" s="96"/>
    </row>
    <row r="373">
      <c r="A373" s="12"/>
      <c r="D373" s="95"/>
      <c r="E373" s="14"/>
      <c r="F373" s="96"/>
    </row>
    <row r="374">
      <c r="A374" s="12"/>
      <c r="D374" s="95"/>
      <c r="E374" s="14"/>
      <c r="F374" s="96"/>
    </row>
    <row r="375">
      <c r="A375" s="12"/>
      <c r="D375" s="95"/>
      <c r="E375" s="14"/>
      <c r="F375" s="96"/>
    </row>
    <row r="376">
      <c r="A376" s="12"/>
      <c r="D376" s="95"/>
      <c r="E376" s="14"/>
      <c r="F376" s="96"/>
    </row>
    <row r="377">
      <c r="A377" s="12"/>
      <c r="D377" s="95"/>
      <c r="E377" s="14"/>
      <c r="F377" s="96"/>
    </row>
    <row r="378">
      <c r="A378" s="12"/>
      <c r="D378" s="95"/>
      <c r="E378" s="14"/>
      <c r="F378" s="96"/>
    </row>
    <row r="379">
      <c r="A379" s="12"/>
      <c r="D379" s="95"/>
      <c r="E379" s="14"/>
      <c r="F379" s="96"/>
    </row>
    <row r="380">
      <c r="A380" s="12"/>
      <c r="D380" s="95"/>
      <c r="E380" s="14"/>
      <c r="F380" s="96"/>
    </row>
    <row r="381">
      <c r="A381" s="12"/>
      <c r="D381" s="95"/>
      <c r="E381" s="14"/>
      <c r="F381" s="96"/>
    </row>
    <row r="382">
      <c r="A382" s="12"/>
      <c r="D382" s="95"/>
      <c r="E382" s="14"/>
      <c r="F382" s="96"/>
    </row>
    <row r="383">
      <c r="A383" s="12"/>
      <c r="D383" s="95"/>
      <c r="E383" s="14"/>
      <c r="F383" s="96"/>
    </row>
    <row r="384">
      <c r="A384" s="12"/>
      <c r="D384" s="95"/>
      <c r="E384" s="14"/>
      <c r="F384" s="96"/>
    </row>
    <row r="385">
      <c r="A385" s="12"/>
      <c r="D385" s="95"/>
      <c r="E385" s="14"/>
      <c r="F385" s="96"/>
    </row>
    <row r="386">
      <c r="A386" s="12"/>
      <c r="D386" s="95"/>
      <c r="E386" s="14"/>
      <c r="F386" s="96"/>
    </row>
    <row r="387">
      <c r="A387" s="12"/>
      <c r="D387" s="95"/>
      <c r="E387" s="14"/>
      <c r="F387" s="96"/>
    </row>
    <row r="388">
      <c r="A388" s="12"/>
      <c r="D388" s="95"/>
      <c r="E388" s="14"/>
      <c r="F388" s="96"/>
    </row>
    <row r="389">
      <c r="A389" s="12"/>
      <c r="D389" s="95"/>
      <c r="E389" s="14"/>
      <c r="F389" s="96"/>
    </row>
    <row r="390">
      <c r="A390" s="12"/>
      <c r="D390" s="95"/>
      <c r="E390" s="14"/>
      <c r="F390" s="96"/>
    </row>
    <row r="391">
      <c r="A391" s="12"/>
      <c r="D391" s="95"/>
      <c r="E391" s="14"/>
      <c r="F391" s="96"/>
    </row>
    <row r="392">
      <c r="A392" s="12"/>
      <c r="D392" s="95"/>
      <c r="E392" s="14"/>
      <c r="F392" s="96"/>
    </row>
    <row r="393">
      <c r="A393" s="12"/>
      <c r="D393" s="95"/>
      <c r="E393" s="14"/>
      <c r="F393" s="96"/>
    </row>
    <row r="394">
      <c r="A394" s="12"/>
      <c r="D394" s="95"/>
      <c r="E394" s="14"/>
      <c r="F394" s="96"/>
    </row>
    <row r="395">
      <c r="A395" s="12"/>
      <c r="D395" s="95"/>
      <c r="E395" s="14"/>
      <c r="F395" s="96"/>
    </row>
    <row r="396">
      <c r="A396" s="12"/>
      <c r="D396" s="95"/>
      <c r="E396" s="14"/>
      <c r="F396" s="96"/>
    </row>
    <row r="397">
      <c r="A397" s="12"/>
      <c r="D397" s="95"/>
      <c r="E397" s="14"/>
      <c r="F397" s="96"/>
    </row>
    <row r="398">
      <c r="A398" s="12"/>
      <c r="D398" s="95"/>
      <c r="E398" s="14"/>
      <c r="F398" s="96"/>
    </row>
    <row r="399">
      <c r="A399" s="12"/>
      <c r="D399" s="95"/>
      <c r="E399" s="14"/>
      <c r="F399" s="96"/>
    </row>
    <row r="400">
      <c r="A400" s="12"/>
      <c r="D400" s="95"/>
      <c r="E400" s="14"/>
      <c r="F400" s="96"/>
    </row>
    <row r="401">
      <c r="A401" s="12"/>
      <c r="D401" s="95"/>
      <c r="E401" s="14"/>
      <c r="F401" s="96"/>
    </row>
    <row r="402">
      <c r="A402" s="12"/>
      <c r="D402" s="95"/>
      <c r="E402" s="14"/>
      <c r="F402" s="96"/>
    </row>
    <row r="403">
      <c r="A403" s="12"/>
      <c r="D403" s="95"/>
      <c r="E403" s="14"/>
      <c r="F403" s="96"/>
    </row>
    <row r="404">
      <c r="A404" s="12"/>
      <c r="D404" s="95"/>
      <c r="E404" s="14"/>
      <c r="F404" s="96"/>
    </row>
    <row r="405">
      <c r="A405" s="12"/>
      <c r="D405" s="95"/>
      <c r="E405" s="14"/>
      <c r="F405" s="96"/>
    </row>
    <row r="406">
      <c r="A406" s="12"/>
      <c r="D406" s="95"/>
      <c r="E406" s="14"/>
      <c r="F406" s="96"/>
    </row>
    <row r="407">
      <c r="A407" s="12"/>
      <c r="D407" s="95"/>
      <c r="E407" s="14"/>
      <c r="F407" s="96"/>
    </row>
    <row r="408">
      <c r="A408" s="12"/>
      <c r="D408" s="95"/>
      <c r="E408" s="14"/>
      <c r="F408" s="96"/>
    </row>
    <row r="409">
      <c r="A409" s="12"/>
      <c r="D409" s="95"/>
      <c r="E409" s="14"/>
      <c r="F409" s="96"/>
    </row>
    <row r="410">
      <c r="A410" s="12"/>
      <c r="D410" s="95"/>
      <c r="E410" s="14"/>
      <c r="F410" s="96"/>
    </row>
    <row r="411">
      <c r="A411" s="12"/>
      <c r="D411" s="95"/>
      <c r="E411" s="14"/>
      <c r="F411" s="96"/>
    </row>
    <row r="412">
      <c r="A412" s="12"/>
      <c r="D412" s="95"/>
      <c r="E412" s="14"/>
      <c r="F412" s="96"/>
    </row>
    <row r="413">
      <c r="A413" s="12"/>
      <c r="D413" s="95"/>
      <c r="E413" s="14"/>
      <c r="F413" s="96"/>
    </row>
    <row r="414">
      <c r="A414" s="12"/>
      <c r="D414" s="95"/>
      <c r="E414" s="14"/>
      <c r="F414" s="96"/>
    </row>
    <row r="415">
      <c r="A415" s="12"/>
      <c r="D415" s="95"/>
      <c r="E415" s="14"/>
      <c r="F415" s="96"/>
    </row>
    <row r="416">
      <c r="A416" s="12"/>
      <c r="D416" s="95"/>
      <c r="E416" s="14"/>
      <c r="F416" s="96"/>
    </row>
    <row r="417">
      <c r="A417" s="12"/>
      <c r="D417" s="95"/>
      <c r="E417" s="14"/>
      <c r="F417" s="96"/>
    </row>
    <row r="418">
      <c r="A418" s="12"/>
      <c r="D418" s="95"/>
      <c r="E418" s="14"/>
      <c r="F418" s="96"/>
    </row>
    <row r="419">
      <c r="A419" s="12"/>
      <c r="D419" s="95"/>
      <c r="E419" s="14"/>
      <c r="F419" s="96"/>
    </row>
    <row r="420">
      <c r="A420" s="12"/>
      <c r="D420" s="95"/>
      <c r="E420" s="14"/>
      <c r="F420" s="96"/>
    </row>
    <row r="421">
      <c r="A421" s="12"/>
      <c r="D421" s="95"/>
      <c r="E421" s="14"/>
      <c r="F421" s="96"/>
    </row>
    <row r="422">
      <c r="A422" s="12"/>
      <c r="D422" s="95"/>
      <c r="E422" s="14"/>
      <c r="F422" s="96"/>
    </row>
    <row r="423">
      <c r="A423" s="12"/>
      <c r="D423" s="95"/>
      <c r="E423" s="14"/>
      <c r="F423" s="96"/>
    </row>
    <row r="424">
      <c r="A424" s="12"/>
      <c r="D424" s="95"/>
      <c r="E424" s="14"/>
      <c r="F424" s="96"/>
    </row>
    <row r="425">
      <c r="A425" s="12"/>
      <c r="D425" s="95"/>
      <c r="E425" s="14"/>
      <c r="F425" s="96"/>
    </row>
    <row r="426">
      <c r="A426" s="12"/>
      <c r="D426" s="95"/>
      <c r="E426" s="14"/>
      <c r="F426" s="96"/>
    </row>
    <row r="427">
      <c r="A427" s="12"/>
      <c r="D427" s="95"/>
      <c r="E427" s="14"/>
      <c r="F427" s="96"/>
    </row>
    <row r="428">
      <c r="A428" s="12"/>
      <c r="D428" s="95"/>
      <c r="E428" s="14"/>
      <c r="F428" s="96"/>
    </row>
    <row r="429">
      <c r="A429" s="12"/>
      <c r="D429" s="95"/>
      <c r="E429" s="14"/>
      <c r="F429" s="96"/>
    </row>
    <row r="430">
      <c r="A430" s="12"/>
      <c r="D430" s="95"/>
      <c r="E430" s="14"/>
      <c r="F430" s="96"/>
    </row>
    <row r="431">
      <c r="A431" s="12"/>
      <c r="D431" s="95"/>
      <c r="E431" s="14"/>
      <c r="F431" s="96"/>
    </row>
    <row r="432">
      <c r="A432" s="12"/>
      <c r="D432" s="95"/>
      <c r="E432" s="14"/>
      <c r="F432" s="96"/>
    </row>
    <row r="433">
      <c r="A433" s="12"/>
      <c r="D433" s="95"/>
      <c r="E433" s="14"/>
      <c r="F433" s="96"/>
    </row>
    <row r="434">
      <c r="A434" s="12"/>
      <c r="D434" s="95"/>
      <c r="E434" s="14"/>
      <c r="F434" s="96"/>
    </row>
    <row r="435">
      <c r="A435" s="12"/>
      <c r="D435" s="95"/>
      <c r="E435" s="14"/>
      <c r="F435" s="96"/>
    </row>
    <row r="436">
      <c r="A436" s="12"/>
      <c r="D436" s="95"/>
      <c r="E436" s="14"/>
      <c r="F436" s="96"/>
    </row>
    <row r="437">
      <c r="A437" s="12"/>
      <c r="D437" s="95"/>
      <c r="E437" s="14"/>
      <c r="F437" s="96"/>
    </row>
    <row r="438">
      <c r="A438" s="12"/>
      <c r="D438" s="95"/>
      <c r="E438" s="14"/>
      <c r="F438" s="96"/>
    </row>
    <row r="439">
      <c r="A439" s="12"/>
      <c r="D439" s="95"/>
      <c r="E439" s="14"/>
      <c r="F439" s="96"/>
    </row>
    <row r="440">
      <c r="A440" s="12"/>
      <c r="D440" s="95"/>
      <c r="E440" s="14"/>
      <c r="F440" s="96"/>
    </row>
    <row r="441">
      <c r="A441" s="12"/>
      <c r="D441" s="95"/>
      <c r="E441" s="14"/>
      <c r="F441" s="96"/>
    </row>
    <row r="442">
      <c r="A442" s="12"/>
      <c r="D442" s="95"/>
      <c r="E442" s="14"/>
      <c r="F442" s="96"/>
    </row>
    <row r="443">
      <c r="A443" s="12"/>
      <c r="D443" s="95"/>
      <c r="E443" s="14"/>
      <c r="F443" s="96"/>
    </row>
    <row r="444">
      <c r="A444" s="12"/>
      <c r="D444" s="95"/>
      <c r="E444" s="14"/>
      <c r="F444" s="96"/>
    </row>
    <row r="445">
      <c r="A445" s="12"/>
      <c r="D445" s="95"/>
      <c r="E445" s="14"/>
      <c r="F445" s="96"/>
    </row>
    <row r="446">
      <c r="A446" s="12"/>
      <c r="D446" s="95"/>
      <c r="E446" s="14"/>
      <c r="F446" s="96"/>
    </row>
    <row r="447">
      <c r="A447" s="12"/>
      <c r="D447" s="95"/>
      <c r="E447" s="14"/>
      <c r="F447" s="96"/>
    </row>
    <row r="448">
      <c r="A448" s="12"/>
      <c r="D448" s="95"/>
      <c r="E448" s="14"/>
      <c r="F448" s="96"/>
    </row>
    <row r="449">
      <c r="A449" s="12"/>
      <c r="D449" s="95"/>
      <c r="E449" s="14"/>
      <c r="F449" s="96"/>
    </row>
    <row r="450">
      <c r="A450" s="12"/>
      <c r="D450" s="95"/>
      <c r="E450" s="14"/>
      <c r="F450" s="96"/>
    </row>
    <row r="451">
      <c r="A451" s="12"/>
      <c r="D451" s="95"/>
      <c r="E451" s="14"/>
      <c r="F451" s="96"/>
    </row>
    <row r="452">
      <c r="A452" s="12"/>
      <c r="D452" s="95"/>
      <c r="E452" s="14"/>
      <c r="F452" s="96"/>
    </row>
    <row r="453">
      <c r="A453" s="12"/>
      <c r="D453" s="95"/>
      <c r="E453" s="14"/>
      <c r="F453" s="96"/>
    </row>
    <row r="454">
      <c r="A454" s="12"/>
      <c r="D454" s="95"/>
      <c r="E454" s="14"/>
      <c r="F454" s="96"/>
    </row>
    <row r="455">
      <c r="A455" s="12"/>
      <c r="D455" s="95"/>
      <c r="E455" s="14"/>
      <c r="F455" s="96"/>
    </row>
    <row r="456">
      <c r="A456" s="12"/>
      <c r="D456" s="95"/>
      <c r="E456" s="14"/>
      <c r="F456" s="96"/>
    </row>
    <row r="457">
      <c r="A457" s="12"/>
      <c r="D457" s="95"/>
      <c r="E457" s="14"/>
      <c r="F457" s="96"/>
    </row>
    <row r="458">
      <c r="A458" s="12"/>
      <c r="D458" s="95"/>
      <c r="E458" s="14"/>
      <c r="F458" s="96"/>
    </row>
    <row r="459">
      <c r="A459" s="12"/>
      <c r="D459" s="95"/>
      <c r="E459" s="14"/>
      <c r="F459" s="96"/>
    </row>
    <row r="460">
      <c r="A460" s="12"/>
      <c r="D460" s="95"/>
      <c r="E460" s="14"/>
      <c r="F460" s="96"/>
    </row>
    <row r="461">
      <c r="A461" s="12"/>
      <c r="D461" s="95"/>
      <c r="E461" s="14"/>
      <c r="F461" s="96"/>
    </row>
    <row r="462">
      <c r="A462" s="12"/>
      <c r="D462" s="95"/>
      <c r="E462" s="14"/>
      <c r="F462" s="96"/>
    </row>
    <row r="463">
      <c r="A463" s="12"/>
      <c r="D463" s="95"/>
      <c r="E463" s="14"/>
      <c r="F463" s="96"/>
    </row>
    <row r="464">
      <c r="A464" s="12"/>
      <c r="D464" s="95"/>
      <c r="E464" s="14"/>
      <c r="F464" s="96"/>
    </row>
    <row r="465">
      <c r="A465" s="12"/>
      <c r="D465" s="95"/>
      <c r="E465" s="14"/>
      <c r="F465" s="96"/>
    </row>
    <row r="466">
      <c r="A466" s="12"/>
      <c r="D466" s="95"/>
      <c r="E466" s="14"/>
      <c r="F466" s="96"/>
    </row>
    <row r="467">
      <c r="A467" s="12"/>
      <c r="D467" s="95"/>
      <c r="E467" s="14"/>
      <c r="F467" s="96"/>
    </row>
    <row r="468">
      <c r="A468" s="12"/>
      <c r="D468" s="95"/>
      <c r="E468" s="14"/>
      <c r="F468" s="96"/>
    </row>
    <row r="469">
      <c r="A469" s="12"/>
      <c r="D469" s="95"/>
      <c r="E469" s="14"/>
      <c r="F469" s="96"/>
    </row>
    <row r="470">
      <c r="A470" s="12"/>
      <c r="D470" s="95"/>
      <c r="E470" s="14"/>
      <c r="F470" s="96"/>
    </row>
    <row r="471">
      <c r="A471" s="12"/>
      <c r="D471" s="95"/>
      <c r="E471" s="14"/>
      <c r="F471" s="96"/>
    </row>
    <row r="472">
      <c r="A472" s="12"/>
      <c r="D472" s="95"/>
      <c r="E472" s="14"/>
      <c r="F472" s="96"/>
    </row>
    <row r="473">
      <c r="A473" s="12"/>
      <c r="D473" s="95"/>
      <c r="E473" s="14"/>
      <c r="F473" s="96"/>
    </row>
    <row r="474">
      <c r="A474" s="12"/>
      <c r="D474" s="95"/>
      <c r="E474" s="14"/>
      <c r="F474" s="96"/>
    </row>
    <row r="475">
      <c r="A475" s="12"/>
      <c r="D475" s="95"/>
      <c r="E475" s="14"/>
      <c r="F475" s="96"/>
    </row>
    <row r="476">
      <c r="A476" s="12"/>
      <c r="D476" s="95"/>
      <c r="E476" s="14"/>
      <c r="F476" s="96"/>
    </row>
    <row r="477">
      <c r="A477" s="12"/>
      <c r="D477" s="95"/>
      <c r="E477" s="14"/>
      <c r="F477" s="96"/>
    </row>
    <row r="478">
      <c r="A478" s="12"/>
      <c r="D478" s="95"/>
      <c r="E478" s="14"/>
      <c r="F478" s="96"/>
    </row>
    <row r="479">
      <c r="A479" s="12"/>
      <c r="D479" s="95"/>
      <c r="E479" s="14"/>
      <c r="F479" s="96"/>
    </row>
    <row r="480">
      <c r="A480" s="12"/>
      <c r="D480" s="95"/>
      <c r="E480" s="14"/>
      <c r="F480" s="96"/>
    </row>
    <row r="481">
      <c r="A481" s="12"/>
      <c r="D481" s="95"/>
      <c r="E481" s="14"/>
      <c r="F481" s="96"/>
    </row>
    <row r="482">
      <c r="A482" s="12"/>
      <c r="D482" s="95"/>
      <c r="E482" s="14"/>
      <c r="F482" s="96"/>
    </row>
    <row r="483">
      <c r="A483" s="12"/>
      <c r="D483" s="95"/>
      <c r="E483" s="14"/>
      <c r="F483" s="96"/>
    </row>
    <row r="484">
      <c r="A484" s="12"/>
      <c r="D484" s="95"/>
      <c r="E484" s="14"/>
      <c r="F484" s="96"/>
    </row>
    <row r="485">
      <c r="A485" s="12"/>
      <c r="D485" s="95"/>
      <c r="E485" s="14"/>
      <c r="F485" s="96"/>
    </row>
    <row r="486">
      <c r="A486" s="12"/>
      <c r="D486" s="95"/>
      <c r="E486" s="14"/>
      <c r="F486" s="96"/>
    </row>
    <row r="487">
      <c r="A487" s="12"/>
      <c r="D487" s="95"/>
      <c r="E487" s="14"/>
      <c r="F487" s="96"/>
    </row>
    <row r="488">
      <c r="A488" s="12"/>
      <c r="D488" s="95"/>
      <c r="E488" s="14"/>
      <c r="F488" s="96"/>
    </row>
    <row r="489">
      <c r="A489" s="12"/>
      <c r="D489" s="95"/>
      <c r="E489" s="14"/>
      <c r="F489" s="96"/>
    </row>
    <row r="490">
      <c r="A490" s="12"/>
      <c r="D490" s="95"/>
      <c r="E490" s="14"/>
      <c r="F490" s="96"/>
    </row>
    <row r="491">
      <c r="A491" s="12"/>
      <c r="D491" s="95"/>
      <c r="E491" s="14"/>
      <c r="F491" s="96"/>
    </row>
    <row r="492">
      <c r="A492" s="12"/>
      <c r="D492" s="95"/>
      <c r="E492" s="14"/>
      <c r="F492" s="96"/>
    </row>
    <row r="493">
      <c r="A493" s="12"/>
      <c r="D493" s="95"/>
      <c r="E493" s="14"/>
      <c r="F493" s="96"/>
    </row>
    <row r="494">
      <c r="A494" s="12"/>
      <c r="D494" s="95"/>
      <c r="E494" s="14"/>
      <c r="F494" s="96"/>
    </row>
    <row r="495">
      <c r="A495" s="12"/>
      <c r="D495" s="95"/>
      <c r="E495" s="14"/>
      <c r="F495" s="96"/>
    </row>
    <row r="496">
      <c r="A496" s="12"/>
      <c r="D496" s="95"/>
      <c r="E496" s="14"/>
      <c r="F496" s="96"/>
    </row>
    <row r="497">
      <c r="A497" s="12"/>
      <c r="D497" s="95"/>
      <c r="E497" s="14"/>
      <c r="F497" s="96"/>
    </row>
    <row r="498">
      <c r="A498" s="12"/>
      <c r="D498" s="95"/>
      <c r="E498" s="14"/>
      <c r="F498" s="96"/>
    </row>
    <row r="499">
      <c r="A499" s="12"/>
      <c r="D499" s="95"/>
      <c r="E499" s="14"/>
      <c r="F499" s="96"/>
    </row>
    <row r="500">
      <c r="A500" s="12"/>
      <c r="D500" s="95"/>
      <c r="E500" s="14"/>
      <c r="F500" s="96"/>
    </row>
    <row r="501">
      <c r="A501" s="12"/>
      <c r="D501" s="95"/>
      <c r="E501" s="14"/>
      <c r="F501" s="96"/>
    </row>
    <row r="502">
      <c r="A502" s="12"/>
      <c r="D502" s="95"/>
      <c r="E502" s="14"/>
      <c r="F502" s="96"/>
    </row>
    <row r="503">
      <c r="A503" s="12"/>
      <c r="D503" s="95"/>
      <c r="E503" s="14"/>
      <c r="F503" s="96"/>
    </row>
    <row r="504">
      <c r="A504" s="12"/>
      <c r="D504" s="95"/>
      <c r="E504" s="14"/>
      <c r="F504" s="96"/>
    </row>
    <row r="505">
      <c r="A505" s="12"/>
      <c r="D505" s="95"/>
      <c r="E505" s="14"/>
      <c r="F505" s="96"/>
    </row>
    <row r="506">
      <c r="A506" s="12"/>
      <c r="D506" s="95"/>
      <c r="E506" s="14"/>
      <c r="F506" s="96"/>
    </row>
    <row r="507">
      <c r="A507" s="12"/>
      <c r="D507" s="95"/>
      <c r="E507" s="14"/>
      <c r="F507" s="96"/>
    </row>
    <row r="508">
      <c r="A508" s="12"/>
      <c r="D508" s="95"/>
      <c r="E508" s="14"/>
      <c r="F508" s="96"/>
    </row>
    <row r="509">
      <c r="A509" s="12"/>
      <c r="D509" s="95"/>
      <c r="E509" s="14"/>
      <c r="F509" s="96"/>
    </row>
    <row r="510">
      <c r="A510" s="12"/>
      <c r="D510" s="95"/>
      <c r="E510" s="14"/>
      <c r="F510" s="96"/>
    </row>
    <row r="511">
      <c r="A511" s="12"/>
      <c r="D511" s="95"/>
      <c r="E511" s="14"/>
      <c r="F511" s="96"/>
    </row>
    <row r="512">
      <c r="A512" s="12"/>
      <c r="D512" s="95"/>
      <c r="E512" s="14"/>
      <c r="F512" s="96"/>
    </row>
    <row r="513">
      <c r="A513" s="12"/>
      <c r="D513" s="95"/>
      <c r="E513" s="14"/>
      <c r="F513" s="96"/>
    </row>
    <row r="514">
      <c r="A514" s="12"/>
      <c r="D514" s="95"/>
      <c r="E514" s="14"/>
      <c r="F514" s="96"/>
    </row>
    <row r="515">
      <c r="A515" s="12"/>
      <c r="D515" s="95"/>
      <c r="E515" s="14"/>
      <c r="F515" s="96"/>
    </row>
    <row r="516">
      <c r="A516" s="12"/>
      <c r="D516" s="95"/>
      <c r="E516" s="14"/>
      <c r="F516" s="96"/>
    </row>
    <row r="517">
      <c r="A517" s="12"/>
      <c r="D517" s="95"/>
      <c r="E517" s="14"/>
      <c r="F517" s="96"/>
    </row>
    <row r="518">
      <c r="A518" s="12"/>
      <c r="D518" s="95"/>
      <c r="E518" s="14"/>
      <c r="F518" s="96"/>
    </row>
    <row r="519">
      <c r="A519" s="12"/>
      <c r="D519" s="95"/>
      <c r="E519" s="14"/>
      <c r="F519" s="96"/>
    </row>
    <row r="520">
      <c r="A520" s="12"/>
      <c r="D520" s="95"/>
      <c r="E520" s="14"/>
      <c r="F520" s="96"/>
    </row>
    <row r="521">
      <c r="A521" s="12"/>
      <c r="D521" s="95"/>
      <c r="E521" s="14"/>
      <c r="F521" s="96"/>
    </row>
    <row r="522">
      <c r="A522" s="12"/>
      <c r="D522" s="95"/>
      <c r="E522" s="14"/>
      <c r="F522" s="96"/>
    </row>
    <row r="523">
      <c r="A523" s="12"/>
      <c r="D523" s="95"/>
      <c r="E523" s="14"/>
      <c r="F523" s="96"/>
    </row>
    <row r="524">
      <c r="A524" s="12"/>
      <c r="D524" s="95"/>
      <c r="E524" s="14"/>
      <c r="F524" s="96"/>
    </row>
    <row r="525">
      <c r="A525" s="12"/>
      <c r="D525" s="95"/>
      <c r="E525" s="14"/>
      <c r="F525" s="96"/>
    </row>
    <row r="526">
      <c r="A526" s="12"/>
      <c r="D526" s="95"/>
      <c r="E526" s="14"/>
      <c r="F526" s="96"/>
    </row>
    <row r="527">
      <c r="A527" s="12"/>
      <c r="D527" s="95"/>
      <c r="E527" s="14"/>
      <c r="F527" s="96"/>
    </row>
    <row r="528">
      <c r="A528" s="12"/>
      <c r="D528" s="95"/>
      <c r="E528" s="14"/>
      <c r="F528" s="96"/>
    </row>
    <row r="529">
      <c r="A529" s="12"/>
      <c r="D529" s="95"/>
      <c r="E529" s="14"/>
      <c r="F529" s="96"/>
    </row>
    <row r="530">
      <c r="A530" s="12"/>
      <c r="D530" s="95"/>
      <c r="E530" s="14"/>
      <c r="F530" s="96"/>
    </row>
    <row r="531">
      <c r="A531" s="12"/>
      <c r="D531" s="95"/>
      <c r="E531" s="14"/>
      <c r="F531" s="96"/>
    </row>
    <row r="532">
      <c r="A532" s="12"/>
      <c r="D532" s="95"/>
      <c r="E532" s="14"/>
      <c r="F532" s="96"/>
    </row>
    <row r="533">
      <c r="A533" s="12"/>
      <c r="D533" s="95"/>
      <c r="E533" s="14"/>
      <c r="F533" s="96"/>
    </row>
    <row r="534">
      <c r="A534" s="12"/>
      <c r="D534" s="95"/>
      <c r="E534" s="14"/>
      <c r="F534" s="96"/>
    </row>
    <row r="535">
      <c r="A535" s="12"/>
      <c r="D535" s="95"/>
      <c r="E535" s="14"/>
      <c r="F535" s="96"/>
    </row>
    <row r="536">
      <c r="A536" s="12"/>
      <c r="D536" s="95"/>
      <c r="E536" s="14"/>
      <c r="F536" s="96"/>
    </row>
    <row r="537">
      <c r="A537" s="12"/>
      <c r="D537" s="95"/>
      <c r="E537" s="14"/>
      <c r="F537" s="96"/>
    </row>
    <row r="538">
      <c r="A538" s="12"/>
      <c r="D538" s="95"/>
      <c r="E538" s="14"/>
      <c r="F538" s="96"/>
    </row>
    <row r="539">
      <c r="A539" s="12"/>
      <c r="D539" s="95"/>
      <c r="E539" s="14"/>
      <c r="F539" s="96"/>
    </row>
    <row r="540">
      <c r="A540" s="12"/>
      <c r="D540" s="95"/>
      <c r="E540" s="14"/>
      <c r="F540" s="96"/>
    </row>
    <row r="541">
      <c r="A541" s="12"/>
      <c r="D541" s="95"/>
      <c r="E541" s="14"/>
      <c r="F541" s="96"/>
    </row>
    <row r="542">
      <c r="A542" s="12"/>
      <c r="D542" s="95"/>
      <c r="E542" s="14"/>
      <c r="F542" s="96"/>
    </row>
    <row r="543">
      <c r="A543" s="12"/>
      <c r="D543" s="95"/>
      <c r="E543" s="14"/>
      <c r="F543" s="96"/>
    </row>
    <row r="544">
      <c r="A544" s="12"/>
      <c r="D544" s="95"/>
      <c r="E544" s="14"/>
      <c r="F544" s="96"/>
    </row>
    <row r="545">
      <c r="A545" s="12"/>
      <c r="D545" s="95"/>
      <c r="E545" s="14"/>
      <c r="F545" s="96"/>
    </row>
    <row r="546">
      <c r="A546" s="12"/>
      <c r="D546" s="95"/>
      <c r="E546" s="14"/>
      <c r="F546" s="96"/>
    </row>
    <row r="547">
      <c r="A547" s="12"/>
      <c r="D547" s="95"/>
      <c r="E547" s="14"/>
      <c r="F547" s="96"/>
    </row>
    <row r="548">
      <c r="A548" s="12"/>
      <c r="D548" s="95"/>
      <c r="E548" s="14"/>
      <c r="F548" s="96"/>
    </row>
    <row r="549">
      <c r="A549" s="12"/>
      <c r="D549" s="95"/>
      <c r="E549" s="14"/>
      <c r="F549" s="96"/>
    </row>
    <row r="550">
      <c r="A550" s="12"/>
      <c r="D550" s="95"/>
      <c r="E550" s="14"/>
      <c r="F550" s="96"/>
    </row>
    <row r="551">
      <c r="A551" s="12"/>
      <c r="D551" s="95"/>
      <c r="E551" s="14"/>
      <c r="F551" s="96"/>
    </row>
    <row r="552">
      <c r="A552" s="12"/>
      <c r="D552" s="95"/>
      <c r="E552" s="14"/>
      <c r="F552" s="96"/>
    </row>
    <row r="553">
      <c r="A553" s="12"/>
      <c r="D553" s="95"/>
      <c r="E553" s="14"/>
      <c r="F553" s="96"/>
    </row>
    <row r="554">
      <c r="A554" s="12"/>
      <c r="D554" s="95"/>
      <c r="E554" s="14"/>
      <c r="F554" s="96"/>
    </row>
    <row r="555">
      <c r="A555" s="12"/>
      <c r="D555" s="95"/>
      <c r="E555" s="14"/>
      <c r="F555" s="96"/>
    </row>
    <row r="556">
      <c r="A556" s="12"/>
      <c r="D556" s="95"/>
      <c r="E556" s="14"/>
      <c r="F556" s="96"/>
    </row>
    <row r="557">
      <c r="A557" s="12"/>
      <c r="D557" s="95"/>
      <c r="E557" s="14"/>
      <c r="F557" s="96"/>
    </row>
    <row r="558">
      <c r="A558" s="12"/>
      <c r="D558" s="95"/>
      <c r="E558" s="14"/>
      <c r="F558" s="96"/>
    </row>
    <row r="559">
      <c r="A559" s="12"/>
      <c r="D559" s="95"/>
      <c r="E559" s="14"/>
      <c r="F559" s="96"/>
    </row>
    <row r="560">
      <c r="A560" s="12"/>
      <c r="D560" s="95"/>
      <c r="E560" s="14"/>
      <c r="F560" s="96"/>
    </row>
    <row r="561">
      <c r="A561" s="12"/>
      <c r="D561" s="95"/>
      <c r="E561" s="14"/>
      <c r="F561" s="96"/>
    </row>
    <row r="562">
      <c r="A562" s="12"/>
      <c r="D562" s="95"/>
      <c r="E562" s="14"/>
      <c r="F562" s="96"/>
    </row>
    <row r="563">
      <c r="A563" s="12"/>
      <c r="D563" s="95"/>
      <c r="E563" s="14"/>
      <c r="F563" s="96"/>
    </row>
    <row r="564">
      <c r="A564" s="12"/>
      <c r="D564" s="95"/>
      <c r="E564" s="14"/>
      <c r="F564" s="96"/>
    </row>
    <row r="565">
      <c r="A565" s="12"/>
      <c r="D565" s="95"/>
      <c r="E565" s="14"/>
      <c r="F565" s="96"/>
    </row>
    <row r="566">
      <c r="A566" s="12"/>
      <c r="D566" s="95"/>
      <c r="E566" s="14"/>
      <c r="F566" s="96"/>
    </row>
    <row r="567">
      <c r="A567" s="12"/>
      <c r="D567" s="95"/>
      <c r="E567" s="14"/>
      <c r="F567" s="96"/>
    </row>
    <row r="568">
      <c r="A568" s="12"/>
      <c r="D568" s="95"/>
      <c r="E568" s="14"/>
      <c r="F568" s="96"/>
    </row>
    <row r="569">
      <c r="A569" s="12"/>
      <c r="D569" s="95"/>
      <c r="E569" s="14"/>
      <c r="F569" s="96"/>
    </row>
    <row r="570">
      <c r="A570" s="12"/>
      <c r="D570" s="95"/>
      <c r="E570" s="14"/>
      <c r="F570" s="96"/>
    </row>
    <row r="571">
      <c r="A571" s="12"/>
      <c r="D571" s="95"/>
      <c r="E571" s="14"/>
      <c r="F571" s="96"/>
    </row>
    <row r="572">
      <c r="A572" s="12"/>
      <c r="D572" s="95"/>
      <c r="E572" s="14"/>
      <c r="F572" s="96"/>
    </row>
    <row r="573">
      <c r="A573" s="12"/>
      <c r="D573" s="95"/>
      <c r="E573" s="14"/>
      <c r="F573" s="96"/>
    </row>
    <row r="574">
      <c r="A574" s="12"/>
      <c r="D574" s="95"/>
      <c r="E574" s="14"/>
      <c r="F574" s="96"/>
    </row>
    <row r="575">
      <c r="A575" s="12"/>
      <c r="D575" s="95"/>
      <c r="E575" s="14"/>
      <c r="F575" s="96"/>
    </row>
    <row r="576">
      <c r="A576" s="12"/>
      <c r="D576" s="95"/>
      <c r="E576" s="14"/>
      <c r="F576" s="96"/>
    </row>
    <row r="577">
      <c r="A577" s="12"/>
      <c r="D577" s="95"/>
      <c r="E577" s="14"/>
      <c r="F577" s="96"/>
    </row>
    <row r="578">
      <c r="A578" s="12"/>
      <c r="D578" s="95"/>
      <c r="E578" s="14"/>
      <c r="F578" s="96"/>
    </row>
    <row r="579">
      <c r="A579" s="12"/>
      <c r="D579" s="95"/>
      <c r="E579" s="14"/>
      <c r="F579" s="96"/>
    </row>
    <row r="580">
      <c r="A580" s="12"/>
      <c r="D580" s="95"/>
      <c r="E580" s="14"/>
      <c r="F580" s="96"/>
    </row>
    <row r="581">
      <c r="A581" s="12"/>
      <c r="D581" s="95"/>
      <c r="E581" s="14"/>
      <c r="F581" s="96"/>
    </row>
    <row r="582">
      <c r="A582" s="12"/>
      <c r="D582" s="95"/>
      <c r="E582" s="14"/>
      <c r="F582" s="96"/>
    </row>
    <row r="583">
      <c r="A583" s="12"/>
      <c r="D583" s="95"/>
      <c r="E583" s="14"/>
      <c r="F583" s="96"/>
    </row>
    <row r="584">
      <c r="A584" s="12"/>
      <c r="D584" s="95"/>
      <c r="E584" s="14"/>
      <c r="F584" s="96"/>
    </row>
    <row r="585">
      <c r="A585" s="12"/>
      <c r="D585" s="95"/>
      <c r="E585" s="14"/>
      <c r="F585" s="96"/>
    </row>
    <row r="586">
      <c r="A586" s="12"/>
      <c r="D586" s="95"/>
      <c r="E586" s="14"/>
      <c r="F586" s="96"/>
    </row>
    <row r="587">
      <c r="A587" s="12"/>
      <c r="D587" s="95"/>
      <c r="E587" s="14"/>
      <c r="F587" s="96"/>
    </row>
    <row r="588">
      <c r="A588" s="12"/>
      <c r="D588" s="95"/>
      <c r="E588" s="14"/>
      <c r="F588" s="96"/>
    </row>
    <row r="589">
      <c r="A589" s="12"/>
      <c r="D589" s="95"/>
      <c r="E589" s="14"/>
      <c r="F589" s="96"/>
    </row>
    <row r="590">
      <c r="A590" s="12"/>
      <c r="D590" s="95"/>
      <c r="E590" s="14"/>
      <c r="F590" s="96"/>
    </row>
    <row r="591">
      <c r="A591" s="12"/>
      <c r="D591" s="95"/>
      <c r="E591" s="14"/>
      <c r="F591" s="96"/>
    </row>
    <row r="592">
      <c r="A592" s="12"/>
      <c r="D592" s="95"/>
      <c r="E592" s="14"/>
      <c r="F592" s="96"/>
    </row>
    <row r="593">
      <c r="A593" s="12"/>
      <c r="D593" s="95"/>
      <c r="E593" s="14"/>
      <c r="F593" s="96"/>
    </row>
    <row r="594">
      <c r="A594" s="12"/>
      <c r="D594" s="95"/>
      <c r="E594" s="14"/>
      <c r="F594" s="96"/>
    </row>
    <row r="595">
      <c r="A595" s="12"/>
      <c r="D595" s="95"/>
      <c r="E595" s="14"/>
      <c r="F595" s="96"/>
    </row>
    <row r="596">
      <c r="A596" s="12"/>
      <c r="D596" s="95"/>
      <c r="E596" s="14"/>
      <c r="F596" s="96"/>
    </row>
    <row r="597">
      <c r="A597" s="12"/>
      <c r="D597" s="95"/>
      <c r="E597" s="14"/>
      <c r="F597" s="96"/>
    </row>
    <row r="598">
      <c r="A598" s="12"/>
      <c r="D598" s="95"/>
      <c r="E598" s="14"/>
      <c r="F598" s="96"/>
    </row>
    <row r="599">
      <c r="A599" s="12"/>
      <c r="D599" s="95"/>
      <c r="E599" s="14"/>
      <c r="F599" s="96"/>
    </row>
    <row r="600">
      <c r="A600" s="12"/>
      <c r="D600" s="95"/>
      <c r="E600" s="14"/>
      <c r="F600" s="96"/>
    </row>
    <row r="601">
      <c r="A601" s="12"/>
      <c r="D601" s="95"/>
      <c r="E601" s="14"/>
      <c r="F601" s="96"/>
    </row>
    <row r="602">
      <c r="A602" s="12"/>
      <c r="D602" s="95"/>
      <c r="E602" s="14"/>
      <c r="F602" s="96"/>
    </row>
    <row r="603">
      <c r="A603" s="12"/>
      <c r="D603" s="95"/>
      <c r="E603" s="14"/>
      <c r="F603" s="96"/>
    </row>
    <row r="604">
      <c r="A604" s="12"/>
      <c r="D604" s="95"/>
      <c r="E604" s="14"/>
      <c r="F604" s="96"/>
    </row>
    <row r="605">
      <c r="A605" s="12"/>
      <c r="D605" s="95"/>
      <c r="E605" s="14"/>
      <c r="F605" s="96"/>
    </row>
    <row r="606">
      <c r="A606" s="12"/>
      <c r="D606" s="95"/>
      <c r="E606" s="14"/>
      <c r="F606" s="96"/>
    </row>
    <row r="607">
      <c r="A607" s="12"/>
      <c r="D607" s="95"/>
      <c r="E607" s="14"/>
      <c r="F607" s="96"/>
    </row>
    <row r="608">
      <c r="A608" s="12"/>
      <c r="D608" s="95"/>
      <c r="E608" s="14"/>
      <c r="F608" s="96"/>
    </row>
    <row r="609">
      <c r="A609" s="12"/>
      <c r="D609" s="95"/>
      <c r="E609" s="14"/>
      <c r="F609" s="96"/>
    </row>
    <row r="610">
      <c r="A610" s="12"/>
      <c r="D610" s="95"/>
      <c r="E610" s="14"/>
      <c r="F610" s="96"/>
    </row>
    <row r="611">
      <c r="A611" s="12"/>
      <c r="D611" s="95"/>
      <c r="E611" s="14"/>
      <c r="F611" s="96"/>
    </row>
    <row r="612">
      <c r="A612" s="12"/>
      <c r="D612" s="95"/>
      <c r="E612" s="14"/>
      <c r="F612" s="96"/>
    </row>
    <row r="613">
      <c r="A613" s="12"/>
      <c r="D613" s="95"/>
      <c r="E613" s="14"/>
      <c r="F613" s="96"/>
    </row>
    <row r="614">
      <c r="A614" s="12"/>
      <c r="D614" s="95"/>
      <c r="E614" s="14"/>
      <c r="F614" s="96"/>
    </row>
    <row r="615">
      <c r="A615" s="12"/>
      <c r="D615" s="95"/>
      <c r="E615" s="14"/>
      <c r="F615" s="96"/>
    </row>
    <row r="616">
      <c r="A616" s="12"/>
      <c r="D616" s="95"/>
      <c r="E616" s="14"/>
      <c r="F616" s="96"/>
    </row>
    <row r="617">
      <c r="A617" s="12"/>
      <c r="D617" s="95"/>
      <c r="E617" s="14"/>
      <c r="F617" s="96"/>
    </row>
    <row r="618">
      <c r="A618" s="12"/>
      <c r="D618" s="95"/>
      <c r="E618" s="14"/>
      <c r="F618" s="96"/>
    </row>
    <row r="619">
      <c r="A619" s="12"/>
      <c r="D619" s="95"/>
      <c r="E619" s="14"/>
      <c r="F619" s="96"/>
    </row>
    <row r="620">
      <c r="A620" s="12"/>
      <c r="D620" s="95"/>
      <c r="E620" s="14"/>
      <c r="F620" s="96"/>
    </row>
    <row r="621">
      <c r="A621" s="12"/>
      <c r="D621" s="95"/>
      <c r="E621" s="14"/>
      <c r="F621" s="96"/>
    </row>
    <row r="622">
      <c r="A622" s="12"/>
      <c r="D622" s="95"/>
      <c r="E622" s="14"/>
      <c r="F622" s="96"/>
    </row>
    <row r="623">
      <c r="A623" s="12"/>
      <c r="D623" s="95"/>
      <c r="E623" s="14"/>
      <c r="F623" s="96"/>
    </row>
    <row r="624">
      <c r="A624" s="12"/>
      <c r="D624" s="95"/>
      <c r="E624" s="14"/>
      <c r="F624" s="96"/>
    </row>
    <row r="625">
      <c r="A625" s="12"/>
      <c r="D625" s="95"/>
      <c r="E625" s="14"/>
      <c r="F625" s="96"/>
    </row>
    <row r="626">
      <c r="A626" s="12"/>
      <c r="D626" s="95"/>
      <c r="E626" s="14"/>
      <c r="F626" s="96"/>
    </row>
    <row r="627">
      <c r="A627" s="12"/>
      <c r="D627" s="95"/>
      <c r="E627" s="14"/>
      <c r="F627" s="96"/>
    </row>
    <row r="628">
      <c r="A628" s="12"/>
      <c r="D628" s="95"/>
      <c r="E628" s="14"/>
      <c r="F628" s="96"/>
    </row>
    <row r="629">
      <c r="A629" s="12"/>
      <c r="D629" s="95"/>
      <c r="E629" s="14"/>
      <c r="F629" s="96"/>
    </row>
    <row r="630">
      <c r="A630" s="12"/>
      <c r="D630" s="95"/>
      <c r="E630" s="14"/>
      <c r="F630" s="96"/>
    </row>
    <row r="631">
      <c r="A631" s="12"/>
      <c r="D631" s="95"/>
      <c r="E631" s="14"/>
      <c r="F631" s="96"/>
    </row>
    <row r="632">
      <c r="A632" s="12"/>
      <c r="D632" s="95"/>
      <c r="E632" s="14"/>
      <c r="F632" s="96"/>
    </row>
    <row r="633">
      <c r="A633" s="12"/>
      <c r="D633" s="95"/>
      <c r="E633" s="14"/>
      <c r="F633" s="96"/>
    </row>
    <row r="634">
      <c r="A634" s="12"/>
      <c r="D634" s="95"/>
      <c r="E634" s="14"/>
      <c r="F634" s="96"/>
    </row>
    <row r="635">
      <c r="A635" s="12"/>
      <c r="D635" s="95"/>
      <c r="E635" s="14"/>
      <c r="F635" s="96"/>
    </row>
    <row r="636">
      <c r="A636" s="12"/>
      <c r="D636" s="95"/>
      <c r="E636" s="14"/>
      <c r="F636" s="96"/>
    </row>
    <row r="637">
      <c r="A637" s="12"/>
      <c r="D637" s="95"/>
      <c r="E637" s="14"/>
      <c r="F637" s="96"/>
    </row>
    <row r="638">
      <c r="A638" s="12"/>
      <c r="D638" s="95"/>
      <c r="E638" s="14"/>
      <c r="F638" s="96"/>
    </row>
    <row r="639">
      <c r="A639" s="12"/>
      <c r="D639" s="95"/>
      <c r="E639" s="14"/>
      <c r="F639" s="96"/>
    </row>
    <row r="640">
      <c r="A640" s="12"/>
      <c r="D640" s="95"/>
      <c r="E640" s="14"/>
      <c r="F640" s="96"/>
    </row>
    <row r="641">
      <c r="A641" s="12"/>
      <c r="D641" s="95"/>
      <c r="E641" s="14"/>
      <c r="F641" s="96"/>
    </row>
    <row r="642">
      <c r="A642" s="12"/>
      <c r="D642" s="95"/>
      <c r="E642" s="14"/>
      <c r="F642" s="96"/>
    </row>
    <row r="643">
      <c r="A643" s="12"/>
      <c r="D643" s="95"/>
      <c r="E643" s="14"/>
      <c r="F643" s="96"/>
    </row>
    <row r="644">
      <c r="A644" s="12"/>
      <c r="D644" s="95"/>
      <c r="E644" s="14"/>
      <c r="F644" s="96"/>
    </row>
    <row r="645">
      <c r="A645" s="12"/>
      <c r="D645" s="95"/>
      <c r="E645" s="14"/>
      <c r="F645" s="96"/>
    </row>
    <row r="646">
      <c r="A646" s="12"/>
      <c r="D646" s="95"/>
      <c r="E646" s="14"/>
      <c r="F646" s="96"/>
    </row>
    <row r="647">
      <c r="A647" s="12"/>
      <c r="D647" s="95"/>
      <c r="E647" s="14"/>
      <c r="F647" s="96"/>
    </row>
    <row r="648">
      <c r="A648" s="12"/>
      <c r="D648" s="95"/>
      <c r="E648" s="14"/>
      <c r="F648" s="96"/>
    </row>
    <row r="649">
      <c r="A649" s="12"/>
      <c r="D649" s="95"/>
      <c r="E649" s="14"/>
      <c r="F649" s="96"/>
    </row>
    <row r="650">
      <c r="A650" s="12"/>
      <c r="D650" s="95"/>
      <c r="E650" s="14"/>
      <c r="F650" s="96"/>
    </row>
    <row r="651">
      <c r="A651" s="12"/>
      <c r="D651" s="95"/>
      <c r="E651" s="14"/>
      <c r="F651" s="96"/>
    </row>
    <row r="652">
      <c r="A652" s="12"/>
      <c r="D652" s="95"/>
      <c r="E652" s="14"/>
      <c r="F652" s="96"/>
    </row>
    <row r="653">
      <c r="A653" s="12"/>
      <c r="D653" s="95"/>
      <c r="E653" s="14"/>
      <c r="F653" s="96"/>
    </row>
    <row r="654">
      <c r="A654" s="12"/>
      <c r="D654" s="95"/>
      <c r="E654" s="14"/>
      <c r="F654" s="96"/>
    </row>
    <row r="655">
      <c r="A655" s="12"/>
      <c r="D655" s="95"/>
      <c r="E655" s="14"/>
      <c r="F655" s="96"/>
    </row>
    <row r="656">
      <c r="A656" s="12"/>
      <c r="D656" s="95"/>
      <c r="E656" s="14"/>
      <c r="F656" s="96"/>
    </row>
    <row r="657">
      <c r="A657" s="12"/>
      <c r="D657" s="95"/>
      <c r="E657" s="14"/>
      <c r="F657" s="96"/>
    </row>
    <row r="658">
      <c r="A658" s="12"/>
      <c r="D658" s="95"/>
      <c r="E658" s="14"/>
      <c r="F658" s="96"/>
    </row>
    <row r="659">
      <c r="A659" s="12"/>
      <c r="D659" s="95"/>
      <c r="E659" s="14"/>
      <c r="F659" s="96"/>
    </row>
    <row r="660">
      <c r="A660" s="12"/>
      <c r="D660" s="95"/>
      <c r="E660" s="14"/>
      <c r="F660" s="96"/>
    </row>
    <row r="661">
      <c r="A661" s="12"/>
      <c r="D661" s="95"/>
      <c r="E661" s="14"/>
      <c r="F661" s="96"/>
    </row>
    <row r="662">
      <c r="A662" s="12"/>
      <c r="D662" s="95"/>
      <c r="E662" s="14"/>
      <c r="F662" s="96"/>
    </row>
    <row r="663">
      <c r="A663" s="12"/>
      <c r="D663" s="95"/>
      <c r="E663" s="14"/>
      <c r="F663" s="96"/>
    </row>
    <row r="664">
      <c r="A664" s="12"/>
      <c r="D664" s="95"/>
      <c r="E664" s="14"/>
      <c r="F664" s="96"/>
    </row>
    <row r="665">
      <c r="A665" s="12"/>
      <c r="D665" s="95"/>
      <c r="E665" s="14"/>
      <c r="F665" s="96"/>
    </row>
    <row r="666">
      <c r="A666" s="12"/>
      <c r="D666" s="95"/>
      <c r="E666" s="14"/>
      <c r="F666" s="96"/>
    </row>
    <row r="667">
      <c r="A667" s="12"/>
      <c r="D667" s="95"/>
      <c r="E667" s="14"/>
      <c r="F667" s="96"/>
    </row>
    <row r="668">
      <c r="A668" s="12"/>
      <c r="D668" s="95"/>
      <c r="E668" s="14"/>
      <c r="F668" s="96"/>
    </row>
    <row r="669">
      <c r="A669" s="12"/>
      <c r="D669" s="95"/>
      <c r="E669" s="14"/>
      <c r="F669" s="96"/>
    </row>
    <row r="670">
      <c r="A670" s="12"/>
      <c r="D670" s="95"/>
      <c r="E670" s="14"/>
      <c r="F670" s="96"/>
    </row>
    <row r="671">
      <c r="A671" s="12"/>
      <c r="D671" s="95"/>
      <c r="E671" s="14"/>
      <c r="F671" s="96"/>
    </row>
    <row r="672">
      <c r="A672" s="12"/>
      <c r="D672" s="95"/>
      <c r="E672" s="14"/>
      <c r="F672" s="96"/>
    </row>
    <row r="673">
      <c r="A673" s="12"/>
      <c r="D673" s="95"/>
      <c r="E673" s="14"/>
      <c r="F673" s="96"/>
    </row>
    <row r="674">
      <c r="A674" s="12"/>
      <c r="D674" s="95"/>
      <c r="E674" s="14"/>
      <c r="F674" s="96"/>
    </row>
    <row r="675">
      <c r="A675" s="12"/>
      <c r="D675" s="95"/>
      <c r="E675" s="14"/>
      <c r="F675" s="96"/>
    </row>
    <row r="676">
      <c r="A676" s="12"/>
      <c r="D676" s="95"/>
      <c r="E676" s="14"/>
      <c r="F676" s="96"/>
    </row>
    <row r="677">
      <c r="A677" s="12"/>
      <c r="D677" s="95"/>
      <c r="E677" s="14"/>
      <c r="F677" s="96"/>
    </row>
    <row r="678">
      <c r="A678" s="12"/>
      <c r="D678" s="95"/>
      <c r="E678" s="14"/>
      <c r="F678" s="96"/>
    </row>
    <row r="679">
      <c r="A679" s="12"/>
      <c r="D679" s="95"/>
      <c r="E679" s="14"/>
      <c r="F679" s="96"/>
    </row>
    <row r="680">
      <c r="A680" s="12"/>
      <c r="D680" s="95"/>
      <c r="E680" s="14"/>
      <c r="F680" s="96"/>
    </row>
    <row r="681">
      <c r="A681" s="12"/>
      <c r="D681" s="95"/>
      <c r="E681" s="14"/>
      <c r="F681" s="96"/>
    </row>
    <row r="682">
      <c r="A682" s="12"/>
      <c r="D682" s="95"/>
      <c r="E682" s="14"/>
      <c r="F682" s="96"/>
    </row>
    <row r="683">
      <c r="A683" s="12"/>
      <c r="D683" s="95"/>
      <c r="E683" s="14"/>
      <c r="F683" s="96"/>
    </row>
    <row r="684">
      <c r="A684" s="12"/>
      <c r="D684" s="95"/>
      <c r="E684" s="14"/>
      <c r="F684" s="96"/>
    </row>
    <row r="685">
      <c r="A685" s="12"/>
      <c r="D685" s="95"/>
      <c r="E685" s="14"/>
      <c r="F685" s="96"/>
    </row>
    <row r="686">
      <c r="A686" s="12"/>
      <c r="D686" s="95"/>
      <c r="E686" s="14"/>
      <c r="F686" s="96"/>
    </row>
    <row r="687">
      <c r="A687" s="12"/>
      <c r="D687" s="95"/>
      <c r="E687" s="14"/>
      <c r="F687" s="96"/>
    </row>
    <row r="688">
      <c r="A688" s="12"/>
      <c r="D688" s="95"/>
      <c r="E688" s="14"/>
      <c r="F688" s="96"/>
    </row>
    <row r="689">
      <c r="A689" s="12"/>
      <c r="D689" s="95"/>
      <c r="E689" s="14"/>
      <c r="F689" s="96"/>
    </row>
    <row r="690">
      <c r="A690" s="12"/>
      <c r="D690" s="95"/>
      <c r="E690" s="14"/>
      <c r="F690" s="96"/>
    </row>
    <row r="691">
      <c r="A691" s="12"/>
      <c r="D691" s="95"/>
      <c r="E691" s="14"/>
      <c r="F691" s="96"/>
    </row>
    <row r="692">
      <c r="A692" s="12"/>
      <c r="D692" s="95"/>
      <c r="E692" s="14"/>
      <c r="F692" s="96"/>
    </row>
    <row r="693">
      <c r="A693" s="12"/>
      <c r="D693" s="95"/>
      <c r="E693" s="14"/>
      <c r="F693" s="96"/>
    </row>
    <row r="694">
      <c r="A694" s="12"/>
      <c r="D694" s="95"/>
      <c r="E694" s="14"/>
      <c r="F694" s="96"/>
    </row>
    <row r="695">
      <c r="A695" s="12"/>
      <c r="D695" s="95"/>
      <c r="E695" s="14"/>
      <c r="F695" s="96"/>
    </row>
    <row r="696">
      <c r="A696" s="12"/>
      <c r="D696" s="95"/>
      <c r="E696" s="14"/>
      <c r="F696" s="96"/>
    </row>
    <row r="697">
      <c r="A697" s="12"/>
      <c r="D697" s="95"/>
      <c r="E697" s="14"/>
      <c r="F697" s="96"/>
    </row>
    <row r="698">
      <c r="A698" s="12"/>
      <c r="D698" s="95"/>
      <c r="E698" s="14"/>
      <c r="F698" s="96"/>
    </row>
    <row r="699">
      <c r="A699" s="12"/>
      <c r="D699" s="95"/>
      <c r="E699" s="14"/>
      <c r="F699" s="96"/>
    </row>
    <row r="700">
      <c r="A700" s="12"/>
      <c r="D700" s="95"/>
      <c r="E700" s="14"/>
      <c r="F700" s="96"/>
    </row>
    <row r="701">
      <c r="A701" s="12"/>
      <c r="D701" s="95"/>
      <c r="E701" s="14"/>
      <c r="F701" s="96"/>
    </row>
    <row r="702">
      <c r="A702" s="12"/>
      <c r="D702" s="95"/>
      <c r="E702" s="14"/>
      <c r="F702" s="96"/>
    </row>
    <row r="703">
      <c r="A703" s="12"/>
      <c r="D703" s="95"/>
      <c r="E703" s="14"/>
      <c r="F703" s="96"/>
    </row>
    <row r="704">
      <c r="A704" s="12"/>
      <c r="D704" s="95"/>
      <c r="E704" s="14"/>
      <c r="F704" s="96"/>
    </row>
    <row r="705">
      <c r="A705" s="12"/>
      <c r="D705" s="95"/>
      <c r="E705" s="14"/>
      <c r="F705" s="96"/>
    </row>
    <row r="706">
      <c r="A706" s="12"/>
      <c r="D706" s="95"/>
      <c r="E706" s="14"/>
      <c r="F706" s="96"/>
    </row>
    <row r="707">
      <c r="A707" s="12"/>
      <c r="D707" s="95"/>
      <c r="E707" s="14"/>
      <c r="F707" s="96"/>
    </row>
    <row r="708">
      <c r="A708" s="12"/>
      <c r="D708" s="95"/>
      <c r="E708" s="14"/>
      <c r="F708" s="96"/>
    </row>
    <row r="709">
      <c r="A709" s="12"/>
      <c r="D709" s="95"/>
      <c r="E709" s="14"/>
      <c r="F709" s="96"/>
    </row>
    <row r="710">
      <c r="A710" s="12"/>
      <c r="D710" s="95"/>
      <c r="E710" s="14"/>
      <c r="F710" s="96"/>
    </row>
    <row r="711">
      <c r="A711" s="12"/>
      <c r="D711" s="95"/>
      <c r="E711" s="14"/>
      <c r="F711" s="96"/>
    </row>
    <row r="712">
      <c r="A712" s="12"/>
      <c r="D712" s="95"/>
      <c r="E712" s="14"/>
      <c r="F712" s="96"/>
    </row>
    <row r="713">
      <c r="A713" s="12"/>
      <c r="D713" s="95"/>
      <c r="E713" s="14"/>
      <c r="F713" s="96"/>
    </row>
    <row r="714">
      <c r="A714" s="12"/>
      <c r="D714" s="95"/>
      <c r="E714" s="14"/>
      <c r="F714" s="96"/>
    </row>
    <row r="715">
      <c r="A715" s="12"/>
      <c r="D715" s="95"/>
      <c r="E715" s="14"/>
      <c r="F715" s="96"/>
    </row>
    <row r="716">
      <c r="A716" s="12"/>
      <c r="D716" s="95"/>
      <c r="E716" s="14"/>
      <c r="F716" s="96"/>
    </row>
    <row r="717">
      <c r="A717" s="12"/>
      <c r="D717" s="95"/>
      <c r="E717" s="14"/>
      <c r="F717" s="96"/>
    </row>
    <row r="718">
      <c r="A718" s="12"/>
      <c r="D718" s="95"/>
      <c r="E718" s="14"/>
      <c r="F718" s="96"/>
    </row>
    <row r="719">
      <c r="A719" s="12"/>
      <c r="D719" s="95"/>
      <c r="E719" s="14"/>
      <c r="F719" s="96"/>
    </row>
    <row r="720">
      <c r="A720" s="12"/>
      <c r="D720" s="95"/>
      <c r="E720" s="14"/>
      <c r="F720" s="96"/>
    </row>
    <row r="721">
      <c r="A721" s="12"/>
      <c r="D721" s="95"/>
      <c r="E721" s="14"/>
      <c r="F721" s="96"/>
    </row>
    <row r="722">
      <c r="A722" s="12"/>
      <c r="D722" s="95"/>
      <c r="E722" s="14"/>
      <c r="F722" s="96"/>
    </row>
    <row r="723">
      <c r="A723" s="12"/>
      <c r="D723" s="95"/>
      <c r="E723" s="14"/>
      <c r="F723" s="96"/>
    </row>
    <row r="724">
      <c r="A724" s="12"/>
      <c r="D724" s="95"/>
      <c r="E724" s="14"/>
      <c r="F724" s="96"/>
    </row>
    <row r="725">
      <c r="A725" s="12"/>
      <c r="D725" s="95"/>
      <c r="E725" s="14"/>
      <c r="F725" s="96"/>
    </row>
    <row r="726">
      <c r="A726" s="12"/>
      <c r="D726" s="95"/>
      <c r="E726" s="14"/>
      <c r="F726" s="96"/>
    </row>
    <row r="727">
      <c r="A727" s="12"/>
      <c r="D727" s="95"/>
      <c r="E727" s="14"/>
      <c r="F727" s="96"/>
    </row>
    <row r="728">
      <c r="A728" s="12"/>
      <c r="D728" s="95"/>
      <c r="E728" s="14"/>
      <c r="F728" s="96"/>
    </row>
    <row r="729">
      <c r="A729" s="12"/>
      <c r="D729" s="95"/>
      <c r="E729" s="14"/>
      <c r="F729" s="96"/>
    </row>
    <row r="730">
      <c r="A730" s="12"/>
      <c r="D730" s="95"/>
      <c r="E730" s="14"/>
      <c r="F730" s="96"/>
    </row>
    <row r="731">
      <c r="A731" s="12"/>
      <c r="D731" s="95"/>
      <c r="E731" s="14"/>
      <c r="F731" s="96"/>
    </row>
    <row r="732">
      <c r="A732" s="12"/>
      <c r="D732" s="95"/>
      <c r="E732" s="14"/>
      <c r="F732" s="96"/>
    </row>
    <row r="733">
      <c r="A733" s="12"/>
      <c r="D733" s="95"/>
      <c r="E733" s="14"/>
      <c r="F733" s="96"/>
    </row>
    <row r="734">
      <c r="A734" s="12"/>
      <c r="D734" s="95"/>
      <c r="E734" s="14"/>
      <c r="F734" s="96"/>
    </row>
    <row r="735">
      <c r="A735" s="12"/>
      <c r="D735" s="95"/>
      <c r="E735" s="14"/>
      <c r="F735" s="96"/>
    </row>
    <row r="736">
      <c r="A736" s="12"/>
      <c r="D736" s="95"/>
      <c r="E736" s="14"/>
      <c r="F736" s="96"/>
    </row>
    <row r="737">
      <c r="A737" s="12"/>
      <c r="D737" s="95"/>
      <c r="E737" s="14"/>
      <c r="F737" s="96"/>
    </row>
    <row r="738">
      <c r="A738" s="12"/>
      <c r="D738" s="95"/>
      <c r="E738" s="14"/>
      <c r="F738" s="96"/>
    </row>
    <row r="739">
      <c r="A739" s="12"/>
      <c r="D739" s="95"/>
      <c r="E739" s="14"/>
      <c r="F739" s="96"/>
    </row>
    <row r="740">
      <c r="A740" s="12"/>
      <c r="D740" s="95"/>
      <c r="E740" s="14"/>
      <c r="F740" s="96"/>
    </row>
    <row r="741">
      <c r="A741" s="12"/>
      <c r="D741" s="95"/>
      <c r="E741" s="14"/>
      <c r="F741" s="96"/>
    </row>
    <row r="742">
      <c r="A742" s="12"/>
      <c r="D742" s="95"/>
      <c r="E742" s="14"/>
      <c r="F742" s="96"/>
    </row>
    <row r="743">
      <c r="A743" s="12"/>
      <c r="D743" s="95"/>
      <c r="E743" s="14"/>
      <c r="F743" s="96"/>
    </row>
    <row r="744">
      <c r="A744" s="12"/>
      <c r="D744" s="95"/>
      <c r="E744" s="14"/>
      <c r="F744" s="96"/>
    </row>
    <row r="745">
      <c r="A745" s="12"/>
      <c r="D745" s="95"/>
      <c r="E745" s="14"/>
      <c r="F745" s="96"/>
    </row>
    <row r="746">
      <c r="A746" s="12"/>
      <c r="D746" s="95"/>
      <c r="E746" s="14"/>
      <c r="F746" s="96"/>
    </row>
    <row r="747">
      <c r="A747" s="12"/>
      <c r="D747" s="95"/>
      <c r="E747" s="14"/>
      <c r="F747" s="96"/>
    </row>
    <row r="748">
      <c r="A748" s="12"/>
      <c r="D748" s="95"/>
      <c r="E748" s="14"/>
      <c r="F748" s="96"/>
    </row>
    <row r="749">
      <c r="A749" s="12"/>
      <c r="D749" s="95"/>
      <c r="E749" s="14"/>
      <c r="F749" s="96"/>
    </row>
    <row r="750">
      <c r="A750" s="12"/>
      <c r="D750" s="95"/>
      <c r="E750" s="14"/>
      <c r="F750" s="96"/>
    </row>
    <row r="751">
      <c r="A751" s="12"/>
      <c r="D751" s="95"/>
      <c r="E751" s="14"/>
      <c r="F751" s="96"/>
    </row>
    <row r="752">
      <c r="A752" s="12"/>
      <c r="D752" s="95"/>
      <c r="E752" s="14"/>
      <c r="F752" s="96"/>
    </row>
    <row r="753">
      <c r="A753" s="12"/>
      <c r="D753" s="95"/>
      <c r="E753" s="14"/>
      <c r="F753" s="96"/>
    </row>
    <row r="754">
      <c r="A754" s="12"/>
      <c r="D754" s="95"/>
      <c r="E754" s="14"/>
      <c r="F754" s="96"/>
    </row>
    <row r="755">
      <c r="A755" s="12"/>
      <c r="D755" s="95"/>
      <c r="E755" s="14"/>
      <c r="F755" s="96"/>
    </row>
    <row r="756">
      <c r="A756" s="12"/>
      <c r="D756" s="95"/>
      <c r="E756" s="14"/>
      <c r="F756" s="96"/>
    </row>
    <row r="757">
      <c r="A757" s="12"/>
      <c r="D757" s="95"/>
      <c r="E757" s="14"/>
      <c r="F757" s="96"/>
    </row>
    <row r="758">
      <c r="A758" s="12"/>
      <c r="D758" s="95"/>
      <c r="E758" s="14"/>
      <c r="F758" s="96"/>
    </row>
    <row r="759">
      <c r="A759" s="12"/>
      <c r="D759" s="95"/>
      <c r="E759" s="14"/>
      <c r="F759" s="96"/>
    </row>
    <row r="760">
      <c r="A760" s="12"/>
      <c r="D760" s="95"/>
      <c r="E760" s="14"/>
      <c r="F760" s="96"/>
    </row>
    <row r="761">
      <c r="A761" s="12"/>
      <c r="D761" s="95"/>
      <c r="E761" s="14"/>
      <c r="F761" s="96"/>
    </row>
    <row r="762">
      <c r="A762" s="12"/>
      <c r="D762" s="95"/>
      <c r="E762" s="14"/>
      <c r="F762" s="96"/>
    </row>
    <row r="763">
      <c r="A763" s="12"/>
      <c r="D763" s="95"/>
      <c r="E763" s="14"/>
      <c r="F763" s="96"/>
    </row>
    <row r="764">
      <c r="A764" s="12"/>
      <c r="D764" s="95"/>
      <c r="E764" s="14"/>
      <c r="F764" s="96"/>
    </row>
    <row r="765">
      <c r="A765" s="12"/>
      <c r="D765" s="95"/>
      <c r="E765" s="14"/>
      <c r="F765" s="96"/>
    </row>
    <row r="766">
      <c r="A766" s="12"/>
      <c r="D766" s="95"/>
      <c r="E766" s="14"/>
      <c r="F766" s="96"/>
    </row>
    <row r="767">
      <c r="A767" s="12"/>
      <c r="D767" s="95"/>
      <c r="E767" s="14"/>
      <c r="F767" s="96"/>
    </row>
    <row r="768">
      <c r="A768" s="12"/>
      <c r="D768" s="95"/>
      <c r="E768" s="14"/>
      <c r="F768" s="96"/>
    </row>
    <row r="769">
      <c r="A769" s="12"/>
      <c r="D769" s="95"/>
      <c r="E769" s="14"/>
      <c r="F769" s="96"/>
    </row>
    <row r="770">
      <c r="A770" s="12"/>
      <c r="D770" s="95"/>
      <c r="E770" s="14"/>
      <c r="F770" s="96"/>
    </row>
    <row r="771">
      <c r="A771" s="12"/>
      <c r="D771" s="95"/>
      <c r="E771" s="14"/>
      <c r="F771" s="96"/>
    </row>
    <row r="772">
      <c r="A772" s="12"/>
      <c r="D772" s="95"/>
      <c r="E772" s="14"/>
      <c r="F772" s="96"/>
    </row>
    <row r="773">
      <c r="A773" s="12"/>
      <c r="D773" s="95"/>
      <c r="E773" s="14"/>
      <c r="F773" s="96"/>
    </row>
    <row r="774">
      <c r="A774" s="12"/>
      <c r="D774" s="95"/>
      <c r="E774" s="14"/>
      <c r="F774" s="96"/>
    </row>
    <row r="775">
      <c r="A775" s="12"/>
      <c r="D775" s="95"/>
      <c r="E775" s="14"/>
      <c r="F775" s="96"/>
    </row>
    <row r="776">
      <c r="A776" s="12"/>
      <c r="D776" s="95"/>
      <c r="E776" s="14"/>
      <c r="F776" s="96"/>
    </row>
    <row r="777">
      <c r="A777" s="12"/>
      <c r="D777" s="95"/>
      <c r="E777" s="14"/>
      <c r="F777" s="96"/>
    </row>
    <row r="778">
      <c r="A778" s="12"/>
      <c r="D778" s="95"/>
      <c r="E778" s="14"/>
      <c r="F778" s="96"/>
    </row>
    <row r="779">
      <c r="A779" s="12"/>
      <c r="D779" s="95"/>
      <c r="E779" s="14"/>
      <c r="F779" s="96"/>
    </row>
    <row r="780">
      <c r="A780" s="12"/>
      <c r="D780" s="95"/>
      <c r="E780" s="14"/>
      <c r="F780" s="96"/>
    </row>
    <row r="781">
      <c r="A781" s="12"/>
      <c r="D781" s="95"/>
      <c r="E781" s="14"/>
      <c r="F781" s="96"/>
    </row>
    <row r="782">
      <c r="A782" s="12"/>
      <c r="D782" s="95"/>
      <c r="E782" s="14"/>
      <c r="F782" s="96"/>
    </row>
    <row r="783">
      <c r="A783" s="12"/>
      <c r="D783" s="95"/>
      <c r="E783" s="14"/>
      <c r="F783" s="96"/>
    </row>
    <row r="784">
      <c r="A784" s="12"/>
      <c r="D784" s="95"/>
      <c r="E784" s="14"/>
      <c r="F784" s="96"/>
    </row>
    <row r="785">
      <c r="A785" s="12"/>
      <c r="D785" s="95"/>
      <c r="E785" s="14"/>
      <c r="F785" s="96"/>
    </row>
    <row r="786">
      <c r="A786" s="12"/>
      <c r="D786" s="95"/>
      <c r="E786" s="14"/>
      <c r="F786" s="96"/>
    </row>
    <row r="787">
      <c r="A787" s="12"/>
      <c r="D787" s="95"/>
      <c r="E787" s="14"/>
      <c r="F787" s="96"/>
    </row>
    <row r="788">
      <c r="A788" s="12"/>
      <c r="D788" s="95"/>
      <c r="E788" s="14"/>
      <c r="F788" s="96"/>
    </row>
    <row r="789">
      <c r="A789" s="12"/>
      <c r="D789" s="95"/>
      <c r="E789" s="14"/>
      <c r="F789" s="96"/>
    </row>
    <row r="790">
      <c r="A790" s="12"/>
      <c r="D790" s="95"/>
      <c r="E790" s="14"/>
      <c r="F790" s="96"/>
    </row>
    <row r="791">
      <c r="A791" s="12"/>
      <c r="D791" s="95"/>
      <c r="E791" s="14"/>
      <c r="F791" s="96"/>
    </row>
    <row r="792">
      <c r="A792" s="12"/>
      <c r="D792" s="95"/>
      <c r="E792" s="14"/>
      <c r="F792" s="96"/>
    </row>
    <row r="793">
      <c r="A793" s="12"/>
      <c r="D793" s="95"/>
      <c r="E793" s="14"/>
      <c r="F793" s="96"/>
    </row>
    <row r="794">
      <c r="A794" s="12"/>
      <c r="D794" s="95"/>
      <c r="E794" s="14"/>
      <c r="F794" s="96"/>
    </row>
    <row r="795">
      <c r="A795" s="12"/>
      <c r="D795" s="95"/>
      <c r="E795" s="14"/>
      <c r="F795" s="96"/>
    </row>
    <row r="796">
      <c r="A796" s="12"/>
      <c r="D796" s="95"/>
      <c r="E796" s="14"/>
      <c r="F796" s="96"/>
    </row>
    <row r="797">
      <c r="A797" s="12"/>
      <c r="D797" s="95"/>
      <c r="E797" s="14"/>
      <c r="F797" s="96"/>
    </row>
    <row r="798">
      <c r="A798" s="12"/>
      <c r="D798" s="95"/>
      <c r="E798" s="14"/>
      <c r="F798" s="96"/>
    </row>
    <row r="799">
      <c r="A799" s="12"/>
      <c r="D799" s="95"/>
      <c r="E799" s="14"/>
      <c r="F799" s="96"/>
    </row>
    <row r="800">
      <c r="A800" s="12"/>
      <c r="D800" s="95"/>
      <c r="E800" s="14"/>
      <c r="F800" s="96"/>
    </row>
    <row r="801">
      <c r="A801" s="12"/>
      <c r="D801" s="95"/>
      <c r="E801" s="14"/>
      <c r="F801" s="96"/>
    </row>
    <row r="802">
      <c r="A802" s="12"/>
      <c r="D802" s="95"/>
      <c r="E802" s="14"/>
      <c r="F802" s="96"/>
    </row>
    <row r="803">
      <c r="A803" s="12"/>
      <c r="D803" s="95"/>
      <c r="E803" s="14"/>
      <c r="F803" s="96"/>
    </row>
    <row r="804">
      <c r="A804" s="12"/>
      <c r="D804" s="95"/>
      <c r="E804" s="14"/>
      <c r="F804" s="96"/>
    </row>
    <row r="805">
      <c r="A805" s="12"/>
      <c r="D805" s="95"/>
      <c r="E805" s="14"/>
      <c r="F805" s="96"/>
    </row>
    <row r="806">
      <c r="A806" s="12"/>
      <c r="D806" s="95"/>
      <c r="E806" s="14"/>
      <c r="F806" s="96"/>
    </row>
    <row r="807">
      <c r="A807" s="12"/>
      <c r="D807" s="95"/>
      <c r="E807" s="14"/>
      <c r="F807" s="96"/>
    </row>
    <row r="808">
      <c r="A808" s="12"/>
      <c r="D808" s="95"/>
      <c r="E808" s="14"/>
      <c r="F808" s="96"/>
    </row>
    <row r="809">
      <c r="A809" s="12"/>
      <c r="D809" s="95"/>
      <c r="E809" s="14"/>
      <c r="F809" s="96"/>
    </row>
    <row r="810">
      <c r="A810" s="12"/>
      <c r="D810" s="95"/>
      <c r="E810" s="14"/>
      <c r="F810" s="96"/>
    </row>
    <row r="811">
      <c r="A811" s="12"/>
      <c r="D811" s="95"/>
      <c r="E811" s="14"/>
      <c r="F811" s="96"/>
    </row>
    <row r="812">
      <c r="A812" s="12"/>
      <c r="D812" s="95"/>
      <c r="E812" s="14"/>
      <c r="F812" s="96"/>
    </row>
    <row r="813">
      <c r="A813" s="12"/>
      <c r="D813" s="95"/>
      <c r="E813" s="14"/>
      <c r="F813" s="96"/>
    </row>
    <row r="814">
      <c r="A814" s="12"/>
      <c r="D814" s="95"/>
      <c r="E814" s="14"/>
      <c r="F814" s="96"/>
    </row>
    <row r="815">
      <c r="A815" s="12"/>
      <c r="D815" s="95"/>
      <c r="E815" s="14"/>
      <c r="F815" s="96"/>
    </row>
    <row r="816">
      <c r="A816" s="12"/>
      <c r="D816" s="95"/>
      <c r="E816" s="14"/>
      <c r="F816" s="96"/>
    </row>
    <row r="817">
      <c r="A817" s="12"/>
      <c r="D817" s="95"/>
      <c r="E817" s="14"/>
      <c r="F817" s="96"/>
    </row>
    <row r="818">
      <c r="A818" s="12"/>
      <c r="D818" s="95"/>
      <c r="E818" s="14"/>
      <c r="F818" s="96"/>
    </row>
    <row r="819">
      <c r="A819" s="12"/>
      <c r="D819" s="95"/>
      <c r="E819" s="14"/>
      <c r="F819" s="96"/>
    </row>
    <row r="820">
      <c r="A820" s="12"/>
      <c r="D820" s="95"/>
      <c r="E820" s="14"/>
      <c r="F820" s="96"/>
    </row>
    <row r="821">
      <c r="A821" s="12"/>
      <c r="D821" s="95"/>
      <c r="E821" s="14"/>
      <c r="F821" s="96"/>
    </row>
    <row r="822">
      <c r="A822" s="12"/>
      <c r="D822" s="95"/>
      <c r="E822" s="14"/>
      <c r="F822" s="96"/>
    </row>
    <row r="823">
      <c r="A823" s="12"/>
      <c r="D823" s="95"/>
      <c r="E823" s="14"/>
      <c r="F823" s="96"/>
    </row>
    <row r="824">
      <c r="A824" s="12"/>
      <c r="D824" s="95"/>
      <c r="E824" s="14"/>
      <c r="F824" s="96"/>
    </row>
    <row r="825">
      <c r="A825" s="12"/>
      <c r="D825" s="95"/>
      <c r="E825" s="14"/>
      <c r="F825" s="96"/>
    </row>
    <row r="826">
      <c r="A826" s="12"/>
      <c r="D826" s="95"/>
      <c r="E826" s="14"/>
      <c r="F826" s="96"/>
    </row>
    <row r="827">
      <c r="A827" s="12"/>
      <c r="D827" s="95"/>
      <c r="E827" s="14"/>
      <c r="F827" s="96"/>
    </row>
    <row r="828">
      <c r="A828" s="12"/>
      <c r="D828" s="95"/>
      <c r="E828" s="14"/>
      <c r="F828" s="96"/>
    </row>
    <row r="829">
      <c r="A829" s="12"/>
      <c r="D829" s="95"/>
      <c r="E829" s="14"/>
      <c r="F829" s="96"/>
    </row>
    <row r="830">
      <c r="A830" s="12"/>
      <c r="D830" s="95"/>
      <c r="E830" s="14"/>
      <c r="F830" s="96"/>
    </row>
    <row r="831">
      <c r="A831" s="12"/>
      <c r="D831" s="95"/>
      <c r="E831" s="14"/>
      <c r="F831" s="96"/>
    </row>
    <row r="832">
      <c r="A832" s="12"/>
      <c r="D832" s="95"/>
      <c r="E832" s="14"/>
      <c r="F832" s="96"/>
    </row>
    <row r="833">
      <c r="A833" s="12"/>
      <c r="D833" s="95"/>
      <c r="E833" s="14"/>
      <c r="F833" s="96"/>
    </row>
    <row r="834">
      <c r="A834" s="12"/>
      <c r="D834" s="95"/>
      <c r="E834" s="14"/>
      <c r="F834" s="96"/>
    </row>
    <row r="835">
      <c r="A835" s="12"/>
      <c r="D835" s="95"/>
      <c r="E835" s="14"/>
      <c r="F835" s="96"/>
    </row>
    <row r="836">
      <c r="A836" s="12"/>
      <c r="D836" s="95"/>
      <c r="E836" s="14"/>
      <c r="F836" s="96"/>
    </row>
    <row r="837">
      <c r="A837" s="12"/>
      <c r="D837" s="95"/>
      <c r="E837" s="14"/>
      <c r="F837" s="96"/>
    </row>
    <row r="838">
      <c r="A838" s="12"/>
      <c r="D838" s="95"/>
      <c r="E838" s="14"/>
      <c r="F838" s="96"/>
    </row>
    <row r="839">
      <c r="A839" s="12"/>
      <c r="D839" s="95"/>
      <c r="E839" s="14"/>
      <c r="F839" s="96"/>
    </row>
    <row r="840">
      <c r="A840" s="12"/>
      <c r="D840" s="95"/>
      <c r="E840" s="14"/>
      <c r="F840" s="96"/>
    </row>
    <row r="841">
      <c r="A841" s="12"/>
      <c r="D841" s="95"/>
      <c r="E841" s="14"/>
      <c r="F841" s="96"/>
    </row>
    <row r="842">
      <c r="A842" s="12"/>
      <c r="D842" s="95"/>
      <c r="E842" s="14"/>
      <c r="F842" s="96"/>
    </row>
    <row r="843">
      <c r="A843" s="12"/>
      <c r="D843" s="95"/>
      <c r="E843" s="14"/>
      <c r="F843" s="96"/>
    </row>
    <row r="844">
      <c r="A844" s="12"/>
      <c r="D844" s="95"/>
      <c r="E844" s="14"/>
      <c r="F844" s="96"/>
    </row>
    <row r="845">
      <c r="A845" s="12"/>
      <c r="D845" s="95"/>
      <c r="E845" s="14"/>
      <c r="F845" s="96"/>
    </row>
    <row r="846">
      <c r="A846" s="12"/>
      <c r="D846" s="95"/>
      <c r="E846" s="14"/>
      <c r="F846" s="96"/>
    </row>
    <row r="847">
      <c r="A847" s="12"/>
      <c r="D847" s="95"/>
      <c r="E847" s="14"/>
      <c r="F847" s="96"/>
    </row>
    <row r="848">
      <c r="A848" s="12"/>
      <c r="D848" s="95"/>
      <c r="E848" s="14"/>
      <c r="F848" s="96"/>
    </row>
    <row r="849">
      <c r="A849" s="12"/>
      <c r="D849" s="95"/>
      <c r="E849" s="14"/>
      <c r="F849" s="96"/>
    </row>
    <row r="850">
      <c r="A850" s="12"/>
      <c r="D850" s="95"/>
      <c r="E850" s="14"/>
      <c r="F850" s="96"/>
    </row>
    <row r="851">
      <c r="A851" s="12"/>
      <c r="D851" s="95"/>
      <c r="E851" s="14"/>
      <c r="F851" s="96"/>
    </row>
    <row r="852">
      <c r="A852" s="12"/>
      <c r="D852" s="95"/>
      <c r="E852" s="14"/>
      <c r="F852" s="96"/>
    </row>
    <row r="853">
      <c r="A853" s="12"/>
      <c r="D853" s="95"/>
      <c r="E853" s="14"/>
      <c r="F853" s="96"/>
    </row>
    <row r="854">
      <c r="A854" s="12"/>
      <c r="D854" s="95"/>
      <c r="E854" s="14"/>
      <c r="F854" s="96"/>
    </row>
    <row r="855">
      <c r="A855" s="12"/>
      <c r="D855" s="95"/>
      <c r="E855" s="14"/>
      <c r="F855" s="96"/>
    </row>
    <row r="856">
      <c r="A856" s="12"/>
      <c r="D856" s="95"/>
      <c r="E856" s="14"/>
      <c r="F856" s="96"/>
    </row>
    <row r="857">
      <c r="A857" s="12"/>
      <c r="D857" s="95"/>
      <c r="E857" s="14"/>
      <c r="F857" s="96"/>
    </row>
    <row r="858">
      <c r="A858" s="12"/>
      <c r="D858" s="95"/>
      <c r="E858" s="14"/>
      <c r="F858" s="96"/>
    </row>
    <row r="859">
      <c r="A859" s="12"/>
      <c r="D859" s="95"/>
      <c r="E859" s="14"/>
      <c r="F859" s="96"/>
    </row>
    <row r="860">
      <c r="A860" s="12"/>
      <c r="D860" s="95"/>
      <c r="E860" s="14"/>
      <c r="F860" s="96"/>
    </row>
    <row r="861">
      <c r="A861" s="12"/>
      <c r="D861" s="95"/>
      <c r="E861" s="14"/>
      <c r="F861" s="96"/>
    </row>
    <row r="862">
      <c r="A862" s="12"/>
      <c r="D862" s="95"/>
      <c r="E862" s="14"/>
      <c r="F862" s="96"/>
    </row>
    <row r="863">
      <c r="A863" s="12"/>
      <c r="D863" s="95"/>
      <c r="E863" s="14"/>
      <c r="F863" s="96"/>
    </row>
    <row r="864">
      <c r="A864" s="12"/>
      <c r="D864" s="95"/>
      <c r="E864" s="14"/>
      <c r="F864" s="96"/>
    </row>
    <row r="865">
      <c r="A865" s="12"/>
      <c r="D865" s="95"/>
      <c r="E865" s="14"/>
      <c r="F865" s="96"/>
    </row>
    <row r="866">
      <c r="A866" s="12"/>
      <c r="D866" s="95"/>
      <c r="E866" s="14"/>
      <c r="F866" s="96"/>
    </row>
    <row r="867">
      <c r="A867" s="12"/>
      <c r="D867" s="95"/>
      <c r="E867" s="14"/>
      <c r="F867" s="96"/>
    </row>
    <row r="868">
      <c r="A868" s="12"/>
      <c r="D868" s="95"/>
      <c r="E868" s="14"/>
      <c r="F868" s="96"/>
    </row>
    <row r="869">
      <c r="A869" s="12"/>
      <c r="D869" s="95"/>
      <c r="E869" s="14"/>
      <c r="F869" s="96"/>
    </row>
    <row r="870">
      <c r="A870" s="12"/>
      <c r="D870" s="95"/>
      <c r="E870" s="14"/>
      <c r="F870" s="96"/>
    </row>
    <row r="871">
      <c r="A871" s="12"/>
      <c r="D871" s="95"/>
      <c r="E871" s="14"/>
      <c r="F871" s="96"/>
    </row>
    <row r="872">
      <c r="A872" s="12"/>
      <c r="D872" s="95"/>
      <c r="E872" s="14"/>
      <c r="F872" s="96"/>
    </row>
    <row r="873">
      <c r="A873" s="12"/>
      <c r="D873" s="95"/>
      <c r="E873" s="14"/>
      <c r="F873" s="96"/>
    </row>
    <row r="874">
      <c r="A874" s="12"/>
      <c r="D874" s="95"/>
      <c r="E874" s="14"/>
      <c r="F874" s="96"/>
    </row>
    <row r="875">
      <c r="A875" s="12"/>
      <c r="D875" s="95"/>
      <c r="E875" s="14"/>
      <c r="F875" s="96"/>
    </row>
    <row r="876">
      <c r="A876" s="12"/>
      <c r="D876" s="95"/>
      <c r="E876" s="14"/>
      <c r="F876" s="96"/>
    </row>
    <row r="877">
      <c r="A877" s="12"/>
      <c r="D877" s="95"/>
      <c r="E877" s="14"/>
      <c r="F877" s="96"/>
    </row>
    <row r="878">
      <c r="A878" s="12"/>
      <c r="D878" s="95"/>
      <c r="E878" s="14"/>
      <c r="F878" s="96"/>
    </row>
    <row r="879">
      <c r="A879" s="12"/>
      <c r="D879" s="95"/>
      <c r="E879" s="14"/>
      <c r="F879" s="96"/>
    </row>
    <row r="880">
      <c r="A880" s="12"/>
      <c r="D880" s="95"/>
      <c r="E880" s="14"/>
      <c r="F880" s="96"/>
    </row>
    <row r="881">
      <c r="A881" s="12"/>
      <c r="D881" s="95"/>
      <c r="E881" s="14"/>
      <c r="F881" s="96"/>
    </row>
    <row r="882">
      <c r="A882" s="12"/>
      <c r="D882" s="95"/>
      <c r="E882" s="14"/>
      <c r="F882" s="96"/>
    </row>
    <row r="883">
      <c r="A883" s="12"/>
      <c r="D883" s="95"/>
      <c r="E883" s="14"/>
      <c r="F883" s="96"/>
    </row>
    <row r="884">
      <c r="A884" s="12"/>
      <c r="D884" s="95"/>
      <c r="E884" s="14"/>
      <c r="F884" s="96"/>
    </row>
    <row r="885">
      <c r="A885" s="12"/>
      <c r="D885" s="95"/>
      <c r="E885" s="14"/>
      <c r="F885" s="96"/>
    </row>
    <row r="886">
      <c r="A886" s="12"/>
      <c r="D886" s="95"/>
      <c r="E886" s="14"/>
      <c r="F886" s="96"/>
    </row>
    <row r="887">
      <c r="A887" s="12"/>
      <c r="D887" s="95"/>
      <c r="E887" s="14"/>
      <c r="F887" s="96"/>
    </row>
    <row r="888">
      <c r="A888" s="12"/>
      <c r="D888" s="95"/>
      <c r="E888" s="14"/>
      <c r="F888" s="96"/>
    </row>
    <row r="889">
      <c r="A889" s="12"/>
      <c r="D889" s="95"/>
      <c r="E889" s="14"/>
      <c r="F889" s="96"/>
    </row>
    <row r="890">
      <c r="A890" s="12"/>
      <c r="D890" s="95"/>
      <c r="E890" s="14"/>
      <c r="F890" s="96"/>
    </row>
    <row r="891">
      <c r="A891" s="12"/>
      <c r="D891" s="95"/>
      <c r="E891" s="14"/>
      <c r="F891" s="96"/>
    </row>
    <row r="892">
      <c r="A892" s="12"/>
      <c r="D892" s="95"/>
      <c r="E892" s="14"/>
      <c r="F892" s="96"/>
    </row>
    <row r="893">
      <c r="A893" s="12"/>
      <c r="D893" s="95"/>
      <c r="E893" s="14"/>
      <c r="F893" s="96"/>
    </row>
    <row r="894">
      <c r="A894" s="12"/>
      <c r="D894" s="95"/>
      <c r="E894" s="14"/>
      <c r="F894" s="96"/>
    </row>
    <row r="895">
      <c r="A895" s="12"/>
      <c r="D895" s="95"/>
      <c r="E895" s="14"/>
      <c r="F895" s="96"/>
    </row>
    <row r="896">
      <c r="A896" s="12"/>
      <c r="D896" s="95"/>
      <c r="E896" s="14"/>
      <c r="F896" s="96"/>
    </row>
    <row r="897">
      <c r="A897" s="12"/>
      <c r="D897" s="95"/>
      <c r="E897" s="14"/>
      <c r="F897" s="96"/>
    </row>
    <row r="898">
      <c r="A898" s="12"/>
      <c r="D898" s="95"/>
      <c r="E898" s="14"/>
      <c r="F898" s="96"/>
    </row>
    <row r="899">
      <c r="A899" s="12"/>
      <c r="D899" s="95"/>
      <c r="E899" s="14"/>
      <c r="F899" s="96"/>
    </row>
    <row r="900">
      <c r="A900" s="12"/>
      <c r="D900" s="95"/>
      <c r="E900" s="14"/>
      <c r="F900" s="96"/>
    </row>
    <row r="901">
      <c r="A901" s="12"/>
      <c r="D901" s="95"/>
      <c r="E901" s="14"/>
      <c r="F901" s="96"/>
    </row>
    <row r="902">
      <c r="A902" s="12"/>
      <c r="D902" s="95"/>
      <c r="E902" s="14"/>
      <c r="F902" s="96"/>
    </row>
    <row r="903">
      <c r="A903" s="12"/>
      <c r="D903" s="95"/>
      <c r="E903" s="14"/>
      <c r="F903" s="96"/>
    </row>
    <row r="904">
      <c r="A904" s="12"/>
      <c r="D904" s="95"/>
      <c r="E904" s="14"/>
      <c r="F904" s="96"/>
    </row>
    <row r="905">
      <c r="A905" s="12"/>
      <c r="D905" s="95"/>
      <c r="E905" s="14"/>
      <c r="F905" s="96"/>
    </row>
    <row r="906">
      <c r="A906" s="12"/>
      <c r="D906" s="95"/>
      <c r="E906" s="14"/>
      <c r="F906" s="96"/>
    </row>
    <row r="907">
      <c r="A907" s="12"/>
      <c r="D907" s="95"/>
      <c r="E907" s="14"/>
      <c r="F907" s="96"/>
    </row>
    <row r="908">
      <c r="A908" s="12"/>
      <c r="D908" s="95"/>
      <c r="E908" s="14"/>
      <c r="F908" s="96"/>
    </row>
    <row r="909">
      <c r="A909" s="12"/>
      <c r="D909" s="95"/>
      <c r="E909" s="14"/>
      <c r="F909" s="96"/>
    </row>
    <row r="910">
      <c r="A910" s="12"/>
      <c r="D910" s="95"/>
      <c r="E910" s="14"/>
      <c r="F910" s="96"/>
    </row>
    <row r="911">
      <c r="A911" s="12"/>
      <c r="D911" s="95"/>
      <c r="E911" s="14"/>
      <c r="F911" s="96"/>
    </row>
    <row r="912">
      <c r="A912" s="12"/>
      <c r="D912" s="95"/>
      <c r="E912" s="14"/>
      <c r="F912" s="96"/>
    </row>
    <row r="913">
      <c r="A913" s="12"/>
      <c r="D913" s="95"/>
      <c r="E913" s="14"/>
      <c r="F913" s="96"/>
    </row>
    <row r="914">
      <c r="A914" s="12"/>
      <c r="D914" s="95"/>
      <c r="E914" s="14"/>
      <c r="F914" s="96"/>
    </row>
    <row r="915">
      <c r="A915" s="12"/>
      <c r="D915" s="95"/>
      <c r="E915" s="14"/>
      <c r="F915" s="96"/>
    </row>
    <row r="916">
      <c r="A916" s="12"/>
      <c r="D916" s="95"/>
      <c r="E916" s="14"/>
      <c r="F916" s="96"/>
    </row>
    <row r="917">
      <c r="A917" s="12"/>
      <c r="D917" s="95"/>
      <c r="E917" s="14"/>
      <c r="F917" s="96"/>
    </row>
    <row r="918">
      <c r="A918" s="12"/>
      <c r="D918" s="95"/>
      <c r="E918" s="14"/>
      <c r="F918" s="96"/>
    </row>
    <row r="919">
      <c r="A919" s="12"/>
      <c r="D919" s="95"/>
      <c r="E919" s="14"/>
      <c r="F919" s="96"/>
    </row>
    <row r="920">
      <c r="A920" s="12"/>
      <c r="D920" s="95"/>
      <c r="E920" s="14"/>
      <c r="F920" s="96"/>
    </row>
    <row r="921">
      <c r="A921" s="12"/>
      <c r="D921" s="95"/>
      <c r="E921" s="14"/>
      <c r="F921" s="96"/>
    </row>
    <row r="922">
      <c r="A922" s="12"/>
      <c r="D922" s="95"/>
      <c r="E922" s="14"/>
      <c r="F922" s="96"/>
    </row>
    <row r="923">
      <c r="A923" s="12"/>
      <c r="D923" s="95"/>
      <c r="E923" s="14"/>
      <c r="F923" s="96"/>
    </row>
    <row r="924">
      <c r="A924" s="12"/>
      <c r="D924" s="95"/>
      <c r="E924" s="14"/>
      <c r="F924" s="96"/>
    </row>
    <row r="925">
      <c r="A925" s="12"/>
      <c r="D925" s="95"/>
      <c r="E925" s="14"/>
      <c r="F925" s="96"/>
    </row>
    <row r="926">
      <c r="A926" s="12"/>
      <c r="D926" s="95"/>
      <c r="E926" s="14"/>
      <c r="F926" s="96"/>
    </row>
    <row r="927">
      <c r="A927" s="12"/>
      <c r="D927" s="95"/>
      <c r="E927" s="14"/>
      <c r="F927" s="96"/>
    </row>
    <row r="928">
      <c r="A928" s="12"/>
      <c r="D928" s="95"/>
      <c r="E928" s="14"/>
      <c r="F928" s="96"/>
    </row>
    <row r="929">
      <c r="A929" s="12"/>
      <c r="D929" s="95"/>
      <c r="E929" s="14"/>
      <c r="F929" s="96"/>
    </row>
    <row r="930">
      <c r="A930" s="12"/>
      <c r="D930" s="95"/>
      <c r="E930" s="14"/>
      <c r="F930" s="96"/>
    </row>
    <row r="931">
      <c r="A931" s="12"/>
      <c r="D931" s="95"/>
      <c r="E931" s="14"/>
      <c r="F931" s="96"/>
    </row>
    <row r="932">
      <c r="A932" s="12"/>
      <c r="D932" s="95"/>
      <c r="E932" s="14"/>
      <c r="F932" s="96"/>
    </row>
    <row r="933">
      <c r="A933" s="12"/>
      <c r="D933" s="95"/>
      <c r="E933" s="14"/>
      <c r="F933" s="96"/>
    </row>
    <row r="934">
      <c r="A934" s="12"/>
      <c r="D934" s="95"/>
      <c r="E934" s="14"/>
      <c r="F934" s="96"/>
    </row>
    <row r="935">
      <c r="A935" s="12"/>
      <c r="D935" s="95"/>
      <c r="E935" s="14"/>
      <c r="F935" s="96"/>
    </row>
    <row r="936">
      <c r="A936" s="12"/>
      <c r="D936" s="95"/>
      <c r="E936" s="14"/>
      <c r="F936" s="96"/>
    </row>
    <row r="937">
      <c r="A937" s="12"/>
      <c r="D937" s="95"/>
      <c r="E937" s="14"/>
      <c r="F937" s="96"/>
    </row>
    <row r="938">
      <c r="A938" s="12"/>
      <c r="D938" s="95"/>
      <c r="E938" s="14"/>
      <c r="F938" s="96"/>
    </row>
    <row r="939">
      <c r="A939" s="12"/>
      <c r="D939" s="95"/>
      <c r="E939" s="14"/>
      <c r="F939" s="96"/>
    </row>
    <row r="940">
      <c r="A940" s="12"/>
      <c r="D940" s="95"/>
      <c r="E940" s="14"/>
      <c r="F940" s="96"/>
    </row>
    <row r="941">
      <c r="A941" s="12"/>
      <c r="D941" s="95"/>
      <c r="E941" s="14"/>
      <c r="F941" s="96"/>
    </row>
    <row r="942">
      <c r="A942" s="12"/>
      <c r="D942" s="95"/>
      <c r="E942" s="14"/>
      <c r="F942" s="96"/>
    </row>
    <row r="943">
      <c r="A943" s="12"/>
      <c r="D943" s="95"/>
      <c r="E943" s="14"/>
      <c r="F943" s="96"/>
    </row>
    <row r="944">
      <c r="A944" s="12"/>
      <c r="D944" s="95"/>
      <c r="E944" s="14"/>
      <c r="F944" s="96"/>
    </row>
    <row r="945">
      <c r="A945" s="12"/>
      <c r="D945" s="95"/>
      <c r="E945" s="14"/>
      <c r="F945" s="96"/>
    </row>
    <row r="946">
      <c r="A946" s="12"/>
      <c r="D946" s="95"/>
      <c r="E946" s="14"/>
      <c r="F946" s="96"/>
    </row>
    <row r="947">
      <c r="A947" s="12"/>
      <c r="D947" s="95"/>
      <c r="E947" s="14"/>
      <c r="F947" s="96"/>
    </row>
    <row r="948">
      <c r="A948" s="12"/>
      <c r="D948" s="95"/>
      <c r="E948" s="14"/>
      <c r="F948" s="96"/>
    </row>
    <row r="949">
      <c r="A949" s="12"/>
      <c r="D949" s="95"/>
      <c r="E949" s="14"/>
      <c r="F949" s="96"/>
    </row>
    <row r="950">
      <c r="A950" s="12"/>
      <c r="D950" s="95"/>
      <c r="E950" s="14"/>
      <c r="F950" s="96"/>
    </row>
    <row r="951">
      <c r="A951" s="12"/>
      <c r="D951" s="95"/>
      <c r="E951" s="14"/>
      <c r="F951" s="96"/>
    </row>
    <row r="952">
      <c r="A952" s="12"/>
      <c r="D952" s="95"/>
      <c r="E952" s="14"/>
      <c r="F952" s="96"/>
    </row>
    <row r="953">
      <c r="A953" s="12"/>
      <c r="D953" s="95"/>
      <c r="E953" s="14"/>
      <c r="F953" s="96"/>
    </row>
    <row r="954">
      <c r="A954" s="12"/>
      <c r="D954" s="95"/>
      <c r="E954" s="14"/>
      <c r="F954" s="96"/>
    </row>
    <row r="955">
      <c r="A955" s="12"/>
      <c r="D955" s="95"/>
      <c r="E955" s="14"/>
      <c r="F955" s="96"/>
    </row>
    <row r="956">
      <c r="A956" s="12"/>
      <c r="D956" s="95"/>
      <c r="E956" s="14"/>
      <c r="F956" s="96"/>
    </row>
    <row r="957">
      <c r="A957" s="12"/>
      <c r="D957" s="95"/>
      <c r="E957" s="14"/>
      <c r="F957" s="96"/>
    </row>
    <row r="958">
      <c r="A958" s="12"/>
      <c r="D958" s="95"/>
      <c r="E958" s="14"/>
      <c r="F958" s="96"/>
    </row>
    <row r="959">
      <c r="A959" s="12"/>
      <c r="D959" s="95"/>
      <c r="E959" s="14"/>
      <c r="F959" s="96"/>
    </row>
    <row r="960">
      <c r="A960" s="12"/>
      <c r="D960" s="95"/>
      <c r="E960" s="14"/>
      <c r="F960" s="96"/>
    </row>
    <row r="961">
      <c r="A961" s="12"/>
      <c r="D961" s="95"/>
      <c r="E961" s="14"/>
      <c r="F961" s="96"/>
    </row>
    <row r="962">
      <c r="A962" s="12"/>
      <c r="D962" s="95"/>
      <c r="E962" s="14"/>
      <c r="F962" s="96"/>
    </row>
    <row r="963">
      <c r="A963" s="12"/>
      <c r="D963" s="95"/>
      <c r="E963" s="14"/>
      <c r="F963" s="96"/>
    </row>
    <row r="964">
      <c r="A964" s="12"/>
      <c r="D964" s="95"/>
      <c r="E964" s="14"/>
      <c r="F964" s="96"/>
    </row>
    <row r="965">
      <c r="A965" s="12"/>
      <c r="D965" s="95"/>
      <c r="E965" s="14"/>
      <c r="F965" s="96"/>
    </row>
    <row r="966">
      <c r="A966" s="12"/>
      <c r="D966" s="95"/>
      <c r="E966" s="14"/>
      <c r="F966" s="96"/>
    </row>
    <row r="967">
      <c r="A967" s="12"/>
      <c r="D967" s="95"/>
      <c r="E967" s="14"/>
      <c r="F967" s="96"/>
    </row>
    <row r="968">
      <c r="A968" s="12"/>
      <c r="D968" s="95"/>
      <c r="E968" s="14"/>
      <c r="F968" s="96"/>
    </row>
    <row r="969">
      <c r="A969" s="12"/>
      <c r="D969" s="95"/>
      <c r="E969" s="14"/>
      <c r="F969" s="96"/>
    </row>
    <row r="970">
      <c r="A970" s="12"/>
      <c r="D970" s="95"/>
      <c r="E970" s="14"/>
      <c r="F970" s="96"/>
    </row>
    <row r="971">
      <c r="A971" s="12"/>
      <c r="D971" s="95"/>
      <c r="E971" s="14"/>
      <c r="F971" s="96"/>
    </row>
    <row r="972">
      <c r="A972" s="12"/>
      <c r="D972" s="95"/>
      <c r="E972" s="14"/>
      <c r="F972" s="96"/>
    </row>
    <row r="973">
      <c r="A973" s="12"/>
      <c r="D973" s="95"/>
      <c r="E973" s="14"/>
      <c r="F973" s="96"/>
    </row>
    <row r="974">
      <c r="A974" s="12"/>
      <c r="D974" s="95"/>
      <c r="E974" s="14"/>
      <c r="F974" s="96"/>
    </row>
    <row r="975">
      <c r="A975" s="12"/>
      <c r="D975" s="95"/>
      <c r="E975" s="14"/>
      <c r="F975" s="96"/>
    </row>
    <row r="976">
      <c r="A976" s="12"/>
      <c r="D976" s="95"/>
      <c r="E976" s="14"/>
      <c r="F976" s="96"/>
    </row>
    <row r="977">
      <c r="A977" s="12"/>
      <c r="D977" s="95"/>
      <c r="E977" s="14"/>
      <c r="F977" s="96"/>
    </row>
    <row r="978">
      <c r="A978" s="12"/>
      <c r="D978" s="95"/>
      <c r="E978" s="14"/>
      <c r="F978" s="96"/>
    </row>
    <row r="979">
      <c r="A979" s="12"/>
      <c r="D979" s="95"/>
      <c r="E979" s="14"/>
      <c r="F979" s="96"/>
    </row>
    <row r="980">
      <c r="A980" s="12"/>
      <c r="D980" s="95"/>
      <c r="E980" s="14"/>
      <c r="F980" s="96"/>
    </row>
    <row r="981">
      <c r="A981" s="12"/>
      <c r="D981" s="95"/>
      <c r="E981" s="14"/>
      <c r="F981" s="96"/>
    </row>
    <row r="982">
      <c r="A982" s="12"/>
      <c r="D982" s="95"/>
      <c r="E982" s="14"/>
      <c r="F982" s="96"/>
    </row>
    <row r="983">
      <c r="A983" s="12"/>
      <c r="D983" s="95"/>
      <c r="E983" s="14"/>
      <c r="F983" s="96"/>
    </row>
    <row r="984">
      <c r="A984" s="12"/>
      <c r="D984" s="95"/>
      <c r="E984" s="14"/>
      <c r="F984" s="96"/>
    </row>
    <row r="985">
      <c r="A985" s="12"/>
      <c r="D985" s="95"/>
      <c r="E985" s="14"/>
      <c r="F985" s="96"/>
    </row>
    <row r="986">
      <c r="A986" s="12"/>
      <c r="D986" s="95"/>
      <c r="E986" s="14"/>
      <c r="F986" s="96"/>
    </row>
    <row r="987">
      <c r="A987" s="12"/>
      <c r="D987" s="95"/>
      <c r="E987" s="14"/>
      <c r="F987" s="96"/>
    </row>
    <row r="988">
      <c r="A988" s="12"/>
      <c r="D988" s="95"/>
      <c r="E988" s="14"/>
      <c r="F988" s="96"/>
    </row>
    <row r="989">
      <c r="A989" s="12"/>
      <c r="D989" s="95"/>
      <c r="E989" s="14"/>
      <c r="F989" s="96"/>
    </row>
    <row r="990">
      <c r="A990" s="12"/>
      <c r="D990" s="95"/>
      <c r="E990" s="14"/>
      <c r="F990" s="96"/>
    </row>
    <row r="991">
      <c r="A991" s="12"/>
      <c r="D991" s="95"/>
      <c r="E991" s="14"/>
      <c r="F991" s="96"/>
    </row>
    <row r="992">
      <c r="A992" s="12"/>
      <c r="D992" s="95"/>
      <c r="E992" s="14"/>
      <c r="F992" s="96"/>
    </row>
    <row r="993">
      <c r="A993" s="12"/>
      <c r="D993" s="95"/>
      <c r="E993" s="14"/>
      <c r="F993" s="96"/>
    </row>
    <row r="994">
      <c r="A994" s="12"/>
      <c r="D994" s="95"/>
      <c r="E994" s="14"/>
      <c r="F994" s="96"/>
    </row>
    <row r="995">
      <c r="A995" s="12"/>
      <c r="D995" s="95"/>
      <c r="E995" s="14"/>
      <c r="F995" s="96"/>
    </row>
    <row r="996">
      <c r="A996" s="12"/>
      <c r="D996" s="95"/>
      <c r="E996" s="14"/>
      <c r="F996" s="96"/>
    </row>
    <row r="997">
      <c r="A997" s="12"/>
      <c r="D997" s="95"/>
      <c r="E997" s="14"/>
      <c r="F997" s="96"/>
    </row>
    <row r="998">
      <c r="A998" s="12"/>
      <c r="D998" s="95"/>
      <c r="E998" s="14"/>
      <c r="F998" s="96"/>
    </row>
    <row r="999">
      <c r="A999" s="12"/>
      <c r="D999" s="95"/>
      <c r="E999" s="14"/>
      <c r="F999" s="96"/>
    </row>
    <row r="1000">
      <c r="A1000" s="12"/>
      <c r="D1000" s="95"/>
      <c r="E1000" s="14"/>
      <c r="F1000" s="96"/>
    </row>
    <row r="1001">
      <c r="A1001" s="12"/>
      <c r="D1001" s="95"/>
      <c r="E1001" s="14"/>
      <c r="F1001" s="96"/>
    </row>
    <row r="1002">
      <c r="A1002" s="12"/>
      <c r="D1002" s="95"/>
      <c r="E1002" s="14"/>
      <c r="F1002" s="96"/>
    </row>
    <row r="1003">
      <c r="A1003" s="12"/>
      <c r="D1003" s="95"/>
      <c r="E1003" s="14"/>
      <c r="F1003" s="96"/>
    </row>
    <row r="1004">
      <c r="A1004" s="12"/>
      <c r="D1004" s="95"/>
      <c r="E1004" s="14"/>
      <c r="F1004" s="96"/>
    </row>
    <row r="1005">
      <c r="A1005" s="12"/>
      <c r="D1005" s="95"/>
      <c r="E1005" s="14"/>
      <c r="F1005" s="96"/>
    </row>
    <row r="1006">
      <c r="A1006" s="12"/>
      <c r="D1006" s="95"/>
      <c r="E1006" s="14"/>
      <c r="F1006" s="96"/>
    </row>
    <row r="1007">
      <c r="A1007" s="12"/>
      <c r="D1007" s="95"/>
      <c r="E1007" s="14"/>
      <c r="F1007" s="96"/>
    </row>
    <row r="1008">
      <c r="A1008" s="12"/>
      <c r="D1008" s="95"/>
      <c r="E1008" s="14"/>
      <c r="F1008" s="96"/>
    </row>
    <row r="1009">
      <c r="A1009" s="12"/>
      <c r="D1009" s="95"/>
      <c r="E1009" s="14"/>
      <c r="F1009" s="96"/>
    </row>
    <row r="1010">
      <c r="A1010" s="12"/>
      <c r="D1010" s="95"/>
      <c r="E1010" s="14"/>
      <c r="F1010" s="96"/>
    </row>
    <row r="1011">
      <c r="A1011" s="12"/>
      <c r="D1011" s="95"/>
      <c r="E1011" s="14"/>
      <c r="F1011" s="96"/>
    </row>
    <row r="1012">
      <c r="A1012" s="12"/>
      <c r="D1012" s="95"/>
      <c r="E1012" s="14"/>
      <c r="F1012" s="96"/>
    </row>
  </sheetData>
  <conditionalFormatting sqref="H2:P33">
    <cfRule type="cellIs" dxfId="42" priority="1" operator="equal">
      <formula>0</formula>
    </cfRule>
  </conditionalFormatting>
  <conditionalFormatting sqref="O2:P33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33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33">
    <cfRule type="colorScale" priority="4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33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33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3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3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H2:H33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0:C47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0:F47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6:F37">
      <formula1>OR(NOT(ISERROR(DATEVALUE(F36))), AND(ISNUMBER(F36), LEFT(CELL("format", F36))="D"))</formula1>
    </dataValidation>
    <dataValidation type="list" allowBlank="1" showDropDown="1" sqref="C2:C33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63"/>
    <col customWidth="1" min="3" max="3" width="14.5"/>
    <col customWidth="1" min="4" max="4" width="33.0"/>
    <col customWidth="1" min="5" max="5" width="9.25"/>
    <col customWidth="1" min="6" max="6" width="29.2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1352" t="s">
        <v>48</v>
      </c>
      <c r="B1" s="1353" t="s">
        <v>49</v>
      </c>
      <c r="C1" s="1353" t="s">
        <v>50</v>
      </c>
      <c r="D1" s="1354" t="s">
        <v>56</v>
      </c>
      <c r="E1" s="1352" t="s">
        <v>57</v>
      </c>
      <c r="F1" s="1355" t="s">
        <v>52</v>
      </c>
      <c r="G1" s="1356" t="s">
        <v>53</v>
      </c>
      <c r="H1" s="1352" t="s">
        <v>4</v>
      </c>
      <c r="I1" s="1352" t="s">
        <v>58</v>
      </c>
      <c r="J1" s="1352" t="s">
        <v>59</v>
      </c>
      <c r="K1" s="1352" t="s">
        <v>60</v>
      </c>
      <c r="L1" s="1352" t="s">
        <v>61</v>
      </c>
      <c r="M1" s="1352" t="s">
        <v>62</v>
      </c>
      <c r="N1" s="1352" t="s">
        <v>63</v>
      </c>
      <c r="O1" s="1352" t="s">
        <v>387</v>
      </c>
      <c r="P1" s="1357" t="s">
        <v>64</v>
      </c>
      <c r="Q1" s="1352" t="s">
        <v>65</v>
      </c>
    </row>
    <row r="2" ht="22.5" customHeight="1">
      <c r="A2" s="1358">
        <v>1.0</v>
      </c>
      <c r="B2" s="1359" t="s">
        <v>2084</v>
      </c>
      <c r="C2" s="1360" t="s">
        <v>67</v>
      </c>
      <c r="D2" s="1361" t="s">
        <v>2085</v>
      </c>
      <c r="E2" s="1362" t="str">
        <f>IMAGE("https://flagcdn.com/w320/br.png")</f>
        <v/>
      </c>
      <c r="F2" s="1363">
        <v>36905.0</v>
      </c>
      <c r="G2" s="1364">
        <f t="shared" ref="G2:G30" si="1">DATEDIF(F2,TODAY(),"Y")</f>
        <v>25</v>
      </c>
      <c r="H2" s="1365">
        <f>1+1+1+1+1</f>
        <v>5</v>
      </c>
      <c r="I2" s="1365">
        <f>90+90+90+90+90</f>
        <v>450</v>
      </c>
      <c r="J2" s="1365"/>
      <c r="K2" s="1365"/>
      <c r="L2" s="1365"/>
      <c r="M2" s="1365"/>
      <c r="N2" s="1365"/>
      <c r="O2" s="1365">
        <f>1</f>
        <v>1</v>
      </c>
      <c r="P2" s="1365">
        <f t="shared" ref="P2:P30" si="2">J2+K2</f>
        <v>0</v>
      </c>
      <c r="Q2" s="1365">
        <f>1</f>
        <v>1</v>
      </c>
    </row>
    <row r="3" ht="22.5" customHeight="1">
      <c r="A3" s="1358">
        <v>3.0</v>
      </c>
      <c r="B3" s="1366" t="s">
        <v>2086</v>
      </c>
      <c r="C3" s="1360" t="s">
        <v>70</v>
      </c>
      <c r="D3" s="1361" t="s">
        <v>83</v>
      </c>
      <c r="E3" s="1362" t="str">
        <f t="shared" ref="E3:E4" si="3">IMAGE("https://flagcdn.com/w320/es.png")</f>
        <v/>
      </c>
      <c r="F3" s="1363">
        <v>36978.0</v>
      </c>
      <c r="G3" s="1364">
        <f t="shared" si="1"/>
        <v>24</v>
      </c>
      <c r="H3" s="1367">
        <v>0.0</v>
      </c>
      <c r="I3" s="1367">
        <v>0.0</v>
      </c>
      <c r="J3" s="1365"/>
      <c r="K3" s="1365"/>
      <c r="L3" s="1365"/>
      <c r="M3" s="1365"/>
      <c r="N3" s="1365"/>
      <c r="O3" s="1365"/>
      <c r="P3" s="1365">
        <f t="shared" si="2"/>
        <v>0</v>
      </c>
      <c r="Q3" s="1365"/>
    </row>
    <row r="4" ht="22.5" customHeight="1">
      <c r="A4" s="1358">
        <v>4.0</v>
      </c>
      <c r="B4" s="1366" t="s">
        <v>2087</v>
      </c>
      <c r="C4" s="1360" t="s">
        <v>70</v>
      </c>
      <c r="D4" s="1361" t="s">
        <v>83</v>
      </c>
      <c r="E4" s="1362" t="str">
        <f t="shared" si="3"/>
        <v/>
      </c>
      <c r="F4" s="1363">
        <v>37395.0</v>
      </c>
      <c r="G4" s="1364">
        <f t="shared" si="1"/>
        <v>23</v>
      </c>
      <c r="H4" s="1367">
        <f>1+1+1+1</f>
        <v>4</v>
      </c>
      <c r="I4" s="1367">
        <f>90+26+90+90</f>
        <v>296</v>
      </c>
      <c r="J4" s="1365"/>
      <c r="K4" s="1365">
        <f t="shared" ref="K4:L4" si="4">1</f>
        <v>1</v>
      </c>
      <c r="L4" s="1365">
        <f t="shared" si="4"/>
        <v>1</v>
      </c>
      <c r="M4" s="1365"/>
      <c r="N4" s="1365"/>
      <c r="O4" s="1365"/>
      <c r="P4" s="1365">
        <f t="shared" si="2"/>
        <v>1</v>
      </c>
      <c r="Q4" s="1365"/>
    </row>
    <row r="5" ht="22.5" customHeight="1">
      <c r="A5" s="1358">
        <v>5.0</v>
      </c>
      <c r="B5" s="1366" t="s">
        <v>2088</v>
      </c>
      <c r="C5" s="1360" t="s">
        <v>70</v>
      </c>
      <c r="D5" s="1361" t="s">
        <v>2089</v>
      </c>
      <c r="E5" s="1362" t="str">
        <f>IMAGE("https://flagcdn.com/w320/fr.png")</f>
        <v/>
      </c>
      <c r="F5" s="1363">
        <v>38224.0</v>
      </c>
      <c r="G5" s="1364">
        <f t="shared" si="1"/>
        <v>21</v>
      </c>
      <c r="H5" s="1365"/>
      <c r="I5" s="1365"/>
      <c r="J5" s="1365"/>
      <c r="K5" s="1365"/>
      <c r="L5" s="1365"/>
      <c r="M5" s="1365"/>
      <c r="N5" s="1365"/>
      <c r="O5" s="1365"/>
      <c r="P5" s="1365">
        <f t="shared" si="2"/>
        <v>0</v>
      </c>
      <c r="Q5" s="1365"/>
    </row>
    <row r="6" ht="22.5" customHeight="1">
      <c r="A6" s="1358">
        <v>6.0</v>
      </c>
      <c r="B6" s="1366" t="s">
        <v>2090</v>
      </c>
      <c r="C6" s="1360" t="s">
        <v>82</v>
      </c>
      <c r="D6" s="1361" t="s">
        <v>2091</v>
      </c>
      <c r="E6" s="1362" t="str">
        <f>IMAGE("https://flagcdn.com/w320/il.png")</f>
        <v/>
      </c>
      <c r="F6" s="1363">
        <v>36365.0</v>
      </c>
      <c r="G6" s="1364">
        <f t="shared" si="1"/>
        <v>26</v>
      </c>
      <c r="H6" s="1367">
        <f t="shared" ref="H6:H7" si="5">1+1</f>
        <v>2</v>
      </c>
      <c r="I6" s="1367">
        <f>35+28</f>
        <v>63</v>
      </c>
      <c r="J6" s="1365"/>
      <c r="K6" s="1365"/>
      <c r="L6" s="1365"/>
      <c r="M6" s="1365"/>
      <c r="N6" s="1365"/>
      <c r="O6" s="1365"/>
      <c r="P6" s="1365">
        <f t="shared" si="2"/>
        <v>0</v>
      </c>
      <c r="Q6" s="1365"/>
    </row>
    <row r="7" ht="22.5" customHeight="1">
      <c r="A7" s="1358">
        <v>7.0</v>
      </c>
      <c r="B7" s="1366" t="s">
        <v>2092</v>
      </c>
      <c r="C7" s="1360" t="s">
        <v>82</v>
      </c>
      <c r="D7" s="1361" t="s">
        <v>83</v>
      </c>
      <c r="E7" s="1362" t="str">
        <f>IMAGE("https://flagcdn.com/w320/es.png")</f>
        <v/>
      </c>
      <c r="F7" s="1363">
        <v>33701.0</v>
      </c>
      <c r="G7" s="1364">
        <f t="shared" si="1"/>
        <v>33</v>
      </c>
      <c r="H7" s="1367">
        <f t="shared" si="5"/>
        <v>2</v>
      </c>
      <c r="I7" s="1367">
        <f>28+19</f>
        <v>47</v>
      </c>
      <c r="J7" s="1365"/>
      <c r="K7" s="1365"/>
      <c r="L7" s="1365"/>
      <c r="M7" s="1365"/>
      <c r="N7" s="1365"/>
      <c r="O7" s="1365"/>
      <c r="P7" s="1365">
        <f t="shared" si="2"/>
        <v>0</v>
      </c>
      <c r="Q7" s="1365"/>
    </row>
    <row r="8" ht="22.5" customHeight="1">
      <c r="A8" s="1358">
        <v>8.0</v>
      </c>
      <c r="B8" s="1366" t="s">
        <v>2093</v>
      </c>
      <c r="C8" s="1360" t="s">
        <v>70</v>
      </c>
      <c r="D8" s="1361" t="s">
        <v>2094</v>
      </c>
      <c r="E8" s="1362" t="str">
        <f>IMAGE("https://flagcdn.com/w320/ar.png")</f>
        <v/>
      </c>
      <c r="F8" s="1363">
        <v>35807.0</v>
      </c>
      <c r="G8" s="1364">
        <f t="shared" si="1"/>
        <v>28</v>
      </c>
      <c r="H8" s="1365">
        <f>1+1+1+1</f>
        <v>4</v>
      </c>
      <c r="I8" s="1365">
        <f>90+90+90+49</f>
        <v>319</v>
      </c>
      <c r="J8" s="1365"/>
      <c r="K8" s="1365"/>
      <c r="L8" s="1365"/>
      <c r="M8" s="1365">
        <f>1</f>
        <v>1</v>
      </c>
      <c r="N8" s="1365"/>
      <c r="O8" s="1365"/>
      <c r="P8" s="1365">
        <f t="shared" si="2"/>
        <v>0</v>
      </c>
      <c r="Q8" s="1365"/>
    </row>
    <row r="9" ht="22.5" customHeight="1">
      <c r="A9" s="1358">
        <v>9.0</v>
      </c>
      <c r="B9" s="1366" t="s">
        <v>2095</v>
      </c>
      <c r="C9" s="1360" t="s">
        <v>82</v>
      </c>
      <c r="D9" s="1361" t="s">
        <v>2096</v>
      </c>
      <c r="E9" s="1362" t="str">
        <f>IMAGE("https://flagcdn.com/w320/ge.png")</f>
        <v/>
      </c>
      <c r="F9" s="1363">
        <v>36830.0</v>
      </c>
      <c r="G9" s="1364">
        <f t="shared" si="1"/>
        <v>25</v>
      </c>
      <c r="H9" s="1365">
        <f>1+1+1+1+1+1+1</f>
        <v>7</v>
      </c>
      <c r="I9" s="1365">
        <f>90+75+65+55+45+19</f>
        <v>349</v>
      </c>
      <c r="J9" s="1365">
        <f>1</f>
        <v>1</v>
      </c>
      <c r="K9" s="1365"/>
      <c r="L9" s="1365"/>
      <c r="M9" s="1365"/>
      <c r="N9" s="1365"/>
      <c r="O9" s="1365"/>
      <c r="P9" s="1365">
        <f t="shared" si="2"/>
        <v>1</v>
      </c>
      <c r="Q9" s="1365"/>
    </row>
    <row r="10" ht="22.5" customHeight="1">
      <c r="A10" s="1358">
        <v>10.0</v>
      </c>
      <c r="B10" s="1366" t="s">
        <v>2097</v>
      </c>
      <c r="C10" s="1360" t="s">
        <v>79</v>
      </c>
      <c r="D10" s="1361" t="s">
        <v>83</v>
      </c>
      <c r="E10" s="1362" t="str">
        <f>IMAGE("https://flagcdn.com/w320/es.png")</f>
        <v/>
      </c>
      <c r="F10" s="1363">
        <v>32614.0</v>
      </c>
      <c r="G10" s="1364">
        <f t="shared" si="1"/>
        <v>36</v>
      </c>
      <c r="H10" s="1365">
        <f>1+1+1+1+1+1</f>
        <v>6</v>
      </c>
      <c r="I10" s="1365">
        <f>13+63+10+62+17+17</f>
        <v>182</v>
      </c>
      <c r="J10" s="1365"/>
      <c r="K10" s="1365"/>
      <c r="L10" s="1365"/>
      <c r="M10" s="1365"/>
      <c r="N10" s="1365"/>
      <c r="O10" s="1365"/>
      <c r="P10" s="1365">
        <f t="shared" si="2"/>
        <v>0</v>
      </c>
      <c r="Q10" s="1365"/>
    </row>
    <row r="11" ht="22.5" customHeight="1">
      <c r="A11" s="1358">
        <v>11.0</v>
      </c>
      <c r="B11" s="1366" t="s">
        <v>2098</v>
      </c>
      <c r="C11" s="1360" t="s">
        <v>82</v>
      </c>
      <c r="D11" s="1361" t="s">
        <v>2099</v>
      </c>
      <c r="E11" s="1362" t="str">
        <f>IMAGE("https://flagcdn.com/w320/ma.png")</f>
        <v/>
      </c>
      <c r="F11" s="1363">
        <v>38093.0</v>
      </c>
      <c r="G11" s="1364">
        <f t="shared" si="1"/>
        <v>21</v>
      </c>
      <c r="H11" s="1365">
        <f>1+1+1+1</f>
        <v>4</v>
      </c>
      <c r="I11" s="1365">
        <f>16+15+8+45</f>
        <v>84</v>
      </c>
      <c r="J11" s="1365"/>
      <c r="K11" s="1365">
        <f t="shared" ref="K11:L11" si="6">1+1</f>
        <v>2</v>
      </c>
      <c r="L11" s="1367">
        <f t="shared" si="6"/>
        <v>2</v>
      </c>
      <c r="M11" s="1365"/>
      <c r="N11" s="1365"/>
      <c r="O11" s="1365"/>
      <c r="P11" s="1365">
        <f t="shared" si="2"/>
        <v>2</v>
      </c>
      <c r="Q11" s="1365"/>
    </row>
    <row r="12" ht="22.5" customHeight="1">
      <c r="A12" s="1358">
        <v>12.0</v>
      </c>
      <c r="B12" s="1359" t="s">
        <v>2100</v>
      </c>
      <c r="C12" s="1360" t="s">
        <v>70</v>
      </c>
      <c r="D12" s="1361" t="s">
        <v>2101</v>
      </c>
      <c r="E12" s="1362" t="str">
        <f>IMAGE("https://flagcdn.com/w320/pt.png")</f>
        <v/>
      </c>
      <c r="F12" s="1363">
        <v>37831.0</v>
      </c>
      <c r="G12" s="1364">
        <f t="shared" si="1"/>
        <v>22</v>
      </c>
      <c r="H12" s="1365">
        <f>1+1+1+1+1+1+1</f>
        <v>7</v>
      </c>
      <c r="I12" s="1365">
        <f>90+90+90+90+90+90+90</f>
        <v>630</v>
      </c>
      <c r="J12" s="1365">
        <f>1</f>
        <v>1</v>
      </c>
      <c r="K12" s="1365"/>
      <c r="L12" s="1365">
        <f>1+1</f>
        <v>2</v>
      </c>
      <c r="M12" s="1365"/>
      <c r="N12" s="1365"/>
      <c r="O12" s="1365"/>
      <c r="P12" s="1365">
        <f t="shared" si="2"/>
        <v>1</v>
      </c>
      <c r="Q12" s="1365"/>
    </row>
    <row r="13" ht="22.5" customHeight="1">
      <c r="A13" s="1358">
        <v>13.0</v>
      </c>
      <c r="B13" s="1366" t="s">
        <v>2102</v>
      </c>
      <c r="C13" s="1360" t="s">
        <v>67</v>
      </c>
      <c r="D13" s="1361" t="s">
        <v>83</v>
      </c>
      <c r="E13" s="1362" t="str">
        <f t="shared" ref="E13:E14" si="7">IMAGE("https://flagcdn.com/w320/es.png")</f>
        <v/>
      </c>
      <c r="F13" s="1363">
        <v>36096.0</v>
      </c>
      <c r="G13" s="1364">
        <f t="shared" si="1"/>
        <v>27</v>
      </c>
      <c r="H13" s="1367">
        <v>0.0</v>
      </c>
      <c r="I13" s="1367">
        <v>0.0</v>
      </c>
      <c r="J13" s="1365"/>
      <c r="K13" s="1365"/>
      <c r="L13" s="1365"/>
      <c r="M13" s="1365"/>
      <c r="N13" s="1365"/>
      <c r="O13" s="1365"/>
      <c r="P13" s="1365">
        <f t="shared" si="2"/>
        <v>0</v>
      </c>
      <c r="Q13" s="1365"/>
    </row>
    <row r="14" ht="22.5" customHeight="1">
      <c r="A14" s="1358">
        <v>14.0</v>
      </c>
      <c r="B14" s="1366" t="s">
        <v>2103</v>
      </c>
      <c r="C14" s="1360" t="s">
        <v>79</v>
      </c>
      <c r="D14" s="1361" t="s">
        <v>83</v>
      </c>
      <c r="E14" s="1362" t="str">
        <f t="shared" si="7"/>
        <v/>
      </c>
      <c r="F14" s="1363">
        <v>35343.0</v>
      </c>
      <c r="G14" s="1364">
        <f t="shared" si="1"/>
        <v>29</v>
      </c>
      <c r="H14" s="1365">
        <f>1+1+1+1+1+1+1</f>
        <v>7</v>
      </c>
      <c r="I14" s="1365">
        <f>77+90+71+28+73+90+90</f>
        <v>519</v>
      </c>
      <c r="J14" s="1365">
        <f>1</f>
        <v>1</v>
      </c>
      <c r="K14" s="1365"/>
      <c r="L14" s="1365">
        <f>1</f>
        <v>1</v>
      </c>
      <c r="M14" s="1365"/>
      <c r="N14" s="1365"/>
      <c r="O14" s="1365"/>
      <c r="P14" s="1365">
        <f t="shared" si="2"/>
        <v>1</v>
      </c>
      <c r="Q14" s="1365"/>
    </row>
    <row r="15" ht="22.5" customHeight="1">
      <c r="A15" s="1358">
        <v>15.0</v>
      </c>
      <c r="B15" s="1366" t="s">
        <v>2104</v>
      </c>
      <c r="C15" s="1360" t="s">
        <v>70</v>
      </c>
      <c r="D15" s="1361" t="s">
        <v>2105</v>
      </c>
      <c r="E15" s="1362" t="str">
        <f>IMAGE("https://flagcdn.com/w320/uy.png")</f>
        <v/>
      </c>
      <c r="F15" s="1363">
        <v>37300.0</v>
      </c>
      <c r="G15" s="1364">
        <f t="shared" si="1"/>
        <v>23</v>
      </c>
      <c r="H15" s="1365">
        <f>1+1+1+1+1+1</f>
        <v>6</v>
      </c>
      <c r="I15" s="1365">
        <f>90+90+90+90+82+90</f>
        <v>532</v>
      </c>
      <c r="J15" s="1365"/>
      <c r="K15" s="1365"/>
      <c r="L15" s="1365">
        <f>1+1+1</f>
        <v>3</v>
      </c>
      <c r="M15" s="1365"/>
      <c r="N15" s="1365"/>
      <c r="O15" s="1365"/>
      <c r="P15" s="1365">
        <f t="shared" si="2"/>
        <v>0</v>
      </c>
      <c r="Q15" s="1365"/>
    </row>
    <row r="16" ht="22.5" customHeight="1">
      <c r="A16" s="1358">
        <v>16.0</v>
      </c>
      <c r="B16" s="1366" t="s">
        <v>2106</v>
      </c>
      <c r="C16" s="1360" t="s">
        <v>79</v>
      </c>
      <c r="D16" s="1361" t="s">
        <v>291</v>
      </c>
      <c r="E16" s="1362" t="str">
        <f>IMAGE("https://flagcdn.com/w320/gh.png")</f>
        <v/>
      </c>
      <c r="F16" s="1363">
        <v>34133.0</v>
      </c>
      <c r="G16" s="1364">
        <f t="shared" si="1"/>
        <v>32</v>
      </c>
      <c r="H16" s="1365">
        <f>1+1+1+1</f>
        <v>4</v>
      </c>
      <c r="I16" s="1365">
        <f>13+90+64+73</f>
        <v>240</v>
      </c>
      <c r="J16" s="1365"/>
      <c r="K16" s="1365"/>
      <c r="L16" s="1365">
        <f>1</f>
        <v>1</v>
      </c>
      <c r="M16" s="1365"/>
      <c r="N16" s="1365"/>
      <c r="O16" s="1365"/>
      <c r="P16" s="1365">
        <f t="shared" si="2"/>
        <v>0</v>
      </c>
      <c r="Q16" s="1365"/>
    </row>
    <row r="17" ht="22.5" customHeight="1">
      <c r="A17" s="1358">
        <v>17.0</v>
      </c>
      <c r="B17" s="1366" t="s">
        <v>2107</v>
      </c>
      <c r="C17" s="1360" t="s">
        <v>82</v>
      </c>
      <c r="D17" s="1361" t="s">
        <v>2108</v>
      </c>
      <c r="E17" s="1362" t="str">
        <f>IMAGE("https://flagcdn.com/w320/ca.png")</f>
        <v/>
      </c>
      <c r="F17" s="1363">
        <v>36199.0</v>
      </c>
      <c r="G17" s="1364">
        <f t="shared" si="1"/>
        <v>26</v>
      </c>
      <c r="H17" s="1365">
        <f t="shared" ref="H17:H18" si="8">1+1+1+1+1+1</f>
        <v>6</v>
      </c>
      <c r="I17" s="1365">
        <f>81+63+65+82+45+45</f>
        <v>381</v>
      </c>
      <c r="J17" s="1365"/>
      <c r="K17" s="1365"/>
      <c r="L17" s="1365"/>
      <c r="M17" s="1365"/>
      <c r="N17" s="1365"/>
      <c r="O17" s="1365"/>
      <c r="P17" s="1365">
        <f t="shared" si="2"/>
        <v>0</v>
      </c>
      <c r="Q17" s="1365"/>
    </row>
    <row r="18" ht="22.5" customHeight="1">
      <c r="A18" s="1358">
        <v>18.0</v>
      </c>
      <c r="B18" s="1366" t="s">
        <v>2109</v>
      </c>
      <c r="C18" s="1360" t="s">
        <v>79</v>
      </c>
      <c r="D18" s="1361" t="s">
        <v>2110</v>
      </c>
      <c r="E18" s="1362" t="str">
        <f>IMAGE("https://flagcdn.com/w320/sn.png")</f>
        <v/>
      </c>
      <c r="F18" s="1363">
        <v>36184.0</v>
      </c>
      <c r="G18" s="1364">
        <f t="shared" si="1"/>
        <v>27</v>
      </c>
      <c r="H18" s="1365">
        <f t="shared" si="8"/>
        <v>6</v>
      </c>
      <c r="I18" s="1365">
        <f>77+90+80+90+90+90</f>
        <v>517</v>
      </c>
      <c r="J18" s="1365"/>
      <c r="K18" s="1365"/>
      <c r="L18" s="1365">
        <f>1+1+1</f>
        <v>3</v>
      </c>
      <c r="M18" s="1365"/>
      <c r="N18" s="1365"/>
      <c r="O18" s="1365"/>
      <c r="P18" s="1365">
        <f t="shared" si="2"/>
        <v>0</v>
      </c>
      <c r="Q18" s="1365"/>
    </row>
    <row r="19" ht="22.5" customHeight="1">
      <c r="A19" s="1358">
        <v>19.0</v>
      </c>
      <c r="B19" s="1366" t="s">
        <v>2111</v>
      </c>
      <c r="C19" s="1360" t="s">
        <v>82</v>
      </c>
      <c r="D19" s="1361" t="s">
        <v>2112</v>
      </c>
      <c r="E19" s="1362" t="str">
        <f>IMAGE("https://flagcdn.com/w320/ci.png")</f>
        <v/>
      </c>
      <c r="F19" s="1363">
        <v>34845.0</v>
      </c>
      <c r="G19" s="1364">
        <f t="shared" si="1"/>
        <v>30</v>
      </c>
      <c r="H19" s="1365">
        <f t="shared" ref="H19:H20" si="9">1+1+1+1+1+1+1</f>
        <v>7</v>
      </c>
      <c r="I19" s="1365">
        <f>90+90+90+90+64+45+71</f>
        <v>540</v>
      </c>
      <c r="J19" s="1365"/>
      <c r="K19" s="1365">
        <f>1</f>
        <v>1</v>
      </c>
      <c r="L19" s="1365"/>
      <c r="M19" s="1365"/>
      <c r="N19" s="1365"/>
      <c r="O19" s="1365"/>
      <c r="P19" s="1365">
        <f t="shared" si="2"/>
        <v>1</v>
      </c>
      <c r="Q19" s="1365"/>
    </row>
    <row r="20" ht="22.5" customHeight="1">
      <c r="A20" s="1358">
        <v>20.0</v>
      </c>
      <c r="B20" s="1366" t="s">
        <v>2113</v>
      </c>
      <c r="C20" s="1360" t="s">
        <v>82</v>
      </c>
      <c r="D20" s="1361" t="s">
        <v>2114</v>
      </c>
      <c r="E20" s="1362" t="str">
        <f>IMAGE("https://flagcdn.com/w320/es.png")</f>
        <v/>
      </c>
      <c r="F20" s="1363">
        <v>37894.0</v>
      </c>
      <c r="G20" s="1364">
        <f t="shared" si="1"/>
        <v>22</v>
      </c>
      <c r="H20" s="1365">
        <f t="shared" si="9"/>
        <v>7</v>
      </c>
      <c r="I20" s="1365">
        <f>9+27+25+55+26+62+45</f>
        <v>249</v>
      </c>
      <c r="J20" s="1365"/>
      <c r="K20" s="1365"/>
      <c r="L20" s="1365">
        <f>1</f>
        <v>1</v>
      </c>
      <c r="M20" s="1365"/>
      <c r="N20" s="1365"/>
      <c r="O20" s="1365"/>
      <c r="P20" s="1365">
        <f t="shared" si="2"/>
        <v>0</v>
      </c>
      <c r="Q20" s="1365"/>
    </row>
    <row r="21" ht="22.5" customHeight="1">
      <c r="A21" s="1358">
        <v>21.0</v>
      </c>
      <c r="B21" s="1366" t="s">
        <v>2115</v>
      </c>
      <c r="C21" s="1360" t="s">
        <v>82</v>
      </c>
      <c r="D21" s="1361" t="s">
        <v>2116</v>
      </c>
      <c r="E21" s="1362" t="str">
        <f>IMAGE("https://flagcdn.com/w320/ca.png")</f>
        <v/>
      </c>
      <c r="F21" s="1363">
        <v>36661.0</v>
      </c>
      <c r="G21" s="1364">
        <f t="shared" si="1"/>
        <v>25</v>
      </c>
      <c r="H21" s="1367">
        <f>1+1+1+1+1+1</f>
        <v>6</v>
      </c>
      <c r="I21" s="1367">
        <f>27+25+35+90+45+90</f>
        <v>312</v>
      </c>
      <c r="J21" s="1365">
        <f>1+1</f>
        <v>2</v>
      </c>
      <c r="K21" s="1365"/>
      <c r="L21" s="1365"/>
      <c r="M21" s="1365"/>
      <c r="N21" s="1365"/>
      <c r="O21" s="1365"/>
      <c r="P21" s="1365">
        <f t="shared" si="2"/>
        <v>2</v>
      </c>
      <c r="Q21" s="1365"/>
    </row>
    <row r="22" ht="22.5" customHeight="1">
      <c r="A22" s="1358">
        <v>22.0</v>
      </c>
      <c r="B22" s="1366" t="s">
        <v>2117</v>
      </c>
      <c r="C22" s="1360" t="s">
        <v>82</v>
      </c>
      <c r="D22" s="1361" t="s">
        <v>83</v>
      </c>
      <c r="E22" s="1362" t="str">
        <f t="shared" ref="E22:E30" si="10">IMAGE("https://flagcdn.com/w320/es.png")</f>
        <v/>
      </c>
      <c r="F22" s="1363">
        <v>34179.0</v>
      </c>
      <c r="G22" s="1364">
        <f t="shared" si="1"/>
        <v>32</v>
      </c>
      <c r="H22" s="1365">
        <f>1+1+1+1+1</f>
        <v>5</v>
      </c>
      <c r="I22" s="1365">
        <f>74+19+62+45+71</f>
        <v>271</v>
      </c>
      <c r="J22" s="1365"/>
      <c r="K22" s="1365"/>
      <c r="L22" s="1365"/>
      <c r="M22" s="1365"/>
      <c r="N22" s="1365"/>
      <c r="O22" s="1365"/>
      <c r="P22" s="1365">
        <f t="shared" si="2"/>
        <v>0</v>
      </c>
      <c r="Q22" s="1365"/>
    </row>
    <row r="23" ht="22.5" customHeight="1">
      <c r="A23" s="1358">
        <v>23.0</v>
      </c>
      <c r="B23" s="1366" t="s">
        <v>2118</v>
      </c>
      <c r="C23" s="1360" t="s">
        <v>70</v>
      </c>
      <c r="D23" s="1361" t="s">
        <v>83</v>
      </c>
      <c r="E23" s="1362" t="str">
        <f t="shared" si="10"/>
        <v/>
      </c>
      <c r="F23" s="1363">
        <v>36349.0</v>
      </c>
      <c r="G23" s="1364">
        <f t="shared" si="1"/>
        <v>26</v>
      </c>
      <c r="H23" s="1365">
        <f>1+1+1+1+1+1+1</f>
        <v>7</v>
      </c>
      <c r="I23" s="1365">
        <f>74+15+45+62+90+8+90</f>
        <v>384</v>
      </c>
      <c r="J23" s="1365"/>
      <c r="K23" s="1365"/>
      <c r="L23" s="1365"/>
      <c r="M23" s="1365"/>
      <c r="N23" s="1365"/>
      <c r="O23" s="1365"/>
      <c r="P23" s="1365">
        <f t="shared" si="2"/>
        <v>0</v>
      </c>
      <c r="Q23" s="1365"/>
    </row>
    <row r="24" ht="22.5" customHeight="1">
      <c r="A24" s="1358">
        <v>24.0</v>
      </c>
      <c r="B24" s="1366" t="s">
        <v>2119</v>
      </c>
      <c r="C24" s="1360" t="s">
        <v>70</v>
      </c>
      <c r="D24" s="1361" t="s">
        <v>83</v>
      </c>
      <c r="E24" s="1362" t="str">
        <f t="shared" si="10"/>
        <v/>
      </c>
      <c r="F24" s="1363">
        <v>35164.0</v>
      </c>
      <c r="G24" s="1364">
        <f t="shared" si="1"/>
        <v>29</v>
      </c>
      <c r="H24" s="1365">
        <f>1+1+1+1+1</f>
        <v>5</v>
      </c>
      <c r="I24" s="1365">
        <f>16+75+45+28+82</f>
        <v>246</v>
      </c>
      <c r="J24" s="1365"/>
      <c r="K24" s="1365">
        <f>1</f>
        <v>1</v>
      </c>
      <c r="L24" s="1365">
        <f>1+1</f>
        <v>2</v>
      </c>
      <c r="M24" s="1365"/>
      <c r="N24" s="1365"/>
      <c r="O24" s="1365"/>
      <c r="P24" s="1365">
        <f t="shared" si="2"/>
        <v>1</v>
      </c>
      <c r="Q24" s="1365"/>
    </row>
    <row r="25" ht="22.5" customHeight="1">
      <c r="A25" s="1358">
        <v>25.0</v>
      </c>
      <c r="B25" s="1366" t="s">
        <v>2120</v>
      </c>
      <c r="C25" s="1360" t="s">
        <v>67</v>
      </c>
      <c r="D25" s="1361" t="s">
        <v>83</v>
      </c>
      <c r="E25" s="1362" t="str">
        <f t="shared" si="10"/>
        <v/>
      </c>
      <c r="F25" s="1363">
        <v>37041.0</v>
      </c>
      <c r="G25" s="1364">
        <f t="shared" si="1"/>
        <v>24</v>
      </c>
      <c r="H25" s="1367">
        <f t="shared" ref="H25:H26" si="11">1+1</f>
        <v>2</v>
      </c>
      <c r="I25" s="1367">
        <f>90+90</f>
        <v>180</v>
      </c>
      <c r="J25" s="1365"/>
      <c r="K25" s="1365"/>
      <c r="L25" s="1365"/>
      <c r="M25" s="1365"/>
      <c r="N25" s="1365"/>
      <c r="O25" s="1365"/>
      <c r="P25" s="1365">
        <f t="shared" si="2"/>
        <v>0</v>
      </c>
      <c r="Q25" s="1365"/>
    </row>
    <row r="26" ht="22.5" customHeight="1">
      <c r="A26" s="1358">
        <v>26.0</v>
      </c>
      <c r="B26" s="1366" t="s">
        <v>2121</v>
      </c>
      <c r="C26" s="1360" t="s">
        <v>70</v>
      </c>
      <c r="D26" s="1361" t="s">
        <v>83</v>
      </c>
      <c r="E26" s="1362" t="str">
        <f t="shared" si="10"/>
        <v/>
      </c>
      <c r="F26" s="1363">
        <v>38467.0</v>
      </c>
      <c r="G26" s="1364">
        <f t="shared" si="1"/>
        <v>20</v>
      </c>
      <c r="H26" s="1367">
        <f t="shared" si="11"/>
        <v>2</v>
      </c>
      <c r="I26" s="1367">
        <f>8+90</f>
        <v>98</v>
      </c>
      <c r="J26" s="1365"/>
      <c r="K26" s="1365"/>
      <c r="L26" s="1365"/>
      <c r="M26" s="1365"/>
      <c r="N26" s="1365"/>
      <c r="O26" s="1365"/>
      <c r="P26" s="1365">
        <f t="shared" si="2"/>
        <v>0</v>
      </c>
      <c r="Q26" s="1365"/>
    </row>
    <row r="27" ht="22.5" customHeight="1">
      <c r="A27" s="1368">
        <v>30.0</v>
      </c>
      <c r="B27" s="1369" t="s">
        <v>2122</v>
      </c>
      <c r="C27" s="1370" t="s">
        <v>70</v>
      </c>
      <c r="D27" s="1371" t="s">
        <v>83</v>
      </c>
      <c r="E27" s="1372" t="str">
        <f t="shared" si="10"/>
        <v/>
      </c>
      <c r="F27" s="1373">
        <v>38864.0</v>
      </c>
      <c r="G27" s="1374">
        <f t="shared" si="1"/>
        <v>19</v>
      </c>
      <c r="H27" s="1375"/>
      <c r="I27" s="1375"/>
      <c r="J27" s="1375"/>
      <c r="K27" s="1375"/>
      <c r="L27" s="1375"/>
      <c r="M27" s="1375"/>
      <c r="N27" s="1375"/>
      <c r="O27" s="1375"/>
      <c r="P27" s="1375">
        <f t="shared" si="2"/>
        <v>0</v>
      </c>
      <c r="Q27" s="137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2.5" customHeight="1">
      <c r="A28" s="1358">
        <v>31.0</v>
      </c>
      <c r="B28" s="1366" t="s">
        <v>2123</v>
      </c>
      <c r="C28" s="1360" t="s">
        <v>67</v>
      </c>
      <c r="D28" s="1361" t="s">
        <v>83</v>
      </c>
      <c r="E28" s="1362" t="str">
        <f t="shared" si="10"/>
        <v/>
      </c>
      <c r="F28" s="1363">
        <v>37280.0</v>
      </c>
      <c r="G28" s="1364">
        <f t="shared" si="1"/>
        <v>24</v>
      </c>
      <c r="H28" s="1365"/>
      <c r="I28" s="1365"/>
      <c r="J28" s="1365"/>
      <c r="K28" s="1365"/>
      <c r="L28" s="1365"/>
      <c r="M28" s="1365"/>
      <c r="N28" s="1365"/>
      <c r="O28" s="1365"/>
      <c r="P28" s="1365">
        <f t="shared" si="2"/>
        <v>0</v>
      </c>
      <c r="Q28" s="1365"/>
    </row>
    <row r="29" ht="22.5" customHeight="1">
      <c r="A29" s="1368">
        <v>32.0</v>
      </c>
      <c r="B29" s="1369" t="s">
        <v>2124</v>
      </c>
      <c r="C29" s="1370" t="s">
        <v>79</v>
      </c>
      <c r="D29" s="1371" t="s">
        <v>83</v>
      </c>
      <c r="E29" s="1372" t="str">
        <f t="shared" si="10"/>
        <v/>
      </c>
      <c r="F29" s="1373">
        <v>39083.0</v>
      </c>
      <c r="G29" s="1374">
        <f t="shared" si="1"/>
        <v>19</v>
      </c>
      <c r="H29" s="1376">
        <v>0.0</v>
      </c>
      <c r="I29" s="1376">
        <v>0.0</v>
      </c>
      <c r="J29" s="1375"/>
      <c r="K29" s="1375"/>
      <c r="L29" s="1375"/>
      <c r="M29" s="1375"/>
      <c r="N29" s="1375"/>
      <c r="O29" s="1375"/>
      <c r="P29" s="1375">
        <f t="shared" si="2"/>
        <v>0</v>
      </c>
      <c r="Q29" s="137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22.5" customHeight="1">
      <c r="A30" s="1368">
        <v>36.0</v>
      </c>
      <c r="B30" s="1369" t="s">
        <v>2125</v>
      </c>
      <c r="C30" s="1370" t="s">
        <v>82</v>
      </c>
      <c r="D30" s="1371" t="s">
        <v>83</v>
      </c>
      <c r="E30" s="1372" t="str">
        <f t="shared" si="10"/>
        <v/>
      </c>
      <c r="F30" s="1373">
        <v>38625.0</v>
      </c>
      <c r="G30" s="1374">
        <f t="shared" si="1"/>
        <v>20</v>
      </c>
      <c r="H30" s="1375"/>
      <c r="I30" s="1375"/>
      <c r="J30" s="1375"/>
      <c r="K30" s="1375"/>
      <c r="L30" s="1375"/>
      <c r="M30" s="1375"/>
      <c r="N30" s="1375"/>
      <c r="O30" s="1375"/>
      <c r="P30" s="1375">
        <f t="shared" si="2"/>
        <v>0</v>
      </c>
      <c r="Q30" s="137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12"/>
      <c r="D31" s="95"/>
      <c r="E31" s="14"/>
      <c r="F31" s="96"/>
      <c r="H31" s="11">
        <f>SUM(H2:H30)</f>
        <v>111</v>
      </c>
      <c r="I31" s="11">
        <f>SUM(I2:I30)+41</f>
        <v>6930</v>
      </c>
      <c r="J31" s="11">
        <f t="shared" ref="J31:Q31" si="12">SUM(J2:J30)</f>
        <v>5</v>
      </c>
      <c r="K31" s="11">
        <f t="shared" si="12"/>
        <v>5</v>
      </c>
      <c r="L31" s="11">
        <f t="shared" si="12"/>
        <v>16</v>
      </c>
      <c r="M31" s="11">
        <f t="shared" si="12"/>
        <v>1</v>
      </c>
      <c r="N31" s="11">
        <f t="shared" si="12"/>
        <v>0</v>
      </c>
      <c r="O31" s="11">
        <f t="shared" si="12"/>
        <v>1</v>
      </c>
      <c r="P31" s="11">
        <f t="shared" si="12"/>
        <v>10</v>
      </c>
      <c r="Q31" s="11">
        <f t="shared" si="12"/>
        <v>1</v>
      </c>
    </row>
    <row r="32" ht="22.5" customHeight="1">
      <c r="A32" s="1352" t="s">
        <v>150</v>
      </c>
      <c r="B32" s="1353" t="s">
        <v>49</v>
      </c>
      <c r="C32" s="1353" t="s">
        <v>265</v>
      </c>
      <c r="D32" s="1377" t="s">
        <v>56</v>
      </c>
      <c r="E32" s="1353" t="s">
        <v>57</v>
      </c>
      <c r="F32" s="1353" t="s">
        <v>52</v>
      </c>
      <c r="G32" s="1353" t="s">
        <v>53</v>
      </c>
      <c r="H32" s="1353" t="s">
        <v>4</v>
      </c>
      <c r="I32" s="1353" t="s">
        <v>5</v>
      </c>
      <c r="J32" s="1353" t="s">
        <v>6</v>
      </c>
      <c r="K32" s="1353" t="s">
        <v>7</v>
      </c>
      <c r="L32" s="1353" t="s">
        <v>8</v>
      </c>
      <c r="M32" s="1353" t="s">
        <v>9</v>
      </c>
      <c r="N32" s="1353" t="s">
        <v>10</v>
      </c>
    </row>
    <row r="33" ht="22.5" customHeight="1">
      <c r="A33" s="1378"/>
      <c r="B33" s="1359" t="s">
        <v>2126</v>
      </c>
      <c r="C33" s="1379" t="s">
        <v>153</v>
      </c>
      <c r="D33" s="1361" t="s">
        <v>83</v>
      </c>
      <c r="E33" s="1380" t="str">
        <f>IMAGE("https://flagcdn.com/w320/es.png")</f>
        <v/>
      </c>
      <c r="F33" s="1363">
        <v>23968.0</v>
      </c>
      <c r="G33" s="1364">
        <f>DATEDIF(F33,TODAY(),"Y")</f>
        <v>60</v>
      </c>
      <c r="H33" s="1381">
        <f>L33+M33+N33</f>
        <v>7</v>
      </c>
      <c r="I33" s="1381">
        <f>(3*L33)+M33</f>
        <v>1</v>
      </c>
      <c r="J33" s="1381">
        <f>2+2+1</f>
        <v>5</v>
      </c>
      <c r="K33" s="1381">
        <f>1+2+2+1+4+3+2</f>
        <v>15</v>
      </c>
      <c r="L33" s="1382">
        <f>0</f>
        <v>0</v>
      </c>
      <c r="M33" s="1383">
        <f>1</f>
        <v>1</v>
      </c>
      <c r="N33" s="1384">
        <f>1+1+1+1+1+1</f>
        <v>6</v>
      </c>
    </row>
    <row r="34">
      <c r="A34" s="11"/>
      <c r="B34" s="18"/>
      <c r="C34" s="18"/>
      <c r="D34" s="64"/>
      <c r="E34" s="65"/>
      <c r="F34" s="66"/>
      <c r="G34" s="18"/>
      <c r="H34" s="73">
        <f>SUM(trenerVillarreal[mecze])</f>
        <v>7</v>
      </c>
      <c r="I34" s="73">
        <f>SUM(trenerVillarreal[punkty])</f>
        <v>1</v>
      </c>
      <c r="J34" s="73">
        <f>SUM(trenerVillarreal[strzelone])</f>
        <v>5</v>
      </c>
      <c r="K34" s="73">
        <f>SUM(trenerVillarreal[stracone])</f>
        <v>15</v>
      </c>
      <c r="L34" s="73">
        <f>SUM(trenerVillarreal[wygrane])</f>
        <v>0</v>
      </c>
      <c r="M34" s="73">
        <f>SUM(trenerVillarreal[remisy])</f>
        <v>1</v>
      </c>
      <c r="N34" s="73">
        <f>SUM(trenerVillarreal[porażki])</f>
        <v>6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22.5" customHeight="1">
      <c r="A35" s="1352" t="s">
        <v>156</v>
      </c>
      <c r="B35" s="1352" t="s">
        <v>157</v>
      </c>
      <c r="C35" s="1352" t="s">
        <v>158</v>
      </c>
      <c r="D35" s="1356" t="s">
        <v>2127</v>
      </c>
      <c r="E35" s="1352" t="s">
        <v>160</v>
      </c>
      <c r="F35" s="1352" t="s">
        <v>161</v>
      </c>
    </row>
    <row r="36" ht="22.5" customHeight="1">
      <c r="A36" s="77">
        <v>1.0</v>
      </c>
      <c r="B36" s="78" t="s">
        <v>20</v>
      </c>
      <c r="C36" s="78" t="s">
        <v>46</v>
      </c>
      <c r="D36" s="79"/>
      <c r="E36" s="80" t="s">
        <v>677</v>
      </c>
      <c r="F36" s="78" t="s">
        <v>510</v>
      </c>
    </row>
    <row r="37" ht="22.5" customHeight="1">
      <c r="A37" s="197">
        <v>2.0</v>
      </c>
      <c r="B37" s="727" t="s">
        <v>46</v>
      </c>
      <c r="C37" s="198" t="s">
        <v>35</v>
      </c>
      <c r="D37" s="264" t="s">
        <v>2128</v>
      </c>
      <c r="E37" s="265">
        <v>45690.0</v>
      </c>
      <c r="F37" s="198" t="s">
        <v>172</v>
      </c>
    </row>
    <row r="38" ht="22.5" customHeight="1">
      <c r="A38" s="77">
        <v>3.0</v>
      </c>
      <c r="B38" s="697" t="s">
        <v>46</v>
      </c>
      <c r="C38" s="697" t="s">
        <v>23</v>
      </c>
      <c r="D38" s="79"/>
      <c r="E38" s="80" t="s">
        <v>162</v>
      </c>
      <c r="F38" s="78" t="s">
        <v>172</v>
      </c>
    </row>
    <row r="39" ht="22.5" customHeight="1">
      <c r="A39" s="77">
        <v>4.0</v>
      </c>
      <c r="B39" s="697" t="s">
        <v>36</v>
      </c>
      <c r="C39" s="697" t="s">
        <v>46</v>
      </c>
      <c r="D39" s="79"/>
      <c r="E39" s="80" t="s">
        <v>677</v>
      </c>
      <c r="F39" s="78" t="s">
        <v>619</v>
      </c>
    </row>
    <row r="40" ht="22.5" customHeight="1">
      <c r="A40" s="77">
        <v>5.0</v>
      </c>
      <c r="B40" s="78" t="s">
        <v>21</v>
      </c>
      <c r="C40" s="697" t="s">
        <v>46</v>
      </c>
      <c r="D40" s="79"/>
      <c r="E40" s="80" t="s">
        <v>164</v>
      </c>
      <c r="F40" s="78" t="s">
        <v>383</v>
      </c>
    </row>
    <row r="41" ht="22.5" customHeight="1">
      <c r="A41" s="77">
        <v>6.0</v>
      </c>
      <c r="B41" s="697" t="s">
        <v>46</v>
      </c>
      <c r="C41" s="78" t="s">
        <v>34</v>
      </c>
      <c r="D41" s="83" t="s">
        <v>2129</v>
      </c>
      <c r="E41" s="84">
        <v>45691.0</v>
      </c>
      <c r="F41" s="78" t="s">
        <v>172</v>
      </c>
    </row>
    <row r="42" ht="22.5" customHeight="1">
      <c r="A42" s="77">
        <v>7.0</v>
      </c>
      <c r="B42" s="78" t="s">
        <v>46</v>
      </c>
      <c r="C42" s="697" t="s">
        <v>43</v>
      </c>
      <c r="D42" s="83" t="s">
        <v>2130</v>
      </c>
      <c r="E42" s="84">
        <v>46024.0</v>
      </c>
      <c r="F42" s="78" t="s">
        <v>172</v>
      </c>
    </row>
    <row r="43" ht="22.5" customHeight="1">
      <c r="A43" s="90">
        <v>8.0</v>
      </c>
      <c r="B43" s="925" t="s">
        <v>31</v>
      </c>
      <c r="C43" s="91" t="s">
        <v>46</v>
      </c>
      <c r="D43" s="92"/>
      <c r="E43" s="93"/>
      <c r="F43" s="94" t="s">
        <v>1204</v>
      </c>
    </row>
    <row r="44">
      <c r="A44" s="12"/>
      <c r="D44" s="95"/>
      <c r="E44" s="14"/>
      <c r="F44" s="96"/>
    </row>
    <row r="45">
      <c r="A45" s="12"/>
      <c r="D45" s="95"/>
      <c r="E45" s="14"/>
      <c r="F45" s="96"/>
    </row>
    <row r="46">
      <c r="A46" s="12"/>
      <c r="D46" s="95"/>
      <c r="E46" s="14"/>
      <c r="F46" s="96"/>
    </row>
    <row r="47">
      <c r="A47" s="12"/>
      <c r="D47" s="95"/>
      <c r="E47" s="14"/>
      <c r="F47" s="96"/>
    </row>
    <row r="48">
      <c r="A48" s="12"/>
      <c r="D48" s="95"/>
      <c r="E48" s="14"/>
      <c r="F48" s="96"/>
    </row>
    <row r="49">
      <c r="A49" s="12"/>
      <c r="D49" s="95"/>
      <c r="E49" s="14"/>
      <c r="F49" s="96"/>
    </row>
    <row r="50">
      <c r="A50" s="12"/>
      <c r="D50" s="95"/>
      <c r="E50" s="14"/>
      <c r="F50" s="96"/>
    </row>
    <row r="51">
      <c r="A51" s="12"/>
      <c r="D51" s="95"/>
      <c r="E51" s="14"/>
      <c r="F51" s="96"/>
    </row>
    <row r="52">
      <c r="A52" s="12"/>
      <c r="D52" s="95"/>
      <c r="E52" s="14"/>
      <c r="F52" s="96"/>
    </row>
    <row r="53">
      <c r="A53" s="12"/>
      <c r="D53" s="95"/>
      <c r="E53" s="14"/>
      <c r="F53" s="96"/>
    </row>
    <row r="54">
      <c r="A54" s="12"/>
      <c r="D54" s="95"/>
      <c r="E54" s="14"/>
      <c r="F54" s="96"/>
    </row>
    <row r="55">
      <c r="A55" s="12"/>
      <c r="D55" s="95"/>
      <c r="E55" s="14"/>
      <c r="F55" s="96"/>
    </row>
    <row r="56">
      <c r="A56" s="12"/>
      <c r="D56" s="95"/>
      <c r="E56" s="14"/>
      <c r="F56" s="96"/>
    </row>
    <row r="57">
      <c r="A57" s="12"/>
      <c r="D57" s="95"/>
      <c r="E57" s="14"/>
      <c r="F57" s="96"/>
    </row>
    <row r="58">
      <c r="A58" s="12"/>
      <c r="D58" s="95"/>
      <c r="E58" s="14"/>
      <c r="F58" s="96"/>
    </row>
    <row r="59">
      <c r="A59" s="12"/>
      <c r="D59" s="95"/>
      <c r="E59" s="14"/>
      <c r="F59" s="96"/>
    </row>
    <row r="60">
      <c r="A60" s="12"/>
      <c r="D60" s="95"/>
      <c r="E60" s="14"/>
      <c r="F60" s="96"/>
    </row>
    <row r="61">
      <c r="A61" s="12"/>
      <c r="D61" s="95"/>
      <c r="E61" s="14"/>
      <c r="F61" s="96"/>
    </row>
    <row r="62">
      <c r="A62" s="12"/>
      <c r="D62" s="95"/>
      <c r="E62" s="14"/>
      <c r="F62" s="96"/>
    </row>
    <row r="63">
      <c r="A63" s="12"/>
      <c r="D63" s="95"/>
      <c r="E63" s="14"/>
      <c r="F63" s="96"/>
    </row>
    <row r="64">
      <c r="A64" s="12"/>
      <c r="D64" s="95"/>
      <c r="E64" s="14"/>
      <c r="F64" s="96"/>
    </row>
    <row r="65">
      <c r="A65" s="12"/>
      <c r="D65" s="95"/>
      <c r="E65" s="14"/>
      <c r="F65" s="96"/>
    </row>
    <row r="66">
      <c r="A66" s="12"/>
      <c r="D66" s="95"/>
      <c r="E66" s="14"/>
      <c r="F66" s="96"/>
    </row>
    <row r="67">
      <c r="A67" s="12"/>
      <c r="D67" s="95"/>
      <c r="E67" s="14"/>
      <c r="F67" s="96"/>
    </row>
    <row r="68">
      <c r="A68" s="12"/>
      <c r="D68" s="95"/>
      <c r="E68" s="14"/>
      <c r="F68" s="96"/>
    </row>
    <row r="69">
      <c r="A69" s="12"/>
      <c r="D69" s="95"/>
      <c r="E69" s="14"/>
      <c r="F69" s="96"/>
    </row>
    <row r="70">
      <c r="A70" s="12"/>
      <c r="D70" s="95"/>
      <c r="E70" s="14"/>
      <c r="F70" s="96"/>
    </row>
    <row r="71">
      <c r="A71" s="12"/>
      <c r="D71" s="95"/>
      <c r="E71" s="14"/>
      <c r="F71" s="96"/>
    </row>
    <row r="72">
      <c r="A72" s="12"/>
      <c r="D72" s="95"/>
      <c r="E72" s="14"/>
      <c r="F72" s="96"/>
    </row>
    <row r="73">
      <c r="A73" s="12"/>
      <c r="D73" s="95"/>
      <c r="E73" s="14"/>
      <c r="F73" s="96"/>
    </row>
    <row r="74">
      <c r="A74" s="12"/>
      <c r="D74" s="95"/>
      <c r="E74" s="14"/>
      <c r="F74" s="96"/>
    </row>
    <row r="75">
      <c r="A75" s="12"/>
      <c r="D75" s="95"/>
      <c r="E75" s="14"/>
      <c r="F75" s="96"/>
    </row>
    <row r="76">
      <c r="A76" s="12"/>
      <c r="D76" s="95"/>
      <c r="E76" s="14"/>
      <c r="F76" s="96"/>
    </row>
    <row r="77">
      <c r="A77" s="12"/>
      <c r="D77" s="95"/>
      <c r="E77" s="14"/>
      <c r="F77" s="96"/>
    </row>
    <row r="78">
      <c r="A78" s="12"/>
      <c r="D78" s="95"/>
      <c r="E78" s="14"/>
      <c r="F78" s="96"/>
    </row>
    <row r="79">
      <c r="A79" s="12"/>
      <c r="D79" s="95"/>
      <c r="E79" s="14"/>
      <c r="F79" s="96"/>
    </row>
    <row r="80">
      <c r="A80" s="12"/>
      <c r="D80" s="95"/>
      <c r="E80" s="14"/>
      <c r="F80" s="96"/>
    </row>
    <row r="81">
      <c r="A81" s="12"/>
      <c r="D81" s="95"/>
      <c r="E81" s="14"/>
      <c r="F81" s="96"/>
    </row>
    <row r="82">
      <c r="A82" s="12"/>
      <c r="D82" s="95"/>
      <c r="E82" s="14"/>
      <c r="F82" s="96"/>
    </row>
    <row r="83">
      <c r="A83" s="12"/>
      <c r="D83" s="95"/>
      <c r="E83" s="14"/>
      <c r="F83" s="96"/>
    </row>
    <row r="84">
      <c r="A84" s="12"/>
      <c r="D84" s="95"/>
      <c r="E84" s="14"/>
      <c r="F84" s="96"/>
    </row>
    <row r="85">
      <c r="A85" s="12"/>
      <c r="D85" s="95"/>
      <c r="E85" s="14"/>
      <c r="F85" s="96"/>
    </row>
    <row r="86">
      <c r="A86" s="12"/>
      <c r="D86" s="95"/>
      <c r="E86" s="14"/>
      <c r="F86" s="96"/>
    </row>
    <row r="87">
      <c r="A87" s="12"/>
      <c r="D87" s="95"/>
      <c r="E87" s="14"/>
      <c r="F87" s="96"/>
    </row>
    <row r="88">
      <c r="A88" s="12"/>
      <c r="D88" s="95"/>
      <c r="E88" s="14"/>
      <c r="F88" s="96"/>
    </row>
    <row r="89">
      <c r="A89" s="12"/>
      <c r="D89" s="95"/>
      <c r="E89" s="14"/>
      <c r="F89" s="96"/>
    </row>
    <row r="90">
      <c r="A90" s="12"/>
      <c r="D90" s="95"/>
      <c r="E90" s="14"/>
      <c r="F90" s="96"/>
    </row>
    <row r="91">
      <c r="A91" s="12"/>
      <c r="D91" s="95"/>
      <c r="E91" s="14"/>
      <c r="F91" s="96"/>
    </row>
    <row r="92">
      <c r="A92" s="12"/>
      <c r="D92" s="95"/>
      <c r="E92" s="14"/>
      <c r="F92" s="96"/>
    </row>
    <row r="93">
      <c r="A93" s="12"/>
      <c r="D93" s="95"/>
      <c r="E93" s="14"/>
      <c r="F93" s="96"/>
    </row>
    <row r="94">
      <c r="A94" s="12"/>
      <c r="D94" s="95"/>
      <c r="E94" s="14"/>
      <c r="F94" s="96"/>
    </row>
    <row r="95">
      <c r="A95" s="12"/>
      <c r="D95" s="95"/>
      <c r="E95" s="14"/>
      <c r="F95" s="96"/>
    </row>
    <row r="96">
      <c r="A96" s="12"/>
      <c r="D96" s="95"/>
      <c r="E96" s="14"/>
      <c r="F96" s="96"/>
    </row>
    <row r="97">
      <c r="A97" s="12"/>
      <c r="D97" s="95"/>
      <c r="E97" s="14"/>
      <c r="F97" s="96"/>
    </row>
    <row r="98">
      <c r="A98" s="12"/>
      <c r="D98" s="95"/>
      <c r="E98" s="14"/>
      <c r="F98" s="96"/>
    </row>
    <row r="99">
      <c r="A99" s="12"/>
      <c r="D99" s="95"/>
      <c r="E99" s="14"/>
      <c r="F99" s="96"/>
    </row>
    <row r="100">
      <c r="A100" s="12"/>
      <c r="D100" s="95"/>
      <c r="E100" s="14"/>
      <c r="F100" s="96"/>
    </row>
    <row r="101">
      <c r="A101" s="12"/>
      <c r="D101" s="95"/>
      <c r="E101" s="14"/>
      <c r="F101" s="96"/>
    </row>
    <row r="102">
      <c r="A102" s="12"/>
      <c r="D102" s="95"/>
      <c r="E102" s="14"/>
      <c r="F102" s="96"/>
    </row>
    <row r="103">
      <c r="A103" s="12"/>
      <c r="D103" s="95"/>
      <c r="E103" s="14"/>
      <c r="F103" s="96"/>
    </row>
    <row r="104">
      <c r="A104" s="12"/>
      <c r="D104" s="95"/>
      <c r="E104" s="14"/>
      <c r="F104" s="96"/>
    </row>
    <row r="105">
      <c r="A105" s="12"/>
      <c r="D105" s="95"/>
      <c r="E105" s="14"/>
      <c r="F105" s="96"/>
    </row>
    <row r="106">
      <c r="A106" s="12"/>
      <c r="D106" s="95"/>
      <c r="E106" s="14"/>
      <c r="F106" s="96"/>
    </row>
    <row r="107">
      <c r="A107" s="12"/>
      <c r="D107" s="95"/>
      <c r="E107" s="14"/>
      <c r="F107" s="96"/>
    </row>
    <row r="108">
      <c r="A108" s="12"/>
      <c r="D108" s="95"/>
      <c r="E108" s="14"/>
      <c r="F108" s="96"/>
    </row>
    <row r="109">
      <c r="A109" s="12"/>
      <c r="D109" s="95"/>
      <c r="E109" s="14"/>
      <c r="F109" s="96"/>
    </row>
    <row r="110">
      <c r="A110" s="12"/>
      <c r="D110" s="95"/>
      <c r="E110" s="14"/>
      <c r="F110" s="96"/>
    </row>
    <row r="111">
      <c r="A111" s="12"/>
      <c r="D111" s="95"/>
      <c r="E111" s="14"/>
      <c r="F111" s="96"/>
    </row>
    <row r="112">
      <c r="A112" s="12"/>
      <c r="D112" s="95"/>
      <c r="E112" s="14"/>
      <c r="F112" s="96"/>
    </row>
    <row r="113">
      <c r="A113" s="12"/>
      <c r="D113" s="95"/>
      <c r="E113" s="14"/>
      <c r="F113" s="96"/>
    </row>
    <row r="114">
      <c r="A114" s="12"/>
      <c r="D114" s="95"/>
      <c r="E114" s="14"/>
      <c r="F114" s="96"/>
    </row>
    <row r="115">
      <c r="A115" s="12"/>
      <c r="D115" s="95"/>
      <c r="E115" s="14"/>
      <c r="F115" s="96"/>
    </row>
    <row r="116">
      <c r="A116" s="12"/>
      <c r="D116" s="95"/>
      <c r="E116" s="14"/>
      <c r="F116" s="96"/>
    </row>
    <row r="117">
      <c r="A117" s="12"/>
      <c r="D117" s="95"/>
      <c r="E117" s="14"/>
      <c r="F117" s="96"/>
    </row>
    <row r="118">
      <c r="A118" s="12"/>
      <c r="D118" s="95"/>
      <c r="E118" s="14"/>
      <c r="F118" s="96"/>
    </row>
    <row r="119">
      <c r="A119" s="12"/>
      <c r="D119" s="95"/>
      <c r="E119" s="14"/>
      <c r="F119" s="96"/>
    </row>
    <row r="120">
      <c r="A120" s="12"/>
      <c r="D120" s="95"/>
      <c r="E120" s="14"/>
      <c r="F120" s="96"/>
    </row>
    <row r="121">
      <c r="A121" s="12"/>
      <c r="D121" s="95"/>
      <c r="E121" s="14"/>
      <c r="F121" s="96"/>
    </row>
    <row r="122">
      <c r="A122" s="12"/>
      <c r="D122" s="95"/>
      <c r="E122" s="14"/>
      <c r="F122" s="96"/>
    </row>
    <row r="123">
      <c r="A123" s="12"/>
      <c r="D123" s="95"/>
      <c r="E123" s="14"/>
      <c r="F123" s="96"/>
    </row>
    <row r="124">
      <c r="A124" s="12"/>
      <c r="D124" s="95"/>
      <c r="E124" s="14"/>
      <c r="F124" s="96"/>
    </row>
    <row r="125">
      <c r="A125" s="12"/>
      <c r="D125" s="95"/>
      <c r="E125" s="14"/>
      <c r="F125" s="96"/>
    </row>
    <row r="126">
      <c r="A126" s="12"/>
      <c r="D126" s="95"/>
      <c r="E126" s="14"/>
      <c r="F126" s="96"/>
    </row>
    <row r="127">
      <c r="A127" s="12"/>
      <c r="D127" s="95"/>
      <c r="E127" s="14"/>
      <c r="F127" s="96"/>
    </row>
    <row r="128">
      <c r="A128" s="12"/>
      <c r="D128" s="95"/>
      <c r="E128" s="14"/>
      <c r="F128" s="96"/>
    </row>
    <row r="129">
      <c r="A129" s="12"/>
      <c r="D129" s="95"/>
      <c r="E129" s="14"/>
      <c r="F129" s="96"/>
    </row>
    <row r="130">
      <c r="A130" s="12"/>
      <c r="D130" s="95"/>
      <c r="E130" s="14"/>
      <c r="F130" s="96"/>
    </row>
    <row r="131">
      <c r="A131" s="12"/>
      <c r="D131" s="95"/>
      <c r="E131" s="14"/>
      <c r="F131" s="96"/>
    </row>
    <row r="132">
      <c r="A132" s="12"/>
      <c r="D132" s="95"/>
      <c r="E132" s="14"/>
      <c r="F132" s="96"/>
    </row>
    <row r="133">
      <c r="A133" s="12"/>
      <c r="D133" s="95"/>
      <c r="E133" s="14"/>
      <c r="F133" s="96"/>
    </row>
    <row r="134">
      <c r="A134" s="12"/>
      <c r="D134" s="95"/>
      <c r="E134" s="14"/>
      <c r="F134" s="96"/>
    </row>
    <row r="135">
      <c r="A135" s="12"/>
      <c r="D135" s="95"/>
      <c r="E135" s="14"/>
      <c r="F135" s="96"/>
    </row>
    <row r="136">
      <c r="A136" s="12"/>
      <c r="D136" s="95"/>
      <c r="E136" s="14"/>
      <c r="F136" s="96"/>
    </row>
    <row r="137">
      <c r="A137" s="12"/>
      <c r="D137" s="95"/>
      <c r="E137" s="14"/>
      <c r="F137" s="96"/>
    </row>
    <row r="138">
      <c r="A138" s="12"/>
      <c r="D138" s="95"/>
      <c r="E138" s="14"/>
      <c r="F138" s="96"/>
    </row>
    <row r="139">
      <c r="A139" s="12"/>
      <c r="D139" s="95"/>
      <c r="E139" s="14"/>
      <c r="F139" s="96"/>
    </row>
    <row r="140">
      <c r="A140" s="12"/>
      <c r="D140" s="95"/>
      <c r="E140" s="14"/>
      <c r="F140" s="96"/>
    </row>
    <row r="141">
      <c r="A141" s="12"/>
      <c r="D141" s="95"/>
      <c r="E141" s="14"/>
      <c r="F141" s="96"/>
    </row>
    <row r="142">
      <c r="A142" s="12"/>
      <c r="D142" s="95"/>
      <c r="E142" s="14"/>
      <c r="F142" s="96"/>
    </row>
    <row r="143">
      <c r="A143" s="12"/>
      <c r="D143" s="95"/>
      <c r="E143" s="14"/>
      <c r="F143" s="96"/>
    </row>
    <row r="144">
      <c r="A144" s="12"/>
      <c r="D144" s="95"/>
      <c r="E144" s="14"/>
      <c r="F144" s="96"/>
    </row>
    <row r="145">
      <c r="A145" s="12"/>
      <c r="D145" s="95"/>
      <c r="E145" s="14"/>
      <c r="F145" s="96"/>
    </row>
    <row r="146">
      <c r="A146" s="12"/>
      <c r="D146" s="95"/>
      <c r="E146" s="14"/>
      <c r="F146" s="96"/>
    </row>
    <row r="147">
      <c r="A147" s="12"/>
      <c r="D147" s="95"/>
      <c r="E147" s="14"/>
      <c r="F147" s="96"/>
    </row>
    <row r="148">
      <c r="A148" s="12"/>
      <c r="D148" s="95"/>
      <c r="E148" s="14"/>
      <c r="F148" s="96"/>
    </row>
    <row r="149">
      <c r="A149" s="12"/>
      <c r="D149" s="95"/>
      <c r="E149" s="14"/>
      <c r="F149" s="96"/>
    </row>
    <row r="150">
      <c r="A150" s="12"/>
      <c r="D150" s="95"/>
      <c r="E150" s="14"/>
      <c r="F150" s="96"/>
    </row>
    <row r="151">
      <c r="A151" s="12"/>
      <c r="D151" s="95"/>
      <c r="E151" s="14"/>
      <c r="F151" s="96"/>
    </row>
    <row r="152">
      <c r="A152" s="12"/>
      <c r="D152" s="95"/>
      <c r="E152" s="14"/>
      <c r="F152" s="96"/>
    </row>
    <row r="153">
      <c r="A153" s="12"/>
      <c r="D153" s="95"/>
      <c r="E153" s="14"/>
      <c r="F153" s="96"/>
    </row>
    <row r="154">
      <c r="A154" s="12"/>
      <c r="D154" s="95"/>
      <c r="E154" s="14"/>
      <c r="F154" s="96"/>
    </row>
    <row r="155">
      <c r="A155" s="12"/>
      <c r="D155" s="95"/>
      <c r="E155" s="14"/>
      <c r="F155" s="96"/>
    </row>
    <row r="156">
      <c r="A156" s="12"/>
      <c r="D156" s="95"/>
      <c r="E156" s="14"/>
      <c r="F156" s="96"/>
    </row>
    <row r="157">
      <c r="A157" s="12"/>
      <c r="D157" s="95"/>
      <c r="E157" s="14"/>
      <c r="F157" s="96"/>
    </row>
    <row r="158">
      <c r="A158" s="12"/>
      <c r="D158" s="95"/>
      <c r="E158" s="14"/>
      <c r="F158" s="96"/>
    </row>
    <row r="159">
      <c r="A159" s="12"/>
      <c r="D159" s="95"/>
      <c r="E159" s="14"/>
      <c r="F159" s="96"/>
    </row>
    <row r="160">
      <c r="A160" s="12"/>
      <c r="D160" s="95"/>
      <c r="E160" s="14"/>
      <c r="F160" s="96"/>
    </row>
    <row r="161">
      <c r="A161" s="12"/>
      <c r="D161" s="95"/>
      <c r="E161" s="14"/>
      <c r="F161" s="96"/>
    </row>
    <row r="162">
      <c r="A162" s="12"/>
      <c r="D162" s="95"/>
      <c r="E162" s="14"/>
      <c r="F162" s="96"/>
    </row>
    <row r="163">
      <c r="A163" s="12"/>
      <c r="D163" s="95"/>
      <c r="E163" s="14"/>
      <c r="F163" s="96"/>
    </row>
    <row r="164">
      <c r="A164" s="12"/>
      <c r="D164" s="95"/>
      <c r="E164" s="14"/>
      <c r="F164" s="96"/>
    </row>
    <row r="165">
      <c r="A165" s="12"/>
      <c r="D165" s="95"/>
      <c r="E165" s="14"/>
      <c r="F165" s="96"/>
    </row>
    <row r="166">
      <c r="A166" s="12"/>
      <c r="D166" s="95"/>
      <c r="E166" s="14"/>
      <c r="F166" s="96"/>
    </row>
    <row r="167">
      <c r="A167" s="12"/>
      <c r="D167" s="95"/>
      <c r="E167" s="14"/>
      <c r="F167" s="96"/>
    </row>
    <row r="168">
      <c r="A168" s="12"/>
      <c r="D168" s="95"/>
      <c r="E168" s="14"/>
      <c r="F168" s="96"/>
    </row>
    <row r="169">
      <c r="A169" s="12"/>
      <c r="D169" s="95"/>
      <c r="E169" s="14"/>
      <c r="F169" s="96"/>
    </row>
    <row r="170">
      <c r="A170" s="12"/>
      <c r="D170" s="95"/>
      <c r="E170" s="14"/>
      <c r="F170" s="96"/>
    </row>
    <row r="171">
      <c r="A171" s="12"/>
      <c r="D171" s="95"/>
      <c r="E171" s="14"/>
      <c r="F171" s="96"/>
    </row>
    <row r="172">
      <c r="A172" s="12"/>
      <c r="D172" s="95"/>
      <c r="E172" s="14"/>
      <c r="F172" s="96"/>
    </row>
    <row r="173">
      <c r="A173" s="12"/>
      <c r="D173" s="95"/>
      <c r="E173" s="14"/>
      <c r="F173" s="96"/>
    </row>
    <row r="174">
      <c r="A174" s="12"/>
      <c r="D174" s="95"/>
      <c r="E174" s="14"/>
      <c r="F174" s="96"/>
    </row>
    <row r="175">
      <c r="A175" s="12"/>
      <c r="D175" s="95"/>
      <c r="E175" s="14"/>
      <c r="F175" s="96"/>
    </row>
    <row r="176">
      <c r="A176" s="12"/>
      <c r="D176" s="95"/>
      <c r="E176" s="14"/>
      <c r="F176" s="96"/>
    </row>
    <row r="177">
      <c r="A177" s="12"/>
      <c r="D177" s="95"/>
      <c r="E177" s="14"/>
      <c r="F177" s="96"/>
    </row>
    <row r="178">
      <c r="A178" s="12"/>
      <c r="D178" s="95"/>
      <c r="E178" s="14"/>
      <c r="F178" s="96"/>
    </row>
    <row r="179">
      <c r="A179" s="12"/>
      <c r="D179" s="95"/>
      <c r="E179" s="14"/>
      <c r="F179" s="96"/>
    </row>
    <row r="180">
      <c r="A180" s="12"/>
      <c r="D180" s="95"/>
      <c r="E180" s="14"/>
      <c r="F180" s="96"/>
    </row>
    <row r="181">
      <c r="A181" s="12"/>
      <c r="D181" s="95"/>
      <c r="E181" s="14"/>
      <c r="F181" s="96"/>
    </row>
    <row r="182">
      <c r="A182" s="12"/>
      <c r="D182" s="95"/>
      <c r="E182" s="14"/>
      <c r="F182" s="96"/>
    </row>
    <row r="183">
      <c r="A183" s="12"/>
      <c r="D183" s="95"/>
      <c r="E183" s="14"/>
      <c r="F183" s="96"/>
    </row>
    <row r="184">
      <c r="A184" s="12"/>
      <c r="D184" s="95"/>
      <c r="E184" s="14"/>
      <c r="F184" s="96"/>
    </row>
    <row r="185">
      <c r="A185" s="12"/>
      <c r="D185" s="95"/>
      <c r="E185" s="14"/>
      <c r="F185" s="96"/>
    </row>
    <row r="186">
      <c r="A186" s="12"/>
      <c r="D186" s="95"/>
      <c r="E186" s="14"/>
      <c r="F186" s="96"/>
    </row>
    <row r="187">
      <c r="A187" s="12"/>
      <c r="D187" s="95"/>
      <c r="E187" s="14"/>
      <c r="F187" s="96"/>
    </row>
    <row r="188">
      <c r="A188" s="12"/>
      <c r="D188" s="95"/>
      <c r="E188" s="14"/>
      <c r="F188" s="96"/>
    </row>
    <row r="189">
      <c r="A189" s="12"/>
      <c r="D189" s="95"/>
      <c r="E189" s="14"/>
      <c r="F189" s="96"/>
    </row>
    <row r="190">
      <c r="A190" s="12"/>
      <c r="D190" s="95"/>
      <c r="E190" s="14"/>
      <c r="F190" s="96"/>
    </row>
    <row r="191">
      <c r="A191" s="12"/>
      <c r="D191" s="95"/>
      <c r="E191" s="14"/>
      <c r="F191" s="96"/>
    </row>
    <row r="192">
      <c r="A192" s="12"/>
      <c r="D192" s="95"/>
      <c r="E192" s="14"/>
      <c r="F192" s="96"/>
    </row>
    <row r="193">
      <c r="A193" s="12"/>
      <c r="D193" s="95"/>
      <c r="E193" s="14"/>
      <c r="F193" s="96"/>
    </row>
    <row r="194">
      <c r="A194" s="12"/>
      <c r="D194" s="95"/>
      <c r="E194" s="14"/>
      <c r="F194" s="96"/>
    </row>
    <row r="195">
      <c r="A195" s="12"/>
      <c r="D195" s="95"/>
      <c r="E195" s="14"/>
      <c r="F195" s="96"/>
    </row>
    <row r="196">
      <c r="A196" s="12"/>
      <c r="D196" s="95"/>
      <c r="E196" s="14"/>
      <c r="F196" s="96"/>
    </row>
    <row r="197">
      <c r="A197" s="12"/>
      <c r="D197" s="95"/>
      <c r="E197" s="14"/>
      <c r="F197" s="96"/>
    </row>
    <row r="198">
      <c r="A198" s="12"/>
      <c r="D198" s="95"/>
      <c r="E198" s="14"/>
      <c r="F198" s="96"/>
    </row>
    <row r="199">
      <c r="A199" s="12"/>
      <c r="D199" s="95"/>
      <c r="E199" s="14"/>
      <c r="F199" s="96"/>
    </row>
    <row r="200">
      <c r="A200" s="12"/>
      <c r="D200" s="95"/>
      <c r="E200" s="14"/>
      <c r="F200" s="96"/>
    </row>
    <row r="201">
      <c r="A201" s="12"/>
      <c r="D201" s="95"/>
      <c r="E201" s="14"/>
      <c r="F201" s="96"/>
    </row>
    <row r="202">
      <c r="A202" s="12"/>
      <c r="D202" s="95"/>
      <c r="E202" s="14"/>
      <c r="F202" s="96"/>
    </row>
    <row r="203">
      <c r="A203" s="12"/>
      <c r="D203" s="95"/>
      <c r="E203" s="14"/>
      <c r="F203" s="96"/>
    </row>
    <row r="204">
      <c r="A204" s="12"/>
      <c r="D204" s="95"/>
      <c r="E204" s="14"/>
      <c r="F204" s="96"/>
    </row>
    <row r="205">
      <c r="A205" s="12"/>
      <c r="D205" s="95"/>
      <c r="E205" s="14"/>
      <c r="F205" s="96"/>
    </row>
    <row r="206">
      <c r="A206" s="12"/>
      <c r="D206" s="95"/>
      <c r="E206" s="14"/>
      <c r="F206" s="96"/>
    </row>
    <row r="207">
      <c r="A207" s="12"/>
      <c r="D207" s="95"/>
      <c r="E207" s="14"/>
      <c r="F207" s="96"/>
    </row>
    <row r="208">
      <c r="A208" s="12"/>
      <c r="D208" s="95"/>
      <c r="E208" s="14"/>
      <c r="F208" s="96"/>
    </row>
    <row r="209">
      <c r="A209" s="12"/>
      <c r="D209" s="95"/>
      <c r="E209" s="14"/>
      <c r="F209" s="96"/>
    </row>
    <row r="210">
      <c r="A210" s="12"/>
      <c r="D210" s="95"/>
      <c r="E210" s="14"/>
      <c r="F210" s="96"/>
    </row>
    <row r="211">
      <c r="A211" s="12"/>
      <c r="D211" s="95"/>
      <c r="E211" s="14"/>
      <c r="F211" s="96"/>
    </row>
    <row r="212">
      <c r="A212" s="12"/>
      <c r="D212" s="95"/>
      <c r="E212" s="14"/>
      <c r="F212" s="96"/>
    </row>
    <row r="213">
      <c r="A213" s="12"/>
      <c r="D213" s="95"/>
      <c r="E213" s="14"/>
      <c r="F213" s="96"/>
    </row>
    <row r="214">
      <c r="A214" s="12"/>
      <c r="D214" s="95"/>
      <c r="E214" s="14"/>
      <c r="F214" s="96"/>
    </row>
    <row r="215">
      <c r="A215" s="12"/>
      <c r="D215" s="95"/>
      <c r="E215" s="14"/>
      <c r="F215" s="96"/>
    </row>
    <row r="216">
      <c r="A216" s="12"/>
      <c r="D216" s="95"/>
      <c r="E216" s="14"/>
      <c r="F216" s="96"/>
    </row>
    <row r="217">
      <c r="A217" s="12"/>
      <c r="D217" s="95"/>
      <c r="E217" s="14"/>
      <c r="F217" s="96"/>
    </row>
    <row r="218">
      <c r="A218" s="12"/>
      <c r="D218" s="95"/>
      <c r="E218" s="14"/>
      <c r="F218" s="96"/>
    </row>
    <row r="219">
      <c r="A219" s="12"/>
      <c r="D219" s="95"/>
      <c r="E219" s="14"/>
      <c r="F219" s="96"/>
    </row>
    <row r="220">
      <c r="A220" s="12"/>
      <c r="D220" s="95"/>
      <c r="E220" s="14"/>
      <c r="F220" s="96"/>
    </row>
    <row r="221">
      <c r="A221" s="12"/>
      <c r="D221" s="95"/>
      <c r="E221" s="14"/>
      <c r="F221" s="96"/>
    </row>
    <row r="222">
      <c r="A222" s="12"/>
      <c r="D222" s="95"/>
      <c r="E222" s="14"/>
      <c r="F222" s="96"/>
    </row>
    <row r="223">
      <c r="A223" s="12"/>
      <c r="D223" s="95"/>
      <c r="E223" s="14"/>
      <c r="F223" s="96"/>
    </row>
    <row r="224">
      <c r="A224" s="12"/>
      <c r="D224" s="95"/>
      <c r="E224" s="14"/>
      <c r="F224" s="96"/>
    </row>
    <row r="225">
      <c r="A225" s="12"/>
      <c r="D225" s="95"/>
      <c r="E225" s="14"/>
      <c r="F225" s="96"/>
    </row>
    <row r="226">
      <c r="A226" s="12"/>
      <c r="D226" s="95"/>
      <c r="E226" s="14"/>
      <c r="F226" s="96"/>
    </row>
    <row r="227">
      <c r="A227" s="12"/>
      <c r="D227" s="95"/>
      <c r="E227" s="14"/>
      <c r="F227" s="96"/>
    </row>
    <row r="228">
      <c r="A228" s="12"/>
      <c r="D228" s="95"/>
      <c r="E228" s="14"/>
      <c r="F228" s="96"/>
    </row>
    <row r="229">
      <c r="A229" s="12"/>
      <c r="D229" s="95"/>
      <c r="E229" s="14"/>
      <c r="F229" s="96"/>
    </row>
    <row r="230">
      <c r="A230" s="12"/>
      <c r="D230" s="95"/>
      <c r="E230" s="14"/>
      <c r="F230" s="96"/>
    </row>
    <row r="231">
      <c r="A231" s="12"/>
      <c r="D231" s="95"/>
      <c r="E231" s="14"/>
      <c r="F231" s="96"/>
    </row>
    <row r="232">
      <c r="A232" s="12"/>
      <c r="D232" s="95"/>
      <c r="E232" s="14"/>
      <c r="F232" s="96"/>
    </row>
    <row r="233">
      <c r="A233" s="12"/>
      <c r="D233" s="95"/>
      <c r="E233" s="14"/>
      <c r="F233" s="96"/>
    </row>
    <row r="234">
      <c r="A234" s="12"/>
      <c r="D234" s="95"/>
      <c r="E234" s="14"/>
      <c r="F234" s="96"/>
    </row>
    <row r="235">
      <c r="A235" s="12"/>
      <c r="D235" s="95"/>
      <c r="E235" s="14"/>
      <c r="F235" s="96"/>
    </row>
    <row r="236">
      <c r="A236" s="12"/>
      <c r="D236" s="95"/>
      <c r="E236" s="14"/>
      <c r="F236" s="96"/>
    </row>
    <row r="237">
      <c r="A237" s="12"/>
      <c r="D237" s="95"/>
      <c r="E237" s="14"/>
      <c r="F237" s="96"/>
    </row>
    <row r="238">
      <c r="A238" s="12"/>
      <c r="D238" s="95"/>
      <c r="E238" s="14"/>
      <c r="F238" s="96"/>
    </row>
    <row r="239">
      <c r="A239" s="12"/>
      <c r="D239" s="95"/>
      <c r="E239" s="14"/>
      <c r="F239" s="96"/>
    </row>
    <row r="240">
      <c r="A240" s="12"/>
      <c r="D240" s="95"/>
      <c r="E240" s="14"/>
      <c r="F240" s="96"/>
    </row>
    <row r="241">
      <c r="A241" s="12"/>
      <c r="D241" s="95"/>
      <c r="E241" s="14"/>
      <c r="F241" s="96"/>
    </row>
    <row r="242">
      <c r="A242" s="12"/>
      <c r="D242" s="95"/>
      <c r="E242" s="14"/>
      <c r="F242" s="96"/>
    </row>
    <row r="243">
      <c r="A243" s="12"/>
      <c r="D243" s="95"/>
      <c r="E243" s="14"/>
      <c r="F243" s="96"/>
    </row>
    <row r="244">
      <c r="A244" s="12"/>
      <c r="D244" s="95"/>
      <c r="E244" s="14"/>
      <c r="F244" s="96"/>
    </row>
    <row r="245">
      <c r="A245" s="12"/>
      <c r="D245" s="95"/>
      <c r="E245" s="14"/>
      <c r="F245" s="96"/>
    </row>
    <row r="246">
      <c r="A246" s="12"/>
      <c r="D246" s="95"/>
      <c r="E246" s="14"/>
      <c r="F246" s="96"/>
    </row>
    <row r="247">
      <c r="A247" s="12"/>
      <c r="D247" s="95"/>
      <c r="E247" s="14"/>
      <c r="F247" s="96"/>
    </row>
    <row r="248">
      <c r="A248" s="12"/>
      <c r="D248" s="95"/>
      <c r="E248" s="14"/>
      <c r="F248" s="96"/>
    </row>
    <row r="249">
      <c r="A249" s="12"/>
      <c r="D249" s="95"/>
      <c r="E249" s="14"/>
      <c r="F249" s="96"/>
    </row>
    <row r="250">
      <c r="A250" s="12"/>
      <c r="D250" s="95"/>
      <c r="E250" s="14"/>
      <c r="F250" s="96"/>
    </row>
    <row r="251">
      <c r="A251" s="12"/>
      <c r="D251" s="95"/>
      <c r="E251" s="14"/>
      <c r="F251" s="96"/>
    </row>
    <row r="252">
      <c r="A252" s="12"/>
      <c r="D252" s="95"/>
      <c r="E252" s="14"/>
      <c r="F252" s="96"/>
    </row>
    <row r="253">
      <c r="A253" s="12"/>
      <c r="D253" s="95"/>
      <c r="E253" s="14"/>
      <c r="F253" s="96"/>
    </row>
    <row r="254">
      <c r="A254" s="12"/>
      <c r="D254" s="95"/>
      <c r="E254" s="14"/>
      <c r="F254" s="96"/>
    </row>
    <row r="255">
      <c r="A255" s="12"/>
      <c r="D255" s="95"/>
      <c r="E255" s="14"/>
      <c r="F255" s="96"/>
    </row>
    <row r="256">
      <c r="A256" s="12"/>
      <c r="D256" s="95"/>
      <c r="E256" s="14"/>
      <c r="F256" s="96"/>
    </row>
    <row r="257">
      <c r="A257" s="12"/>
      <c r="D257" s="95"/>
      <c r="E257" s="14"/>
      <c r="F257" s="96"/>
    </row>
    <row r="258">
      <c r="A258" s="12"/>
      <c r="D258" s="95"/>
      <c r="E258" s="14"/>
      <c r="F258" s="96"/>
    </row>
    <row r="259">
      <c r="A259" s="12"/>
      <c r="D259" s="95"/>
      <c r="E259" s="14"/>
      <c r="F259" s="96"/>
    </row>
    <row r="260">
      <c r="A260" s="12"/>
      <c r="D260" s="95"/>
      <c r="E260" s="14"/>
      <c r="F260" s="96"/>
    </row>
    <row r="261">
      <c r="A261" s="12"/>
      <c r="D261" s="95"/>
      <c r="E261" s="14"/>
      <c r="F261" s="96"/>
    </row>
    <row r="262">
      <c r="A262" s="12"/>
      <c r="D262" s="95"/>
      <c r="E262" s="14"/>
      <c r="F262" s="96"/>
    </row>
    <row r="263">
      <c r="A263" s="12"/>
      <c r="D263" s="95"/>
      <c r="E263" s="14"/>
      <c r="F263" s="96"/>
    </row>
    <row r="264">
      <c r="A264" s="12"/>
      <c r="D264" s="95"/>
      <c r="E264" s="14"/>
      <c r="F264" s="96"/>
    </row>
    <row r="265">
      <c r="A265" s="12"/>
      <c r="D265" s="95"/>
      <c r="E265" s="14"/>
      <c r="F265" s="96"/>
    </row>
    <row r="266">
      <c r="A266" s="12"/>
      <c r="D266" s="95"/>
      <c r="E266" s="14"/>
      <c r="F266" s="96"/>
    </row>
    <row r="267">
      <c r="A267" s="12"/>
      <c r="D267" s="95"/>
      <c r="E267" s="14"/>
      <c r="F267" s="96"/>
    </row>
    <row r="268">
      <c r="A268" s="12"/>
      <c r="D268" s="95"/>
      <c r="E268" s="14"/>
      <c r="F268" s="96"/>
    </row>
    <row r="269">
      <c r="A269" s="12"/>
      <c r="D269" s="95"/>
      <c r="E269" s="14"/>
      <c r="F269" s="96"/>
    </row>
    <row r="270">
      <c r="A270" s="12"/>
      <c r="D270" s="95"/>
      <c r="E270" s="14"/>
      <c r="F270" s="96"/>
    </row>
    <row r="271">
      <c r="A271" s="12"/>
      <c r="D271" s="95"/>
      <c r="E271" s="14"/>
      <c r="F271" s="96"/>
    </row>
    <row r="272">
      <c r="A272" s="12"/>
      <c r="D272" s="95"/>
      <c r="E272" s="14"/>
      <c r="F272" s="96"/>
    </row>
    <row r="273">
      <c r="A273" s="12"/>
      <c r="D273" s="95"/>
      <c r="E273" s="14"/>
      <c r="F273" s="96"/>
    </row>
    <row r="274">
      <c r="A274" s="12"/>
      <c r="D274" s="95"/>
      <c r="E274" s="14"/>
      <c r="F274" s="96"/>
    </row>
    <row r="275">
      <c r="A275" s="12"/>
      <c r="D275" s="95"/>
      <c r="E275" s="14"/>
      <c r="F275" s="96"/>
    </row>
    <row r="276">
      <c r="A276" s="12"/>
      <c r="D276" s="95"/>
      <c r="E276" s="14"/>
      <c r="F276" s="96"/>
    </row>
    <row r="277">
      <c r="A277" s="12"/>
      <c r="D277" s="95"/>
      <c r="E277" s="14"/>
      <c r="F277" s="96"/>
    </row>
    <row r="278">
      <c r="A278" s="12"/>
      <c r="D278" s="95"/>
      <c r="E278" s="14"/>
      <c r="F278" s="96"/>
    </row>
    <row r="279">
      <c r="A279" s="12"/>
      <c r="D279" s="95"/>
      <c r="E279" s="14"/>
      <c r="F279" s="96"/>
    </row>
    <row r="280">
      <c r="A280" s="12"/>
      <c r="D280" s="95"/>
      <c r="E280" s="14"/>
      <c r="F280" s="96"/>
    </row>
    <row r="281">
      <c r="A281" s="12"/>
      <c r="D281" s="95"/>
      <c r="E281" s="14"/>
      <c r="F281" s="96"/>
    </row>
    <row r="282">
      <c r="A282" s="12"/>
      <c r="D282" s="95"/>
      <c r="E282" s="14"/>
      <c r="F282" s="96"/>
    </row>
    <row r="283">
      <c r="A283" s="12"/>
      <c r="D283" s="95"/>
      <c r="E283" s="14"/>
      <c r="F283" s="96"/>
    </row>
    <row r="284">
      <c r="A284" s="12"/>
      <c r="D284" s="95"/>
      <c r="E284" s="14"/>
      <c r="F284" s="96"/>
    </row>
    <row r="285">
      <c r="A285" s="12"/>
      <c r="D285" s="95"/>
      <c r="E285" s="14"/>
      <c r="F285" s="96"/>
    </row>
    <row r="286">
      <c r="A286" s="12"/>
      <c r="D286" s="95"/>
      <c r="E286" s="14"/>
      <c r="F286" s="96"/>
    </row>
    <row r="287">
      <c r="A287" s="12"/>
      <c r="D287" s="95"/>
      <c r="E287" s="14"/>
      <c r="F287" s="96"/>
    </row>
    <row r="288">
      <c r="A288" s="12"/>
      <c r="D288" s="95"/>
      <c r="E288" s="14"/>
      <c r="F288" s="96"/>
    </row>
    <row r="289">
      <c r="A289" s="12"/>
      <c r="D289" s="95"/>
      <c r="E289" s="14"/>
      <c r="F289" s="96"/>
    </row>
    <row r="290">
      <c r="A290" s="12"/>
      <c r="D290" s="95"/>
      <c r="E290" s="14"/>
      <c r="F290" s="96"/>
    </row>
    <row r="291">
      <c r="A291" s="12"/>
      <c r="D291" s="95"/>
      <c r="E291" s="14"/>
      <c r="F291" s="96"/>
    </row>
    <row r="292">
      <c r="A292" s="12"/>
      <c r="D292" s="95"/>
      <c r="E292" s="14"/>
      <c r="F292" s="96"/>
    </row>
    <row r="293">
      <c r="A293" s="12"/>
      <c r="D293" s="95"/>
      <c r="E293" s="14"/>
      <c r="F293" s="96"/>
    </row>
    <row r="294">
      <c r="A294" s="12"/>
      <c r="D294" s="95"/>
      <c r="E294" s="14"/>
      <c r="F294" s="96"/>
    </row>
    <row r="295">
      <c r="A295" s="12"/>
      <c r="D295" s="95"/>
      <c r="E295" s="14"/>
      <c r="F295" s="96"/>
    </row>
    <row r="296">
      <c r="A296" s="12"/>
      <c r="D296" s="95"/>
      <c r="E296" s="14"/>
      <c r="F296" s="96"/>
    </row>
    <row r="297">
      <c r="A297" s="12"/>
      <c r="D297" s="95"/>
      <c r="E297" s="14"/>
      <c r="F297" s="96"/>
    </row>
    <row r="298">
      <c r="A298" s="12"/>
      <c r="D298" s="95"/>
      <c r="E298" s="14"/>
      <c r="F298" s="96"/>
    </row>
    <row r="299">
      <c r="A299" s="12"/>
      <c r="D299" s="95"/>
      <c r="E299" s="14"/>
      <c r="F299" s="96"/>
    </row>
    <row r="300">
      <c r="A300" s="12"/>
      <c r="D300" s="95"/>
      <c r="E300" s="14"/>
      <c r="F300" s="96"/>
    </row>
    <row r="301">
      <c r="A301" s="12"/>
      <c r="D301" s="95"/>
      <c r="E301" s="14"/>
      <c r="F301" s="96"/>
    </row>
    <row r="302">
      <c r="A302" s="12"/>
      <c r="D302" s="95"/>
      <c r="E302" s="14"/>
      <c r="F302" s="96"/>
    </row>
    <row r="303">
      <c r="A303" s="12"/>
      <c r="D303" s="95"/>
      <c r="E303" s="14"/>
      <c r="F303" s="96"/>
    </row>
    <row r="304">
      <c r="A304" s="12"/>
      <c r="D304" s="95"/>
      <c r="E304" s="14"/>
      <c r="F304" s="96"/>
    </row>
    <row r="305">
      <c r="A305" s="12"/>
      <c r="D305" s="95"/>
      <c r="E305" s="14"/>
      <c r="F305" s="96"/>
    </row>
    <row r="306">
      <c r="A306" s="12"/>
      <c r="D306" s="95"/>
      <c r="E306" s="14"/>
      <c r="F306" s="96"/>
    </row>
    <row r="307">
      <c r="A307" s="12"/>
      <c r="D307" s="95"/>
      <c r="E307" s="14"/>
      <c r="F307" s="96"/>
    </row>
    <row r="308">
      <c r="A308" s="12"/>
      <c r="D308" s="95"/>
      <c r="E308" s="14"/>
      <c r="F308" s="96"/>
    </row>
    <row r="309">
      <c r="A309" s="12"/>
      <c r="D309" s="95"/>
      <c r="E309" s="14"/>
      <c r="F309" s="96"/>
    </row>
    <row r="310">
      <c r="A310" s="12"/>
      <c r="D310" s="95"/>
      <c r="E310" s="14"/>
      <c r="F310" s="96"/>
    </row>
    <row r="311">
      <c r="A311" s="12"/>
      <c r="D311" s="95"/>
      <c r="E311" s="14"/>
      <c r="F311" s="96"/>
    </row>
    <row r="312">
      <c r="A312" s="12"/>
      <c r="D312" s="95"/>
      <c r="E312" s="14"/>
      <c r="F312" s="96"/>
    </row>
    <row r="313">
      <c r="A313" s="12"/>
      <c r="D313" s="95"/>
      <c r="E313" s="14"/>
      <c r="F313" s="96"/>
    </row>
    <row r="314">
      <c r="A314" s="12"/>
      <c r="D314" s="95"/>
      <c r="E314" s="14"/>
      <c r="F314" s="96"/>
    </row>
    <row r="315">
      <c r="A315" s="12"/>
      <c r="D315" s="95"/>
      <c r="E315" s="14"/>
      <c r="F315" s="96"/>
    </row>
    <row r="316">
      <c r="A316" s="12"/>
      <c r="D316" s="95"/>
      <c r="E316" s="14"/>
      <c r="F316" s="96"/>
    </row>
    <row r="317">
      <c r="A317" s="12"/>
      <c r="D317" s="95"/>
      <c r="E317" s="14"/>
      <c r="F317" s="96"/>
    </row>
    <row r="318">
      <c r="A318" s="12"/>
      <c r="D318" s="95"/>
      <c r="E318" s="14"/>
      <c r="F318" s="96"/>
    </row>
    <row r="319">
      <c r="A319" s="12"/>
      <c r="D319" s="95"/>
      <c r="E319" s="14"/>
      <c r="F319" s="96"/>
    </row>
    <row r="320">
      <c r="A320" s="12"/>
      <c r="D320" s="95"/>
      <c r="E320" s="14"/>
      <c r="F320" s="96"/>
    </row>
    <row r="321">
      <c r="A321" s="12"/>
      <c r="D321" s="95"/>
      <c r="E321" s="14"/>
      <c r="F321" s="96"/>
    </row>
    <row r="322">
      <c r="A322" s="12"/>
      <c r="D322" s="95"/>
      <c r="E322" s="14"/>
      <c r="F322" s="96"/>
    </row>
    <row r="323">
      <c r="A323" s="12"/>
      <c r="D323" s="95"/>
      <c r="E323" s="14"/>
      <c r="F323" s="96"/>
    </row>
    <row r="324">
      <c r="A324" s="12"/>
      <c r="D324" s="95"/>
      <c r="E324" s="14"/>
      <c r="F324" s="96"/>
    </row>
    <row r="325">
      <c r="A325" s="12"/>
      <c r="D325" s="95"/>
      <c r="E325" s="14"/>
      <c r="F325" s="96"/>
    </row>
    <row r="326">
      <c r="A326" s="12"/>
      <c r="D326" s="95"/>
      <c r="E326" s="14"/>
      <c r="F326" s="96"/>
    </row>
    <row r="327">
      <c r="A327" s="12"/>
      <c r="D327" s="95"/>
      <c r="E327" s="14"/>
      <c r="F327" s="96"/>
    </row>
    <row r="328">
      <c r="A328" s="12"/>
      <c r="D328" s="95"/>
      <c r="E328" s="14"/>
      <c r="F328" s="96"/>
    </row>
    <row r="329">
      <c r="A329" s="12"/>
      <c r="D329" s="95"/>
      <c r="E329" s="14"/>
      <c r="F329" s="96"/>
    </row>
    <row r="330">
      <c r="A330" s="12"/>
      <c r="D330" s="95"/>
      <c r="E330" s="14"/>
      <c r="F330" s="96"/>
    </row>
    <row r="331">
      <c r="A331" s="12"/>
      <c r="D331" s="95"/>
      <c r="E331" s="14"/>
      <c r="F331" s="96"/>
    </row>
    <row r="332">
      <c r="A332" s="12"/>
      <c r="D332" s="95"/>
      <c r="E332" s="14"/>
      <c r="F332" s="96"/>
    </row>
    <row r="333">
      <c r="A333" s="12"/>
      <c r="D333" s="95"/>
      <c r="E333" s="14"/>
      <c r="F333" s="96"/>
    </row>
    <row r="334">
      <c r="A334" s="12"/>
      <c r="D334" s="95"/>
      <c r="E334" s="14"/>
      <c r="F334" s="96"/>
    </row>
    <row r="335">
      <c r="A335" s="12"/>
      <c r="D335" s="95"/>
      <c r="E335" s="14"/>
      <c r="F335" s="96"/>
    </row>
    <row r="336">
      <c r="A336" s="12"/>
      <c r="D336" s="95"/>
      <c r="E336" s="14"/>
      <c r="F336" s="96"/>
    </row>
    <row r="337">
      <c r="A337" s="12"/>
      <c r="D337" s="95"/>
      <c r="E337" s="14"/>
      <c r="F337" s="96"/>
    </row>
    <row r="338">
      <c r="A338" s="12"/>
      <c r="D338" s="95"/>
      <c r="E338" s="14"/>
      <c r="F338" s="96"/>
    </row>
    <row r="339">
      <c r="A339" s="12"/>
      <c r="D339" s="95"/>
      <c r="E339" s="14"/>
      <c r="F339" s="96"/>
    </row>
    <row r="340">
      <c r="A340" s="12"/>
      <c r="D340" s="95"/>
      <c r="E340" s="14"/>
      <c r="F340" s="96"/>
    </row>
    <row r="341">
      <c r="A341" s="12"/>
      <c r="D341" s="95"/>
      <c r="E341" s="14"/>
      <c r="F341" s="96"/>
    </row>
    <row r="342">
      <c r="A342" s="12"/>
      <c r="D342" s="95"/>
      <c r="E342" s="14"/>
      <c r="F342" s="96"/>
    </row>
    <row r="343">
      <c r="A343" s="12"/>
      <c r="D343" s="95"/>
      <c r="E343" s="14"/>
      <c r="F343" s="96"/>
    </row>
    <row r="344">
      <c r="A344" s="12"/>
      <c r="D344" s="95"/>
      <c r="E344" s="14"/>
      <c r="F344" s="96"/>
    </row>
    <row r="345">
      <c r="A345" s="12"/>
      <c r="D345" s="95"/>
      <c r="E345" s="14"/>
      <c r="F345" s="96"/>
    </row>
    <row r="346">
      <c r="A346" s="12"/>
      <c r="D346" s="95"/>
      <c r="E346" s="14"/>
      <c r="F346" s="96"/>
    </row>
    <row r="347">
      <c r="A347" s="12"/>
      <c r="D347" s="95"/>
      <c r="E347" s="14"/>
      <c r="F347" s="96"/>
    </row>
    <row r="348">
      <c r="A348" s="12"/>
      <c r="D348" s="95"/>
      <c r="E348" s="14"/>
      <c r="F348" s="96"/>
    </row>
    <row r="349">
      <c r="A349" s="12"/>
      <c r="D349" s="95"/>
      <c r="E349" s="14"/>
      <c r="F349" s="96"/>
    </row>
    <row r="350">
      <c r="A350" s="12"/>
      <c r="D350" s="95"/>
      <c r="E350" s="14"/>
      <c r="F350" s="96"/>
    </row>
    <row r="351">
      <c r="A351" s="12"/>
      <c r="D351" s="95"/>
      <c r="E351" s="14"/>
      <c r="F351" s="96"/>
    </row>
    <row r="352">
      <c r="A352" s="12"/>
      <c r="D352" s="95"/>
      <c r="E352" s="14"/>
      <c r="F352" s="96"/>
    </row>
    <row r="353">
      <c r="A353" s="12"/>
      <c r="D353" s="95"/>
      <c r="E353" s="14"/>
      <c r="F353" s="96"/>
    </row>
    <row r="354">
      <c r="A354" s="12"/>
      <c r="D354" s="95"/>
      <c r="E354" s="14"/>
      <c r="F354" s="96"/>
    </row>
    <row r="355">
      <c r="A355" s="12"/>
      <c r="D355" s="95"/>
      <c r="E355" s="14"/>
      <c r="F355" s="96"/>
    </row>
    <row r="356">
      <c r="A356" s="12"/>
      <c r="D356" s="95"/>
      <c r="E356" s="14"/>
      <c r="F356" s="96"/>
    </row>
    <row r="357">
      <c r="A357" s="12"/>
      <c r="D357" s="95"/>
      <c r="E357" s="14"/>
      <c r="F357" s="96"/>
    </row>
    <row r="358">
      <c r="A358" s="12"/>
      <c r="D358" s="95"/>
      <c r="E358" s="14"/>
      <c r="F358" s="96"/>
    </row>
    <row r="359">
      <c r="A359" s="12"/>
      <c r="D359" s="95"/>
      <c r="E359" s="14"/>
      <c r="F359" s="96"/>
    </row>
    <row r="360">
      <c r="A360" s="12"/>
      <c r="D360" s="95"/>
      <c r="E360" s="14"/>
      <c r="F360" s="96"/>
    </row>
    <row r="361">
      <c r="A361" s="12"/>
      <c r="D361" s="95"/>
      <c r="E361" s="14"/>
      <c r="F361" s="96"/>
    </row>
    <row r="362">
      <c r="A362" s="12"/>
      <c r="D362" s="95"/>
      <c r="E362" s="14"/>
      <c r="F362" s="96"/>
    </row>
    <row r="363">
      <c r="A363" s="12"/>
      <c r="D363" s="95"/>
      <c r="E363" s="14"/>
      <c r="F363" s="96"/>
    </row>
    <row r="364">
      <c r="A364" s="12"/>
      <c r="D364" s="95"/>
      <c r="E364" s="14"/>
      <c r="F364" s="96"/>
    </row>
    <row r="365">
      <c r="A365" s="12"/>
      <c r="D365" s="95"/>
      <c r="E365" s="14"/>
      <c r="F365" s="96"/>
    </row>
    <row r="366">
      <c r="A366" s="12"/>
      <c r="D366" s="95"/>
      <c r="E366" s="14"/>
      <c r="F366" s="96"/>
    </row>
    <row r="367">
      <c r="A367" s="12"/>
      <c r="D367" s="95"/>
      <c r="E367" s="14"/>
      <c r="F367" s="96"/>
    </row>
    <row r="368">
      <c r="A368" s="12"/>
      <c r="D368" s="95"/>
      <c r="E368" s="14"/>
      <c r="F368" s="96"/>
    </row>
    <row r="369">
      <c r="A369" s="12"/>
      <c r="D369" s="95"/>
      <c r="E369" s="14"/>
      <c r="F369" s="96"/>
    </row>
    <row r="370">
      <c r="A370" s="12"/>
      <c r="D370" s="95"/>
      <c r="E370" s="14"/>
      <c r="F370" s="96"/>
    </row>
    <row r="371">
      <c r="A371" s="12"/>
      <c r="D371" s="95"/>
      <c r="E371" s="14"/>
      <c r="F371" s="96"/>
    </row>
    <row r="372">
      <c r="A372" s="12"/>
      <c r="D372" s="95"/>
      <c r="E372" s="14"/>
      <c r="F372" s="96"/>
    </row>
    <row r="373">
      <c r="A373" s="12"/>
      <c r="D373" s="95"/>
      <c r="E373" s="14"/>
      <c r="F373" s="96"/>
    </row>
    <row r="374">
      <c r="A374" s="12"/>
      <c r="D374" s="95"/>
      <c r="E374" s="14"/>
      <c r="F374" s="96"/>
    </row>
    <row r="375">
      <c r="A375" s="12"/>
      <c r="D375" s="95"/>
      <c r="E375" s="14"/>
      <c r="F375" s="96"/>
    </row>
    <row r="376">
      <c r="A376" s="12"/>
      <c r="D376" s="95"/>
      <c r="E376" s="14"/>
      <c r="F376" s="96"/>
    </row>
    <row r="377">
      <c r="A377" s="12"/>
      <c r="D377" s="95"/>
      <c r="E377" s="14"/>
      <c r="F377" s="96"/>
    </row>
    <row r="378">
      <c r="A378" s="12"/>
      <c r="D378" s="95"/>
      <c r="E378" s="14"/>
      <c r="F378" s="96"/>
    </row>
    <row r="379">
      <c r="A379" s="12"/>
      <c r="D379" s="95"/>
      <c r="E379" s="14"/>
      <c r="F379" s="96"/>
    </row>
    <row r="380">
      <c r="A380" s="12"/>
      <c r="D380" s="95"/>
      <c r="E380" s="14"/>
      <c r="F380" s="96"/>
    </row>
    <row r="381">
      <c r="A381" s="12"/>
      <c r="D381" s="95"/>
      <c r="E381" s="14"/>
      <c r="F381" s="96"/>
    </row>
    <row r="382">
      <c r="A382" s="12"/>
      <c r="D382" s="95"/>
      <c r="E382" s="14"/>
      <c r="F382" s="96"/>
    </row>
    <row r="383">
      <c r="A383" s="12"/>
      <c r="D383" s="95"/>
      <c r="E383" s="14"/>
      <c r="F383" s="96"/>
    </row>
    <row r="384">
      <c r="A384" s="12"/>
      <c r="D384" s="95"/>
      <c r="E384" s="14"/>
      <c r="F384" s="96"/>
    </row>
    <row r="385">
      <c r="A385" s="12"/>
      <c r="D385" s="95"/>
      <c r="E385" s="14"/>
      <c r="F385" s="96"/>
    </row>
    <row r="386">
      <c r="A386" s="12"/>
      <c r="D386" s="95"/>
      <c r="E386" s="14"/>
      <c r="F386" s="96"/>
    </row>
    <row r="387">
      <c r="A387" s="12"/>
      <c r="D387" s="95"/>
      <c r="E387" s="14"/>
      <c r="F387" s="96"/>
    </row>
    <row r="388">
      <c r="A388" s="12"/>
      <c r="D388" s="95"/>
      <c r="E388" s="14"/>
      <c r="F388" s="96"/>
    </row>
    <row r="389">
      <c r="A389" s="12"/>
      <c r="D389" s="95"/>
      <c r="E389" s="14"/>
      <c r="F389" s="96"/>
    </row>
    <row r="390">
      <c r="A390" s="12"/>
      <c r="D390" s="95"/>
      <c r="E390" s="14"/>
      <c r="F390" s="96"/>
    </row>
    <row r="391">
      <c r="A391" s="12"/>
      <c r="D391" s="95"/>
      <c r="E391" s="14"/>
      <c r="F391" s="96"/>
    </row>
    <row r="392">
      <c r="A392" s="12"/>
      <c r="D392" s="95"/>
      <c r="E392" s="14"/>
      <c r="F392" s="96"/>
    </row>
    <row r="393">
      <c r="A393" s="12"/>
      <c r="D393" s="95"/>
      <c r="E393" s="14"/>
      <c r="F393" s="96"/>
    </row>
    <row r="394">
      <c r="A394" s="12"/>
      <c r="D394" s="95"/>
      <c r="E394" s="14"/>
      <c r="F394" s="96"/>
    </row>
    <row r="395">
      <c r="A395" s="12"/>
      <c r="D395" s="95"/>
      <c r="E395" s="14"/>
      <c r="F395" s="96"/>
    </row>
    <row r="396">
      <c r="A396" s="12"/>
      <c r="D396" s="95"/>
      <c r="E396" s="14"/>
      <c r="F396" s="96"/>
    </row>
    <row r="397">
      <c r="A397" s="12"/>
      <c r="D397" s="95"/>
      <c r="E397" s="14"/>
      <c r="F397" s="96"/>
    </row>
    <row r="398">
      <c r="A398" s="12"/>
      <c r="D398" s="95"/>
      <c r="E398" s="14"/>
      <c r="F398" s="96"/>
    </row>
    <row r="399">
      <c r="A399" s="12"/>
      <c r="D399" s="95"/>
      <c r="E399" s="14"/>
      <c r="F399" s="96"/>
    </row>
    <row r="400">
      <c r="A400" s="12"/>
      <c r="D400" s="95"/>
      <c r="E400" s="14"/>
      <c r="F400" s="96"/>
    </row>
    <row r="401">
      <c r="A401" s="12"/>
      <c r="D401" s="95"/>
      <c r="E401" s="14"/>
      <c r="F401" s="96"/>
    </row>
    <row r="402">
      <c r="A402" s="12"/>
      <c r="D402" s="95"/>
      <c r="E402" s="14"/>
      <c r="F402" s="96"/>
    </row>
    <row r="403">
      <c r="A403" s="12"/>
      <c r="D403" s="95"/>
      <c r="E403" s="14"/>
      <c r="F403" s="96"/>
    </row>
    <row r="404">
      <c r="A404" s="12"/>
      <c r="D404" s="95"/>
      <c r="E404" s="14"/>
      <c r="F404" s="96"/>
    </row>
    <row r="405">
      <c r="A405" s="12"/>
      <c r="D405" s="95"/>
      <c r="E405" s="14"/>
      <c r="F405" s="96"/>
    </row>
    <row r="406">
      <c r="A406" s="12"/>
      <c r="D406" s="95"/>
      <c r="E406" s="14"/>
      <c r="F406" s="96"/>
    </row>
    <row r="407">
      <c r="A407" s="12"/>
      <c r="D407" s="95"/>
      <c r="E407" s="14"/>
      <c r="F407" s="96"/>
    </row>
    <row r="408">
      <c r="A408" s="12"/>
      <c r="D408" s="95"/>
      <c r="E408" s="14"/>
      <c r="F408" s="96"/>
    </row>
    <row r="409">
      <c r="A409" s="12"/>
      <c r="D409" s="95"/>
      <c r="E409" s="14"/>
      <c r="F409" s="96"/>
    </row>
    <row r="410">
      <c r="A410" s="12"/>
      <c r="D410" s="95"/>
      <c r="E410" s="14"/>
      <c r="F410" s="96"/>
    </row>
    <row r="411">
      <c r="A411" s="12"/>
      <c r="D411" s="95"/>
      <c r="E411" s="14"/>
      <c r="F411" s="96"/>
    </row>
    <row r="412">
      <c r="A412" s="12"/>
      <c r="D412" s="95"/>
      <c r="E412" s="14"/>
      <c r="F412" s="96"/>
    </row>
    <row r="413">
      <c r="A413" s="12"/>
      <c r="D413" s="95"/>
      <c r="E413" s="14"/>
      <c r="F413" s="96"/>
    </row>
    <row r="414">
      <c r="A414" s="12"/>
      <c r="D414" s="95"/>
      <c r="E414" s="14"/>
      <c r="F414" s="96"/>
    </row>
    <row r="415">
      <c r="A415" s="12"/>
      <c r="D415" s="95"/>
      <c r="E415" s="14"/>
      <c r="F415" s="96"/>
    </row>
    <row r="416">
      <c r="A416" s="12"/>
      <c r="D416" s="95"/>
      <c r="E416" s="14"/>
      <c r="F416" s="96"/>
    </row>
    <row r="417">
      <c r="A417" s="12"/>
      <c r="D417" s="95"/>
      <c r="E417" s="14"/>
      <c r="F417" s="96"/>
    </row>
    <row r="418">
      <c r="A418" s="12"/>
      <c r="D418" s="95"/>
      <c r="E418" s="14"/>
      <c r="F418" s="96"/>
    </row>
    <row r="419">
      <c r="A419" s="12"/>
      <c r="D419" s="95"/>
      <c r="E419" s="14"/>
      <c r="F419" s="96"/>
    </row>
    <row r="420">
      <c r="A420" s="12"/>
      <c r="D420" s="95"/>
      <c r="E420" s="14"/>
      <c r="F420" s="96"/>
    </row>
    <row r="421">
      <c r="A421" s="12"/>
      <c r="D421" s="95"/>
      <c r="E421" s="14"/>
      <c r="F421" s="96"/>
    </row>
    <row r="422">
      <c r="A422" s="12"/>
      <c r="D422" s="95"/>
      <c r="E422" s="14"/>
      <c r="F422" s="96"/>
    </row>
    <row r="423">
      <c r="A423" s="12"/>
      <c r="D423" s="95"/>
      <c r="E423" s="14"/>
      <c r="F423" s="96"/>
    </row>
    <row r="424">
      <c r="A424" s="12"/>
      <c r="D424" s="95"/>
      <c r="E424" s="14"/>
      <c r="F424" s="96"/>
    </row>
    <row r="425">
      <c r="A425" s="12"/>
      <c r="D425" s="95"/>
      <c r="E425" s="14"/>
      <c r="F425" s="96"/>
    </row>
    <row r="426">
      <c r="A426" s="12"/>
      <c r="D426" s="95"/>
      <c r="E426" s="14"/>
      <c r="F426" s="96"/>
    </row>
    <row r="427">
      <c r="A427" s="12"/>
      <c r="D427" s="95"/>
      <c r="E427" s="14"/>
      <c r="F427" s="96"/>
    </row>
    <row r="428">
      <c r="A428" s="12"/>
      <c r="D428" s="95"/>
      <c r="E428" s="14"/>
      <c r="F428" s="96"/>
    </row>
    <row r="429">
      <c r="A429" s="12"/>
      <c r="D429" s="95"/>
      <c r="E429" s="14"/>
      <c r="F429" s="96"/>
    </row>
    <row r="430">
      <c r="A430" s="12"/>
      <c r="D430" s="95"/>
      <c r="E430" s="14"/>
      <c r="F430" s="96"/>
    </row>
    <row r="431">
      <c r="A431" s="12"/>
      <c r="D431" s="95"/>
      <c r="E431" s="14"/>
      <c r="F431" s="96"/>
    </row>
    <row r="432">
      <c r="A432" s="12"/>
      <c r="D432" s="95"/>
      <c r="E432" s="14"/>
      <c r="F432" s="96"/>
    </row>
    <row r="433">
      <c r="A433" s="12"/>
      <c r="D433" s="95"/>
      <c r="E433" s="14"/>
      <c r="F433" s="96"/>
    </row>
    <row r="434">
      <c r="A434" s="12"/>
      <c r="D434" s="95"/>
      <c r="E434" s="14"/>
      <c r="F434" s="96"/>
    </row>
    <row r="435">
      <c r="A435" s="12"/>
      <c r="D435" s="95"/>
      <c r="E435" s="14"/>
      <c r="F435" s="96"/>
    </row>
    <row r="436">
      <c r="A436" s="12"/>
      <c r="D436" s="95"/>
      <c r="E436" s="14"/>
      <c r="F436" s="96"/>
    </row>
    <row r="437">
      <c r="A437" s="12"/>
      <c r="D437" s="95"/>
      <c r="E437" s="14"/>
      <c r="F437" s="96"/>
    </row>
    <row r="438">
      <c r="A438" s="12"/>
      <c r="D438" s="95"/>
      <c r="E438" s="14"/>
      <c r="F438" s="96"/>
    </row>
    <row r="439">
      <c r="A439" s="12"/>
      <c r="D439" s="95"/>
      <c r="E439" s="14"/>
      <c r="F439" s="96"/>
    </row>
    <row r="440">
      <c r="A440" s="12"/>
      <c r="D440" s="95"/>
      <c r="E440" s="14"/>
      <c r="F440" s="96"/>
    </row>
    <row r="441">
      <c r="A441" s="12"/>
      <c r="D441" s="95"/>
      <c r="E441" s="14"/>
      <c r="F441" s="96"/>
    </row>
    <row r="442">
      <c r="A442" s="12"/>
      <c r="D442" s="95"/>
      <c r="E442" s="14"/>
      <c r="F442" s="96"/>
    </row>
    <row r="443">
      <c r="A443" s="12"/>
      <c r="D443" s="95"/>
      <c r="E443" s="14"/>
      <c r="F443" s="96"/>
    </row>
    <row r="444">
      <c r="A444" s="12"/>
      <c r="D444" s="95"/>
      <c r="E444" s="14"/>
      <c r="F444" s="96"/>
    </row>
    <row r="445">
      <c r="A445" s="12"/>
      <c r="D445" s="95"/>
      <c r="E445" s="14"/>
      <c r="F445" s="96"/>
    </row>
    <row r="446">
      <c r="A446" s="12"/>
      <c r="D446" s="95"/>
      <c r="E446" s="14"/>
      <c r="F446" s="96"/>
    </row>
    <row r="447">
      <c r="A447" s="12"/>
      <c r="D447" s="95"/>
      <c r="E447" s="14"/>
      <c r="F447" s="96"/>
    </row>
    <row r="448">
      <c r="A448" s="12"/>
      <c r="D448" s="95"/>
      <c r="E448" s="14"/>
      <c r="F448" s="96"/>
    </row>
    <row r="449">
      <c r="A449" s="12"/>
      <c r="D449" s="95"/>
      <c r="E449" s="14"/>
      <c r="F449" s="96"/>
    </row>
    <row r="450">
      <c r="A450" s="12"/>
      <c r="D450" s="95"/>
      <c r="E450" s="14"/>
      <c r="F450" s="96"/>
    </row>
    <row r="451">
      <c r="A451" s="12"/>
      <c r="D451" s="95"/>
      <c r="E451" s="14"/>
      <c r="F451" s="96"/>
    </row>
    <row r="452">
      <c r="A452" s="12"/>
      <c r="D452" s="95"/>
      <c r="E452" s="14"/>
      <c r="F452" s="96"/>
    </row>
    <row r="453">
      <c r="A453" s="12"/>
      <c r="D453" s="95"/>
      <c r="E453" s="14"/>
      <c r="F453" s="96"/>
    </row>
    <row r="454">
      <c r="A454" s="12"/>
      <c r="D454" s="95"/>
      <c r="E454" s="14"/>
      <c r="F454" s="96"/>
    </row>
    <row r="455">
      <c r="A455" s="12"/>
      <c r="D455" s="95"/>
      <c r="E455" s="14"/>
      <c r="F455" s="96"/>
    </row>
    <row r="456">
      <c r="A456" s="12"/>
      <c r="D456" s="95"/>
      <c r="E456" s="14"/>
      <c r="F456" s="96"/>
    </row>
    <row r="457">
      <c r="A457" s="12"/>
      <c r="D457" s="95"/>
      <c r="E457" s="14"/>
      <c r="F457" s="96"/>
    </row>
    <row r="458">
      <c r="A458" s="12"/>
      <c r="D458" s="95"/>
      <c r="E458" s="14"/>
      <c r="F458" s="96"/>
    </row>
    <row r="459">
      <c r="A459" s="12"/>
      <c r="D459" s="95"/>
      <c r="E459" s="14"/>
      <c r="F459" s="96"/>
    </row>
    <row r="460">
      <c r="A460" s="12"/>
      <c r="D460" s="95"/>
      <c r="E460" s="14"/>
      <c r="F460" s="96"/>
    </row>
    <row r="461">
      <c r="A461" s="12"/>
      <c r="D461" s="95"/>
      <c r="E461" s="14"/>
      <c r="F461" s="96"/>
    </row>
    <row r="462">
      <c r="A462" s="12"/>
      <c r="D462" s="95"/>
      <c r="E462" s="14"/>
      <c r="F462" s="96"/>
    </row>
    <row r="463">
      <c r="A463" s="12"/>
      <c r="D463" s="95"/>
      <c r="E463" s="14"/>
      <c r="F463" s="96"/>
    </row>
    <row r="464">
      <c r="A464" s="12"/>
      <c r="D464" s="95"/>
      <c r="E464" s="14"/>
      <c r="F464" s="96"/>
    </row>
    <row r="465">
      <c r="A465" s="12"/>
      <c r="D465" s="95"/>
      <c r="E465" s="14"/>
      <c r="F465" s="96"/>
    </row>
    <row r="466">
      <c r="A466" s="12"/>
      <c r="D466" s="95"/>
      <c r="E466" s="14"/>
      <c r="F466" s="96"/>
    </row>
    <row r="467">
      <c r="A467" s="12"/>
      <c r="D467" s="95"/>
      <c r="E467" s="14"/>
      <c r="F467" s="96"/>
    </row>
    <row r="468">
      <c r="A468" s="12"/>
      <c r="D468" s="95"/>
      <c r="E468" s="14"/>
      <c r="F468" s="96"/>
    </row>
    <row r="469">
      <c r="A469" s="12"/>
      <c r="D469" s="95"/>
      <c r="E469" s="14"/>
      <c r="F469" s="96"/>
    </row>
    <row r="470">
      <c r="A470" s="12"/>
      <c r="D470" s="95"/>
      <c r="E470" s="14"/>
      <c r="F470" s="96"/>
    </row>
    <row r="471">
      <c r="A471" s="12"/>
      <c r="D471" s="95"/>
      <c r="E471" s="14"/>
      <c r="F471" s="96"/>
    </row>
    <row r="472">
      <c r="A472" s="12"/>
      <c r="D472" s="95"/>
      <c r="E472" s="14"/>
      <c r="F472" s="96"/>
    </row>
    <row r="473">
      <c r="A473" s="12"/>
      <c r="D473" s="95"/>
      <c r="E473" s="14"/>
      <c r="F473" s="96"/>
    </row>
    <row r="474">
      <c r="A474" s="12"/>
      <c r="D474" s="95"/>
      <c r="E474" s="14"/>
      <c r="F474" s="96"/>
    </row>
    <row r="475">
      <c r="A475" s="12"/>
      <c r="D475" s="95"/>
      <c r="E475" s="14"/>
      <c r="F475" s="96"/>
    </row>
    <row r="476">
      <c r="A476" s="12"/>
      <c r="D476" s="95"/>
      <c r="E476" s="14"/>
      <c r="F476" s="96"/>
    </row>
    <row r="477">
      <c r="A477" s="12"/>
      <c r="D477" s="95"/>
      <c r="E477" s="14"/>
      <c r="F477" s="96"/>
    </row>
    <row r="478">
      <c r="A478" s="12"/>
      <c r="D478" s="95"/>
      <c r="E478" s="14"/>
      <c r="F478" s="96"/>
    </row>
    <row r="479">
      <c r="A479" s="12"/>
      <c r="D479" s="95"/>
      <c r="E479" s="14"/>
      <c r="F479" s="96"/>
    </row>
    <row r="480">
      <c r="A480" s="12"/>
      <c r="D480" s="95"/>
      <c r="E480" s="14"/>
      <c r="F480" s="96"/>
    </row>
    <row r="481">
      <c r="A481" s="12"/>
      <c r="D481" s="95"/>
      <c r="E481" s="14"/>
      <c r="F481" s="96"/>
    </row>
    <row r="482">
      <c r="A482" s="12"/>
      <c r="D482" s="95"/>
      <c r="E482" s="14"/>
      <c r="F482" s="96"/>
    </row>
    <row r="483">
      <c r="A483" s="12"/>
      <c r="D483" s="95"/>
      <c r="E483" s="14"/>
      <c r="F483" s="96"/>
    </row>
    <row r="484">
      <c r="A484" s="12"/>
      <c r="D484" s="95"/>
      <c r="E484" s="14"/>
      <c r="F484" s="96"/>
    </row>
    <row r="485">
      <c r="A485" s="12"/>
      <c r="D485" s="95"/>
      <c r="E485" s="14"/>
      <c r="F485" s="96"/>
    </row>
    <row r="486">
      <c r="A486" s="12"/>
      <c r="D486" s="95"/>
      <c r="E486" s="14"/>
      <c r="F486" s="96"/>
    </row>
    <row r="487">
      <c r="A487" s="12"/>
      <c r="D487" s="95"/>
      <c r="E487" s="14"/>
      <c r="F487" s="96"/>
    </row>
    <row r="488">
      <c r="A488" s="12"/>
      <c r="D488" s="95"/>
      <c r="E488" s="14"/>
      <c r="F488" s="96"/>
    </row>
    <row r="489">
      <c r="A489" s="12"/>
      <c r="D489" s="95"/>
      <c r="E489" s="14"/>
      <c r="F489" s="96"/>
    </row>
    <row r="490">
      <c r="A490" s="12"/>
      <c r="D490" s="95"/>
      <c r="E490" s="14"/>
      <c r="F490" s="96"/>
    </row>
    <row r="491">
      <c r="A491" s="12"/>
      <c r="D491" s="95"/>
      <c r="E491" s="14"/>
      <c r="F491" s="96"/>
    </row>
    <row r="492">
      <c r="A492" s="12"/>
      <c r="D492" s="95"/>
      <c r="E492" s="14"/>
      <c r="F492" s="96"/>
    </row>
    <row r="493">
      <c r="A493" s="12"/>
      <c r="D493" s="95"/>
      <c r="E493" s="14"/>
      <c r="F493" s="96"/>
    </row>
    <row r="494">
      <c r="A494" s="12"/>
      <c r="D494" s="95"/>
      <c r="E494" s="14"/>
      <c r="F494" s="96"/>
    </row>
    <row r="495">
      <c r="A495" s="12"/>
      <c r="D495" s="95"/>
      <c r="E495" s="14"/>
      <c r="F495" s="96"/>
    </row>
    <row r="496">
      <c r="A496" s="12"/>
      <c r="D496" s="95"/>
      <c r="E496" s="14"/>
      <c r="F496" s="96"/>
    </row>
    <row r="497">
      <c r="A497" s="12"/>
      <c r="D497" s="95"/>
      <c r="E497" s="14"/>
      <c r="F497" s="96"/>
    </row>
    <row r="498">
      <c r="A498" s="12"/>
      <c r="D498" s="95"/>
      <c r="E498" s="14"/>
      <c r="F498" s="96"/>
    </row>
    <row r="499">
      <c r="A499" s="12"/>
      <c r="D499" s="95"/>
      <c r="E499" s="14"/>
      <c r="F499" s="96"/>
    </row>
    <row r="500">
      <c r="A500" s="12"/>
      <c r="D500" s="95"/>
      <c r="E500" s="14"/>
      <c r="F500" s="96"/>
    </row>
    <row r="501">
      <c r="A501" s="12"/>
      <c r="D501" s="95"/>
      <c r="E501" s="14"/>
      <c r="F501" s="96"/>
    </row>
    <row r="502">
      <c r="A502" s="12"/>
      <c r="D502" s="95"/>
      <c r="E502" s="14"/>
      <c r="F502" s="96"/>
    </row>
    <row r="503">
      <c r="A503" s="12"/>
      <c r="D503" s="95"/>
      <c r="E503" s="14"/>
      <c r="F503" s="96"/>
    </row>
    <row r="504">
      <c r="A504" s="12"/>
      <c r="D504" s="95"/>
      <c r="E504" s="14"/>
      <c r="F504" s="96"/>
    </row>
    <row r="505">
      <c r="A505" s="12"/>
      <c r="D505" s="95"/>
      <c r="E505" s="14"/>
      <c r="F505" s="96"/>
    </row>
    <row r="506">
      <c r="A506" s="12"/>
      <c r="D506" s="95"/>
      <c r="E506" s="14"/>
      <c r="F506" s="96"/>
    </row>
    <row r="507">
      <c r="A507" s="12"/>
      <c r="D507" s="95"/>
      <c r="E507" s="14"/>
      <c r="F507" s="96"/>
    </row>
    <row r="508">
      <c r="A508" s="12"/>
      <c r="D508" s="95"/>
      <c r="E508" s="14"/>
      <c r="F508" s="96"/>
    </row>
    <row r="509">
      <c r="A509" s="12"/>
      <c r="D509" s="95"/>
      <c r="E509" s="14"/>
      <c r="F509" s="96"/>
    </row>
    <row r="510">
      <c r="A510" s="12"/>
      <c r="D510" s="95"/>
      <c r="E510" s="14"/>
      <c r="F510" s="96"/>
    </row>
    <row r="511">
      <c r="A511" s="12"/>
      <c r="D511" s="95"/>
      <c r="E511" s="14"/>
      <c r="F511" s="96"/>
    </row>
    <row r="512">
      <c r="A512" s="12"/>
      <c r="D512" s="95"/>
      <c r="E512" s="14"/>
      <c r="F512" s="96"/>
    </row>
    <row r="513">
      <c r="A513" s="12"/>
      <c r="D513" s="95"/>
      <c r="E513" s="14"/>
      <c r="F513" s="96"/>
    </row>
    <row r="514">
      <c r="A514" s="12"/>
      <c r="D514" s="95"/>
      <c r="E514" s="14"/>
      <c r="F514" s="96"/>
    </row>
    <row r="515">
      <c r="A515" s="12"/>
      <c r="D515" s="95"/>
      <c r="E515" s="14"/>
      <c r="F515" s="96"/>
    </row>
    <row r="516">
      <c r="A516" s="12"/>
      <c r="D516" s="95"/>
      <c r="E516" s="14"/>
      <c r="F516" s="96"/>
    </row>
    <row r="517">
      <c r="A517" s="12"/>
      <c r="D517" s="95"/>
      <c r="E517" s="14"/>
      <c r="F517" s="96"/>
    </row>
    <row r="518">
      <c r="A518" s="12"/>
      <c r="D518" s="95"/>
      <c r="E518" s="14"/>
      <c r="F518" s="96"/>
    </row>
    <row r="519">
      <c r="A519" s="12"/>
      <c r="D519" s="95"/>
      <c r="E519" s="14"/>
      <c r="F519" s="96"/>
    </row>
    <row r="520">
      <c r="A520" s="12"/>
      <c r="D520" s="95"/>
      <c r="E520" s="14"/>
      <c r="F520" s="96"/>
    </row>
    <row r="521">
      <c r="A521" s="12"/>
      <c r="D521" s="95"/>
      <c r="E521" s="14"/>
      <c r="F521" s="96"/>
    </row>
    <row r="522">
      <c r="A522" s="12"/>
      <c r="D522" s="95"/>
      <c r="E522" s="14"/>
      <c r="F522" s="96"/>
    </row>
    <row r="523">
      <c r="A523" s="12"/>
      <c r="D523" s="95"/>
      <c r="E523" s="14"/>
      <c r="F523" s="96"/>
    </row>
    <row r="524">
      <c r="A524" s="12"/>
      <c r="D524" s="95"/>
      <c r="E524" s="14"/>
      <c r="F524" s="96"/>
    </row>
    <row r="525">
      <c r="A525" s="12"/>
      <c r="D525" s="95"/>
      <c r="E525" s="14"/>
      <c r="F525" s="96"/>
    </row>
    <row r="526">
      <c r="A526" s="12"/>
      <c r="D526" s="95"/>
      <c r="E526" s="14"/>
      <c r="F526" s="96"/>
    </row>
    <row r="527">
      <c r="A527" s="12"/>
      <c r="D527" s="95"/>
      <c r="E527" s="14"/>
      <c r="F527" s="96"/>
    </row>
    <row r="528">
      <c r="A528" s="12"/>
      <c r="D528" s="95"/>
      <c r="E528" s="14"/>
      <c r="F528" s="96"/>
    </row>
    <row r="529">
      <c r="A529" s="12"/>
      <c r="D529" s="95"/>
      <c r="E529" s="14"/>
      <c r="F529" s="96"/>
    </row>
    <row r="530">
      <c r="A530" s="12"/>
      <c r="D530" s="95"/>
      <c r="E530" s="14"/>
      <c r="F530" s="96"/>
    </row>
    <row r="531">
      <c r="A531" s="12"/>
      <c r="D531" s="95"/>
      <c r="E531" s="14"/>
      <c r="F531" s="96"/>
    </row>
    <row r="532">
      <c r="A532" s="12"/>
      <c r="D532" s="95"/>
      <c r="E532" s="14"/>
      <c r="F532" s="96"/>
    </row>
    <row r="533">
      <c r="A533" s="12"/>
      <c r="D533" s="95"/>
      <c r="E533" s="14"/>
      <c r="F533" s="96"/>
    </row>
    <row r="534">
      <c r="A534" s="12"/>
      <c r="D534" s="95"/>
      <c r="E534" s="14"/>
      <c r="F534" s="96"/>
    </row>
    <row r="535">
      <c r="A535" s="12"/>
      <c r="D535" s="95"/>
      <c r="E535" s="14"/>
      <c r="F535" s="96"/>
    </row>
    <row r="536">
      <c r="A536" s="12"/>
      <c r="D536" s="95"/>
      <c r="E536" s="14"/>
      <c r="F536" s="96"/>
    </row>
    <row r="537">
      <c r="A537" s="12"/>
      <c r="D537" s="95"/>
      <c r="E537" s="14"/>
      <c r="F537" s="96"/>
    </row>
    <row r="538">
      <c r="A538" s="12"/>
      <c r="D538" s="95"/>
      <c r="E538" s="14"/>
      <c r="F538" s="96"/>
    </row>
    <row r="539">
      <c r="A539" s="12"/>
      <c r="D539" s="95"/>
      <c r="E539" s="14"/>
      <c r="F539" s="96"/>
    </row>
    <row r="540">
      <c r="A540" s="12"/>
      <c r="D540" s="95"/>
      <c r="E540" s="14"/>
      <c r="F540" s="96"/>
    </row>
    <row r="541">
      <c r="A541" s="12"/>
      <c r="D541" s="95"/>
      <c r="E541" s="14"/>
      <c r="F541" s="96"/>
    </row>
    <row r="542">
      <c r="A542" s="12"/>
      <c r="D542" s="95"/>
      <c r="E542" s="14"/>
      <c r="F542" s="96"/>
    </row>
    <row r="543">
      <c r="A543" s="12"/>
      <c r="D543" s="95"/>
      <c r="E543" s="14"/>
      <c r="F543" s="96"/>
    </row>
    <row r="544">
      <c r="A544" s="12"/>
      <c r="D544" s="95"/>
      <c r="E544" s="14"/>
      <c r="F544" s="96"/>
    </row>
    <row r="545">
      <c r="A545" s="12"/>
      <c r="D545" s="95"/>
      <c r="E545" s="14"/>
      <c r="F545" s="96"/>
    </row>
    <row r="546">
      <c r="A546" s="12"/>
      <c r="D546" s="95"/>
      <c r="E546" s="14"/>
      <c r="F546" s="96"/>
    </row>
    <row r="547">
      <c r="A547" s="12"/>
      <c r="D547" s="95"/>
      <c r="E547" s="14"/>
      <c r="F547" s="96"/>
    </row>
    <row r="548">
      <c r="A548" s="12"/>
      <c r="D548" s="95"/>
      <c r="E548" s="14"/>
      <c r="F548" s="96"/>
    </row>
    <row r="549">
      <c r="A549" s="12"/>
      <c r="D549" s="95"/>
      <c r="E549" s="14"/>
      <c r="F549" s="96"/>
    </row>
    <row r="550">
      <c r="A550" s="12"/>
      <c r="D550" s="95"/>
      <c r="E550" s="14"/>
      <c r="F550" s="96"/>
    </row>
    <row r="551">
      <c r="A551" s="12"/>
      <c r="D551" s="95"/>
      <c r="E551" s="14"/>
      <c r="F551" s="96"/>
    </row>
    <row r="552">
      <c r="A552" s="12"/>
      <c r="D552" s="95"/>
      <c r="E552" s="14"/>
      <c r="F552" s="96"/>
    </row>
    <row r="553">
      <c r="A553" s="12"/>
      <c r="D553" s="95"/>
      <c r="E553" s="14"/>
      <c r="F553" s="96"/>
    </row>
    <row r="554">
      <c r="A554" s="12"/>
      <c r="D554" s="95"/>
      <c r="E554" s="14"/>
      <c r="F554" s="96"/>
    </row>
    <row r="555">
      <c r="A555" s="12"/>
      <c r="D555" s="95"/>
      <c r="E555" s="14"/>
      <c r="F555" s="96"/>
    </row>
    <row r="556">
      <c r="A556" s="12"/>
      <c r="D556" s="95"/>
      <c r="E556" s="14"/>
      <c r="F556" s="96"/>
    </row>
    <row r="557">
      <c r="A557" s="12"/>
      <c r="D557" s="95"/>
      <c r="E557" s="14"/>
      <c r="F557" s="96"/>
    </row>
    <row r="558">
      <c r="A558" s="12"/>
      <c r="D558" s="95"/>
      <c r="E558" s="14"/>
      <c r="F558" s="96"/>
    </row>
    <row r="559">
      <c r="A559" s="12"/>
      <c r="D559" s="95"/>
      <c r="E559" s="14"/>
      <c r="F559" s="96"/>
    </row>
    <row r="560">
      <c r="A560" s="12"/>
      <c r="D560" s="95"/>
      <c r="E560" s="14"/>
      <c r="F560" s="96"/>
    </row>
    <row r="561">
      <c r="A561" s="12"/>
      <c r="D561" s="95"/>
      <c r="E561" s="14"/>
      <c r="F561" s="96"/>
    </row>
    <row r="562">
      <c r="A562" s="12"/>
      <c r="D562" s="95"/>
      <c r="E562" s="14"/>
      <c r="F562" s="96"/>
    </row>
    <row r="563">
      <c r="A563" s="12"/>
      <c r="D563" s="95"/>
      <c r="E563" s="14"/>
      <c r="F563" s="96"/>
    </row>
    <row r="564">
      <c r="A564" s="12"/>
      <c r="D564" s="95"/>
      <c r="E564" s="14"/>
      <c r="F564" s="96"/>
    </row>
    <row r="565">
      <c r="A565" s="12"/>
      <c r="D565" s="95"/>
      <c r="E565" s="14"/>
      <c r="F565" s="96"/>
    </row>
    <row r="566">
      <c r="A566" s="12"/>
      <c r="D566" s="95"/>
      <c r="E566" s="14"/>
      <c r="F566" s="96"/>
    </row>
    <row r="567">
      <c r="A567" s="12"/>
      <c r="D567" s="95"/>
      <c r="E567" s="14"/>
      <c r="F567" s="96"/>
    </row>
    <row r="568">
      <c r="A568" s="12"/>
      <c r="D568" s="95"/>
      <c r="E568" s="14"/>
      <c r="F568" s="96"/>
    </row>
    <row r="569">
      <c r="A569" s="12"/>
      <c r="D569" s="95"/>
      <c r="E569" s="14"/>
      <c r="F569" s="96"/>
    </row>
    <row r="570">
      <c r="A570" s="12"/>
      <c r="D570" s="95"/>
      <c r="E570" s="14"/>
      <c r="F570" s="96"/>
    </row>
    <row r="571">
      <c r="A571" s="12"/>
      <c r="D571" s="95"/>
      <c r="E571" s="14"/>
      <c r="F571" s="96"/>
    </row>
    <row r="572">
      <c r="A572" s="12"/>
      <c r="D572" s="95"/>
      <c r="E572" s="14"/>
      <c r="F572" s="96"/>
    </row>
    <row r="573">
      <c r="A573" s="12"/>
      <c r="D573" s="95"/>
      <c r="E573" s="14"/>
      <c r="F573" s="96"/>
    </row>
    <row r="574">
      <c r="A574" s="12"/>
      <c r="D574" s="95"/>
      <c r="E574" s="14"/>
      <c r="F574" s="96"/>
    </row>
    <row r="575">
      <c r="A575" s="12"/>
      <c r="D575" s="95"/>
      <c r="E575" s="14"/>
      <c r="F575" s="96"/>
    </row>
    <row r="576">
      <c r="A576" s="12"/>
      <c r="D576" s="95"/>
      <c r="E576" s="14"/>
      <c r="F576" s="96"/>
    </row>
    <row r="577">
      <c r="A577" s="12"/>
      <c r="D577" s="95"/>
      <c r="E577" s="14"/>
      <c r="F577" s="96"/>
    </row>
    <row r="578">
      <c r="A578" s="12"/>
      <c r="D578" s="95"/>
      <c r="E578" s="14"/>
      <c r="F578" s="96"/>
    </row>
    <row r="579">
      <c r="A579" s="12"/>
      <c r="D579" s="95"/>
      <c r="E579" s="14"/>
      <c r="F579" s="96"/>
    </row>
    <row r="580">
      <c r="A580" s="12"/>
      <c r="D580" s="95"/>
      <c r="E580" s="14"/>
      <c r="F580" s="96"/>
    </row>
    <row r="581">
      <c r="A581" s="12"/>
      <c r="D581" s="95"/>
      <c r="E581" s="14"/>
      <c r="F581" s="96"/>
    </row>
    <row r="582">
      <c r="A582" s="12"/>
      <c r="D582" s="95"/>
      <c r="E582" s="14"/>
      <c r="F582" s="96"/>
    </row>
    <row r="583">
      <c r="A583" s="12"/>
      <c r="D583" s="95"/>
      <c r="E583" s="14"/>
      <c r="F583" s="96"/>
    </row>
    <row r="584">
      <c r="A584" s="12"/>
      <c r="D584" s="95"/>
      <c r="E584" s="14"/>
      <c r="F584" s="96"/>
    </row>
    <row r="585">
      <c r="A585" s="12"/>
      <c r="D585" s="95"/>
      <c r="E585" s="14"/>
      <c r="F585" s="96"/>
    </row>
    <row r="586">
      <c r="A586" s="12"/>
      <c r="D586" s="95"/>
      <c r="E586" s="14"/>
      <c r="F586" s="96"/>
    </row>
    <row r="587">
      <c r="A587" s="12"/>
      <c r="D587" s="95"/>
      <c r="E587" s="14"/>
      <c r="F587" s="96"/>
    </row>
    <row r="588">
      <c r="A588" s="12"/>
      <c r="D588" s="95"/>
      <c r="E588" s="14"/>
      <c r="F588" s="96"/>
    </row>
    <row r="589">
      <c r="A589" s="12"/>
      <c r="D589" s="95"/>
      <c r="E589" s="14"/>
      <c r="F589" s="96"/>
    </row>
    <row r="590">
      <c r="A590" s="12"/>
      <c r="D590" s="95"/>
      <c r="E590" s="14"/>
      <c r="F590" s="96"/>
    </row>
    <row r="591">
      <c r="A591" s="12"/>
      <c r="D591" s="95"/>
      <c r="E591" s="14"/>
      <c r="F591" s="96"/>
    </row>
    <row r="592">
      <c r="A592" s="12"/>
      <c r="D592" s="95"/>
      <c r="E592" s="14"/>
      <c r="F592" s="96"/>
    </row>
    <row r="593">
      <c r="A593" s="12"/>
      <c r="D593" s="95"/>
      <c r="E593" s="14"/>
      <c r="F593" s="96"/>
    </row>
    <row r="594">
      <c r="A594" s="12"/>
      <c r="D594" s="95"/>
      <c r="E594" s="14"/>
      <c r="F594" s="96"/>
    </row>
    <row r="595">
      <c r="A595" s="12"/>
      <c r="D595" s="95"/>
      <c r="E595" s="14"/>
      <c r="F595" s="96"/>
    </row>
    <row r="596">
      <c r="A596" s="12"/>
      <c r="D596" s="95"/>
      <c r="E596" s="14"/>
      <c r="F596" s="96"/>
    </row>
    <row r="597">
      <c r="A597" s="12"/>
      <c r="D597" s="95"/>
      <c r="E597" s="14"/>
      <c r="F597" s="96"/>
    </row>
    <row r="598">
      <c r="A598" s="12"/>
      <c r="D598" s="95"/>
      <c r="E598" s="14"/>
      <c r="F598" s="96"/>
    </row>
    <row r="599">
      <c r="A599" s="12"/>
      <c r="D599" s="95"/>
      <c r="E599" s="14"/>
      <c r="F599" s="96"/>
    </row>
    <row r="600">
      <c r="A600" s="12"/>
      <c r="D600" s="95"/>
      <c r="E600" s="14"/>
      <c r="F600" s="96"/>
    </row>
    <row r="601">
      <c r="A601" s="12"/>
      <c r="D601" s="95"/>
      <c r="E601" s="14"/>
      <c r="F601" s="96"/>
    </row>
    <row r="602">
      <c r="A602" s="12"/>
      <c r="D602" s="95"/>
      <c r="E602" s="14"/>
      <c r="F602" s="96"/>
    </row>
    <row r="603">
      <c r="A603" s="12"/>
      <c r="D603" s="95"/>
      <c r="E603" s="14"/>
      <c r="F603" s="96"/>
    </row>
    <row r="604">
      <c r="A604" s="12"/>
      <c r="D604" s="95"/>
      <c r="E604" s="14"/>
      <c r="F604" s="96"/>
    </row>
    <row r="605">
      <c r="A605" s="12"/>
      <c r="D605" s="95"/>
      <c r="E605" s="14"/>
      <c r="F605" s="96"/>
    </row>
    <row r="606">
      <c r="A606" s="12"/>
      <c r="D606" s="95"/>
      <c r="E606" s="14"/>
      <c r="F606" s="96"/>
    </row>
    <row r="607">
      <c r="A607" s="12"/>
      <c r="D607" s="95"/>
      <c r="E607" s="14"/>
      <c r="F607" s="96"/>
    </row>
    <row r="608">
      <c r="A608" s="12"/>
      <c r="D608" s="95"/>
      <c r="E608" s="14"/>
      <c r="F608" s="96"/>
    </row>
    <row r="609">
      <c r="A609" s="12"/>
      <c r="D609" s="95"/>
      <c r="E609" s="14"/>
      <c r="F609" s="96"/>
    </row>
    <row r="610">
      <c r="A610" s="12"/>
      <c r="D610" s="95"/>
      <c r="E610" s="14"/>
      <c r="F610" s="96"/>
    </row>
    <row r="611">
      <c r="A611" s="12"/>
      <c r="D611" s="95"/>
      <c r="E611" s="14"/>
      <c r="F611" s="96"/>
    </row>
    <row r="612">
      <c r="A612" s="12"/>
      <c r="D612" s="95"/>
      <c r="E612" s="14"/>
      <c r="F612" s="96"/>
    </row>
    <row r="613">
      <c r="A613" s="12"/>
      <c r="D613" s="95"/>
      <c r="E613" s="14"/>
      <c r="F613" s="96"/>
    </row>
    <row r="614">
      <c r="A614" s="12"/>
      <c r="D614" s="95"/>
      <c r="E614" s="14"/>
      <c r="F614" s="96"/>
    </row>
    <row r="615">
      <c r="A615" s="12"/>
      <c r="D615" s="95"/>
      <c r="E615" s="14"/>
      <c r="F615" s="96"/>
    </row>
    <row r="616">
      <c r="A616" s="12"/>
      <c r="D616" s="95"/>
      <c r="E616" s="14"/>
      <c r="F616" s="96"/>
    </row>
    <row r="617">
      <c r="A617" s="12"/>
      <c r="D617" s="95"/>
      <c r="E617" s="14"/>
      <c r="F617" s="96"/>
    </row>
    <row r="618">
      <c r="A618" s="12"/>
      <c r="D618" s="95"/>
      <c r="E618" s="14"/>
      <c r="F618" s="96"/>
    </row>
    <row r="619">
      <c r="A619" s="12"/>
      <c r="D619" s="95"/>
      <c r="E619" s="14"/>
      <c r="F619" s="96"/>
    </row>
    <row r="620">
      <c r="A620" s="12"/>
      <c r="D620" s="95"/>
      <c r="E620" s="14"/>
      <c r="F620" s="96"/>
    </row>
    <row r="621">
      <c r="A621" s="12"/>
      <c r="D621" s="95"/>
      <c r="E621" s="14"/>
      <c r="F621" s="96"/>
    </row>
    <row r="622">
      <c r="A622" s="12"/>
      <c r="D622" s="95"/>
      <c r="E622" s="14"/>
      <c r="F622" s="96"/>
    </row>
    <row r="623">
      <c r="A623" s="12"/>
      <c r="D623" s="95"/>
      <c r="E623" s="14"/>
      <c r="F623" s="96"/>
    </row>
    <row r="624">
      <c r="A624" s="12"/>
      <c r="D624" s="95"/>
      <c r="E624" s="14"/>
      <c r="F624" s="96"/>
    </row>
    <row r="625">
      <c r="A625" s="12"/>
      <c r="D625" s="95"/>
      <c r="E625" s="14"/>
      <c r="F625" s="96"/>
    </row>
    <row r="626">
      <c r="A626" s="12"/>
      <c r="D626" s="95"/>
      <c r="E626" s="14"/>
      <c r="F626" s="96"/>
    </row>
    <row r="627">
      <c r="A627" s="12"/>
      <c r="D627" s="95"/>
      <c r="E627" s="14"/>
      <c r="F627" s="96"/>
    </row>
    <row r="628">
      <c r="A628" s="12"/>
      <c r="D628" s="95"/>
      <c r="E628" s="14"/>
      <c r="F628" s="96"/>
    </row>
    <row r="629">
      <c r="A629" s="12"/>
      <c r="D629" s="95"/>
      <c r="E629" s="14"/>
      <c r="F629" s="96"/>
    </row>
    <row r="630">
      <c r="A630" s="12"/>
      <c r="D630" s="95"/>
      <c r="E630" s="14"/>
      <c r="F630" s="96"/>
    </row>
    <row r="631">
      <c r="A631" s="12"/>
      <c r="D631" s="95"/>
      <c r="E631" s="14"/>
      <c r="F631" s="96"/>
    </row>
    <row r="632">
      <c r="A632" s="12"/>
      <c r="D632" s="95"/>
      <c r="E632" s="14"/>
      <c r="F632" s="96"/>
    </row>
    <row r="633">
      <c r="A633" s="12"/>
      <c r="D633" s="95"/>
      <c r="E633" s="14"/>
      <c r="F633" s="96"/>
    </row>
    <row r="634">
      <c r="A634" s="12"/>
      <c r="D634" s="95"/>
      <c r="E634" s="14"/>
      <c r="F634" s="96"/>
    </row>
    <row r="635">
      <c r="A635" s="12"/>
      <c r="D635" s="95"/>
      <c r="E635" s="14"/>
      <c r="F635" s="96"/>
    </row>
    <row r="636">
      <c r="A636" s="12"/>
      <c r="D636" s="95"/>
      <c r="E636" s="14"/>
      <c r="F636" s="96"/>
    </row>
    <row r="637">
      <c r="A637" s="12"/>
      <c r="D637" s="95"/>
      <c r="E637" s="14"/>
      <c r="F637" s="96"/>
    </row>
    <row r="638">
      <c r="A638" s="12"/>
      <c r="D638" s="95"/>
      <c r="E638" s="14"/>
      <c r="F638" s="96"/>
    </row>
    <row r="639">
      <c r="A639" s="12"/>
      <c r="D639" s="95"/>
      <c r="E639" s="14"/>
      <c r="F639" s="96"/>
    </row>
    <row r="640">
      <c r="A640" s="12"/>
      <c r="D640" s="95"/>
      <c r="E640" s="14"/>
      <c r="F640" s="96"/>
    </row>
    <row r="641">
      <c r="A641" s="12"/>
      <c r="D641" s="95"/>
      <c r="E641" s="14"/>
      <c r="F641" s="96"/>
    </row>
    <row r="642">
      <c r="A642" s="12"/>
      <c r="D642" s="95"/>
      <c r="E642" s="14"/>
      <c r="F642" s="96"/>
    </row>
    <row r="643">
      <c r="A643" s="12"/>
      <c r="D643" s="95"/>
      <c r="E643" s="14"/>
      <c r="F643" s="96"/>
    </row>
    <row r="644">
      <c r="A644" s="12"/>
      <c r="D644" s="95"/>
      <c r="E644" s="14"/>
      <c r="F644" s="96"/>
    </row>
    <row r="645">
      <c r="A645" s="12"/>
      <c r="D645" s="95"/>
      <c r="E645" s="14"/>
      <c r="F645" s="96"/>
    </row>
    <row r="646">
      <c r="A646" s="12"/>
      <c r="D646" s="95"/>
      <c r="E646" s="14"/>
      <c r="F646" s="96"/>
    </row>
    <row r="647">
      <c r="A647" s="12"/>
      <c r="D647" s="95"/>
      <c r="E647" s="14"/>
      <c r="F647" s="96"/>
    </row>
    <row r="648">
      <c r="A648" s="12"/>
      <c r="D648" s="95"/>
      <c r="E648" s="14"/>
      <c r="F648" s="96"/>
    </row>
    <row r="649">
      <c r="A649" s="12"/>
      <c r="D649" s="95"/>
      <c r="E649" s="14"/>
      <c r="F649" s="96"/>
    </row>
    <row r="650">
      <c r="A650" s="12"/>
      <c r="D650" s="95"/>
      <c r="E650" s="14"/>
      <c r="F650" s="96"/>
    </row>
    <row r="651">
      <c r="A651" s="12"/>
      <c r="D651" s="95"/>
      <c r="E651" s="14"/>
      <c r="F651" s="96"/>
    </row>
    <row r="652">
      <c r="A652" s="12"/>
      <c r="D652" s="95"/>
      <c r="E652" s="14"/>
      <c r="F652" s="96"/>
    </row>
    <row r="653">
      <c r="A653" s="12"/>
      <c r="D653" s="95"/>
      <c r="E653" s="14"/>
      <c r="F653" s="96"/>
    </row>
    <row r="654">
      <c r="A654" s="12"/>
      <c r="D654" s="95"/>
      <c r="E654" s="14"/>
      <c r="F654" s="96"/>
    </row>
    <row r="655">
      <c r="A655" s="12"/>
      <c r="D655" s="95"/>
      <c r="E655" s="14"/>
      <c r="F655" s="96"/>
    </row>
    <row r="656">
      <c r="A656" s="12"/>
      <c r="D656" s="95"/>
      <c r="E656" s="14"/>
      <c r="F656" s="96"/>
    </row>
    <row r="657">
      <c r="A657" s="12"/>
      <c r="D657" s="95"/>
      <c r="E657" s="14"/>
      <c r="F657" s="96"/>
    </row>
    <row r="658">
      <c r="A658" s="12"/>
      <c r="D658" s="95"/>
      <c r="E658" s="14"/>
      <c r="F658" s="96"/>
    </row>
    <row r="659">
      <c r="A659" s="12"/>
      <c r="D659" s="95"/>
      <c r="E659" s="14"/>
      <c r="F659" s="96"/>
    </row>
    <row r="660">
      <c r="A660" s="12"/>
      <c r="D660" s="95"/>
      <c r="E660" s="14"/>
      <c r="F660" s="96"/>
    </row>
    <row r="661">
      <c r="A661" s="12"/>
      <c r="D661" s="95"/>
      <c r="E661" s="14"/>
      <c r="F661" s="96"/>
    </row>
    <row r="662">
      <c r="A662" s="12"/>
      <c r="D662" s="95"/>
      <c r="E662" s="14"/>
      <c r="F662" s="96"/>
    </row>
    <row r="663">
      <c r="A663" s="12"/>
      <c r="D663" s="95"/>
      <c r="E663" s="14"/>
      <c r="F663" s="96"/>
    </row>
    <row r="664">
      <c r="A664" s="12"/>
      <c r="D664" s="95"/>
      <c r="E664" s="14"/>
      <c r="F664" s="96"/>
    </row>
    <row r="665">
      <c r="A665" s="12"/>
      <c r="D665" s="95"/>
      <c r="E665" s="14"/>
      <c r="F665" s="96"/>
    </row>
    <row r="666">
      <c r="A666" s="12"/>
      <c r="D666" s="95"/>
      <c r="E666" s="14"/>
      <c r="F666" s="96"/>
    </row>
    <row r="667">
      <c r="A667" s="12"/>
      <c r="D667" s="95"/>
      <c r="E667" s="14"/>
      <c r="F667" s="96"/>
    </row>
    <row r="668">
      <c r="A668" s="12"/>
      <c r="D668" s="95"/>
      <c r="E668" s="14"/>
      <c r="F668" s="96"/>
    </row>
    <row r="669">
      <c r="A669" s="12"/>
      <c r="D669" s="95"/>
      <c r="E669" s="14"/>
      <c r="F669" s="96"/>
    </row>
    <row r="670">
      <c r="A670" s="12"/>
      <c r="D670" s="95"/>
      <c r="E670" s="14"/>
      <c r="F670" s="96"/>
    </row>
    <row r="671">
      <c r="A671" s="12"/>
      <c r="D671" s="95"/>
      <c r="E671" s="14"/>
      <c r="F671" s="96"/>
    </row>
    <row r="672">
      <c r="A672" s="12"/>
      <c r="D672" s="95"/>
      <c r="E672" s="14"/>
      <c r="F672" s="96"/>
    </row>
    <row r="673">
      <c r="A673" s="12"/>
      <c r="D673" s="95"/>
      <c r="E673" s="14"/>
      <c r="F673" s="96"/>
    </row>
    <row r="674">
      <c r="A674" s="12"/>
      <c r="D674" s="95"/>
      <c r="E674" s="14"/>
      <c r="F674" s="96"/>
    </row>
    <row r="675">
      <c r="A675" s="12"/>
      <c r="D675" s="95"/>
      <c r="E675" s="14"/>
      <c r="F675" s="96"/>
    </row>
    <row r="676">
      <c r="A676" s="12"/>
      <c r="D676" s="95"/>
      <c r="E676" s="14"/>
      <c r="F676" s="96"/>
    </row>
    <row r="677">
      <c r="A677" s="12"/>
      <c r="D677" s="95"/>
      <c r="E677" s="14"/>
      <c r="F677" s="96"/>
    </row>
    <row r="678">
      <c r="A678" s="12"/>
      <c r="D678" s="95"/>
      <c r="E678" s="14"/>
      <c r="F678" s="96"/>
    </row>
    <row r="679">
      <c r="A679" s="12"/>
      <c r="D679" s="95"/>
      <c r="E679" s="14"/>
      <c r="F679" s="96"/>
    </row>
    <row r="680">
      <c r="A680" s="12"/>
      <c r="D680" s="95"/>
      <c r="E680" s="14"/>
      <c r="F680" s="96"/>
    </row>
    <row r="681">
      <c r="A681" s="12"/>
      <c r="D681" s="95"/>
      <c r="E681" s="14"/>
      <c r="F681" s="96"/>
    </row>
    <row r="682">
      <c r="A682" s="12"/>
      <c r="D682" s="95"/>
      <c r="E682" s="14"/>
      <c r="F682" s="96"/>
    </row>
    <row r="683">
      <c r="A683" s="12"/>
      <c r="D683" s="95"/>
      <c r="E683" s="14"/>
      <c r="F683" s="96"/>
    </row>
    <row r="684">
      <c r="A684" s="12"/>
      <c r="D684" s="95"/>
      <c r="E684" s="14"/>
      <c r="F684" s="96"/>
    </row>
    <row r="685">
      <c r="A685" s="12"/>
      <c r="D685" s="95"/>
      <c r="E685" s="14"/>
      <c r="F685" s="96"/>
    </row>
    <row r="686">
      <c r="A686" s="12"/>
      <c r="D686" s="95"/>
      <c r="E686" s="14"/>
      <c r="F686" s="96"/>
    </row>
    <row r="687">
      <c r="A687" s="12"/>
      <c r="D687" s="95"/>
      <c r="E687" s="14"/>
      <c r="F687" s="96"/>
    </row>
    <row r="688">
      <c r="A688" s="12"/>
      <c r="D688" s="95"/>
      <c r="E688" s="14"/>
      <c r="F688" s="96"/>
    </row>
    <row r="689">
      <c r="A689" s="12"/>
      <c r="D689" s="95"/>
      <c r="E689" s="14"/>
      <c r="F689" s="96"/>
    </row>
    <row r="690">
      <c r="A690" s="12"/>
      <c r="D690" s="95"/>
      <c r="E690" s="14"/>
      <c r="F690" s="96"/>
    </row>
    <row r="691">
      <c r="A691" s="12"/>
      <c r="D691" s="95"/>
      <c r="E691" s="14"/>
      <c r="F691" s="96"/>
    </row>
    <row r="692">
      <c r="A692" s="12"/>
      <c r="D692" s="95"/>
      <c r="E692" s="14"/>
      <c r="F692" s="96"/>
    </row>
    <row r="693">
      <c r="A693" s="12"/>
      <c r="D693" s="95"/>
      <c r="E693" s="14"/>
      <c r="F693" s="96"/>
    </row>
    <row r="694">
      <c r="A694" s="12"/>
      <c r="D694" s="95"/>
      <c r="E694" s="14"/>
      <c r="F694" s="96"/>
    </row>
    <row r="695">
      <c r="A695" s="12"/>
      <c r="D695" s="95"/>
      <c r="E695" s="14"/>
      <c r="F695" s="96"/>
    </row>
    <row r="696">
      <c r="A696" s="12"/>
      <c r="D696" s="95"/>
      <c r="E696" s="14"/>
      <c r="F696" s="96"/>
    </row>
    <row r="697">
      <c r="A697" s="12"/>
      <c r="D697" s="95"/>
      <c r="E697" s="14"/>
      <c r="F697" s="96"/>
    </row>
    <row r="698">
      <c r="A698" s="12"/>
      <c r="D698" s="95"/>
      <c r="E698" s="14"/>
      <c r="F698" s="96"/>
    </row>
    <row r="699">
      <c r="A699" s="12"/>
      <c r="D699" s="95"/>
      <c r="E699" s="14"/>
      <c r="F699" s="96"/>
    </row>
    <row r="700">
      <c r="A700" s="12"/>
      <c r="D700" s="95"/>
      <c r="E700" s="14"/>
      <c r="F700" s="96"/>
    </row>
    <row r="701">
      <c r="A701" s="12"/>
      <c r="D701" s="95"/>
      <c r="E701" s="14"/>
      <c r="F701" s="96"/>
    </row>
    <row r="702">
      <c r="A702" s="12"/>
      <c r="D702" s="95"/>
      <c r="E702" s="14"/>
      <c r="F702" s="96"/>
    </row>
    <row r="703">
      <c r="A703" s="12"/>
      <c r="D703" s="95"/>
      <c r="E703" s="14"/>
      <c r="F703" s="96"/>
    </row>
    <row r="704">
      <c r="A704" s="12"/>
      <c r="D704" s="95"/>
      <c r="E704" s="14"/>
      <c r="F704" s="96"/>
    </row>
    <row r="705">
      <c r="A705" s="12"/>
      <c r="D705" s="95"/>
      <c r="E705" s="14"/>
      <c r="F705" s="96"/>
    </row>
    <row r="706">
      <c r="A706" s="12"/>
      <c r="D706" s="95"/>
      <c r="E706" s="14"/>
      <c r="F706" s="96"/>
    </row>
    <row r="707">
      <c r="A707" s="12"/>
      <c r="D707" s="95"/>
      <c r="E707" s="14"/>
      <c r="F707" s="96"/>
    </row>
    <row r="708">
      <c r="A708" s="12"/>
      <c r="D708" s="95"/>
      <c r="E708" s="14"/>
      <c r="F708" s="96"/>
    </row>
    <row r="709">
      <c r="A709" s="12"/>
      <c r="D709" s="95"/>
      <c r="E709" s="14"/>
      <c r="F709" s="96"/>
    </row>
    <row r="710">
      <c r="A710" s="12"/>
      <c r="D710" s="95"/>
      <c r="E710" s="14"/>
      <c r="F710" s="96"/>
    </row>
    <row r="711">
      <c r="A711" s="12"/>
      <c r="D711" s="95"/>
      <c r="E711" s="14"/>
      <c r="F711" s="96"/>
    </row>
    <row r="712">
      <c r="A712" s="12"/>
      <c r="D712" s="95"/>
      <c r="E712" s="14"/>
      <c r="F712" s="96"/>
    </row>
    <row r="713">
      <c r="A713" s="12"/>
      <c r="D713" s="95"/>
      <c r="E713" s="14"/>
      <c r="F713" s="96"/>
    </row>
    <row r="714">
      <c r="A714" s="12"/>
      <c r="D714" s="95"/>
      <c r="E714" s="14"/>
      <c r="F714" s="96"/>
    </row>
    <row r="715">
      <c r="A715" s="12"/>
      <c r="D715" s="95"/>
      <c r="E715" s="14"/>
      <c r="F715" s="96"/>
    </row>
    <row r="716">
      <c r="A716" s="12"/>
      <c r="D716" s="95"/>
      <c r="E716" s="14"/>
      <c r="F716" s="96"/>
    </row>
    <row r="717">
      <c r="A717" s="12"/>
      <c r="D717" s="95"/>
      <c r="E717" s="14"/>
      <c r="F717" s="96"/>
    </row>
    <row r="718">
      <c r="A718" s="12"/>
      <c r="D718" s="95"/>
      <c r="E718" s="14"/>
      <c r="F718" s="96"/>
    </row>
    <row r="719">
      <c r="A719" s="12"/>
      <c r="D719" s="95"/>
      <c r="E719" s="14"/>
      <c r="F719" s="96"/>
    </row>
    <row r="720">
      <c r="A720" s="12"/>
      <c r="D720" s="95"/>
      <c r="E720" s="14"/>
      <c r="F720" s="96"/>
    </row>
    <row r="721">
      <c r="A721" s="12"/>
      <c r="D721" s="95"/>
      <c r="E721" s="14"/>
      <c r="F721" s="96"/>
    </row>
    <row r="722">
      <c r="A722" s="12"/>
      <c r="D722" s="95"/>
      <c r="E722" s="14"/>
      <c r="F722" s="96"/>
    </row>
    <row r="723">
      <c r="A723" s="12"/>
      <c r="D723" s="95"/>
      <c r="E723" s="14"/>
      <c r="F723" s="96"/>
    </row>
    <row r="724">
      <c r="A724" s="12"/>
      <c r="D724" s="95"/>
      <c r="E724" s="14"/>
      <c r="F724" s="96"/>
    </row>
    <row r="725">
      <c r="A725" s="12"/>
      <c r="D725" s="95"/>
      <c r="E725" s="14"/>
      <c r="F725" s="96"/>
    </row>
    <row r="726">
      <c r="A726" s="12"/>
      <c r="D726" s="95"/>
      <c r="E726" s="14"/>
      <c r="F726" s="96"/>
    </row>
    <row r="727">
      <c r="A727" s="12"/>
      <c r="D727" s="95"/>
      <c r="E727" s="14"/>
      <c r="F727" s="96"/>
    </row>
    <row r="728">
      <c r="A728" s="12"/>
      <c r="D728" s="95"/>
      <c r="E728" s="14"/>
      <c r="F728" s="96"/>
    </row>
    <row r="729">
      <c r="A729" s="12"/>
      <c r="D729" s="95"/>
      <c r="E729" s="14"/>
      <c r="F729" s="96"/>
    </row>
    <row r="730">
      <c r="A730" s="12"/>
      <c r="D730" s="95"/>
      <c r="E730" s="14"/>
      <c r="F730" s="96"/>
    </row>
    <row r="731">
      <c r="A731" s="12"/>
      <c r="D731" s="95"/>
      <c r="E731" s="14"/>
      <c r="F731" s="96"/>
    </row>
    <row r="732">
      <c r="A732" s="12"/>
      <c r="D732" s="95"/>
      <c r="E732" s="14"/>
      <c r="F732" s="96"/>
    </row>
    <row r="733">
      <c r="A733" s="12"/>
      <c r="D733" s="95"/>
      <c r="E733" s="14"/>
      <c r="F733" s="96"/>
    </row>
    <row r="734">
      <c r="A734" s="12"/>
      <c r="D734" s="95"/>
      <c r="E734" s="14"/>
      <c r="F734" s="96"/>
    </row>
    <row r="735">
      <c r="A735" s="12"/>
      <c r="D735" s="95"/>
      <c r="E735" s="14"/>
      <c r="F735" s="96"/>
    </row>
    <row r="736">
      <c r="A736" s="12"/>
      <c r="D736" s="95"/>
      <c r="E736" s="14"/>
      <c r="F736" s="96"/>
    </row>
    <row r="737">
      <c r="A737" s="12"/>
      <c r="D737" s="95"/>
      <c r="E737" s="14"/>
      <c r="F737" s="96"/>
    </row>
    <row r="738">
      <c r="A738" s="12"/>
      <c r="D738" s="95"/>
      <c r="E738" s="14"/>
      <c r="F738" s="96"/>
    </row>
    <row r="739">
      <c r="A739" s="12"/>
      <c r="D739" s="95"/>
      <c r="E739" s="14"/>
      <c r="F739" s="96"/>
    </row>
    <row r="740">
      <c r="A740" s="12"/>
      <c r="D740" s="95"/>
      <c r="E740" s="14"/>
      <c r="F740" s="96"/>
    </row>
    <row r="741">
      <c r="A741" s="12"/>
      <c r="D741" s="95"/>
      <c r="E741" s="14"/>
      <c r="F741" s="96"/>
    </row>
    <row r="742">
      <c r="A742" s="12"/>
      <c r="D742" s="95"/>
      <c r="E742" s="14"/>
      <c r="F742" s="96"/>
    </row>
    <row r="743">
      <c r="A743" s="12"/>
      <c r="D743" s="95"/>
      <c r="E743" s="14"/>
      <c r="F743" s="96"/>
    </row>
    <row r="744">
      <c r="A744" s="12"/>
      <c r="D744" s="95"/>
      <c r="E744" s="14"/>
      <c r="F744" s="96"/>
    </row>
    <row r="745">
      <c r="A745" s="12"/>
      <c r="D745" s="95"/>
      <c r="E745" s="14"/>
      <c r="F745" s="96"/>
    </row>
    <row r="746">
      <c r="A746" s="12"/>
      <c r="D746" s="95"/>
      <c r="E746" s="14"/>
      <c r="F746" s="96"/>
    </row>
    <row r="747">
      <c r="A747" s="12"/>
      <c r="D747" s="95"/>
      <c r="E747" s="14"/>
      <c r="F747" s="96"/>
    </row>
    <row r="748">
      <c r="A748" s="12"/>
      <c r="D748" s="95"/>
      <c r="E748" s="14"/>
      <c r="F748" s="96"/>
    </row>
    <row r="749">
      <c r="A749" s="12"/>
      <c r="D749" s="95"/>
      <c r="E749" s="14"/>
      <c r="F749" s="96"/>
    </row>
    <row r="750">
      <c r="A750" s="12"/>
      <c r="D750" s="95"/>
      <c r="E750" s="14"/>
      <c r="F750" s="96"/>
    </row>
    <row r="751">
      <c r="A751" s="12"/>
      <c r="D751" s="95"/>
      <c r="E751" s="14"/>
      <c r="F751" s="96"/>
    </row>
    <row r="752">
      <c r="A752" s="12"/>
      <c r="D752" s="95"/>
      <c r="E752" s="14"/>
      <c r="F752" s="96"/>
    </row>
    <row r="753">
      <c r="A753" s="12"/>
      <c r="D753" s="95"/>
      <c r="E753" s="14"/>
      <c r="F753" s="96"/>
    </row>
    <row r="754">
      <c r="A754" s="12"/>
      <c r="D754" s="95"/>
      <c r="E754" s="14"/>
      <c r="F754" s="96"/>
    </row>
    <row r="755">
      <c r="A755" s="12"/>
      <c r="D755" s="95"/>
      <c r="E755" s="14"/>
      <c r="F755" s="96"/>
    </row>
    <row r="756">
      <c r="A756" s="12"/>
      <c r="D756" s="95"/>
      <c r="E756" s="14"/>
      <c r="F756" s="96"/>
    </row>
    <row r="757">
      <c r="A757" s="12"/>
      <c r="D757" s="95"/>
      <c r="E757" s="14"/>
      <c r="F757" s="96"/>
    </row>
    <row r="758">
      <c r="A758" s="12"/>
      <c r="D758" s="95"/>
      <c r="E758" s="14"/>
      <c r="F758" s="96"/>
    </row>
    <row r="759">
      <c r="A759" s="12"/>
      <c r="D759" s="95"/>
      <c r="E759" s="14"/>
      <c r="F759" s="96"/>
    </row>
    <row r="760">
      <c r="A760" s="12"/>
      <c r="D760" s="95"/>
      <c r="E760" s="14"/>
      <c r="F760" s="96"/>
    </row>
    <row r="761">
      <c r="A761" s="12"/>
      <c r="D761" s="95"/>
      <c r="E761" s="14"/>
      <c r="F761" s="96"/>
    </row>
    <row r="762">
      <c r="A762" s="12"/>
      <c r="D762" s="95"/>
      <c r="E762" s="14"/>
      <c r="F762" s="96"/>
    </row>
    <row r="763">
      <c r="A763" s="12"/>
      <c r="D763" s="95"/>
      <c r="E763" s="14"/>
      <c r="F763" s="96"/>
    </row>
    <row r="764">
      <c r="A764" s="12"/>
      <c r="D764" s="95"/>
      <c r="E764" s="14"/>
      <c r="F764" s="96"/>
    </row>
    <row r="765">
      <c r="A765" s="12"/>
      <c r="D765" s="95"/>
      <c r="E765" s="14"/>
      <c r="F765" s="96"/>
    </row>
    <row r="766">
      <c r="A766" s="12"/>
      <c r="D766" s="95"/>
      <c r="E766" s="14"/>
      <c r="F766" s="96"/>
    </row>
    <row r="767">
      <c r="A767" s="12"/>
      <c r="D767" s="95"/>
      <c r="E767" s="14"/>
      <c r="F767" s="96"/>
    </row>
    <row r="768">
      <c r="A768" s="12"/>
      <c r="D768" s="95"/>
      <c r="E768" s="14"/>
      <c r="F768" s="96"/>
    </row>
    <row r="769">
      <c r="A769" s="12"/>
      <c r="D769" s="95"/>
      <c r="E769" s="14"/>
      <c r="F769" s="96"/>
    </row>
    <row r="770">
      <c r="A770" s="12"/>
      <c r="D770" s="95"/>
      <c r="E770" s="14"/>
      <c r="F770" s="96"/>
    </row>
    <row r="771">
      <c r="A771" s="12"/>
      <c r="D771" s="95"/>
      <c r="E771" s="14"/>
      <c r="F771" s="96"/>
    </row>
    <row r="772">
      <c r="A772" s="12"/>
      <c r="D772" s="95"/>
      <c r="E772" s="14"/>
      <c r="F772" s="96"/>
    </row>
    <row r="773">
      <c r="A773" s="12"/>
      <c r="D773" s="95"/>
      <c r="E773" s="14"/>
      <c r="F773" s="96"/>
    </row>
    <row r="774">
      <c r="A774" s="12"/>
      <c r="D774" s="95"/>
      <c r="E774" s="14"/>
      <c r="F774" s="96"/>
    </row>
    <row r="775">
      <c r="A775" s="12"/>
      <c r="D775" s="95"/>
      <c r="E775" s="14"/>
      <c r="F775" s="96"/>
    </row>
    <row r="776">
      <c r="A776" s="12"/>
      <c r="D776" s="95"/>
      <c r="E776" s="14"/>
      <c r="F776" s="96"/>
    </row>
    <row r="777">
      <c r="A777" s="12"/>
      <c r="D777" s="95"/>
      <c r="E777" s="14"/>
      <c r="F777" s="96"/>
    </row>
    <row r="778">
      <c r="A778" s="12"/>
      <c r="D778" s="95"/>
      <c r="E778" s="14"/>
      <c r="F778" s="96"/>
    </row>
    <row r="779">
      <c r="A779" s="12"/>
      <c r="D779" s="95"/>
      <c r="E779" s="14"/>
      <c r="F779" s="96"/>
    </row>
    <row r="780">
      <c r="A780" s="12"/>
      <c r="D780" s="95"/>
      <c r="E780" s="14"/>
      <c r="F780" s="96"/>
    </row>
    <row r="781">
      <c r="A781" s="12"/>
      <c r="D781" s="95"/>
      <c r="E781" s="14"/>
      <c r="F781" s="96"/>
    </row>
    <row r="782">
      <c r="A782" s="12"/>
      <c r="D782" s="95"/>
      <c r="E782" s="14"/>
      <c r="F782" s="96"/>
    </row>
    <row r="783">
      <c r="A783" s="12"/>
      <c r="D783" s="95"/>
      <c r="E783" s="14"/>
      <c r="F783" s="96"/>
    </row>
    <row r="784">
      <c r="A784" s="12"/>
      <c r="D784" s="95"/>
      <c r="E784" s="14"/>
      <c r="F784" s="96"/>
    </row>
    <row r="785">
      <c r="A785" s="12"/>
      <c r="D785" s="95"/>
      <c r="E785" s="14"/>
      <c r="F785" s="96"/>
    </row>
    <row r="786">
      <c r="A786" s="12"/>
      <c r="D786" s="95"/>
      <c r="E786" s="14"/>
      <c r="F786" s="96"/>
    </row>
    <row r="787">
      <c r="A787" s="12"/>
      <c r="D787" s="95"/>
      <c r="E787" s="14"/>
      <c r="F787" s="96"/>
    </row>
    <row r="788">
      <c r="A788" s="12"/>
      <c r="D788" s="95"/>
      <c r="E788" s="14"/>
      <c r="F788" s="96"/>
    </row>
    <row r="789">
      <c r="A789" s="12"/>
      <c r="D789" s="95"/>
      <c r="E789" s="14"/>
      <c r="F789" s="96"/>
    </row>
    <row r="790">
      <c r="A790" s="12"/>
      <c r="D790" s="95"/>
      <c r="E790" s="14"/>
      <c r="F790" s="96"/>
    </row>
    <row r="791">
      <c r="A791" s="12"/>
      <c r="D791" s="95"/>
      <c r="E791" s="14"/>
      <c r="F791" s="96"/>
    </row>
    <row r="792">
      <c r="A792" s="12"/>
      <c r="D792" s="95"/>
      <c r="E792" s="14"/>
      <c r="F792" s="96"/>
    </row>
    <row r="793">
      <c r="A793" s="12"/>
      <c r="D793" s="95"/>
      <c r="E793" s="14"/>
      <c r="F793" s="96"/>
    </row>
    <row r="794">
      <c r="A794" s="12"/>
      <c r="D794" s="95"/>
      <c r="E794" s="14"/>
      <c r="F794" s="96"/>
    </row>
    <row r="795">
      <c r="A795" s="12"/>
      <c r="D795" s="95"/>
      <c r="E795" s="14"/>
      <c r="F795" s="96"/>
    </row>
    <row r="796">
      <c r="A796" s="12"/>
      <c r="D796" s="95"/>
      <c r="E796" s="14"/>
      <c r="F796" s="96"/>
    </row>
    <row r="797">
      <c r="A797" s="12"/>
      <c r="D797" s="95"/>
      <c r="E797" s="14"/>
      <c r="F797" s="96"/>
    </row>
    <row r="798">
      <c r="A798" s="12"/>
      <c r="D798" s="95"/>
      <c r="E798" s="14"/>
      <c r="F798" s="96"/>
    </row>
    <row r="799">
      <c r="A799" s="12"/>
      <c r="D799" s="95"/>
      <c r="E799" s="14"/>
      <c r="F799" s="96"/>
    </row>
    <row r="800">
      <c r="A800" s="12"/>
      <c r="D800" s="95"/>
      <c r="E800" s="14"/>
      <c r="F800" s="96"/>
    </row>
    <row r="801">
      <c r="A801" s="12"/>
      <c r="D801" s="95"/>
      <c r="E801" s="14"/>
      <c r="F801" s="96"/>
    </row>
    <row r="802">
      <c r="A802" s="12"/>
      <c r="D802" s="95"/>
      <c r="E802" s="14"/>
      <c r="F802" s="96"/>
    </row>
    <row r="803">
      <c r="A803" s="12"/>
      <c r="D803" s="95"/>
      <c r="E803" s="14"/>
      <c r="F803" s="96"/>
    </row>
    <row r="804">
      <c r="A804" s="12"/>
      <c r="D804" s="95"/>
      <c r="E804" s="14"/>
      <c r="F804" s="96"/>
    </row>
    <row r="805">
      <c r="A805" s="12"/>
      <c r="D805" s="95"/>
      <c r="E805" s="14"/>
      <c r="F805" s="96"/>
    </row>
    <row r="806">
      <c r="A806" s="12"/>
      <c r="D806" s="95"/>
      <c r="E806" s="14"/>
      <c r="F806" s="96"/>
    </row>
    <row r="807">
      <c r="A807" s="12"/>
      <c r="D807" s="95"/>
      <c r="E807" s="14"/>
      <c r="F807" s="96"/>
    </row>
    <row r="808">
      <c r="A808" s="12"/>
      <c r="D808" s="95"/>
      <c r="E808" s="14"/>
      <c r="F808" s="96"/>
    </row>
    <row r="809">
      <c r="A809" s="12"/>
      <c r="D809" s="95"/>
      <c r="E809" s="14"/>
      <c r="F809" s="96"/>
    </row>
    <row r="810">
      <c r="A810" s="12"/>
      <c r="D810" s="95"/>
      <c r="E810" s="14"/>
      <c r="F810" s="96"/>
    </row>
    <row r="811">
      <c r="A811" s="12"/>
      <c r="D811" s="95"/>
      <c r="E811" s="14"/>
      <c r="F811" s="96"/>
    </row>
    <row r="812">
      <c r="A812" s="12"/>
      <c r="D812" s="95"/>
      <c r="E812" s="14"/>
      <c r="F812" s="96"/>
    </row>
    <row r="813">
      <c r="A813" s="12"/>
      <c r="D813" s="95"/>
      <c r="E813" s="14"/>
      <c r="F813" s="96"/>
    </row>
    <row r="814">
      <c r="A814" s="12"/>
      <c r="D814" s="95"/>
      <c r="E814" s="14"/>
      <c r="F814" s="96"/>
    </row>
    <row r="815">
      <c r="A815" s="12"/>
      <c r="D815" s="95"/>
      <c r="E815" s="14"/>
      <c r="F815" s="96"/>
    </row>
    <row r="816">
      <c r="A816" s="12"/>
      <c r="D816" s="95"/>
      <c r="E816" s="14"/>
      <c r="F816" s="96"/>
    </row>
    <row r="817">
      <c r="A817" s="12"/>
      <c r="D817" s="95"/>
      <c r="E817" s="14"/>
      <c r="F817" s="96"/>
    </row>
    <row r="818">
      <c r="A818" s="12"/>
      <c r="D818" s="95"/>
      <c r="E818" s="14"/>
      <c r="F818" s="96"/>
    </row>
    <row r="819">
      <c r="A819" s="12"/>
      <c r="D819" s="95"/>
      <c r="E819" s="14"/>
      <c r="F819" s="96"/>
    </row>
    <row r="820">
      <c r="A820" s="12"/>
      <c r="D820" s="95"/>
      <c r="E820" s="14"/>
      <c r="F820" s="96"/>
    </row>
    <row r="821">
      <c r="A821" s="12"/>
      <c r="D821" s="95"/>
      <c r="E821" s="14"/>
      <c r="F821" s="96"/>
    </row>
    <row r="822">
      <c r="A822" s="12"/>
      <c r="D822" s="95"/>
      <c r="E822" s="14"/>
      <c r="F822" s="96"/>
    </row>
    <row r="823">
      <c r="A823" s="12"/>
      <c r="D823" s="95"/>
      <c r="E823" s="14"/>
      <c r="F823" s="96"/>
    </row>
    <row r="824">
      <c r="A824" s="12"/>
      <c r="D824" s="95"/>
      <c r="E824" s="14"/>
      <c r="F824" s="96"/>
    </row>
    <row r="825">
      <c r="A825" s="12"/>
      <c r="D825" s="95"/>
      <c r="E825" s="14"/>
      <c r="F825" s="96"/>
    </row>
    <row r="826">
      <c r="A826" s="12"/>
      <c r="D826" s="95"/>
      <c r="E826" s="14"/>
      <c r="F826" s="96"/>
    </row>
    <row r="827">
      <c r="A827" s="12"/>
      <c r="D827" s="95"/>
      <c r="E827" s="14"/>
      <c r="F827" s="96"/>
    </row>
    <row r="828">
      <c r="A828" s="12"/>
      <c r="D828" s="95"/>
      <c r="E828" s="14"/>
      <c r="F828" s="96"/>
    </row>
    <row r="829">
      <c r="A829" s="12"/>
      <c r="D829" s="95"/>
      <c r="E829" s="14"/>
      <c r="F829" s="96"/>
    </row>
    <row r="830">
      <c r="A830" s="12"/>
      <c r="D830" s="95"/>
      <c r="E830" s="14"/>
      <c r="F830" s="96"/>
    </row>
    <row r="831">
      <c r="A831" s="12"/>
      <c r="D831" s="95"/>
      <c r="E831" s="14"/>
      <c r="F831" s="96"/>
    </row>
    <row r="832">
      <c r="A832" s="12"/>
      <c r="D832" s="95"/>
      <c r="E832" s="14"/>
      <c r="F832" s="96"/>
    </row>
    <row r="833">
      <c r="A833" s="12"/>
      <c r="D833" s="95"/>
      <c r="E833" s="14"/>
      <c r="F833" s="96"/>
    </row>
    <row r="834">
      <c r="A834" s="12"/>
      <c r="D834" s="95"/>
      <c r="E834" s="14"/>
      <c r="F834" s="96"/>
    </row>
    <row r="835">
      <c r="A835" s="12"/>
      <c r="D835" s="95"/>
      <c r="E835" s="14"/>
      <c r="F835" s="96"/>
    </row>
    <row r="836">
      <c r="A836" s="12"/>
      <c r="D836" s="95"/>
      <c r="E836" s="14"/>
      <c r="F836" s="96"/>
    </row>
    <row r="837">
      <c r="A837" s="12"/>
      <c r="D837" s="95"/>
      <c r="E837" s="14"/>
      <c r="F837" s="96"/>
    </row>
    <row r="838">
      <c r="A838" s="12"/>
      <c r="D838" s="95"/>
      <c r="E838" s="14"/>
      <c r="F838" s="96"/>
    </row>
    <row r="839">
      <c r="A839" s="12"/>
      <c r="D839" s="95"/>
      <c r="E839" s="14"/>
      <c r="F839" s="96"/>
    </row>
    <row r="840">
      <c r="A840" s="12"/>
      <c r="D840" s="95"/>
      <c r="E840" s="14"/>
      <c r="F840" s="96"/>
    </row>
    <row r="841">
      <c r="A841" s="12"/>
      <c r="D841" s="95"/>
      <c r="E841" s="14"/>
      <c r="F841" s="96"/>
    </row>
    <row r="842">
      <c r="A842" s="12"/>
      <c r="D842" s="95"/>
      <c r="E842" s="14"/>
      <c r="F842" s="96"/>
    </row>
    <row r="843">
      <c r="A843" s="12"/>
      <c r="D843" s="95"/>
      <c r="E843" s="14"/>
      <c r="F843" s="96"/>
    </row>
    <row r="844">
      <c r="A844" s="12"/>
      <c r="D844" s="95"/>
      <c r="E844" s="14"/>
      <c r="F844" s="96"/>
    </row>
    <row r="845">
      <c r="A845" s="12"/>
      <c r="D845" s="95"/>
      <c r="E845" s="14"/>
      <c r="F845" s="96"/>
    </row>
    <row r="846">
      <c r="A846" s="12"/>
      <c r="D846" s="95"/>
      <c r="E846" s="14"/>
      <c r="F846" s="96"/>
    </row>
    <row r="847">
      <c r="A847" s="12"/>
      <c r="D847" s="95"/>
      <c r="E847" s="14"/>
      <c r="F847" s="96"/>
    </row>
    <row r="848">
      <c r="A848" s="12"/>
      <c r="D848" s="95"/>
      <c r="E848" s="14"/>
      <c r="F848" s="96"/>
    </row>
    <row r="849">
      <c r="A849" s="12"/>
      <c r="D849" s="95"/>
      <c r="E849" s="14"/>
      <c r="F849" s="96"/>
    </row>
    <row r="850">
      <c r="A850" s="12"/>
      <c r="D850" s="95"/>
      <c r="E850" s="14"/>
      <c r="F850" s="96"/>
    </row>
    <row r="851">
      <c r="A851" s="12"/>
      <c r="D851" s="95"/>
      <c r="E851" s="14"/>
      <c r="F851" s="96"/>
    </row>
    <row r="852">
      <c r="A852" s="12"/>
      <c r="D852" s="95"/>
      <c r="E852" s="14"/>
      <c r="F852" s="96"/>
    </row>
    <row r="853">
      <c r="A853" s="12"/>
      <c r="D853" s="95"/>
      <c r="E853" s="14"/>
      <c r="F853" s="96"/>
    </row>
    <row r="854">
      <c r="A854" s="12"/>
      <c r="D854" s="95"/>
      <c r="E854" s="14"/>
      <c r="F854" s="96"/>
    </row>
    <row r="855">
      <c r="A855" s="12"/>
      <c r="D855" s="95"/>
      <c r="E855" s="14"/>
      <c r="F855" s="96"/>
    </row>
    <row r="856">
      <c r="A856" s="12"/>
      <c r="D856" s="95"/>
      <c r="E856" s="14"/>
      <c r="F856" s="96"/>
    </row>
    <row r="857">
      <c r="A857" s="12"/>
      <c r="D857" s="95"/>
      <c r="E857" s="14"/>
      <c r="F857" s="96"/>
    </row>
    <row r="858">
      <c r="A858" s="12"/>
      <c r="D858" s="95"/>
      <c r="E858" s="14"/>
      <c r="F858" s="96"/>
    </row>
    <row r="859">
      <c r="A859" s="12"/>
      <c r="D859" s="95"/>
      <c r="E859" s="14"/>
      <c r="F859" s="96"/>
    </row>
    <row r="860">
      <c r="A860" s="12"/>
      <c r="D860" s="95"/>
      <c r="E860" s="14"/>
      <c r="F860" s="96"/>
    </row>
    <row r="861">
      <c r="A861" s="12"/>
      <c r="D861" s="95"/>
      <c r="E861" s="14"/>
      <c r="F861" s="96"/>
    </row>
    <row r="862">
      <c r="A862" s="12"/>
      <c r="D862" s="95"/>
      <c r="E862" s="14"/>
      <c r="F862" s="96"/>
    </row>
    <row r="863">
      <c r="A863" s="12"/>
      <c r="D863" s="95"/>
      <c r="E863" s="14"/>
      <c r="F863" s="96"/>
    </row>
    <row r="864">
      <c r="A864" s="12"/>
      <c r="D864" s="95"/>
      <c r="E864" s="14"/>
      <c r="F864" s="96"/>
    </row>
    <row r="865">
      <c r="A865" s="12"/>
      <c r="D865" s="95"/>
      <c r="E865" s="14"/>
      <c r="F865" s="96"/>
    </row>
    <row r="866">
      <c r="A866" s="12"/>
      <c r="D866" s="95"/>
      <c r="E866" s="14"/>
      <c r="F866" s="96"/>
    </row>
    <row r="867">
      <c r="A867" s="12"/>
      <c r="D867" s="95"/>
      <c r="E867" s="14"/>
      <c r="F867" s="96"/>
    </row>
    <row r="868">
      <c r="A868" s="12"/>
      <c r="D868" s="95"/>
      <c r="E868" s="14"/>
      <c r="F868" s="96"/>
    </row>
    <row r="869">
      <c r="A869" s="12"/>
      <c r="D869" s="95"/>
      <c r="E869" s="14"/>
      <c r="F869" s="96"/>
    </row>
    <row r="870">
      <c r="A870" s="12"/>
      <c r="D870" s="95"/>
      <c r="E870" s="14"/>
      <c r="F870" s="96"/>
    </row>
    <row r="871">
      <c r="A871" s="12"/>
      <c r="D871" s="95"/>
      <c r="E871" s="14"/>
      <c r="F871" s="96"/>
    </row>
    <row r="872">
      <c r="A872" s="12"/>
      <c r="D872" s="95"/>
      <c r="E872" s="14"/>
      <c r="F872" s="96"/>
    </row>
    <row r="873">
      <c r="A873" s="12"/>
      <c r="D873" s="95"/>
      <c r="E873" s="14"/>
      <c r="F873" s="96"/>
    </row>
    <row r="874">
      <c r="A874" s="12"/>
      <c r="D874" s="95"/>
      <c r="E874" s="14"/>
      <c r="F874" s="96"/>
    </row>
    <row r="875">
      <c r="A875" s="12"/>
      <c r="D875" s="95"/>
      <c r="E875" s="14"/>
      <c r="F875" s="96"/>
    </row>
    <row r="876">
      <c r="A876" s="12"/>
      <c r="D876" s="95"/>
      <c r="E876" s="14"/>
      <c r="F876" s="96"/>
    </row>
    <row r="877">
      <c r="A877" s="12"/>
      <c r="D877" s="95"/>
      <c r="E877" s="14"/>
      <c r="F877" s="96"/>
    </row>
    <row r="878">
      <c r="A878" s="12"/>
      <c r="D878" s="95"/>
      <c r="E878" s="14"/>
      <c r="F878" s="96"/>
    </row>
    <row r="879">
      <c r="A879" s="12"/>
      <c r="D879" s="95"/>
      <c r="E879" s="14"/>
      <c r="F879" s="96"/>
    </row>
    <row r="880">
      <c r="A880" s="12"/>
      <c r="D880" s="95"/>
      <c r="E880" s="14"/>
      <c r="F880" s="96"/>
    </row>
    <row r="881">
      <c r="A881" s="12"/>
      <c r="D881" s="95"/>
      <c r="E881" s="14"/>
      <c r="F881" s="96"/>
    </row>
    <row r="882">
      <c r="A882" s="12"/>
      <c r="D882" s="95"/>
      <c r="E882" s="14"/>
      <c r="F882" s="96"/>
    </row>
    <row r="883">
      <c r="A883" s="12"/>
      <c r="D883" s="95"/>
      <c r="E883" s="14"/>
      <c r="F883" s="96"/>
    </row>
    <row r="884">
      <c r="A884" s="12"/>
      <c r="D884" s="95"/>
      <c r="E884" s="14"/>
      <c r="F884" s="96"/>
    </row>
    <row r="885">
      <c r="A885" s="12"/>
      <c r="D885" s="95"/>
      <c r="E885" s="14"/>
      <c r="F885" s="96"/>
    </row>
    <row r="886">
      <c r="A886" s="12"/>
      <c r="D886" s="95"/>
      <c r="E886" s="14"/>
      <c r="F886" s="96"/>
    </row>
    <row r="887">
      <c r="A887" s="12"/>
      <c r="D887" s="95"/>
      <c r="E887" s="14"/>
      <c r="F887" s="96"/>
    </row>
    <row r="888">
      <c r="A888" s="12"/>
      <c r="D888" s="95"/>
      <c r="E888" s="14"/>
      <c r="F888" s="96"/>
    </row>
    <row r="889">
      <c r="A889" s="12"/>
      <c r="D889" s="95"/>
      <c r="E889" s="14"/>
      <c r="F889" s="96"/>
    </row>
    <row r="890">
      <c r="A890" s="12"/>
      <c r="D890" s="95"/>
      <c r="E890" s="14"/>
      <c r="F890" s="96"/>
    </row>
    <row r="891">
      <c r="A891" s="12"/>
      <c r="D891" s="95"/>
      <c r="E891" s="14"/>
      <c r="F891" s="96"/>
    </row>
    <row r="892">
      <c r="A892" s="12"/>
      <c r="D892" s="95"/>
      <c r="E892" s="14"/>
      <c r="F892" s="96"/>
    </row>
    <row r="893">
      <c r="A893" s="12"/>
      <c r="D893" s="95"/>
      <c r="E893" s="14"/>
      <c r="F893" s="96"/>
    </row>
    <row r="894">
      <c r="A894" s="12"/>
      <c r="D894" s="95"/>
      <c r="E894" s="14"/>
      <c r="F894" s="96"/>
    </row>
    <row r="895">
      <c r="A895" s="12"/>
      <c r="D895" s="95"/>
      <c r="E895" s="14"/>
      <c r="F895" s="96"/>
    </row>
    <row r="896">
      <c r="A896" s="12"/>
      <c r="D896" s="95"/>
      <c r="E896" s="14"/>
      <c r="F896" s="96"/>
    </row>
    <row r="897">
      <c r="A897" s="12"/>
      <c r="D897" s="95"/>
      <c r="E897" s="14"/>
      <c r="F897" s="96"/>
    </row>
    <row r="898">
      <c r="A898" s="12"/>
      <c r="D898" s="95"/>
      <c r="E898" s="14"/>
      <c r="F898" s="96"/>
    </row>
    <row r="899">
      <c r="A899" s="12"/>
      <c r="D899" s="95"/>
      <c r="E899" s="14"/>
      <c r="F899" s="96"/>
    </row>
    <row r="900">
      <c r="A900" s="12"/>
      <c r="D900" s="95"/>
      <c r="E900" s="14"/>
      <c r="F900" s="96"/>
    </row>
    <row r="901">
      <c r="A901" s="12"/>
      <c r="D901" s="95"/>
      <c r="E901" s="14"/>
      <c r="F901" s="96"/>
    </row>
    <row r="902">
      <c r="A902" s="12"/>
      <c r="D902" s="95"/>
      <c r="E902" s="14"/>
      <c r="F902" s="96"/>
    </row>
    <row r="903">
      <c r="A903" s="12"/>
      <c r="D903" s="95"/>
      <c r="E903" s="14"/>
      <c r="F903" s="96"/>
    </row>
    <row r="904">
      <c r="A904" s="12"/>
      <c r="D904" s="95"/>
      <c r="E904" s="14"/>
      <c r="F904" s="96"/>
    </row>
    <row r="905">
      <c r="A905" s="12"/>
      <c r="D905" s="95"/>
      <c r="E905" s="14"/>
      <c r="F905" s="96"/>
    </row>
    <row r="906">
      <c r="A906" s="12"/>
      <c r="D906" s="95"/>
      <c r="E906" s="14"/>
      <c r="F906" s="96"/>
    </row>
    <row r="907">
      <c r="A907" s="12"/>
      <c r="D907" s="95"/>
      <c r="E907" s="14"/>
      <c r="F907" s="96"/>
    </row>
    <row r="908">
      <c r="A908" s="12"/>
      <c r="D908" s="95"/>
      <c r="E908" s="14"/>
      <c r="F908" s="96"/>
    </row>
    <row r="909">
      <c r="A909" s="12"/>
      <c r="D909" s="95"/>
      <c r="E909" s="14"/>
      <c r="F909" s="96"/>
    </row>
    <row r="910">
      <c r="A910" s="12"/>
      <c r="D910" s="95"/>
      <c r="E910" s="14"/>
      <c r="F910" s="96"/>
    </row>
    <row r="911">
      <c r="A911" s="12"/>
      <c r="D911" s="95"/>
      <c r="E911" s="14"/>
      <c r="F911" s="96"/>
    </row>
    <row r="912">
      <c r="A912" s="12"/>
      <c r="D912" s="95"/>
      <c r="E912" s="14"/>
      <c r="F912" s="96"/>
    </row>
    <row r="913">
      <c r="A913" s="12"/>
      <c r="D913" s="95"/>
      <c r="E913" s="14"/>
      <c r="F913" s="96"/>
    </row>
    <row r="914">
      <c r="A914" s="12"/>
      <c r="D914" s="95"/>
      <c r="E914" s="14"/>
      <c r="F914" s="96"/>
    </row>
    <row r="915">
      <c r="A915" s="12"/>
      <c r="D915" s="95"/>
      <c r="E915" s="14"/>
      <c r="F915" s="96"/>
    </row>
    <row r="916">
      <c r="A916" s="12"/>
      <c r="D916" s="95"/>
      <c r="E916" s="14"/>
      <c r="F916" s="96"/>
    </row>
    <row r="917">
      <c r="A917" s="12"/>
      <c r="D917" s="95"/>
      <c r="E917" s="14"/>
      <c r="F917" s="96"/>
    </row>
    <row r="918">
      <c r="A918" s="12"/>
      <c r="D918" s="95"/>
      <c r="E918" s="14"/>
      <c r="F918" s="96"/>
    </row>
    <row r="919">
      <c r="A919" s="12"/>
      <c r="D919" s="95"/>
      <c r="E919" s="14"/>
      <c r="F919" s="96"/>
    </row>
    <row r="920">
      <c r="A920" s="12"/>
      <c r="D920" s="95"/>
      <c r="E920" s="14"/>
      <c r="F920" s="96"/>
    </row>
    <row r="921">
      <c r="A921" s="12"/>
      <c r="D921" s="95"/>
      <c r="E921" s="14"/>
      <c r="F921" s="96"/>
    </row>
    <row r="922">
      <c r="A922" s="12"/>
      <c r="D922" s="95"/>
      <c r="E922" s="14"/>
      <c r="F922" s="96"/>
    </row>
    <row r="923">
      <c r="A923" s="12"/>
      <c r="D923" s="95"/>
      <c r="E923" s="14"/>
      <c r="F923" s="96"/>
    </row>
    <row r="924">
      <c r="A924" s="12"/>
      <c r="D924" s="95"/>
      <c r="E924" s="14"/>
      <c r="F924" s="96"/>
    </row>
    <row r="925">
      <c r="A925" s="12"/>
      <c r="D925" s="95"/>
      <c r="E925" s="14"/>
      <c r="F925" s="96"/>
    </row>
    <row r="926">
      <c r="A926" s="12"/>
      <c r="D926" s="95"/>
      <c r="E926" s="14"/>
      <c r="F926" s="96"/>
    </row>
    <row r="927">
      <c r="A927" s="12"/>
      <c r="D927" s="95"/>
      <c r="E927" s="14"/>
      <c r="F927" s="96"/>
    </row>
    <row r="928">
      <c r="A928" s="12"/>
      <c r="D928" s="95"/>
      <c r="E928" s="14"/>
      <c r="F928" s="96"/>
    </row>
    <row r="929">
      <c r="A929" s="12"/>
      <c r="D929" s="95"/>
      <c r="E929" s="14"/>
      <c r="F929" s="96"/>
    </row>
    <row r="930">
      <c r="A930" s="12"/>
      <c r="D930" s="95"/>
      <c r="E930" s="14"/>
      <c r="F930" s="96"/>
    </row>
    <row r="931">
      <c r="A931" s="12"/>
      <c r="D931" s="95"/>
      <c r="E931" s="14"/>
      <c r="F931" s="96"/>
    </row>
    <row r="932">
      <c r="A932" s="12"/>
      <c r="D932" s="95"/>
      <c r="E932" s="14"/>
      <c r="F932" s="96"/>
    </row>
    <row r="933">
      <c r="A933" s="12"/>
      <c r="D933" s="95"/>
      <c r="E933" s="14"/>
      <c r="F933" s="96"/>
    </row>
    <row r="934">
      <c r="A934" s="12"/>
      <c r="D934" s="95"/>
      <c r="E934" s="14"/>
      <c r="F934" s="96"/>
    </row>
    <row r="935">
      <c r="A935" s="12"/>
      <c r="D935" s="95"/>
      <c r="E935" s="14"/>
      <c r="F935" s="96"/>
    </row>
    <row r="936">
      <c r="A936" s="12"/>
      <c r="D936" s="95"/>
      <c r="E936" s="14"/>
      <c r="F936" s="96"/>
    </row>
    <row r="937">
      <c r="A937" s="12"/>
      <c r="D937" s="95"/>
      <c r="E937" s="14"/>
      <c r="F937" s="96"/>
    </row>
    <row r="938">
      <c r="A938" s="12"/>
      <c r="D938" s="95"/>
      <c r="E938" s="14"/>
      <c r="F938" s="96"/>
    </row>
    <row r="939">
      <c r="A939" s="12"/>
      <c r="D939" s="95"/>
      <c r="E939" s="14"/>
      <c r="F939" s="96"/>
    </row>
    <row r="940">
      <c r="A940" s="12"/>
      <c r="D940" s="95"/>
      <c r="E940" s="14"/>
      <c r="F940" s="96"/>
    </row>
    <row r="941">
      <c r="A941" s="12"/>
      <c r="D941" s="95"/>
      <c r="E941" s="14"/>
      <c r="F941" s="96"/>
    </row>
    <row r="942">
      <c r="A942" s="12"/>
      <c r="D942" s="95"/>
      <c r="E942" s="14"/>
      <c r="F942" s="96"/>
    </row>
    <row r="943">
      <c r="A943" s="12"/>
      <c r="D943" s="95"/>
      <c r="E943" s="14"/>
      <c r="F943" s="96"/>
    </row>
    <row r="944">
      <c r="A944" s="12"/>
      <c r="D944" s="95"/>
      <c r="E944" s="14"/>
      <c r="F944" s="96"/>
    </row>
    <row r="945">
      <c r="A945" s="12"/>
      <c r="D945" s="95"/>
      <c r="E945" s="14"/>
      <c r="F945" s="96"/>
    </row>
    <row r="946">
      <c r="A946" s="12"/>
      <c r="D946" s="95"/>
      <c r="E946" s="14"/>
      <c r="F946" s="96"/>
    </row>
    <row r="947">
      <c r="A947" s="12"/>
      <c r="D947" s="95"/>
      <c r="E947" s="14"/>
      <c r="F947" s="96"/>
    </row>
    <row r="948">
      <c r="A948" s="12"/>
      <c r="D948" s="95"/>
      <c r="E948" s="14"/>
      <c r="F948" s="96"/>
    </row>
    <row r="949">
      <c r="A949" s="12"/>
      <c r="D949" s="95"/>
      <c r="E949" s="14"/>
      <c r="F949" s="96"/>
    </row>
    <row r="950">
      <c r="A950" s="12"/>
      <c r="D950" s="95"/>
      <c r="E950" s="14"/>
      <c r="F950" s="96"/>
    </row>
    <row r="951">
      <c r="A951" s="12"/>
      <c r="D951" s="95"/>
      <c r="E951" s="14"/>
      <c r="F951" s="96"/>
    </row>
    <row r="952">
      <c r="A952" s="12"/>
      <c r="D952" s="95"/>
      <c r="E952" s="14"/>
      <c r="F952" s="96"/>
    </row>
    <row r="953">
      <c r="A953" s="12"/>
      <c r="D953" s="95"/>
      <c r="E953" s="14"/>
      <c r="F953" s="96"/>
    </row>
    <row r="954">
      <c r="A954" s="12"/>
      <c r="D954" s="95"/>
      <c r="E954" s="14"/>
      <c r="F954" s="96"/>
    </row>
    <row r="955">
      <c r="A955" s="12"/>
      <c r="D955" s="95"/>
      <c r="E955" s="14"/>
      <c r="F955" s="96"/>
    </row>
    <row r="956">
      <c r="A956" s="12"/>
      <c r="D956" s="95"/>
      <c r="E956" s="14"/>
      <c r="F956" s="96"/>
    </row>
    <row r="957">
      <c r="A957" s="12"/>
      <c r="D957" s="95"/>
      <c r="E957" s="14"/>
      <c r="F957" s="96"/>
    </row>
    <row r="958">
      <c r="A958" s="12"/>
      <c r="D958" s="95"/>
      <c r="E958" s="14"/>
      <c r="F958" s="96"/>
    </row>
    <row r="959">
      <c r="A959" s="12"/>
      <c r="D959" s="95"/>
      <c r="E959" s="14"/>
      <c r="F959" s="96"/>
    </row>
    <row r="960">
      <c r="A960" s="12"/>
      <c r="D960" s="95"/>
      <c r="E960" s="14"/>
      <c r="F960" s="96"/>
    </row>
    <row r="961">
      <c r="A961" s="12"/>
      <c r="D961" s="95"/>
      <c r="E961" s="14"/>
      <c r="F961" s="96"/>
    </row>
    <row r="962">
      <c r="A962" s="12"/>
      <c r="D962" s="95"/>
      <c r="E962" s="14"/>
      <c r="F962" s="96"/>
    </row>
    <row r="963">
      <c r="A963" s="12"/>
      <c r="D963" s="95"/>
      <c r="E963" s="14"/>
      <c r="F963" s="96"/>
    </row>
    <row r="964">
      <c r="A964" s="12"/>
      <c r="D964" s="95"/>
      <c r="E964" s="14"/>
      <c r="F964" s="96"/>
    </row>
    <row r="965">
      <c r="A965" s="12"/>
      <c r="D965" s="95"/>
      <c r="E965" s="14"/>
      <c r="F965" s="96"/>
    </row>
    <row r="966">
      <c r="A966" s="12"/>
      <c r="D966" s="95"/>
      <c r="E966" s="14"/>
      <c r="F966" s="96"/>
    </row>
    <row r="967">
      <c r="A967" s="12"/>
      <c r="D967" s="95"/>
      <c r="E967" s="14"/>
      <c r="F967" s="96"/>
    </row>
    <row r="968">
      <c r="A968" s="12"/>
      <c r="D968" s="95"/>
      <c r="E968" s="14"/>
      <c r="F968" s="96"/>
    </row>
    <row r="969">
      <c r="A969" s="12"/>
      <c r="D969" s="95"/>
      <c r="E969" s="14"/>
      <c r="F969" s="96"/>
    </row>
    <row r="970">
      <c r="A970" s="12"/>
      <c r="D970" s="95"/>
      <c r="E970" s="14"/>
      <c r="F970" s="96"/>
    </row>
    <row r="971">
      <c r="A971" s="12"/>
      <c r="D971" s="95"/>
      <c r="E971" s="14"/>
      <c r="F971" s="96"/>
    </row>
    <row r="972">
      <c r="A972" s="12"/>
      <c r="D972" s="95"/>
      <c r="E972" s="14"/>
      <c r="F972" s="96"/>
    </row>
    <row r="973">
      <c r="A973" s="12"/>
      <c r="D973" s="95"/>
      <c r="E973" s="14"/>
      <c r="F973" s="96"/>
    </row>
    <row r="974">
      <c r="A974" s="12"/>
      <c r="D974" s="95"/>
      <c r="E974" s="14"/>
      <c r="F974" s="96"/>
    </row>
    <row r="975">
      <c r="A975" s="12"/>
      <c r="D975" s="95"/>
      <c r="E975" s="14"/>
      <c r="F975" s="96"/>
    </row>
    <row r="976">
      <c r="A976" s="12"/>
      <c r="D976" s="95"/>
      <c r="E976" s="14"/>
      <c r="F976" s="96"/>
    </row>
    <row r="977">
      <c r="A977" s="12"/>
      <c r="D977" s="95"/>
      <c r="E977" s="14"/>
      <c r="F977" s="96"/>
    </row>
    <row r="978">
      <c r="A978" s="12"/>
      <c r="D978" s="95"/>
      <c r="E978" s="14"/>
      <c r="F978" s="96"/>
    </row>
    <row r="979">
      <c r="A979" s="12"/>
      <c r="D979" s="95"/>
      <c r="E979" s="14"/>
      <c r="F979" s="96"/>
    </row>
    <row r="980">
      <c r="A980" s="12"/>
      <c r="D980" s="95"/>
      <c r="E980" s="14"/>
      <c r="F980" s="96"/>
    </row>
    <row r="981">
      <c r="A981" s="12"/>
      <c r="D981" s="95"/>
      <c r="E981" s="14"/>
      <c r="F981" s="96"/>
    </row>
    <row r="982">
      <c r="A982" s="12"/>
      <c r="D982" s="95"/>
      <c r="E982" s="14"/>
      <c r="F982" s="96"/>
    </row>
    <row r="983">
      <c r="A983" s="12"/>
      <c r="D983" s="95"/>
      <c r="E983" s="14"/>
      <c r="F983" s="96"/>
    </row>
    <row r="984">
      <c r="A984" s="12"/>
      <c r="D984" s="95"/>
      <c r="E984" s="14"/>
      <c r="F984" s="96"/>
    </row>
    <row r="985">
      <c r="A985" s="12"/>
      <c r="D985" s="95"/>
      <c r="E985" s="14"/>
      <c r="F985" s="96"/>
    </row>
    <row r="986">
      <c r="A986" s="12"/>
      <c r="D986" s="95"/>
      <c r="E986" s="14"/>
      <c r="F986" s="96"/>
    </row>
    <row r="987">
      <c r="A987" s="12"/>
      <c r="D987" s="95"/>
      <c r="E987" s="14"/>
      <c r="F987" s="96"/>
    </row>
    <row r="988">
      <c r="A988" s="12"/>
      <c r="D988" s="95"/>
      <c r="E988" s="14"/>
      <c r="F988" s="96"/>
    </row>
    <row r="989">
      <c r="A989" s="12"/>
      <c r="D989" s="95"/>
      <c r="E989" s="14"/>
      <c r="F989" s="96"/>
    </row>
    <row r="990">
      <c r="A990" s="12"/>
      <c r="D990" s="95"/>
      <c r="E990" s="14"/>
      <c r="F990" s="96"/>
    </row>
    <row r="991">
      <c r="A991" s="12"/>
      <c r="D991" s="95"/>
      <c r="E991" s="14"/>
      <c r="F991" s="96"/>
    </row>
    <row r="992">
      <c r="A992" s="12"/>
      <c r="D992" s="95"/>
      <c r="E992" s="14"/>
      <c r="F992" s="96"/>
    </row>
    <row r="993">
      <c r="A993" s="12"/>
      <c r="D993" s="95"/>
      <c r="E993" s="14"/>
      <c r="F993" s="96"/>
    </row>
    <row r="994">
      <c r="A994" s="12"/>
      <c r="D994" s="95"/>
      <c r="E994" s="14"/>
      <c r="F994" s="96"/>
    </row>
    <row r="995">
      <c r="A995" s="12"/>
      <c r="D995" s="95"/>
      <c r="E995" s="14"/>
      <c r="F995" s="96"/>
    </row>
    <row r="996">
      <c r="A996" s="12"/>
      <c r="D996" s="95"/>
      <c r="E996" s="14"/>
      <c r="F996" s="96"/>
    </row>
    <row r="997">
      <c r="A997" s="12"/>
      <c r="D997" s="95"/>
      <c r="E997" s="14"/>
      <c r="F997" s="96"/>
    </row>
    <row r="998">
      <c r="A998" s="12"/>
      <c r="D998" s="95"/>
      <c r="E998" s="14"/>
      <c r="F998" s="96"/>
    </row>
    <row r="999">
      <c r="A999" s="12"/>
      <c r="D999" s="95"/>
      <c r="E999" s="14"/>
      <c r="F999" s="96"/>
    </row>
    <row r="1000">
      <c r="A1000" s="12"/>
      <c r="D1000" s="95"/>
      <c r="E1000" s="14"/>
      <c r="F1000" s="96"/>
    </row>
  </sheetData>
  <conditionalFormatting sqref="H2:Q30">
    <cfRule type="cellIs" dxfId="43" priority="1" operator="equal">
      <formula>0</formula>
    </cfRule>
  </conditionalFormatting>
  <conditionalFormatting sqref="O2:O30">
    <cfRule type="colorScale" priority="2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P2:P30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30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30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30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30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0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0">
    <cfRule type="colorScale" priority="9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H2:H30">
    <cfRule type="colorScale" priority="10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Q2:Q30">
    <cfRule type="colorScale" priority="11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6:C4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6:F4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3">
      <formula1>OR(NOT(ISERROR(DATEVALUE(F33))), AND(ISNUMBER(F33), LEFT(CELL("format", F33))="D"))</formula1>
    </dataValidation>
    <dataValidation type="list" allowBlank="1" showDropDown="1" sqref="C2:C30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